
<file path=[Content_Types].xml><?xml version="1.0" encoding="utf-8"?>
<Types xmlns="http://schemas.openxmlformats.org/package/2006/content-types">
  <Default Extension="bin" ContentType="application/vnd.openxmlformats-officedocument.spreadsheetml.printerSettings"/>
  <Default Extension="jpeg" ContentType="image/jpeg"/>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queryTables/queryTable1.xml" ContentType="application/vnd.openxmlformats-officedocument.spreadsheetml.queryTable+xml"/>
  <Override PartName="/xl/tables/table2.xml" ContentType="application/vnd.openxmlformats-officedocument.spreadsheetml.table+xml"/>
  <Override PartName="/xl/queryTables/queryTable2.xml" ContentType="application/vnd.openxmlformats-officedocument.spreadsheetml.queryTable+xml"/>
  <Override PartName="/xl/tables/table3.xml" ContentType="application/vnd.openxmlformats-officedocument.spreadsheetml.table+xml"/>
  <Override PartName="/xl/queryTables/queryTable3.xml" ContentType="application/vnd.openxmlformats-officedocument.spreadsheetml.queryTable+xml"/>
  <Override PartName="/xl/tables/table4.xml" ContentType="application/vnd.openxmlformats-officedocument.spreadsheetml.table+xml"/>
  <Override PartName="/xl/queryTables/queryTable4.xml" ContentType="application/vnd.openxmlformats-officedocument.spreadsheetml.queryTable+xml"/>
  <Override PartName="/xl/tables/table5.xml" ContentType="application/vnd.openxmlformats-officedocument.spreadsheetml.table+xml"/>
  <Override PartName="/xl/queryTables/queryTable5.xml" ContentType="application/vnd.openxmlformats-officedocument.spreadsheetml.queryTable+xml"/>
  <Override PartName="/xl/tables/table6.xml" ContentType="application/vnd.openxmlformats-officedocument.spreadsheetml.table+xml"/>
  <Override PartName="/xl/queryTables/queryTable6.xml" ContentType="application/vnd.openxmlformats-officedocument.spreadsheetml.queryTable+xml"/>
  <Override PartName="/xl/tables/table7.xml" ContentType="application/vnd.openxmlformats-officedocument.spreadsheetml.table+xml"/>
  <Override PartName="/xl/queryTables/queryTable7.xml" ContentType="application/vnd.openxmlformats-officedocument.spreadsheetml.queryTable+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customXml/itemProps4.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Users\ddonohue\Desktop\COW Doc to Upload\"/>
    </mc:Choice>
  </mc:AlternateContent>
  <bookViews>
    <workbookView xWindow="585" yWindow="690" windowWidth="26670" windowHeight="14595" tabRatio="841" activeTab="2"/>
  </bookViews>
  <sheets>
    <sheet name="Create Filename" sheetId="8" r:id="rId1"/>
    <sheet name="ENV Tract Status Report" sheetId="15" r:id="rId2"/>
    <sheet name="ACQ Tract Status Report" sheetId="14" r:id="rId3"/>
    <sheet name="TAX Parcel Status Report" sheetId="11" r:id="rId4"/>
    <sheet name="SP ENV Lib" sheetId="16" r:id="rId5"/>
    <sheet name="SP ACQ Lib" sheetId="4" r:id="rId6"/>
    <sheet name="SP EnvTract DB" sheetId="13" r:id="rId7"/>
    <sheet name="SP AcqTract DB" sheetId="2" r:id="rId8"/>
    <sheet name="SP TaxPar DB" sheetId="3" r:id="rId9"/>
    <sheet name="SP Contacts DB" sheetId="7" r:id="rId10"/>
    <sheet name="SP ACQ DocType" sheetId="9" r:id="rId11"/>
  </sheets>
  <definedNames>
    <definedName name="_xlnm._FilterDatabase" localSheetId="2" hidden="1">'ACQ Tract Status Report'!$B$5:$BL$144</definedName>
    <definedName name="_xlnm._FilterDatabase" localSheetId="1" hidden="1">'ENV Tract Status Report'!$B$5:$AJ$131</definedName>
    <definedName name="_xlnm._FilterDatabase" localSheetId="3" hidden="1">'TAX Parcel Status Report'!$A$5:$AW$290</definedName>
    <definedName name="ACQStatus_ACQTNo.">'ACQ Tract Status Report'!$A$6:$A$144</definedName>
    <definedName name="owssvr" localSheetId="10" hidden="1">'SP ACQ DocType'!$A$1:$I$38</definedName>
    <definedName name="owssvr" localSheetId="9" hidden="1">'SP Contacts DB'!$A$1:$T$190</definedName>
    <definedName name="owssvr" localSheetId="4" hidden="1">'SP ENV Lib'!$B$1:$U$441</definedName>
    <definedName name="owssvr" localSheetId="8" hidden="1">'SP TaxPar DB'!$A$1:$T$287</definedName>
    <definedName name="owssvr_1" localSheetId="5" hidden="1">'SP ACQ Lib'!$B$1:$T$1014</definedName>
    <definedName name="owssvr_1" localSheetId="7" hidden="1">'SP AcqTract DB'!$A$1:$AQ$140</definedName>
    <definedName name="owssvr_1" localSheetId="6" hidden="1">'SP EnvTract DB'!$A$1:$AG$127</definedName>
    <definedName name="_xlnm.Print_Titles" localSheetId="2">'ACQ Tract Status Report'!$3:$5</definedName>
  </definedNames>
  <calcPr calcId="152511"/>
  <extLst>
    <ext xmlns:xcalcf="http://schemas.microsoft.com/office/spreadsheetml/2018/calcfeatures" uri="{B58B0392-4F1F-4190-BB64-5DF3571DCE5F}">
      <xcalcf:calcFeatures>
        <xcalcf:feature name="microsoft.com:RD"/>
        <xcalcf:feature name="microsoft.com:FV"/>
      </xcalcf:calcFeatures>
    </ext>
  </extLst>
</workbook>
</file>

<file path=xl/calcChain.xml><?xml version="1.0" encoding="utf-8"?>
<calcChain xmlns="http://schemas.openxmlformats.org/spreadsheetml/2006/main">
  <c r="A39" i="9" l="1"/>
  <c r="E39" i="9" a="1"/>
  <c r="E39" i="9" s="1"/>
  <c r="I39" i="9"/>
  <c r="A191" i="7"/>
  <c r="B191" i="7"/>
  <c r="C191" i="7"/>
  <c r="A288" i="3"/>
  <c r="Q288" i="3"/>
  <c r="S288" i="3"/>
  <c r="U2" i="3"/>
  <c r="U3" i="3"/>
  <c r="U4" i="3"/>
  <c r="U5" i="3"/>
  <c r="U6" i="3"/>
  <c r="U7" i="3"/>
  <c r="U8" i="3"/>
  <c r="U9" i="3"/>
  <c r="U10" i="3"/>
  <c r="U11" i="3"/>
  <c r="U12" i="3"/>
  <c r="U13" i="3"/>
  <c r="U14" i="3"/>
  <c r="U15" i="3"/>
  <c r="U16" i="3"/>
  <c r="U17" i="3"/>
  <c r="U18" i="3"/>
  <c r="U19" i="3"/>
  <c r="U20" i="3"/>
  <c r="U21" i="3"/>
  <c r="U22" i="3"/>
  <c r="U23" i="3"/>
  <c r="U24" i="3"/>
  <c r="U25" i="3"/>
  <c r="U26" i="3"/>
  <c r="U27" i="3"/>
  <c r="U28" i="3"/>
  <c r="U29" i="3"/>
  <c r="U30" i="3"/>
  <c r="U31" i="3"/>
  <c r="U32" i="3"/>
  <c r="U33" i="3"/>
  <c r="U34" i="3"/>
  <c r="U35" i="3"/>
  <c r="U36" i="3"/>
  <c r="U37" i="3"/>
  <c r="U38" i="3"/>
  <c r="U39" i="3"/>
  <c r="U40" i="3"/>
  <c r="U41" i="3"/>
  <c r="U42" i="3"/>
  <c r="U43" i="3"/>
  <c r="U44" i="3"/>
  <c r="U45" i="3"/>
  <c r="U46" i="3"/>
  <c r="U47" i="3"/>
  <c r="U48" i="3"/>
  <c r="U49" i="3"/>
  <c r="U50" i="3"/>
  <c r="U51" i="3"/>
  <c r="U52" i="3"/>
  <c r="U53" i="3"/>
  <c r="U54" i="3"/>
  <c r="U55" i="3"/>
  <c r="U56" i="3"/>
  <c r="U57" i="3"/>
  <c r="U58" i="3"/>
  <c r="U59" i="3"/>
  <c r="U60" i="3"/>
  <c r="U61" i="3"/>
  <c r="U62" i="3"/>
  <c r="U63" i="3"/>
  <c r="U64" i="3"/>
  <c r="U65" i="3"/>
  <c r="U66" i="3"/>
  <c r="U67" i="3"/>
  <c r="U68" i="3"/>
  <c r="U69" i="3"/>
  <c r="U70" i="3"/>
  <c r="U71" i="3"/>
  <c r="U72" i="3"/>
  <c r="U73" i="3"/>
  <c r="U74" i="3"/>
  <c r="U75" i="3"/>
  <c r="U76" i="3"/>
  <c r="U77" i="3"/>
  <c r="U78" i="3"/>
  <c r="U79" i="3"/>
  <c r="U80" i="3"/>
  <c r="U81" i="3"/>
  <c r="U82" i="3"/>
  <c r="U83" i="3"/>
  <c r="U84" i="3"/>
  <c r="U85" i="3"/>
  <c r="U86" i="3"/>
  <c r="U87" i="3"/>
  <c r="U88" i="3"/>
  <c r="U89" i="3"/>
  <c r="U90" i="3"/>
  <c r="U91" i="3"/>
  <c r="U92" i="3"/>
  <c r="U93" i="3"/>
  <c r="U94" i="3"/>
  <c r="U95" i="3"/>
  <c r="U96" i="3"/>
  <c r="U97" i="3"/>
  <c r="U98" i="3"/>
  <c r="U99" i="3"/>
  <c r="U100" i="3"/>
  <c r="U101" i="3"/>
  <c r="U102" i="3"/>
  <c r="U103" i="3"/>
  <c r="U104" i="3"/>
  <c r="U105" i="3"/>
  <c r="U106" i="3"/>
  <c r="U107" i="3"/>
  <c r="U108" i="3"/>
  <c r="U109" i="3"/>
  <c r="U110" i="3"/>
  <c r="U111" i="3"/>
  <c r="U112" i="3"/>
  <c r="U113" i="3"/>
  <c r="U114" i="3"/>
  <c r="U115" i="3"/>
  <c r="U116" i="3"/>
  <c r="U117" i="3"/>
  <c r="U118" i="3"/>
  <c r="U119" i="3"/>
  <c r="U120" i="3"/>
  <c r="U121" i="3"/>
  <c r="U122" i="3"/>
  <c r="U123" i="3"/>
  <c r="U124" i="3"/>
  <c r="U125" i="3"/>
  <c r="U126" i="3"/>
  <c r="U127" i="3"/>
  <c r="U128" i="3"/>
  <c r="U129" i="3"/>
  <c r="U130" i="3"/>
  <c r="U131" i="3"/>
  <c r="U132" i="3"/>
  <c r="U133" i="3"/>
  <c r="U134" i="3"/>
  <c r="U135" i="3"/>
  <c r="U136" i="3"/>
  <c r="U137" i="3"/>
  <c r="U138" i="3"/>
  <c r="U139" i="3"/>
  <c r="U140" i="3"/>
  <c r="U141" i="3"/>
  <c r="U142" i="3"/>
  <c r="U143" i="3"/>
  <c r="U144" i="3"/>
  <c r="U145" i="3"/>
  <c r="U146" i="3"/>
  <c r="U147" i="3"/>
  <c r="U148" i="3"/>
  <c r="U149" i="3"/>
  <c r="U150" i="3"/>
  <c r="U151" i="3"/>
  <c r="U152" i="3"/>
  <c r="U153" i="3"/>
  <c r="U154" i="3"/>
  <c r="U155" i="3"/>
  <c r="U156" i="3"/>
  <c r="U157" i="3"/>
  <c r="U158" i="3"/>
  <c r="U159" i="3"/>
  <c r="U160" i="3"/>
  <c r="U161" i="3"/>
  <c r="U162" i="3"/>
  <c r="U163" i="3"/>
  <c r="U164" i="3"/>
  <c r="U165" i="3"/>
  <c r="U166" i="3"/>
  <c r="U167" i="3"/>
  <c r="U168" i="3"/>
  <c r="U169" i="3"/>
  <c r="U170" i="3"/>
  <c r="U171" i="3"/>
  <c r="U172" i="3"/>
  <c r="U173" i="3"/>
  <c r="U174" i="3"/>
  <c r="U175" i="3"/>
  <c r="U176" i="3"/>
  <c r="U177" i="3"/>
  <c r="U178" i="3"/>
  <c r="U179" i="3"/>
  <c r="U180" i="3"/>
  <c r="U181" i="3"/>
  <c r="U182" i="3"/>
  <c r="U183" i="3"/>
  <c r="U184" i="3"/>
  <c r="U185" i="3"/>
  <c r="U186" i="3"/>
  <c r="U187" i="3"/>
  <c r="U188" i="3"/>
  <c r="U189" i="3"/>
  <c r="U190" i="3"/>
  <c r="U191" i="3"/>
  <c r="U192" i="3"/>
  <c r="U193" i="3"/>
  <c r="U194" i="3"/>
  <c r="U195" i="3"/>
  <c r="U196" i="3"/>
  <c r="U197" i="3"/>
  <c r="U198" i="3"/>
  <c r="U199" i="3"/>
  <c r="U200" i="3"/>
  <c r="U201" i="3"/>
  <c r="U202" i="3"/>
  <c r="U203" i="3"/>
  <c r="U204" i="3"/>
  <c r="U205" i="3"/>
  <c r="U206" i="3"/>
  <c r="U207" i="3"/>
  <c r="U208" i="3"/>
  <c r="U209" i="3"/>
  <c r="U210" i="3"/>
  <c r="U211" i="3"/>
  <c r="U212" i="3"/>
  <c r="U213" i="3"/>
  <c r="U214" i="3"/>
  <c r="U215" i="3"/>
  <c r="U216" i="3"/>
  <c r="U217" i="3"/>
  <c r="U218" i="3"/>
  <c r="U219" i="3"/>
  <c r="U220" i="3"/>
  <c r="U221" i="3"/>
  <c r="U222" i="3"/>
  <c r="U223" i="3"/>
  <c r="U224" i="3"/>
  <c r="U225" i="3"/>
  <c r="U226" i="3"/>
  <c r="U227" i="3"/>
  <c r="U228" i="3"/>
  <c r="U229" i="3"/>
  <c r="U230" i="3"/>
  <c r="U231" i="3"/>
  <c r="U232" i="3"/>
  <c r="U233" i="3"/>
  <c r="U234" i="3"/>
  <c r="U235" i="3"/>
  <c r="U236" i="3"/>
  <c r="U237" i="3"/>
  <c r="U238" i="3"/>
  <c r="U239" i="3"/>
  <c r="U240" i="3"/>
  <c r="U241" i="3"/>
  <c r="U242" i="3"/>
  <c r="U243" i="3"/>
  <c r="U244" i="3"/>
  <c r="U245" i="3"/>
  <c r="U246" i="3"/>
  <c r="U247" i="3"/>
  <c r="U248" i="3"/>
  <c r="U249" i="3"/>
  <c r="U250" i="3"/>
  <c r="U251" i="3"/>
  <c r="U252" i="3"/>
  <c r="U253" i="3"/>
  <c r="U254" i="3"/>
  <c r="U255" i="3"/>
  <c r="U256" i="3"/>
  <c r="U257" i="3"/>
  <c r="U258" i="3"/>
  <c r="U259" i="3"/>
  <c r="U260" i="3"/>
  <c r="U261" i="3"/>
  <c r="U262" i="3"/>
  <c r="U263" i="3"/>
  <c r="U264" i="3"/>
  <c r="U265" i="3"/>
  <c r="U266" i="3"/>
  <c r="U267" i="3"/>
  <c r="U268" i="3"/>
  <c r="U269" i="3"/>
  <c r="U270" i="3"/>
  <c r="U271" i="3"/>
  <c r="U272" i="3"/>
  <c r="U273" i="3"/>
  <c r="U274" i="3"/>
  <c r="U275" i="3"/>
  <c r="U276" i="3"/>
  <c r="U277" i="3"/>
  <c r="U278" i="3"/>
  <c r="U279" i="3"/>
  <c r="U280" i="3"/>
  <c r="U281" i="3"/>
  <c r="U282" i="3"/>
  <c r="U283" i="3"/>
  <c r="U284" i="3"/>
  <c r="U285" i="3"/>
  <c r="U286" i="3"/>
  <c r="U287" i="3"/>
  <c r="A141" i="2"/>
  <c r="B141" i="2"/>
  <c r="C141" i="2"/>
  <c r="D141" i="2"/>
  <c r="E141" i="2"/>
  <c r="F141" i="2"/>
  <c r="G141" i="2"/>
  <c r="H141" i="2"/>
  <c r="I141" i="2"/>
  <c r="J141" i="2"/>
  <c r="K141" i="2"/>
  <c r="L141" i="2"/>
  <c r="M141" i="2"/>
  <c r="N141" i="2"/>
  <c r="O141" i="2"/>
  <c r="P141" i="2"/>
  <c r="Q141" i="2"/>
  <c r="R141" i="2"/>
  <c r="S141" i="2"/>
  <c r="T141" i="2"/>
  <c r="U141" i="2"/>
  <c r="V141" i="2"/>
  <c r="Y141" i="2"/>
  <c r="Z141" i="2"/>
  <c r="AA141" i="2"/>
  <c r="AB141" i="2"/>
  <c r="AC141" i="2"/>
  <c r="AD141" i="2"/>
  <c r="AE141" i="2"/>
  <c r="AF141" i="2"/>
  <c r="AG141" i="2"/>
  <c r="AH141" i="2"/>
  <c r="AI141" i="2"/>
  <c r="AL141" i="2"/>
  <c r="AM141" i="2"/>
  <c r="AN141" i="2"/>
  <c r="AO141" i="2"/>
  <c r="AS2" i="2"/>
  <c r="AR2" i="2" s="1"/>
  <c r="AS3" i="2"/>
  <c r="AR3" i="2" s="1"/>
  <c r="AS4" i="2"/>
  <c r="AR4" i="2" s="1"/>
  <c r="AS5" i="2"/>
  <c r="AR5" i="2" s="1"/>
  <c r="AS6" i="2"/>
  <c r="AR6" i="2" s="1"/>
  <c r="AS7" i="2"/>
  <c r="AR7" i="2" s="1"/>
  <c r="AS8" i="2"/>
  <c r="AR8" i="2" s="1"/>
  <c r="AS9" i="2"/>
  <c r="AR9" i="2" s="1"/>
  <c r="AS10" i="2"/>
  <c r="AR10" i="2" s="1"/>
  <c r="AS11" i="2"/>
  <c r="AR11" i="2" s="1"/>
  <c r="AS12" i="2"/>
  <c r="AR12" i="2" s="1"/>
  <c r="AS13" i="2"/>
  <c r="AR13" i="2" s="1"/>
  <c r="AS14" i="2"/>
  <c r="AR14" i="2" s="1"/>
  <c r="AS15" i="2"/>
  <c r="AR15" i="2" s="1"/>
  <c r="AS16" i="2"/>
  <c r="AR16" i="2" s="1"/>
  <c r="AS17" i="2"/>
  <c r="AR17" i="2" s="1"/>
  <c r="AS18" i="2"/>
  <c r="AR18" i="2" s="1"/>
  <c r="AS19" i="2"/>
  <c r="AR19" i="2" s="1"/>
  <c r="AS20" i="2"/>
  <c r="AR20" i="2" s="1"/>
  <c r="AS21" i="2"/>
  <c r="AR21" i="2" s="1"/>
  <c r="AS22" i="2"/>
  <c r="AR22" i="2" s="1"/>
  <c r="AS23" i="2"/>
  <c r="AR23" i="2" s="1"/>
  <c r="AS24" i="2"/>
  <c r="AR24" i="2" s="1"/>
  <c r="AS25" i="2"/>
  <c r="AR25" i="2" s="1"/>
  <c r="AS26" i="2"/>
  <c r="AR26" i="2" s="1"/>
  <c r="AS27" i="2"/>
  <c r="AR27" i="2" s="1"/>
  <c r="AS28" i="2"/>
  <c r="AR28" i="2" s="1"/>
  <c r="AS29" i="2"/>
  <c r="AR29" i="2" s="1"/>
  <c r="AS30" i="2"/>
  <c r="AR30" i="2" s="1"/>
  <c r="AS31" i="2"/>
  <c r="AR31" i="2" s="1"/>
  <c r="AS32" i="2"/>
  <c r="AR32" i="2" s="1"/>
  <c r="AS33" i="2"/>
  <c r="AR33" i="2" s="1"/>
  <c r="AS34" i="2"/>
  <c r="AR34" i="2" s="1"/>
  <c r="AS35" i="2"/>
  <c r="AR35" i="2" s="1"/>
  <c r="AS36" i="2"/>
  <c r="AR36" i="2" s="1"/>
  <c r="AS37" i="2"/>
  <c r="AR37" i="2" s="1"/>
  <c r="AS38" i="2"/>
  <c r="AR38" i="2" s="1"/>
  <c r="AS39" i="2"/>
  <c r="AR39" i="2" s="1"/>
  <c r="AS40" i="2"/>
  <c r="AR40" i="2" s="1"/>
  <c r="AS41" i="2"/>
  <c r="AR41" i="2" s="1"/>
  <c r="AS42" i="2"/>
  <c r="AR42" i="2" s="1"/>
  <c r="AS43" i="2"/>
  <c r="AR43" i="2" s="1"/>
  <c r="AS44" i="2"/>
  <c r="AR44" i="2" s="1"/>
  <c r="AS45" i="2"/>
  <c r="AR45" i="2" s="1"/>
  <c r="AS46" i="2"/>
  <c r="AR46" i="2" s="1"/>
  <c r="AS47" i="2"/>
  <c r="AR47" i="2" s="1"/>
  <c r="AS48" i="2"/>
  <c r="AR48" i="2" s="1"/>
  <c r="AS49" i="2"/>
  <c r="AR49" i="2" s="1"/>
  <c r="AS50" i="2"/>
  <c r="AR50" i="2" s="1"/>
  <c r="AS51" i="2"/>
  <c r="AR51" i="2" s="1"/>
  <c r="AS52" i="2"/>
  <c r="AR52" i="2" s="1"/>
  <c r="AS53" i="2"/>
  <c r="AR53" i="2" s="1"/>
  <c r="AS54" i="2"/>
  <c r="AR54" i="2" s="1"/>
  <c r="AS55" i="2"/>
  <c r="AR55" i="2" s="1"/>
  <c r="AS56" i="2"/>
  <c r="AR56" i="2" s="1"/>
  <c r="AS57" i="2"/>
  <c r="AR57" i="2" s="1"/>
  <c r="AS58" i="2"/>
  <c r="AR58" i="2" s="1"/>
  <c r="AS59" i="2"/>
  <c r="AR59" i="2" s="1"/>
  <c r="AS60" i="2"/>
  <c r="AR60" i="2" s="1"/>
  <c r="AS61" i="2"/>
  <c r="AR61" i="2" s="1"/>
  <c r="AS62" i="2"/>
  <c r="AR62" i="2" s="1"/>
  <c r="AS63" i="2"/>
  <c r="AR63" i="2" s="1"/>
  <c r="AS64" i="2"/>
  <c r="AR64" i="2" s="1"/>
  <c r="AS65" i="2"/>
  <c r="AR65" i="2" s="1"/>
  <c r="AS66" i="2"/>
  <c r="AR66" i="2" s="1"/>
  <c r="AS67" i="2"/>
  <c r="AR67" i="2" s="1"/>
  <c r="AS68" i="2"/>
  <c r="AR68" i="2" s="1"/>
  <c r="AS69" i="2"/>
  <c r="AR69" i="2" s="1"/>
  <c r="AS70" i="2"/>
  <c r="AR70" i="2" s="1"/>
  <c r="AS71" i="2"/>
  <c r="AR71" i="2" s="1"/>
  <c r="AS72" i="2"/>
  <c r="AR72" i="2" s="1"/>
  <c r="AS73" i="2"/>
  <c r="AR73" i="2" s="1"/>
  <c r="AS74" i="2"/>
  <c r="AR74" i="2" s="1"/>
  <c r="AS75" i="2"/>
  <c r="AR75" i="2" s="1"/>
  <c r="AS76" i="2"/>
  <c r="AR76" i="2" s="1"/>
  <c r="AS77" i="2"/>
  <c r="AR77" i="2" s="1"/>
  <c r="AS78" i="2"/>
  <c r="AR78" i="2" s="1"/>
  <c r="AS79" i="2"/>
  <c r="AR79" i="2" s="1"/>
  <c r="AS80" i="2"/>
  <c r="AR80" i="2" s="1"/>
  <c r="AS81" i="2"/>
  <c r="AR81" i="2" s="1"/>
  <c r="AS82" i="2"/>
  <c r="AR82" i="2" s="1"/>
  <c r="AS83" i="2"/>
  <c r="AR83" i="2" s="1"/>
  <c r="AS84" i="2"/>
  <c r="AR84" i="2" s="1"/>
  <c r="AS85" i="2"/>
  <c r="AR85" i="2" s="1"/>
  <c r="AS86" i="2"/>
  <c r="AR86" i="2" s="1"/>
  <c r="AS87" i="2"/>
  <c r="AR87" i="2" s="1"/>
  <c r="AS88" i="2"/>
  <c r="AR88" i="2" s="1"/>
  <c r="AS89" i="2"/>
  <c r="AR89" i="2" s="1"/>
  <c r="AS90" i="2"/>
  <c r="AR90" i="2" s="1"/>
  <c r="AS91" i="2"/>
  <c r="AR91" i="2" s="1"/>
  <c r="AS92" i="2"/>
  <c r="AR92" i="2" s="1"/>
  <c r="AS93" i="2"/>
  <c r="AR93" i="2" s="1"/>
  <c r="AS94" i="2"/>
  <c r="AR94" i="2" s="1"/>
  <c r="AS95" i="2"/>
  <c r="AR95" i="2" s="1"/>
  <c r="AS96" i="2"/>
  <c r="AR96" i="2" s="1"/>
  <c r="AS97" i="2"/>
  <c r="AR97" i="2" s="1"/>
  <c r="AS98" i="2"/>
  <c r="AR98" i="2" s="1"/>
  <c r="AS99" i="2"/>
  <c r="AR99" i="2" s="1"/>
  <c r="AS100" i="2"/>
  <c r="AR100" i="2" s="1"/>
  <c r="AS101" i="2"/>
  <c r="AR101" i="2" s="1"/>
  <c r="AS102" i="2"/>
  <c r="AR102" i="2" s="1"/>
  <c r="AS103" i="2"/>
  <c r="AR103" i="2" s="1"/>
  <c r="AS104" i="2"/>
  <c r="AR104" i="2" s="1"/>
  <c r="AS105" i="2"/>
  <c r="AR105" i="2" s="1"/>
  <c r="AS106" i="2"/>
  <c r="AR106" i="2" s="1"/>
  <c r="AS107" i="2"/>
  <c r="AR107" i="2" s="1"/>
  <c r="AS108" i="2"/>
  <c r="AR108" i="2" s="1"/>
  <c r="AS109" i="2"/>
  <c r="AR109" i="2" s="1"/>
  <c r="AS110" i="2"/>
  <c r="AR110" i="2" s="1"/>
  <c r="AS111" i="2"/>
  <c r="AR111" i="2" s="1"/>
  <c r="AS112" i="2"/>
  <c r="AR112" i="2" s="1"/>
  <c r="AS113" i="2"/>
  <c r="AR113" i="2" s="1"/>
  <c r="AS114" i="2"/>
  <c r="AR114" i="2" s="1"/>
  <c r="AS115" i="2"/>
  <c r="AR115" i="2" s="1"/>
  <c r="AS116" i="2"/>
  <c r="AR116" i="2" s="1"/>
  <c r="AS117" i="2"/>
  <c r="AR117" i="2" s="1"/>
  <c r="AS118" i="2"/>
  <c r="AR118" i="2" s="1"/>
  <c r="AS119" i="2"/>
  <c r="AR119" i="2" s="1"/>
  <c r="AS120" i="2"/>
  <c r="AR120" i="2" s="1"/>
  <c r="AS121" i="2"/>
  <c r="AR121" i="2" s="1"/>
  <c r="AS122" i="2"/>
  <c r="AR122" i="2" s="1"/>
  <c r="AS123" i="2"/>
  <c r="AR123" i="2" s="1"/>
  <c r="AS124" i="2"/>
  <c r="AR124" i="2" s="1"/>
  <c r="AS125" i="2"/>
  <c r="AR125" i="2" s="1"/>
  <c r="AS126" i="2"/>
  <c r="AR126" i="2" s="1"/>
  <c r="AS127" i="2"/>
  <c r="AR127" i="2" s="1"/>
  <c r="AS128" i="2"/>
  <c r="AR128" i="2" s="1"/>
  <c r="AS129" i="2"/>
  <c r="AR129" i="2" s="1"/>
  <c r="AS130" i="2"/>
  <c r="AR130" i="2" s="1"/>
  <c r="AS131" i="2"/>
  <c r="AR131" i="2" s="1"/>
  <c r="AS132" i="2"/>
  <c r="AR132" i="2" s="1"/>
  <c r="AS133" i="2"/>
  <c r="AR133" i="2" s="1"/>
  <c r="AS134" i="2"/>
  <c r="AR134" i="2" s="1"/>
  <c r="AS135" i="2"/>
  <c r="AR135" i="2" s="1"/>
  <c r="AS136" i="2"/>
  <c r="AR136" i="2" s="1"/>
  <c r="AS137" i="2"/>
  <c r="AR137" i="2" s="1"/>
  <c r="AS138" i="2"/>
  <c r="AR138" i="2" s="1"/>
  <c r="AS139" i="2"/>
  <c r="AR139" i="2" s="1"/>
  <c r="AS140" i="2"/>
  <c r="AR140" i="2" s="1"/>
  <c r="AT2" i="2"/>
  <c r="AT3" i="2"/>
  <c r="AT4" i="2"/>
  <c r="AT5" i="2"/>
  <c r="AT6" i="2"/>
  <c r="AT7" i="2"/>
  <c r="AT8" i="2"/>
  <c r="AT9" i="2"/>
  <c r="AT10" i="2"/>
  <c r="AT11" i="2"/>
  <c r="AT12" i="2"/>
  <c r="AT13" i="2"/>
  <c r="AT14" i="2"/>
  <c r="AT15" i="2"/>
  <c r="AT16" i="2"/>
  <c r="AT17" i="2"/>
  <c r="AT18" i="2"/>
  <c r="AT19" i="2"/>
  <c r="AT20" i="2"/>
  <c r="AT21" i="2"/>
  <c r="AT22" i="2"/>
  <c r="AT23" i="2"/>
  <c r="AT24" i="2"/>
  <c r="AT25" i="2"/>
  <c r="AT26" i="2"/>
  <c r="AT27" i="2"/>
  <c r="AT28" i="2"/>
  <c r="AT29" i="2"/>
  <c r="AT30" i="2"/>
  <c r="AT31" i="2"/>
  <c r="AT32" i="2"/>
  <c r="AT33" i="2"/>
  <c r="AT34" i="2"/>
  <c r="AT35" i="2"/>
  <c r="AT36" i="2"/>
  <c r="AT37" i="2"/>
  <c r="AT38" i="2"/>
  <c r="AT39" i="2"/>
  <c r="AT40" i="2"/>
  <c r="AT41" i="2"/>
  <c r="AT42" i="2"/>
  <c r="AT43" i="2"/>
  <c r="AT44" i="2"/>
  <c r="AT45" i="2"/>
  <c r="AT46" i="2"/>
  <c r="AT47" i="2"/>
  <c r="AT48" i="2"/>
  <c r="AT49" i="2"/>
  <c r="AT50" i="2"/>
  <c r="AT51" i="2"/>
  <c r="AT52" i="2"/>
  <c r="AT53" i="2"/>
  <c r="AT54" i="2"/>
  <c r="AT55" i="2"/>
  <c r="AT56" i="2"/>
  <c r="AT57" i="2"/>
  <c r="AT58" i="2"/>
  <c r="AT59" i="2"/>
  <c r="AT60" i="2"/>
  <c r="AT61" i="2"/>
  <c r="AT62" i="2"/>
  <c r="AT63" i="2"/>
  <c r="AT64" i="2"/>
  <c r="AT65" i="2"/>
  <c r="AT66" i="2"/>
  <c r="AT67" i="2"/>
  <c r="AT68" i="2"/>
  <c r="AT69" i="2"/>
  <c r="AT70" i="2"/>
  <c r="AT71" i="2"/>
  <c r="AT72" i="2"/>
  <c r="AT73" i="2"/>
  <c r="AT74" i="2"/>
  <c r="AT75" i="2"/>
  <c r="AT76" i="2"/>
  <c r="AT77" i="2"/>
  <c r="AT78" i="2"/>
  <c r="AT79" i="2"/>
  <c r="AT80" i="2"/>
  <c r="AT81" i="2"/>
  <c r="AT82" i="2"/>
  <c r="AT83" i="2"/>
  <c r="AT84" i="2"/>
  <c r="AT85" i="2"/>
  <c r="AT86" i="2"/>
  <c r="AT87" i="2"/>
  <c r="AT88" i="2"/>
  <c r="AT89" i="2"/>
  <c r="AT90" i="2"/>
  <c r="AT91" i="2"/>
  <c r="AT92" i="2"/>
  <c r="AT93" i="2"/>
  <c r="AT94" i="2"/>
  <c r="AT95" i="2"/>
  <c r="AT96" i="2"/>
  <c r="AT97" i="2"/>
  <c r="AT98" i="2"/>
  <c r="AT99" i="2"/>
  <c r="AT100" i="2"/>
  <c r="AT101" i="2"/>
  <c r="AT102" i="2"/>
  <c r="AT103" i="2"/>
  <c r="AT104" i="2"/>
  <c r="AT105" i="2"/>
  <c r="AT106" i="2"/>
  <c r="AT107" i="2"/>
  <c r="AT108" i="2"/>
  <c r="AT109" i="2"/>
  <c r="AT110" i="2"/>
  <c r="AT111" i="2"/>
  <c r="AT112" i="2"/>
  <c r="AT113" i="2"/>
  <c r="AT114" i="2"/>
  <c r="AT115" i="2"/>
  <c r="AT116" i="2"/>
  <c r="AT117" i="2"/>
  <c r="AT118" i="2"/>
  <c r="AT119" i="2"/>
  <c r="AT120" i="2"/>
  <c r="AT121" i="2"/>
  <c r="AT122" i="2"/>
  <c r="AT123" i="2"/>
  <c r="AT124" i="2"/>
  <c r="AT125" i="2"/>
  <c r="AT126" i="2"/>
  <c r="AT127" i="2"/>
  <c r="AT128" i="2"/>
  <c r="AT129" i="2"/>
  <c r="AT130" i="2"/>
  <c r="AT131" i="2"/>
  <c r="AT132" i="2"/>
  <c r="AT133" i="2"/>
  <c r="AT134" i="2"/>
  <c r="AT135" i="2"/>
  <c r="AT136" i="2"/>
  <c r="AT137" i="2"/>
  <c r="AT138" i="2"/>
  <c r="AT139" i="2"/>
  <c r="AT140" i="2"/>
  <c r="AU2" i="2"/>
  <c r="AU3" i="2"/>
  <c r="AU4" i="2"/>
  <c r="AU5" i="2"/>
  <c r="AU6" i="2"/>
  <c r="AU7" i="2"/>
  <c r="AU8" i="2"/>
  <c r="AU9" i="2"/>
  <c r="AU10" i="2"/>
  <c r="AU11" i="2"/>
  <c r="AU12" i="2"/>
  <c r="AU13" i="2"/>
  <c r="AU14" i="2"/>
  <c r="AU15" i="2"/>
  <c r="AU16" i="2"/>
  <c r="AU17" i="2"/>
  <c r="AU18" i="2"/>
  <c r="AU19" i="2"/>
  <c r="AU20" i="2"/>
  <c r="AU21" i="2"/>
  <c r="AU22" i="2"/>
  <c r="AU23" i="2"/>
  <c r="AU24" i="2"/>
  <c r="AU25" i="2"/>
  <c r="AU26" i="2"/>
  <c r="AU27" i="2"/>
  <c r="AU28" i="2"/>
  <c r="AU29" i="2"/>
  <c r="AU30" i="2"/>
  <c r="AU31" i="2"/>
  <c r="AU32" i="2"/>
  <c r="AU33" i="2"/>
  <c r="AU34" i="2"/>
  <c r="AU35" i="2"/>
  <c r="AU36" i="2"/>
  <c r="AU37" i="2"/>
  <c r="AU38" i="2"/>
  <c r="AU39" i="2"/>
  <c r="AU40" i="2"/>
  <c r="AU41" i="2"/>
  <c r="AU42" i="2"/>
  <c r="AU43" i="2"/>
  <c r="AU44" i="2"/>
  <c r="AU45" i="2"/>
  <c r="AU46" i="2"/>
  <c r="AU47" i="2"/>
  <c r="AU48" i="2"/>
  <c r="AU49" i="2"/>
  <c r="AU50" i="2"/>
  <c r="AU51" i="2"/>
  <c r="AU52" i="2"/>
  <c r="AU53" i="2"/>
  <c r="AU54" i="2"/>
  <c r="AU55" i="2"/>
  <c r="AU56" i="2"/>
  <c r="AU57" i="2"/>
  <c r="AU58" i="2"/>
  <c r="AU59" i="2"/>
  <c r="AU60" i="2"/>
  <c r="AU61" i="2"/>
  <c r="AU62" i="2"/>
  <c r="AU63" i="2"/>
  <c r="AU64" i="2"/>
  <c r="AU65" i="2"/>
  <c r="AU66" i="2"/>
  <c r="AU67" i="2"/>
  <c r="AU68" i="2"/>
  <c r="AU69" i="2"/>
  <c r="AU70" i="2"/>
  <c r="AU71" i="2"/>
  <c r="AU72" i="2"/>
  <c r="AU73" i="2"/>
  <c r="AU74" i="2"/>
  <c r="AU75" i="2"/>
  <c r="AU76" i="2"/>
  <c r="AU77" i="2"/>
  <c r="AU78" i="2"/>
  <c r="AU79" i="2"/>
  <c r="AU80" i="2"/>
  <c r="AU81" i="2"/>
  <c r="AU82" i="2"/>
  <c r="AU83" i="2"/>
  <c r="AU84" i="2"/>
  <c r="AU85" i="2"/>
  <c r="AU86" i="2"/>
  <c r="AU87" i="2"/>
  <c r="AU88" i="2"/>
  <c r="AU89" i="2"/>
  <c r="AU90" i="2"/>
  <c r="AU91" i="2"/>
  <c r="AU92" i="2"/>
  <c r="AU93" i="2"/>
  <c r="AU94" i="2"/>
  <c r="AU95" i="2"/>
  <c r="AU96" i="2"/>
  <c r="AU97" i="2"/>
  <c r="AU98" i="2"/>
  <c r="AU99" i="2"/>
  <c r="AU100" i="2"/>
  <c r="AU101" i="2"/>
  <c r="AU102" i="2"/>
  <c r="AU103" i="2"/>
  <c r="AU104" i="2"/>
  <c r="AU105" i="2"/>
  <c r="AU106" i="2"/>
  <c r="AU107" i="2"/>
  <c r="AU108" i="2"/>
  <c r="AU109" i="2"/>
  <c r="AU110" i="2"/>
  <c r="AU111" i="2"/>
  <c r="AU112" i="2"/>
  <c r="AU113" i="2"/>
  <c r="AU114" i="2"/>
  <c r="AU115" i="2"/>
  <c r="AU116" i="2"/>
  <c r="AU117" i="2"/>
  <c r="AU118" i="2"/>
  <c r="AU119" i="2"/>
  <c r="AU120" i="2"/>
  <c r="AU121" i="2"/>
  <c r="AU122" i="2"/>
  <c r="AU123" i="2"/>
  <c r="AU124" i="2"/>
  <c r="AU125" i="2"/>
  <c r="AU126" i="2"/>
  <c r="AU127" i="2"/>
  <c r="AU128" i="2"/>
  <c r="AU129" i="2"/>
  <c r="AU130" i="2"/>
  <c r="AU131" i="2"/>
  <c r="AU132" i="2"/>
  <c r="AU133" i="2"/>
  <c r="AU134" i="2"/>
  <c r="AU135" i="2"/>
  <c r="AU136" i="2"/>
  <c r="AU137" i="2"/>
  <c r="AU138" i="2"/>
  <c r="AU139" i="2"/>
  <c r="AU140" i="2"/>
  <c r="A128" i="13"/>
  <c r="AH2" i="13"/>
  <c r="AH3" i="13"/>
  <c r="AH4" i="13"/>
  <c r="AH5" i="13"/>
  <c r="AH6" i="13"/>
  <c r="AH7" i="13"/>
  <c r="AH8" i="13"/>
  <c r="AH9" i="13"/>
  <c r="AH10" i="13"/>
  <c r="AH11" i="13"/>
  <c r="AH12" i="13"/>
  <c r="AH13" i="13"/>
  <c r="AH14" i="13"/>
  <c r="AH15" i="13"/>
  <c r="AH16" i="13"/>
  <c r="AH17" i="13"/>
  <c r="AH18" i="13"/>
  <c r="AH19" i="13"/>
  <c r="AH20" i="13"/>
  <c r="AH21" i="13"/>
  <c r="AH22" i="13"/>
  <c r="AH23" i="13"/>
  <c r="AH24" i="13"/>
  <c r="AH25" i="13"/>
  <c r="AH26" i="13"/>
  <c r="AH27" i="13"/>
  <c r="AH28" i="13"/>
  <c r="AH29" i="13"/>
  <c r="AH30" i="13"/>
  <c r="AH31" i="13"/>
  <c r="AH32" i="13"/>
  <c r="AH33" i="13"/>
  <c r="AH34" i="13"/>
  <c r="AH35" i="13"/>
  <c r="AH36" i="13"/>
  <c r="AH37" i="13"/>
  <c r="AH38" i="13"/>
  <c r="AH39" i="13"/>
  <c r="AH40" i="13"/>
  <c r="AH41" i="13"/>
  <c r="AH42" i="13"/>
  <c r="AH43" i="13"/>
  <c r="AH44" i="13"/>
  <c r="AH45" i="13"/>
  <c r="AH46" i="13"/>
  <c r="AH47" i="13"/>
  <c r="AH48" i="13"/>
  <c r="AH49" i="13"/>
  <c r="AH50" i="13"/>
  <c r="AH51" i="13"/>
  <c r="AH52" i="13"/>
  <c r="AH53" i="13"/>
  <c r="AH54" i="13"/>
  <c r="AH55" i="13"/>
  <c r="AH56" i="13"/>
  <c r="AH57" i="13"/>
  <c r="AH58" i="13"/>
  <c r="AH59" i="13"/>
  <c r="AH60" i="13"/>
  <c r="AH61" i="13"/>
  <c r="AH62" i="13"/>
  <c r="AH63" i="13"/>
  <c r="AH64" i="13"/>
  <c r="AH65" i="13"/>
  <c r="AH66" i="13"/>
  <c r="AH67" i="13"/>
  <c r="AH68" i="13"/>
  <c r="AH69" i="13"/>
  <c r="AH70" i="13"/>
  <c r="AH71" i="13"/>
  <c r="AH72" i="13"/>
  <c r="AH73" i="13"/>
  <c r="AH74" i="13"/>
  <c r="AH75" i="13"/>
  <c r="AH76" i="13"/>
  <c r="AH77" i="13"/>
  <c r="AH78" i="13"/>
  <c r="AH79" i="13"/>
  <c r="AH80" i="13"/>
  <c r="AH81" i="13"/>
  <c r="AH82" i="13"/>
  <c r="AH83" i="13"/>
  <c r="AH84" i="13"/>
  <c r="AH85" i="13"/>
  <c r="AH86" i="13"/>
  <c r="AH87" i="13"/>
  <c r="AH88" i="13"/>
  <c r="AH89" i="13"/>
  <c r="AH90" i="13"/>
  <c r="AH91" i="13"/>
  <c r="AH92" i="13"/>
  <c r="AH93" i="13"/>
  <c r="AH94" i="13"/>
  <c r="AH95" i="13"/>
  <c r="AH96" i="13"/>
  <c r="AH97" i="13"/>
  <c r="AH98" i="13"/>
  <c r="AH99" i="13"/>
  <c r="AH100" i="13"/>
  <c r="AH101" i="13"/>
  <c r="AH102" i="13"/>
  <c r="AH103" i="13"/>
  <c r="AH104" i="13"/>
  <c r="AH105" i="13"/>
  <c r="AH106" i="13"/>
  <c r="AH107" i="13"/>
  <c r="AH108" i="13"/>
  <c r="AH109" i="13"/>
  <c r="AH110" i="13"/>
  <c r="AH111" i="13"/>
  <c r="AH112" i="13"/>
  <c r="AH113" i="13"/>
  <c r="AH114" i="13"/>
  <c r="AH115" i="13"/>
  <c r="AH116" i="13"/>
  <c r="AH117" i="13"/>
  <c r="AH118" i="13"/>
  <c r="AH119" i="13"/>
  <c r="AH120" i="13"/>
  <c r="AH121" i="13"/>
  <c r="AH122" i="13"/>
  <c r="AH123" i="13"/>
  <c r="AH124" i="13"/>
  <c r="AH125" i="13"/>
  <c r="AH126" i="13"/>
  <c r="AH127" i="13"/>
  <c r="B1015" i="4"/>
  <c r="I1015" i="4"/>
  <c r="A2" i="4"/>
  <c r="A3" i="4"/>
  <c r="A4" i="4"/>
  <c r="A5" i="4"/>
  <c r="A6" i="4"/>
  <c r="A7" i="4"/>
  <c r="A8" i="4"/>
  <c r="A9" i="4"/>
  <c r="A10" i="4"/>
  <c r="A11" i="4"/>
  <c r="A12" i="4"/>
  <c r="A13" i="4"/>
  <c r="A14" i="4"/>
  <c r="A15" i="4"/>
  <c r="A16" i="4"/>
  <c r="A17" i="4"/>
  <c r="A18" i="4"/>
  <c r="A19" i="4"/>
  <c r="A20" i="4"/>
  <c r="A21" i="4"/>
  <c r="A22" i="4"/>
  <c r="A23" i="4"/>
  <c r="A24" i="4"/>
  <c r="A25" i="4"/>
  <c r="A26" i="4"/>
  <c r="A27" i="4"/>
  <c r="A28" i="4"/>
  <c r="A29" i="4"/>
  <c r="A30" i="4"/>
  <c r="A31" i="4"/>
  <c r="A32" i="4"/>
  <c r="A33" i="4"/>
  <c r="A34" i="4"/>
  <c r="A35" i="4"/>
  <c r="A36" i="4"/>
  <c r="A37" i="4"/>
  <c r="A38" i="4"/>
  <c r="A39" i="4"/>
  <c r="A40" i="4"/>
  <c r="A41" i="4"/>
  <c r="A42" i="4"/>
  <c r="A43" i="4"/>
  <c r="A44" i="4"/>
  <c r="A45" i="4"/>
  <c r="A46" i="4"/>
  <c r="A47" i="4"/>
  <c r="A48" i="4"/>
  <c r="A49" i="4"/>
  <c r="A50" i="4"/>
  <c r="A51" i="4"/>
  <c r="A52" i="4"/>
  <c r="A53" i="4"/>
  <c r="A54" i="4"/>
  <c r="A55" i="4"/>
  <c r="A56" i="4"/>
  <c r="A57" i="4"/>
  <c r="A58" i="4"/>
  <c r="A59" i="4"/>
  <c r="A60" i="4"/>
  <c r="A61" i="4"/>
  <c r="A62" i="4"/>
  <c r="A63" i="4"/>
  <c r="A64" i="4"/>
  <c r="A65" i="4"/>
  <c r="A66" i="4"/>
  <c r="A67" i="4"/>
  <c r="A68" i="4"/>
  <c r="A69" i="4"/>
  <c r="A70" i="4"/>
  <c r="A71" i="4"/>
  <c r="A72" i="4"/>
  <c r="A73" i="4"/>
  <c r="A74" i="4"/>
  <c r="A75" i="4"/>
  <c r="A76" i="4"/>
  <c r="A77" i="4"/>
  <c r="A78" i="4"/>
  <c r="A79" i="4"/>
  <c r="A80" i="4"/>
  <c r="A81" i="4"/>
  <c r="A82" i="4"/>
  <c r="A83" i="4"/>
  <c r="A84" i="4"/>
  <c r="A85" i="4"/>
  <c r="A86" i="4"/>
  <c r="A87" i="4"/>
  <c r="A88" i="4"/>
  <c r="A89" i="4"/>
  <c r="A90" i="4"/>
  <c r="A91" i="4"/>
  <c r="A92" i="4"/>
  <c r="A93" i="4"/>
  <c r="A94" i="4"/>
  <c r="A95" i="4"/>
  <c r="A96" i="4"/>
  <c r="A97" i="4"/>
  <c r="A98" i="4"/>
  <c r="A99" i="4"/>
  <c r="A100" i="4"/>
  <c r="A101" i="4"/>
  <c r="A102" i="4"/>
  <c r="A103" i="4"/>
  <c r="A104" i="4"/>
  <c r="A105" i="4"/>
  <c r="A106" i="4"/>
  <c r="A107" i="4"/>
  <c r="A108" i="4"/>
  <c r="A109" i="4"/>
  <c r="A110" i="4"/>
  <c r="A111" i="4"/>
  <c r="A112" i="4"/>
  <c r="A113" i="4"/>
  <c r="A114" i="4"/>
  <c r="A115" i="4"/>
  <c r="A116" i="4"/>
  <c r="A117" i="4"/>
  <c r="A118" i="4"/>
  <c r="A119" i="4"/>
  <c r="A120" i="4"/>
  <c r="A121" i="4"/>
  <c r="A122" i="4"/>
  <c r="A123" i="4"/>
  <c r="A124" i="4"/>
  <c r="A125" i="4"/>
  <c r="A126" i="4"/>
  <c r="A127" i="4"/>
  <c r="A128" i="4"/>
  <c r="A129" i="4"/>
  <c r="A130" i="4"/>
  <c r="A131" i="4"/>
  <c r="A132" i="4"/>
  <c r="A133" i="4"/>
  <c r="A134" i="4"/>
  <c r="A135" i="4"/>
  <c r="A136" i="4"/>
  <c r="A137" i="4"/>
  <c r="A138" i="4"/>
  <c r="A139" i="4"/>
  <c r="A140" i="4"/>
  <c r="A141" i="4"/>
  <c r="A142" i="4"/>
  <c r="A143" i="4"/>
  <c r="A144" i="4"/>
  <c r="A145" i="4"/>
  <c r="A146" i="4"/>
  <c r="A147" i="4"/>
  <c r="A148" i="4"/>
  <c r="A149" i="4"/>
  <c r="A150" i="4"/>
  <c r="A151" i="4"/>
  <c r="A152" i="4"/>
  <c r="A153" i="4"/>
  <c r="A154" i="4"/>
  <c r="A155" i="4"/>
  <c r="A156" i="4"/>
  <c r="A157" i="4"/>
  <c r="A158" i="4"/>
  <c r="A159" i="4"/>
  <c r="A160" i="4"/>
  <c r="A161" i="4"/>
  <c r="A162" i="4"/>
  <c r="A163" i="4"/>
  <c r="A164" i="4"/>
  <c r="A165" i="4"/>
  <c r="A166" i="4"/>
  <c r="A167" i="4"/>
  <c r="A168" i="4"/>
  <c r="A169" i="4"/>
  <c r="A170" i="4"/>
  <c r="A171" i="4"/>
  <c r="A172" i="4"/>
  <c r="A173" i="4"/>
  <c r="A174" i="4"/>
  <c r="A175" i="4"/>
  <c r="A176" i="4"/>
  <c r="A177" i="4"/>
  <c r="A178" i="4"/>
  <c r="A179" i="4"/>
  <c r="A180" i="4"/>
  <c r="A181" i="4"/>
  <c r="A182" i="4"/>
  <c r="A183" i="4"/>
  <c r="A184" i="4"/>
  <c r="A185" i="4"/>
  <c r="A186" i="4"/>
  <c r="A187" i="4"/>
  <c r="A188" i="4"/>
  <c r="A189" i="4"/>
  <c r="A190" i="4"/>
  <c r="A191" i="4"/>
  <c r="A192" i="4"/>
  <c r="A193" i="4"/>
  <c r="A194" i="4"/>
  <c r="A195" i="4"/>
  <c r="A196" i="4"/>
  <c r="A197" i="4"/>
  <c r="A198" i="4"/>
  <c r="A199" i="4"/>
  <c r="A200" i="4"/>
  <c r="A201" i="4"/>
  <c r="A202" i="4"/>
  <c r="A203" i="4"/>
  <c r="A204" i="4"/>
  <c r="A205" i="4"/>
  <c r="A206" i="4"/>
  <c r="A207" i="4"/>
  <c r="A208" i="4"/>
  <c r="A209" i="4"/>
  <c r="A210" i="4"/>
  <c r="A211" i="4"/>
  <c r="A212" i="4"/>
  <c r="A213" i="4"/>
  <c r="A214" i="4"/>
  <c r="A215" i="4"/>
  <c r="A216" i="4"/>
  <c r="A217" i="4"/>
  <c r="A218" i="4"/>
  <c r="A219" i="4"/>
  <c r="A220" i="4"/>
  <c r="A221" i="4"/>
  <c r="A222" i="4"/>
  <c r="A223" i="4"/>
  <c r="A224" i="4"/>
  <c r="A225" i="4"/>
  <c r="A226" i="4"/>
  <c r="A227" i="4"/>
  <c r="A228" i="4"/>
  <c r="A229" i="4"/>
  <c r="A230" i="4"/>
  <c r="A231" i="4"/>
  <c r="A232" i="4"/>
  <c r="A233" i="4"/>
  <c r="A234" i="4"/>
  <c r="A235" i="4"/>
  <c r="A236" i="4"/>
  <c r="A237" i="4"/>
  <c r="A238" i="4"/>
  <c r="A239" i="4"/>
  <c r="A240" i="4"/>
  <c r="A241" i="4"/>
  <c r="A242" i="4"/>
  <c r="A243" i="4"/>
  <c r="A244" i="4"/>
  <c r="A245" i="4"/>
  <c r="A246" i="4"/>
  <c r="A247" i="4"/>
  <c r="A248" i="4"/>
  <c r="A249" i="4"/>
  <c r="A250" i="4"/>
  <c r="A251" i="4"/>
  <c r="A252" i="4"/>
  <c r="A253" i="4"/>
  <c r="A254" i="4"/>
  <c r="A255" i="4"/>
  <c r="A256" i="4"/>
  <c r="A257" i="4"/>
  <c r="A258" i="4"/>
  <c r="A259" i="4"/>
  <c r="A260" i="4"/>
  <c r="A261" i="4"/>
  <c r="A262" i="4"/>
  <c r="A263" i="4"/>
  <c r="A264" i="4"/>
  <c r="A265" i="4"/>
  <c r="A266" i="4"/>
  <c r="A267" i="4"/>
  <c r="A268" i="4"/>
  <c r="A269" i="4"/>
  <c r="A270" i="4"/>
  <c r="A271" i="4"/>
  <c r="A272" i="4"/>
  <c r="A273" i="4"/>
  <c r="A274" i="4"/>
  <c r="A275" i="4"/>
  <c r="A276" i="4"/>
  <c r="A277" i="4"/>
  <c r="A278" i="4"/>
  <c r="A279" i="4"/>
  <c r="A280" i="4"/>
  <c r="A281" i="4"/>
  <c r="A282" i="4"/>
  <c r="A283" i="4"/>
  <c r="A284" i="4"/>
  <c r="A285" i="4"/>
  <c r="A286" i="4"/>
  <c r="A287" i="4"/>
  <c r="A288" i="4"/>
  <c r="A289" i="4"/>
  <c r="A290" i="4"/>
  <c r="A291" i="4"/>
  <c r="A292" i="4"/>
  <c r="A293" i="4"/>
  <c r="A294" i="4"/>
  <c r="A295" i="4"/>
  <c r="A296" i="4"/>
  <c r="A297" i="4"/>
  <c r="A298" i="4"/>
  <c r="A299" i="4"/>
  <c r="A300" i="4"/>
  <c r="A301" i="4"/>
  <c r="A302" i="4"/>
  <c r="A303" i="4"/>
  <c r="A304" i="4"/>
  <c r="A305" i="4"/>
  <c r="A306" i="4"/>
  <c r="A307" i="4"/>
  <c r="A308" i="4"/>
  <c r="A309" i="4"/>
  <c r="A310" i="4"/>
  <c r="A311" i="4"/>
  <c r="A312" i="4"/>
  <c r="A313" i="4"/>
  <c r="A314" i="4"/>
  <c r="A315" i="4"/>
  <c r="A316" i="4"/>
  <c r="A317" i="4"/>
  <c r="A318" i="4"/>
  <c r="A319" i="4"/>
  <c r="A320" i="4"/>
  <c r="A321" i="4"/>
  <c r="A322" i="4"/>
  <c r="A323" i="4"/>
  <c r="A324" i="4"/>
  <c r="A325" i="4"/>
  <c r="A326" i="4"/>
  <c r="A327" i="4"/>
  <c r="A328" i="4"/>
  <c r="A329" i="4"/>
  <c r="A330" i="4"/>
  <c r="A331" i="4"/>
  <c r="A332" i="4"/>
  <c r="A333" i="4"/>
  <c r="A334" i="4"/>
  <c r="A335" i="4"/>
  <c r="A336" i="4"/>
  <c r="A337" i="4"/>
  <c r="A338" i="4"/>
  <c r="A339" i="4"/>
  <c r="A340" i="4"/>
  <c r="A341" i="4"/>
  <c r="A342" i="4"/>
  <c r="A343" i="4"/>
  <c r="A344" i="4"/>
  <c r="A345" i="4"/>
  <c r="A346" i="4"/>
  <c r="A347" i="4"/>
  <c r="A348" i="4"/>
  <c r="A349" i="4"/>
  <c r="A350" i="4"/>
  <c r="A351" i="4"/>
  <c r="A352" i="4"/>
  <c r="A353" i="4"/>
  <c r="A354" i="4"/>
  <c r="A355" i="4"/>
  <c r="A356" i="4"/>
  <c r="A357" i="4"/>
  <c r="A358" i="4"/>
  <c r="A359" i="4"/>
  <c r="A360" i="4"/>
  <c r="A361" i="4"/>
  <c r="A362" i="4"/>
  <c r="A363" i="4"/>
  <c r="A364" i="4"/>
  <c r="A365" i="4"/>
  <c r="A366" i="4"/>
  <c r="A367" i="4"/>
  <c r="A368" i="4"/>
  <c r="A369" i="4"/>
  <c r="A370" i="4"/>
  <c r="A371" i="4"/>
  <c r="A372" i="4"/>
  <c r="A373" i="4"/>
  <c r="A374" i="4"/>
  <c r="A375" i="4"/>
  <c r="A376" i="4"/>
  <c r="A377" i="4"/>
  <c r="A378" i="4"/>
  <c r="A379" i="4"/>
  <c r="A380" i="4"/>
  <c r="A381" i="4"/>
  <c r="A382" i="4"/>
  <c r="A383" i="4"/>
  <c r="A384" i="4"/>
  <c r="A385" i="4"/>
  <c r="A386" i="4"/>
  <c r="A387" i="4"/>
  <c r="A388" i="4"/>
  <c r="A389" i="4"/>
  <c r="A390" i="4"/>
  <c r="A391" i="4"/>
  <c r="A392" i="4"/>
  <c r="A393" i="4"/>
  <c r="A394" i="4"/>
  <c r="A395" i="4"/>
  <c r="A396" i="4"/>
  <c r="A397" i="4"/>
  <c r="A398" i="4"/>
  <c r="A399" i="4"/>
  <c r="A400" i="4"/>
  <c r="A401" i="4"/>
  <c r="A402" i="4"/>
  <c r="A403" i="4"/>
  <c r="A404" i="4"/>
  <c r="A405" i="4"/>
  <c r="A406" i="4"/>
  <c r="A407" i="4"/>
  <c r="A408" i="4"/>
  <c r="A409" i="4"/>
  <c r="A410" i="4"/>
  <c r="A411" i="4"/>
  <c r="A412" i="4"/>
  <c r="A413" i="4"/>
  <c r="A414" i="4"/>
  <c r="A415" i="4"/>
  <c r="A416" i="4"/>
  <c r="A417" i="4"/>
  <c r="A418" i="4"/>
  <c r="A419" i="4"/>
  <c r="A420" i="4"/>
  <c r="A421" i="4"/>
  <c r="A422" i="4"/>
  <c r="A423" i="4"/>
  <c r="A424" i="4"/>
  <c r="A425" i="4"/>
  <c r="A426" i="4"/>
  <c r="A427" i="4"/>
  <c r="A428" i="4"/>
  <c r="A429" i="4"/>
  <c r="A430" i="4"/>
  <c r="A431" i="4"/>
  <c r="A432" i="4"/>
  <c r="A433" i="4"/>
  <c r="A434" i="4"/>
  <c r="A435" i="4"/>
  <c r="A436" i="4"/>
  <c r="A437" i="4"/>
  <c r="A438" i="4"/>
  <c r="A439" i="4"/>
  <c r="A440" i="4"/>
  <c r="A441" i="4"/>
  <c r="A442" i="4"/>
  <c r="A443" i="4"/>
  <c r="A444" i="4"/>
  <c r="A445" i="4"/>
  <c r="A446" i="4"/>
  <c r="A447" i="4"/>
  <c r="A448" i="4"/>
  <c r="A449" i="4"/>
  <c r="A450" i="4"/>
  <c r="A451" i="4"/>
  <c r="A452" i="4"/>
  <c r="A453" i="4"/>
  <c r="A454" i="4"/>
  <c r="A455" i="4"/>
  <c r="A456" i="4"/>
  <c r="A457" i="4"/>
  <c r="A458" i="4"/>
  <c r="A459" i="4"/>
  <c r="A460" i="4"/>
  <c r="A461" i="4"/>
  <c r="A462" i="4"/>
  <c r="A463" i="4"/>
  <c r="A464" i="4"/>
  <c r="A465" i="4"/>
  <c r="A466" i="4"/>
  <c r="A467" i="4"/>
  <c r="A468" i="4"/>
  <c r="A469" i="4"/>
  <c r="A470" i="4"/>
  <c r="A471" i="4"/>
  <c r="A472" i="4"/>
  <c r="A473" i="4"/>
  <c r="A474" i="4"/>
  <c r="A475" i="4"/>
  <c r="A476" i="4"/>
  <c r="A477" i="4"/>
  <c r="A478" i="4"/>
  <c r="A479" i="4"/>
  <c r="A480" i="4"/>
  <c r="A481" i="4"/>
  <c r="A482" i="4"/>
  <c r="A483" i="4"/>
  <c r="A484" i="4"/>
  <c r="A485" i="4"/>
  <c r="A486" i="4"/>
  <c r="A487" i="4"/>
  <c r="A488" i="4"/>
  <c r="A489" i="4"/>
  <c r="A490" i="4"/>
  <c r="A491" i="4"/>
  <c r="A492" i="4"/>
  <c r="A493" i="4"/>
  <c r="A494" i="4"/>
  <c r="A495" i="4"/>
  <c r="A496" i="4"/>
  <c r="A497" i="4"/>
  <c r="A498" i="4"/>
  <c r="A499" i="4"/>
  <c r="A500" i="4"/>
  <c r="A501" i="4"/>
  <c r="A502" i="4"/>
  <c r="A503" i="4"/>
  <c r="A504" i="4"/>
  <c r="A505" i="4"/>
  <c r="A506" i="4"/>
  <c r="A507" i="4"/>
  <c r="A508" i="4"/>
  <c r="A509" i="4"/>
  <c r="A510" i="4"/>
  <c r="A511" i="4"/>
  <c r="A512" i="4"/>
  <c r="A513" i="4"/>
  <c r="A514" i="4"/>
  <c r="A515" i="4"/>
  <c r="A516" i="4"/>
  <c r="A517" i="4"/>
  <c r="A518" i="4"/>
  <c r="A519" i="4"/>
  <c r="A520" i="4"/>
  <c r="A521" i="4"/>
  <c r="A522" i="4"/>
  <c r="A523" i="4"/>
  <c r="A524" i="4"/>
  <c r="A525" i="4"/>
  <c r="A526" i="4"/>
  <c r="A527" i="4"/>
  <c r="A528" i="4"/>
  <c r="A529" i="4"/>
  <c r="A530" i="4"/>
  <c r="A531" i="4"/>
  <c r="A532" i="4"/>
  <c r="A533" i="4"/>
  <c r="A534" i="4"/>
  <c r="A535" i="4"/>
  <c r="A536" i="4"/>
  <c r="A537" i="4"/>
  <c r="A538" i="4"/>
  <c r="A539" i="4"/>
  <c r="A540" i="4"/>
  <c r="A541" i="4"/>
  <c r="A542" i="4"/>
  <c r="A543" i="4"/>
  <c r="A544" i="4"/>
  <c r="A545" i="4"/>
  <c r="A546" i="4"/>
  <c r="A547" i="4"/>
  <c r="A548" i="4"/>
  <c r="A549" i="4"/>
  <c r="A550" i="4"/>
  <c r="A551" i="4"/>
  <c r="A552" i="4"/>
  <c r="A553" i="4"/>
  <c r="A554" i="4"/>
  <c r="A555" i="4"/>
  <c r="A556" i="4"/>
  <c r="A557" i="4"/>
  <c r="A558" i="4"/>
  <c r="A559" i="4"/>
  <c r="A560" i="4"/>
  <c r="A561" i="4"/>
  <c r="A562" i="4"/>
  <c r="A563" i="4"/>
  <c r="A564" i="4"/>
  <c r="A565" i="4"/>
  <c r="A566" i="4"/>
  <c r="A567" i="4"/>
  <c r="A568" i="4"/>
  <c r="A569" i="4"/>
  <c r="A570" i="4"/>
  <c r="A571" i="4"/>
  <c r="A572" i="4"/>
  <c r="A573" i="4"/>
  <c r="A574" i="4"/>
  <c r="A575" i="4"/>
  <c r="A576" i="4"/>
  <c r="A577" i="4"/>
  <c r="A578" i="4"/>
  <c r="A579" i="4"/>
  <c r="A580" i="4"/>
  <c r="A581" i="4"/>
  <c r="A582" i="4"/>
  <c r="A583" i="4"/>
  <c r="A584" i="4"/>
  <c r="A585" i="4"/>
  <c r="A586" i="4"/>
  <c r="A587" i="4"/>
  <c r="A588" i="4"/>
  <c r="A589" i="4"/>
  <c r="A590" i="4"/>
  <c r="A591" i="4"/>
  <c r="A592" i="4"/>
  <c r="A593" i="4"/>
  <c r="A594" i="4"/>
  <c r="A595" i="4"/>
  <c r="A596" i="4"/>
  <c r="A597" i="4"/>
  <c r="A598" i="4"/>
  <c r="A599" i="4"/>
  <c r="A600" i="4"/>
  <c r="A601" i="4"/>
  <c r="A602" i="4"/>
  <c r="A603" i="4"/>
  <c r="A604" i="4"/>
  <c r="A605" i="4"/>
  <c r="A606" i="4"/>
  <c r="A607" i="4"/>
  <c r="A608" i="4"/>
  <c r="A609" i="4"/>
  <c r="A610" i="4"/>
  <c r="A611" i="4"/>
  <c r="A612" i="4"/>
  <c r="A613" i="4"/>
  <c r="A614" i="4"/>
  <c r="A615" i="4"/>
  <c r="A616" i="4"/>
  <c r="A617" i="4"/>
  <c r="A618" i="4"/>
  <c r="A619" i="4"/>
  <c r="A620" i="4"/>
  <c r="A621" i="4"/>
  <c r="A622" i="4"/>
  <c r="A623" i="4"/>
  <c r="A624" i="4"/>
  <c r="A625" i="4"/>
  <c r="A626" i="4"/>
  <c r="A627" i="4"/>
  <c r="A628" i="4"/>
  <c r="A629" i="4"/>
  <c r="A630" i="4"/>
  <c r="A631" i="4"/>
  <c r="A632" i="4"/>
  <c r="A633" i="4"/>
  <c r="A634" i="4"/>
  <c r="A635" i="4"/>
  <c r="A636" i="4"/>
  <c r="A637" i="4"/>
  <c r="A638" i="4"/>
  <c r="A639" i="4"/>
  <c r="A640" i="4"/>
  <c r="A641" i="4"/>
  <c r="A642" i="4"/>
  <c r="A643" i="4"/>
  <c r="A644" i="4"/>
  <c r="A645" i="4"/>
  <c r="A646" i="4"/>
  <c r="A647" i="4"/>
  <c r="A648" i="4"/>
  <c r="A649" i="4"/>
  <c r="A650" i="4"/>
  <c r="A651" i="4"/>
  <c r="A652" i="4"/>
  <c r="A653" i="4"/>
  <c r="A654" i="4"/>
  <c r="A655" i="4"/>
  <c r="A656" i="4"/>
  <c r="A657" i="4"/>
  <c r="A658" i="4"/>
  <c r="A659" i="4"/>
  <c r="A660" i="4"/>
  <c r="A661" i="4"/>
  <c r="A662" i="4"/>
  <c r="A663" i="4"/>
  <c r="A664" i="4"/>
  <c r="A665" i="4"/>
  <c r="A666" i="4"/>
  <c r="A667" i="4"/>
  <c r="A668" i="4"/>
  <c r="A669" i="4"/>
  <c r="A670" i="4"/>
  <c r="A671" i="4"/>
  <c r="A672" i="4"/>
  <c r="A673" i="4"/>
  <c r="A674" i="4"/>
  <c r="A675" i="4"/>
  <c r="A676" i="4"/>
  <c r="A677" i="4"/>
  <c r="A678" i="4"/>
  <c r="A679" i="4"/>
  <c r="A680" i="4"/>
  <c r="A681" i="4"/>
  <c r="A682" i="4"/>
  <c r="A683" i="4"/>
  <c r="A684" i="4"/>
  <c r="A685" i="4"/>
  <c r="A686" i="4"/>
  <c r="A687" i="4"/>
  <c r="A688" i="4"/>
  <c r="A689" i="4"/>
  <c r="A690" i="4"/>
  <c r="A691" i="4"/>
  <c r="A692" i="4"/>
  <c r="A693" i="4"/>
  <c r="A694" i="4"/>
  <c r="A695" i="4"/>
  <c r="A696" i="4"/>
  <c r="A697" i="4"/>
  <c r="A698" i="4"/>
  <c r="A699" i="4"/>
  <c r="A700" i="4"/>
  <c r="A701" i="4"/>
  <c r="A702" i="4"/>
  <c r="A703" i="4"/>
  <c r="A704" i="4"/>
  <c r="A705" i="4"/>
  <c r="A706" i="4"/>
  <c r="A707" i="4"/>
  <c r="A708" i="4"/>
  <c r="A709" i="4"/>
  <c r="A710" i="4"/>
  <c r="A711" i="4"/>
  <c r="A712" i="4"/>
  <c r="A713" i="4"/>
  <c r="A714" i="4"/>
  <c r="A715" i="4"/>
  <c r="A716" i="4"/>
  <c r="A717" i="4"/>
  <c r="A718" i="4"/>
  <c r="A719" i="4"/>
  <c r="A720" i="4"/>
  <c r="A721" i="4"/>
  <c r="A722" i="4"/>
  <c r="A723" i="4"/>
  <c r="A724" i="4"/>
  <c r="A725" i="4"/>
  <c r="A726" i="4"/>
  <c r="A727" i="4"/>
  <c r="A728" i="4"/>
  <c r="A729" i="4"/>
  <c r="A730" i="4"/>
  <c r="A731" i="4"/>
  <c r="A732" i="4"/>
  <c r="A733" i="4"/>
  <c r="A734" i="4"/>
  <c r="A735" i="4"/>
  <c r="A736" i="4"/>
  <c r="A737" i="4"/>
  <c r="A738" i="4"/>
  <c r="A739" i="4"/>
  <c r="A740" i="4"/>
  <c r="A741" i="4"/>
  <c r="A742" i="4"/>
  <c r="A743" i="4"/>
  <c r="A744" i="4"/>
  <c r="A745" i="4"/>
  <c r="A746" i="4"/>
  <c r="A747" i="4"/>
  <c r="A748" i="4"/>
  <c r="A749" i="4"/>
  <c r="A750" i="4"/>
  <c r="A751" i="4"/>
  <c r="A752" i="4"/>
  <c r="A753" i="4"/>
  <c r="A754" i="4"/>
  <c r="A755" i="4"/>
  <c r="A756" i="4"/>
  <c r="A757" i="4"/>
  <c r="A758" i="4"/>
  <c r="A759" i="4"/>
  <c r="A760" i="4"/>
  <c r="A761" i="4"/>
  <c r="A762" i="4"/>
  <c r="A763" i="4"/>
  <c r="A764" i="4"/>
  <c r="A765" i="4"/>
  <c r="A766" i="4"/>
  <c r="A767" i="4"/>
  <c r="A768" i="4"/>
  <c r="A769" i="4"/>
  <c r="A770" i="4"/>
  <c r="A771" i="4"/>
  <c r="A772" i="4"/>
  <c r="A773" i="4"/>
  <c r="A774" i="4"/>
  <c r="A775" i="4"/>
  <c r="A776" i="4"/>
  <c r="A777" i="4"/>
  <c r="A778" i="4"/>
  <c r="A779" i="4"/>
  <c r="A780" i="4"/>
  <c r="A781" i="4"/>
  <c r="A782" i="4"/>
  <c r="A783" i="4"/>
  <c r="A784" i="4"/>
  <c r="A785" i="4"/>
  <c r="A786" i="4"/>
  <c r="A787" i="4"/>
  <c r="A788" i="4"/>
  <c r="A789" i="4"/>
  <c r="A790" i="4"/>
  <c r="A791" i="4"/>
  <c r="A792" i="4"/>
  <c r="A793" i="4"/>
  <c r="A794" i="4"/>
  <c r="A795" i="4"/>
  <c r="A796" i="4"/>
  <c r="A797" i="4"/>
  <c r="A798" i="4"/>
  <c r="A799" i="4"/>
  <c r="A800" i="4"/>
  <c r="A801" i="4"/>
  <c r="A802" i="4"/>
  <c r="A803" i="4"/>
  <c r="A804" i="4"/>
  <c r="A805" i="4"/>
  <c r="A806" i="4"/>
  <c r="A807" i="4"/>
  <c r="A808" i="4"/>
  <c r="A809" i="4"/>
  <c r="A810" i="4"/>
  <c r="A811" i="4"/>
  <c r="A812" i="4"/>
  <c r="A813" i="4"/>
  <c r="A814" i="4"/>
  <c r="A815" i="4"/>
  <c r="A816" i="4"/>
  <c r="A817" i="4"/>
  <c r="A818" i="4"/>
  <c r="A819" i="4"/>
  <c r="A820" i="4"/>
  <c r="A821" i="4"/>
  <c r="A822" i="4"/>
  <c r="A823" i="4"/>
  <c r="A824" i="4"/>
  <c r="A825" i="4"/>
  <c r="A826" i="4"/>
  <c r="A827" i="4"/>
  <c r="A828" i="4"/>
  <c r="A829" i="4"/>
  <c r="A830" i="4"/>
  <c r="A831" i="4"/>
  <c r="A832" i="4"/>
  <c r="A833" i="4"/>
  <c r="A834" i="4"/>
  <c r="A835" i="4"/>
  <c r="A836" i="4"/>
  <c r="A837" i="4"/>
  <c r="A838" i="4"/>
  <c r="A839" i="4"/>
  <c r="A840" i="4"/>
  <c r="A841" i="4"/>
  <c r="A842" i="4"/>
  <c r="A843" i="4"/>
  <c r="A844" i="4"/>
  <c r="A845" i="4"/>
  <c r="A846" i="4"/>
  <c r="A847" i="4"/>
  <c r="A848" i="4"/>
  <c r="A849" i="4"/>
  <c r="A850" i="4"/>
  <c r="A851" i="4"/>
  <c r="A852" i="4"/>
  <c r="A853" i="4"/>
  <c r="A854" i="4"/>
  <c r="A855" i="4"/>
  <c r="A856" i="4"/>
  <c r="A857" i="4"/>
  <c r="A858" i="4"/>
  <c r="A859" i="4"/>
  <c r="A860" i="4"/>
  <c r="A861" i="4"/>
  <c r="A862" i="4"/>
  <c r="A863" i="4"/>
  <c r="A864" i="4"/>
  <c r="A865" i="4"/>
  <c r="A866" i="4"/>
  <c r="A867" i="4"/>
  <c r="A868" i="4"/>
  <c r="A869" i="4"/>
  <c r="A870" i="4"/>
  <c r="A871" i="4"/>
  <c r="A872" i="4"/>
  <c r="A873" i="4"/>
  <c r="A874" i="4"/>
  <c r="A875" i="4"/>
  <c r="A876" i="4"/>
  <c r="A877" i="4"/>
  <c r="A878" i="4"/>
  <c r="A879" i="4"/>
  <c r="A880" i="4"/>
  <c r="A881" i="4"/>
  <c r="A882" i="4"/>
  <c r="A883" i="4"/>
  <c r="A884" i="4"/>
  <c r="A885" i="4"/>
  <c r="A886" i="4"/>
  <c r="A887" i="4"/>
  <c r="A888" i="4"/>
  <c r="A889" i="4"/>
  <c r="A890" i="4"/>
  <c r="A891" i="4"/>
  <c r="A892" i="4"/>
  <c r="A893" i="4"/>
  <c r="A894" i="4"/>
  <c r="A895" i="4"/>
  <c r="A896" i="4"/>
  <c r="A897" i="4"/>
  <c r="A898" i="4"/>
  <c r="A899" i="4"/>
  <c r="A900" i="4"/>
  <c r="A901" i="4"/>
  <c r="A902" i="4"/>
  <c r="A903" i="4"/>
  <c r="A904" i="4"/>
  <c r="A905" i="4"/>
  <c r="A906" i="4"/>
  <c r="A907" i="4"/>
  <c r="A908" i="4"/>
  <c r="A909" i="4"/>
  <c r="A910" i="4"/>
  <c r="A911" i="4"/>
  <c r="A912" i="4"/>
  <c r="A913" i="4"/>
  <c r="A914" i="4"/>
  <c r="A915" i="4"/>
  <c r="A916" i="4"/>
  <c r="A917" i="4"/>
  <c r="A918" i="4"/>
  <c r="A919" i="4"/>
  <c r="A920" i="4"/>
  <c r="A921" i="4"/>
  <c r="A922" i="4"/>
  <c r="A923" i="4"/>
  <c r="A924" i="4"/>
  <c r="A925" i="4"/>
  <c r="A926" i="4"/>
  <c r="A927" i="4"/>
  <c r="A928" i="4"/>
  <c r="A929" i="4"/>
  <c r="A930" i="4"/>
  <c r="A931" i="4"/>
  <c r="A932" i="4"/>
  <c r="A933" i="4"/>
  <c r="A934" i="4"/>
  <c r="A935" i="4"/>
  <c r="A936" i="4"/>
  <c r="A937" i="4"/>
  <c r="A938" i="4"/>
  <c r="A939" i="4"/>
  <c r="A940" i="4"/>
  <c r="A941" i="4"/>
  <c r="A942" i="4"/>
  <c r="A943" i="4"/>
  <c r="A944" i="4"/>
  <c r="A945" i="4"/>
  <c r="A946" i="4"/>
  <c r="A947" i="4"/>
  <c r="A948" i="4"/>
  <c r="A949" i="4"/>
  <c r="A950" i="4"/>
  <c r="A951" i="4"/>
  <c r="A952" i="4"/>
  <c r="A953" i="4"/>
  <c r="A954" i="4"/>
  <c r="A955" i="4"/>
  <c r="A956" i="4"/>
  <c r="A957" i="4"/>
  <c r="A958" i="4"/>
  <c r="A959" i="4"/>
  <c r="A960" i="4"/>
  <c r="A961" i="4"/>
  <c r="A962" i="4"/>
  <c r="A963" i="4"/>
  <c r="A964" i="4"/>
  <c r="A965" i="4"/>
  <c r="A966" i="4"/>
  <c r="A967" i="4"/>
  <c r="A968" i="4"/>
  <c r="A969" i="4"/>
  <c r="A970" i="4"/>
  <c r="A971" i="4"/>
  <c r="A972" i="4"/>
  <c r="A973" i="4"/>
  <c r="A974" i="4"/>
  <c r="A975" i="4"/>
  <c r="A976" i="4"/>
  <c r="A977" i="4"/>
  <c r="A978" i="4"/>
  <c r="A979" i="4"/>
  <c r="A980" i="4"/>
  <c r="A981" i="4"/>
  <c r="A982" i="4"/>
  <c r="A983" i="4"/>
  <c r="A984" i="4"/>
  <c r="A985" i="4"/>
  <c r="A986" i="4"/>
  <c r="A987" i="4"/>
  <c r="A988" i="4"/>
  <c r="A989" i="4"/>
  <c r="A990" i="4"/>
  <c r="A991" i="4"/>
  <c r="A992" i="4"/>
  <c r="A993" i="4"/>
  <c r="A994" i="4"/>
  <c r="A995" i="4"/>
  <c r="A996" i="4"/>
  <c r="A997" i="4"/>
  <c r="A998" i="4"/>
  <c r="A999" i="4"/>
  <c r="A1000" i="4"/>
  <c r="A1001" i="4"/>
  <c r="A1002" i="4"/>
  <c r="A1003" i="4"/>
  <c r="A1004" i="4"/>
  <c r="A1005" i="4"/>
  <c r="A1006" i="4"/>
  <c r="A1007" i="4"/>
  <c r="A1008" i="4"/>
  <c r="A1009" i="4"/>
  <c r="A1010" i="4"/>
  <c r="A1011" i="4"/>
  <c r="A1012" i="4"/>
  <c r="A1013" i="4"/>
  <c r="A1014" i="4"/>
  <c r="U2" i="4"/>
  <c r="U3" i="4"/>
  <c r="U4" i="4"/>
  <c r="U5" i="4"/>
  <c r="U6" i="4"/>
  <c r="U7" i="4"/>
  <c r="U8" i="4"/>
  <c r="U9" i="4"/>
  <c r="U10" i="4"/>
  <c r="U11" i="4"/>
  <c r="U12" i="4"/>
  <c r="U13" i="4"/>
  <c r="U14" i="4"/>
  <c r="U15" i="4"/>
  <c r="U16" i="4"/>
  <c r="U17" i="4"/>
  <c r="U18" i="4"/>
  <c r="U19" i="4"/>
  <c r="U20" i="4"/>
  <c r="U21" i="4"/>
  <c r="U22" i="4"/>
  <c r="U23" i="4"/>
  <c r="U24" i="4"/>
  <c r="U25" i="4"/>
  <c r="U26" i="4"/>
  <c r="U27" i="4"/>
  <c r="U28" i="4"/>
  <c r="U29" i="4"/>
  <c r="U30" i="4"/>
  <c r="U31" i="4"/>
  <c r="U32" i="4"/>
  <c r="U33" i="4"/>
  <c r="U34" i="4"/>
  <c r="U35" i="4"/>
  <c r="U36" i="4"/>
  <c r="U37" i="4"/>
  <c r="U38" i="4"/>
  <c r="U39" i="4"/>
  <c r="U40" i="4"/>
  <c r="U41" i="4"/>
  <c r="U42" i="4"/>
  <c r="U43" i="4"/>
  <c r="U44" i="4"/>
  <c r="U45" i="4"/>
  <c r="U46" i="4"/>
  <c r="U47" i="4"/>
  <c r="U48" i="4"/>
  <c r="U49" i="4"/>
  <c r="U50" i="4"/>
  <c r="U51" i="4"/>
  <c r="U52" i="4"/>
  <c r="U53" i="4"/>
  <c r="U54" i="4"/>
  <c r="U55" i="4"/>
  <c r="U56" i="4"/>
  <c r="U57" i="4"/>
  <c r="U58" i="4"/>
  <c r="U59" i="4"/>
  <c r="U60" i="4"/>
  <c r="U61" i="4"/>
  <c r="U62" i="4"/>
  <c r="U63" i="4"/>
  <c r="U64" i="4"/>
  <c r="U65" i="4"/>
  <c r="U66" i="4"/>
  <c r="U67" i="4"/>
  <c r="U68" i="4"/>
  <c r="U69" i="4"/>
  <c r="U70" i="4"/>
  <c r="U71" i="4"/>
  <c r="U72" i="4"/>
  <c r="U73" i="4"/>
  <c r="U74" i="4"/>
  <c r="U75" i="4"/>
  <c r="U76" i="4"/>
  <c r="U77" i="4"/>
  <c r="U78" i="4"/>
  <c r="U79" i="4"/>
  <c r="U80" i="4"/>
  <c r="U81" i="4"/>
  <c r="U82" i="4"/>
  <c r="U83" i="4"/>
  <c r="U84" i="4"/>
  <c r="U85" i="4"/>
  <c r="U86" i="4"/>
  <c r="U87" i="4"/>
  <c r="U88" i="4"/>
  <c r="U89" i="4"/>
  <c r="U90" i="4"/>
  <c r="U91" i="4"/>
  <c r="U92" i="4"/>
  <c r="U93" i="4"/>
  <c r="U94" i="4"/>
  <c r="U95" i="4"/>
  <c r="U96" i="4"/>
  <c r="U97" i="4"/>
  <c r="U98" i="4"/>
  <c r="U99" i="4"/>
  <c r="U100" i="4"/>
  <c r="U101" i="4"/>
  <c r="U102" i="4"/>
  <c r="U103" i="4"/>
  <c r="U104" i="4"/>
  <c r="U105" i="4"/>
  <c r="U106" i="4"/>
  <c r="U107" i="4"/>
  <c r="U108" i="4"/>
  <c r="U109" i="4"/>
  <c r="U110" i="4"/>
  <c r="U111" i="4"/>
  <c r="U112" i="4"/>
  <c r="U113" i="4"/>
  <c r="U114" i="4"/>
  <c r="U115" i="4"/>
  <c r="U116" i="4"/>
  <c r="U117" i="4"/>
  <c r="U118" i="4"/>
  <c r="U119" i="4"/>
  <c r="U120" i="4"/>
  <c r="U121" i="4"/>
  <c r="U122" i="4"/>
  <c r="U123" i="4"/>
  <c r="U124" i="4"/>
  <c r="U125" i="4"/>
  <c r="U126" i="4"/>
  <c r="U127" i="4"/>
  <c r="U128" i="4"/>
  <c r="U129" i="4"/>
  <c r="U130" i="4"/>
  <c r="U131" i="4"/>
  <c r="U132" i="4"/>
  <c r="U133" i="4"/>
  <c r="U134" i="4"/>
  <c r="U135" i="4"/>
  <c r="U136" i="4"/>
  <c r="U137" i="4"/>
  <c r="U138" i="4"/>
  <c r="U139" i="4"/>
  <c r="U140" i="4"/>
  <c r="U141" i="4"/>
  <c r="U142" i="4"/>
  <c r="U143" i="4"/>
  <c r="U144" i="4"/>
  <c r="U145" i="4"/>
  <c r="U146" i="4"/>
  <c r="U147" i="4"/>
  <c r="U148" i="4"/>
  <c r="U149" i="4"/>
  <c r="U150" i="4"/>
  <c r="U151" i="4"/>
  <c r="U152" i="4"/>
  <c r="U153" i="4"/>
  <c r="U154" i="4"/>
  <c r="U155" i="4"/>
  <c r="U156" i="4"/>
  <c r="U157" i="4"/>
  <c r="U158" i="4"/>
  <c r="U159" i="4"/>
  <c r="U160" i="4"/>
  <c r="U161" i="4"/>
  <c r="U162" i="4"/>
  <c r="U163" i="4"/>
  <c r="U164" i="4"/>
  <c r="U165" i="4"/>
  <c r="U166" i="4"/>
  <c r="U167" i="4"/>
  <c r="U168" i="4"/>
  <c r="U169" i="4"/>
  <c r="U170" i="4"/>
  <c r="U171" i="4"/>
  <c r="U172" i="4"/>
  <c r="U173" i="4"/>
  <c r="U174" i="4"/>
  <c r="U175" i="4"/>
  <c r="U176" i="4"/>
  <c r="U177" i="4"/>
  <c r="U178" i="4"/>
  <c r="U179" i="4"/>
  <c r="U180" i="4"/>
  <c r="U181" i="4"/>
  <c r="U182" i="4"/>
  <c r="U183" i="4"/>
  <c r="U184" i="4"/>
  <c r="U185" i="4"/>
  <c r="U186" i="4"/>
  <c r="U187" i="4"/>
  <c r="U188" i="4"/>
  <c r="U189" i="4"/>
  <c r="U190" i="4"/>
  <c r="U191" i="4"/>
  <c r="U192" i="4"/>
  <c r="U193" i="4"/>
  <c r="U194" i="4"/>
  <c r="U195" i="4"/>
  <c r="U196" i="4"/>
  <c r="U197" i="4"/>
  <c r="U198" i="4"/>
  <c r="U199" i="4"/>
  <c r="U200" i="4"/>
  <c r="U201" i="4"/>
  <c r="U202" i="4"/>
  <c r="U203" i="4"/>
  <c r="U204" i="4"/>
  <c r="U205" i="4"/>
  <c r="U206" i="4"/>
  <c r="U207" i="4"/>
  <c r="U208" i="4"/>
  <c r="U209" i="4"/>
  <c r="U210" i="4"/>
  <c r="U211" i="4"/>
  <c r="U212" i="4"/>
  <c r="U213" i="4"/>
  <c r="U214" i="4"/>
  <c r="U215" i="4"/>
  <c r="U216" i="4"/>
  <c r="U217" i="4"/>
  <c r="U218" i="4"/>
  <c r="U219" i="4"/>
  <c r="U220" i="4"/>
  <c r="U221" i="4"/>
  <c r="U222" i="4"/>
  <c r="U223" i="4"/>
  <c r="U224" i="4"/>
  <c r="U225" i="4"/>
  <c r="U226" i="4"/>
  <c r="U227" i="4"/>
  <c r="U228" i="4"/>
  <c r="U229" i="4"/>
  <c r="U230" i="4"/>
  <c r="U231" i="4"/>
  <c r="U232" i="4"/>
  <c r="U233" i="4"/>
  <c r="U234" i="4"/>
  <c r="U235" i="4"/>
  <c r="U236" i="4"/>
  <c r="U237" i="4"/>
  <c r="U238" i="4"/>
  <c r="U239" i="4"/>
  <c r="U240" i="4"/>
  <c r="U241" i="4"/>
  <c r="U242" i="4"/>
  <c r="U243" i="4"/>
  <c r="U244" i="4"/>
  <c r="U245" i="4"/>
  <c r="U246" i="4"/>
  <c r="U247" i="4"/>
  <c r="U248" i="4"/>
  <c r="U249" i="4"/>
  <c r="U250" i="4"/>
  <c r="U251" i="4"/>
  <c r="U252" i="4"/>
  <c r="U253" i="4"/>
  <c r="U254" i="4"/>
  <c r="U255" i="4"/>
  <c r="U256" i="4"/>
  <c r="U257" i="4"/>
  <c r="U258" i="4"/>
  <c r="U259" i="4"/>
  <c r="U260" i="4"/>
  <c r="U261" i="4"/>
  <c r="U262" i="4"/>
  <c r="U263" i="4"/>
  <c r="U264" i="4"/>
  <c r="U265" i="4"/>
  <c r="U266" i="4"/>
  <c r="U267" i="4"/>
  <c r="U268" i="4"/>
  <c r="U269" i="4"/>
  <c r="U270" i="4"/>
  <c r="U271" i="4"/>
  <c r="U272" i="4"/>
  <c r="U273" i="4"/>
  <c r="U274" i="4"/>
  <c r="U275" i="4"/>
  <c r="U276" i="4"/>
  <c r="U277" i="4"/>
  <c r="U278" i="4"/>
  <c r="U279" i="4"/>
  <c r="U280" i="4"/>
  <c r="U281" i="4"/>
  <c r="U282" i="4"/>
  <c r="U283" i="4"/>
  <c r="U284" i="4"/>
  <c r="U285" i="4"/>
  <c r="U286" i="4"/>
  <c r="U287" i="4"/>
  <c r="U288" i="4"/>
  <c r="U289" i="4"/>
  <c r="U290" i="4"/>
  <c r="U291" i="4"/>
  <c r="U292" i="4"/>
  <c r="U293" i="4"/>
  <c r="U294" i="4"/>
  <c r="U295" i="4"/>
  <c r="U296" i="4"/>
  <c r="U297" i="4"/>
  <c r="U298" i="4"/>
  <c r="U299" i="4"/>
  <c r="U300" i="4"/>
  <c r="U301" i="4"/>
  <c r="U302" i="4"/>
  <c r="U303" i="4"/>
  <c r="U304" i="4"/>
  <c r="U305" i="4"/>
  <c r="U306" i="4"/>
  <c r="U307" i="4"/>
  <c r="U308" i="4"/>
  <c r="U309" i="4"/>
  <c r="U310" i="4"/>
  <c r="U311" i="4"/>
  <c r="U312" i="4"/>
  <c r="U313" i="4"/>
  <c r="U314" i="4"/>
  <c r="U315" i="4"/>
  <c r="U316" i="4"/>
  <c r="U317" i="4"/>
  <c r="U318" i="4"/>
  <c r="U319" i="4"/>
  <c r="U320" i="4"/>
  <c r="U321" i="4"/>
  <c r="U322" i="4"/>
  <c r="U323" i="4"/>
  <c r="U324" i="4"/>
  <c r="U325" i="4"/>
  <c r="U326" i="4"/>
  <c r="U327" i="4"/>
  <c r="U328" i="4"/>
  <c r="U329" i="4"/>
  <c r="U330" i="4"/>
  <c r="U331" i="4"/>
  <c r="U332" i="4"/>
  <c r="U333" i="4"/>
  <c r="U334" i="4"/>
  <c r="U335" i="4"/>
  <c r="U336" i="4"/>
  <c r="U337" i="4"/>
  <c r="U338" i="4"/>
  <c r="U339" i="4"/>
  <c r="U340" i="4"/>
  <c r="U341" i="4"/>
  <c r="U342" i="4"/>
  <c r="U343" i="4"/>
  <c r="U344" i="4"/>
  <c r="U345" i="4"/>
  <c r="U346" i="4"/>
  <c r="U347" i="4"/>
  <c r="U348" i="4"/>
  <c r="U349" i="4"/>
  <c r="U350" i="4"/>
  <c r="U351" i="4"/>
  <c r="U352" i="4"/>
  <c r="U353" i="4"/>
  <c r="U354" i="4"/>
  <c r="U355" i="4"/>
  <c r="U356" i="4"/>
  <c r="U357" i="4"/>
  <c r="U358" i="4"/>
  <c r="U359" i="4"/>
  <c r="U360" i="4"/>
  <c r="U361" i="4"/>
  <c r="U362" i="4"/>
  <c r="U363" i="4"/>
  <c r="U364" i="4"/>
  <c r="U365" i="4"/>
  <c r="U366" i="4"/>
  <c r="U367" i="4"/>
  <c r="U368" i="4"/>
  <c r="U369" i="4"/>
  <c r="U370" i="4"/>
  <c r="U371" i="4"/>
  <c r="U372" i="4"/>
  <c r="U373" i="4"/>
  <c r="U374" i="4"/>
  <c r="U375" i="4"/>
  <c r="U376" i="4"/>
  <c r="U377" i="4"/>
  <c r="U378" i="4"/>
  <c r="U379" i="4"/>
  <c r="U380" i="4"/>
  <c r="U381" i="4"/>
  <c r="U382" i="4"/>
  <c r="U383" i="4"/>
  <c r="U384" i="4"/>
  <c r="U385" i="4"/>
  <c r="U386" i="4"/>
  <c r="U387" i="4"/>
  <c r="U388" i="4"/>
  <c r="U389" i="4"/>
  <c r="U390" i="4"/>
  <c r="U391" i="4"/>
  <c r="U392" i="4"/>
  <c r="U393" i="4"/>
  <c r="U394" i="4"/>
  <c r="U395" i="4"/>
  <c r="U396" i="4"/>
  <c r="U397" i="4"/>
  <c r="U398" i="4"/>
  <c r="U399" i="4"/>
  <c r="U400" i="4"/>
  <c r="U401" i="4"/>
  <c r="U402" i="4"/>
  <c r="U403" i="4"/>
  <c r="U404" i="4"/>
  <c r="U405" i="4"/>
  <c r="U406" i="4"/>
  <c r="U407" i="4"/>
  <c r="U408" i="4"/>
  <c r="U409" i="4"/>
  <c r="U410" i="4"/>
  <c r="U411" i="4"/>
  <c r="U412" i="4"/>
  <c r="U413" i="4"/>
  <c r="U414" i="4"/>
  <c r="U415" i="4"/>
  <c r="U416" i="4"/>
  <c r="U417" i="4"/>
  <c r="U418" i="4"/>
  <c r="U419" i="4"/>
  <c r="U420" i="4"/>
  <c r="U421" i="4"/>
  <c r="U422" i="4"/>
  <c r="U423" i="4"/>
  <c r="U424" i="4"/>
  <c r="U425" i="4"/>
  <c r="U426" i="4"/>
  <c r="U427" i="4"/>
  <c r="U428" i="4"/>
  <c r="U429" i="4"/>
  <c r="U430" i="4"/>
  <c r="U431" i="4"/>
  <c r="U432" i="4"/>
  <c r="U433" i="4"/>
  <c r="U434" i="4"/>
  <c r="U435" i="4"/>
  <c r="U436" i="4"/>
  <c r="U437" i="4"/>
  <c r="U438" i="4"/>
  <c r="U439" i="4"/>
  <c r="U440" i="4"/>
  <c r="U441" i="4"/>
  <c r="U442" i="4"/>
  <c r="U443" i="4"/>
  <c r="U444" i="4"/>
  <c r="U445" i="4"/>
  <c r="U446" i="4"/>
  <c r="U447" i="4"/>
  <c r="U448" i="4"/>
  <c r="U449" i="4"/>
  <c r="U450" i="4"/>
  <c r="U451" i="4"/>
  <c r="U452" i="4"/>
  <c r="U453" i="4"/>
  <c r="U454" i="4"/>
  <c r="U455" i="4"/>
  <c r="U456" i="4"/>
  <c r="U457" i="4"/>
  <c r="U458" i="4"/>
  <c r="U459" i="4"/>
  <c r="U460" i="4"/>
  <c r="U461" i="4"/>
  <c r="U462" i="4"/>
  <c r="U463" i="4"/>
  <c r="U464" i="4"/>
  <c r="U465" i="4"/>
  <c r="U466" i="4"/>
  <c r="U467" i="4"/>
  <c r="U468" i="4"/>
  <c r="U469" i="4"/>
  <c r="U470" i="4"/>
  <c r="U471" i="4"/>
  <c r="U472" i="4"/>
  <c r="U473" i="4"/>
  <c r="U474" i="4"/>
  <c r="U475" i="4"/>
  <c r="U476" i="4"/>
  <c r="U477" i="4"/>
  <c r="U478" i="4"/>
  <c r="U479" i="4"/>
  <c r="U480" i="4"/>
  <c r="U481" i="4"/>
  <c r="U482" i="4"/>
  <c r="U483" i="4"/>
  <c r="U484" i="4"/>
  <c r="U485" i="4"/>
  <c r="U486" i="4"/>
  <c r="U487" i="4"/>
  <c r="U488" i="4"/>
  <c r="U489" i="4"/>
  <c r="U490" i="4"/>
  <c r="U491" i="4"/>
  <c r="U492" i="4"/>
  <c r="U493" i="4"/>
  <c r="U494" i="4"/>
  <c r="U495" i="4"/>
  <c r="U496" i="4"/>
  <c r="U497" i="4"/>
  <c r="U498" i="4"/>
  <c r="U499" i="4"/>
  <c r="U500" i="4"/>
  <c r="U501" i="4"/>
  <c r="U502" i="4"/>
  <c r="U503" i="4"/>
  <c r="U504" i="4"/>
  <c r="U505" i="4"/>
  <c r="U506" i="4"/>
  <c r="U507" i="4"/>
  <c r="U508" i="4"/>
  <c r="U509" i="4"/>
  <c r="U510" i="4"/>
  <c r="U511" i="4"/>
  <c r="U512" i="4"/>
  <c r="U513" i="4"/>
  <c r="U514" i="4"/>
  <c r="U515" i="4"/>
  <c r="U516" i="4"/>
  <c r="U517" i="4"/>
  <c r="U518" i="4"/>
  <c r="U519" i="4"/>
  <c r="U520" i="4"/>
  <c r="U521" i="4"/>
  <c r="U522" i="4"/>
  <c r="U523" i="4"/>
  <c r="U524" i="4"/>
  <c r="U525" i="4"/>
  <c r="U526" i="4"/>
  <c r="U527" i="4"/>
  <c r="U528" i="4"/>
  <c r="U529" i="4"/>
  <c r="U530" i="4"/>
  <c r="U531" i="4"/>
  <c r="U532" i="4"/>
  <c r="U533" i="4"/>
  <c r="U534" i="4"/>
  <c r="U535" i="4"/>
  <c r="U536" i="4"/>
  <c r="U537" i="4"/>
  <c r="U538" i="4"/>
  <c r="U539" i="4"/>
  <c r="U540" i="4"/>
  <c r="U541" i="4"/>
  <c r="U542" i="4"/>
  <c r="U543" i="4"/>
  <c r="U544" i="4"/>
  <c r="U545" i="4"/>
  <c r="U546" i="4"/>
  <c r="U547" i="4"/>
  <c r="U548" i="4"/>
  <c r="U549" i="4"/>
  <c r="U550" i="4"/>
  <c r="U551" i="4"/>
  <c r="U552" i="4"/>
  <c r="U553" i="4"/>
  <c r="U554" i="4"/>
  <c r="U555" i="4"/>
  <c r="U556" i="4"/>
  <c r="U557" i="4"/>
  <c r="U558" i="4"/>
  <c r="U559" i="4"/>
  <c r="U560" i="4"/>
  <c r="U561" i="4"/>
  <c r="U562" i="4"/>
  <c r="U563" i="4"/>
  <c r="U564" i="4"/>
  <c r="U565" i="4"/>
  <c r="U566" i="4"/>
  <c r="U567" i="4"/>
  <c r="U568" i="4"/>
  <c r="U569" i="4"/>
  <c r="U570" i="4"/>
  <c r="U571" i="4"/>
  <c r="U572" i="4"/>
  <c r="U573" i="4"/>
  <c r="U574" i="4"/>
  <c r="U575" i="4"/>
  <c r="U576" i="4"/>
  <c r="U577" i="4"/>
  <c r="U578" i="4"/>
  <c r="U579" i="4"/>
  <c r="U580" i="4"/>
  <c r="U581" i="4"/>
  <c r="U582" i="4"/>
  <c r="U583" i="4"/>
  <c r="U584" i="4"/>
  <c r="U585" i="4"/>
  <c r="U586" i="4"/>
  <c r="U587" i="4"/>
  <c r="U588" i="4"/>
  <c r="U589" i="4"/>
  <c r="U590" i="4"/>
  <c r="U591" i="4"/>
  <c r="U592" i="4"/>
  <c r="U593" i="4"/>
  <c r="U594" i="4"/>
  <c r="U595" i="4"/>
  <c r="U596" i="4"/>
  <c r="U597" i="4"/>
  <c r="U598" i="4"/>
  <c r="U599" i="4"/>
  <c r="U600" i="4"/>
  <c r="U601" i="4"/>
  <c r="U602" i="4"/>
  <c r="U603" i="4"/>
  <c r="U604" i="4"/>
  <c r="U605" i="4"/>
  <c r="U606" i="4"/>
  <c r="U607" i="4"/>
  <c r="U608" i="4"/>
  <c r="U609" i="4"/>
  <c r="U610" i="4"/>
  <c r="U611" i="4"/>
  <c r="U612" i="4"/>
  <c r="U613" i="4"/>
  <c r="U614" i="4"/>
  <c r="U615" i="4"/>
  <c r="U616" i="4"/>
  <c r="U617" i="4"/>
  <c r="U618" i="4"/>
  <c r="U619" i="4"/>
  <c r="U620" i="4"/>
  <c r="U621" i="4"/>
  <c r="U622" i="4"/>
  <c r="U623" i="4"/>
  <c r="U624" i="4"/>
  <c r="U625" i="4"/>
  <c r="U626" i="4"/>
  <c r="U627" i="4"/>
  <c r="U628" i="4"/>
  <c r="U629" i="4"/>
  <c r="U630" i="4"/>
  <c r="U631" i="4"/>
  <c r="U632" i="4"/>
  <c r="U633" i="4"/>
  <c r="U634" i="4"/>
  <c r="U635" i="4"/>
  <c r="U636" i="4"/>
  <c r="U637" i="4"/>
  <c r="U638" i="4"/>
  <c r="U639" i="4"/>
  <c r="U640" i="4"/>
  <c r="U641" i="4"/>
  <c r="U642" i="4"/>
  <c r="U643" i="4"/>
  <c r="U644" i="4"/>
  <c r="U645" i="4"/>
  <c r="U646" i="4"/>
  <c r="U647" i="4"/>
  <c r="U648" i="4"/>
  <c r="U649" i="4"/>
  <c r="U650" i="4"/>
  <c r="U651" i="4"/>
  <c r="U652" i="4"/>
  <c r="U653" i="4"/>
  <c r="U654" i="4"/>
  <c r="U655" i="4"/>
  <c r="U656" i="4"/>
  <c r="U657" i="4"/>
  <c r="U658" i="4"/>
  <c r="U659" i="4"/>
  <c r="U660" i="4"/>
  <c r="U661" i="4"/>
  <c r="U662" i="4"/>
  <c r="U663" i="4"/>
  <c r="U664" i="4"/>
  <c r="U665" i="4"/>
  <c r="U666" i="4"/>
  <c r="U667" i="4"/>
  <c r="U668" i="4"/>
  <c r="U669" i="4"/>
  <c r="U670" i="4"/>
  <c r="U671" i="4"/>
  <c r="U672" i="4"/>
  <c r="U673" i="4"/>
  <c r="U674" i="4"/>
  <c r="U675" i="4"/>
  <c r="U676" i="4"/>
  <c r="U677" i="4"/>
  <c r="U678" i="4"/>
  <c r="U679" i="4"/>
  <c r="U680" i="4"/>
  <c r="U681" i="4"/>
  <c r="U682" i="4"/>
  <c r="U683" i="4"/>
  <c r="U684" i="4"/>
  <c r="U685" i="4"/>
  <c r="U686" i="4"/>
  <c r="U687" i="4"/>
  <c r="U688" i="4"/>
  <c r="U689" i="4"/>
  <c r="U690" i="4"/>
  <c r="U691" i="4"/>
  <c r="U692" i="4"/>
  <c r="U693" i="4"/>
  <c r="U694" i="4"/>
  <c r="U695" i="4"/>
  <c r="U696" i="4"/>
  <c r="U697" i="4"/>
  <c r="U698" i="4"/>
  <c r="U699" i="4"/>
  <c r="U700" i="4"/>
  <c r="U701" i="4"/>
  <c r="U702" i="4"/>
  <c r="U703" i="4"/>
  <c r="U704" i="4"/>
  <c r="U705" i="4"/>
  <c r="U706" i="4"/>
  <c r="U707" i="4"/>
  <c r="U708" i="4"/>
  <c r="U709" i="4"/>
  <c r="U710" i="4"/>
  <c r="U711" i="4"/>
  <c r="U712" i="4"/>
  <c r="U713" i="4"/>
  <c r="U714" i="4"/>
  <c r="U715" i="4"/>
  <c r="U716" i="4"/>
  <c r="U717" i="4"/>
  <c r="U718" i="4"/>
  <c r="U719" i="4"/>
  <c r="U720" i="4"/>
  <c r="U721" i="4"/>
  <c r="U722" i="4"/>
  <c r="U723" i="4"/>
  <c r="U724" i="4"/>
  <c r="U725" i="4"/>
  <c r="U726" i="4"/>
  <c r="U727" i="4"/>
  <c r="U728" i="4"/>
  <c r="U729" i="4"/>
  <c r="U730" i="4"/>
  <c r="U731" i="4"/>
  <c r="U732" i="4"/>
  <c r="U733" i="4"/>
  <c r="U734" i="4"/>
  <c r="U735" i="4"/>
  <c r="U736" i="4"/>
  <c r="U737" i="4"/>
  <c r="U738" i="4"/>
  <c r="U739" i="4"/>
  <c r="U740" i="4"/>
  <c r="U741" i="4"/>
  <c r="U742" i="4"/>
  <c r="U743" i="4"/>
  <c r="U744" i="4"/>
  <c r="U745" i="4"/>
  <c r="U746" i="4"/>
  <c r="U747" i="4"/>
  <c r="U748" i="4"/>
  <c r="U749" i="4"/>
  <c r="U750" i="4"/>
  <c r="U751" i="4"/>
  <c r="U752" i="4"/>
  <c r="U753" i="4"/>
  <c r="U754" i="4"/>
  <c r="U755" i="4"/>
  <c r="U756" i="4"/>
  <c r="U757" i="4"/>
  <c r="U758" i="4"/>
  <c r="U759" i="4"/>
  <c r="U760" i="4"/>
  <c r="U761" i="4"/>
  <c r="U762" i="4"/>
  <c r="U763" i="4"/>
  <c r="U764" i="4"/>
  <c r="U765" i="4"/>
  <c r="U766" i="4"/>
  <c r="U767" i="4"/>
  <c r="U768" i="4"/>
  <c r="U769" i="4"/>
  <c r="U770" i="4"/>
  <c r="U771" i="4"/>
  <c r="U772" i="4"/>
  <c r="U773" i="4"/>
  <c r="U774" i="4"/>
  <c r="U775" i="4"/>
  <c r="U776" i="4"/>
  <c r="U777" i="4"/>
  <c r="U778" i="4"/>
  <c r="U779" i="4"/>
  <c r="U780" i="4"/>
  <c r="U781" i="4"/>
  <c r="U782" i="4"/>
  <c r="U783" i="4"/>
  <c r="U784" i="4"/>
  <c r="U785" i="4"/>
  <c r="U786" i="4"/>
  <c r="U787" i="4"/>
  <c r="U788" i="4"/>
  <c r="U789" i="4"/>
  <c r="U790" i="4"/>
  <c r="U791" i="4"/>
  <c r="U792" i="4"/>
  <c r="U793" i="4"/>
  <c r="U794" i="4"/>
  <c r="U795" i="4"/>
  <c r="U796" i="4"/>
  <c r="U797" i="4"/>
  <c r="U798" i="4"/>
  <c r="U799" i="4"/>
  <c r="U800" i="4"/>
  <c r="U801" i="4"/>
  <c r="U802" i="4"/>
  <c r="U803" i="4"/>
  <c r="U804" i="4"/>
  <c r="U805" i="4"/>
  <c r="U806" i="4"/>
  <c r="U807" i="4"/>
  <c r="U808" i="4"/>
  <c r="U809" i="4"/>
  <c r="U810" i="4"/>
  <c r="U811" i="4"/>
  <c r="U812" i="4"/>
  <c r="U813" i="4"/>
  <c r="U814" i="4"/>
  <c r="U815" i="4"/>
  <c r="U816" i="4"/>
  <c r="U817" i="4"/>
  <c r="U818" i="4"/>
  <c r="U819" i="4"/>
  <c r="U820" i="4"/>
  <c r="U821" i="4"/>
  <c r="U822" i="4"/>
  <c r="U823" i="4"/>
  <c r="U824" i="4"/>
  <c r="U825" i="4"/>
  <c r="U826" i="4"/>
  <c r="U827" i="4"/>
  <c r="U828" i="4"/>
  <c r="U829" i="4"/>
  <c r="U830" i="4"/>
  <c r="U831" i="4"/>
  <c r="U832" i="4"/>
  <c r="U833" i="4"/>
  <c r="U834" i="4"/>
  <c r="U835" i="4"/>
  <c r="U836" i="4"/>
  <c r="U837" i="4"/>
  <c r="U838" i="4"/>
  <c r="U839" i="4"/>
  <c r="U840" i="4"/>
  <c r="U841" i="4"/>
  <c r="U842" i="4"/>
  <c r="U843" i="4"/>
  <c r="U844" i="4"/>
  <c r="U845" i="4"/>
  <c r="U846" i="4"/>
  <c r="U847" i="4"/>
  <c r="U848" i="4"/>
  <c r="U849" i="4"/>
  <c r="U850" i="4"/>
  <c r="U851" i="4"/>
  <c r="U852" i="4"/>
  <c r="U853" i="4"/>
  <c r="U854" i="4"/>
  <c r="U855" i="4"/>
  <c r="U856" i="4"/>
  <c r="U857" i="4"/>
  <c r="U858" i="4"/>
  <c r="U859" i="4"/>
  <c r="U860" i="4"/>
  <c r="U861" i="4"/>
  <c r="U862" i="4"/>
  <c r="U863" i="4"/>
  <c r="U864" i="4"/>
  <c r="U865" i="4"/>
  <c r="U866" i="4"/>
  <c r="U867" i="4"/>
  <c r="U868" i="4"/>
  <c r="U869" i="4"/>
  <c r="U870" i="4"/>
  <c r="U871" i="4"/>
  <c r="U872" i="4"/>
  <c r="U873" i="4"/>
  <c r="U874" i="4"/>
  <c r="U875" i="4"/>
  <c r="U876" i="4"/>
  <c r="U877" i="4"/>
  <c r="U878" i="4"/>
  <c r="U879" i="4"/>
  <c r="U880" i="4"/>
  <c r="U881" i="4"/>
  <c r="U882" i="4"/>
  <c r="U883" i="4"/>
  <c r="U884" i="4"/>
  <c r="U885" i="4"/>
  <c r="U886" i="4"/>
  <c r="U887" i="4"/>
  <c r="U888" i="4"/>
  <c r="U889" i="4"/>
  <c r="U890" i="4"/>
  <c r="U891" i="4"/>
  <c r="U892" i="4"/>
  <c r="U893" i="4"/>
  <c r="U894" i="4"/>
  <c r="U895" i="4"/>
  <c r="U896" i="4"/>
  <c r="U897" i="4"/>
  <c r="U898" i="4"/>
  <c r="U899" i="4"/>
  <c r="U900" i="4"/>
  <c r="U901" i="4"/>
  <c r="U902" i="4"/>
  <c r="U903" i="4"/>
  <c r="U904" i="4"/>
  <c r="U905" i="4"/>
  <c r="U906" i="4"/>
  <c r="U907" i="4"/>
  <c r="U908" i="4"/>
  <c r="U909" i="4"/>
  <c r="U910" i="4"/>
  <c r="U911" i="4"/>
  <c r="U912" i="4"/>
  <c r="U913" i="4"/>
  <c r="U914" i="4"/>
  <c r="U915" i="4"/>
  <c r="U916" i="4"/>
  <c r="U917" i="4"/>
  <c r="U918" i="4"/>
  <c r="U919" i="4"/>
  <c r="U920" i="4"/>
  <c r="U921" i="4"/>
  <c r="U922" i="4"/>
  <c r="U923" i="4"/>
  <c r="U924" i="4"/>
  <c r="U925" i="4"/>
  <c r="U926" i="4"/>
  <c r="U927" i="4"/>
  <c r="U928" i="4"/>
  <c r="U929" i="4"/>
  <c r="U930" i="4"/>
  <c r="U931" i="4"/>
  <c r="U932" i="4"/>
  <c r="U933" i="4"/>
  <c r="U934" i="4"/>
  <c r="U935" i="4"/>
  <c r="U936" i="4"/>
  <c r="U937" i="4"/>
  <c r="U938" i="4"/>
  <c r="U939" i="4"/>
  <c r="U940" i="4"/>
  <c r="U941" i="4"/>
  <c r="U942" i="4"/>
  <c r="U943" i="4"/>
  <c r="U944" i="4"/>
  <c r="U945" i="4"/>
  <c r="U946" i="4"/>
  <c r="U947" i="4"/>
  <c r="U948" i="4"/>
  <c r="U949" i="4"/>
  <c r="U950" i="4"/>
  <c r="U951" i="4"/>
  <c r="U952" i="4"/>
  <c r="U953" i="4"/>
  <c r="U954" i="4"/>
  <c r="U955" i="4"/>
  <c r="U956" i="4"/>
  <c r="U957" i="4"/>
  <c r="U958" i="4"/>
  <c r="U959" i="4"/>
  <c r="U960" i="4"/>
  <c r="U961" i="4"/>
  <c r="U962" i="4"/>
  <c r="U963" i="4"/>
  <c r="U964" i="4"/>
  <c r="U965" i="4"/>
  <c r="U966" i="4"/>
  <c r="U967" i="4"/>
  <c r="U968" i="4"/>
  <c r="U969" i="4"/>
  <c r="U970" i="4"/>
  <c r="U971" i="4"/>
  <c r="U972" i="4"/>
  <c r="U973" i="4"/>
  <c r="U974" i="4"/>
  <c r="U975" i="4"/>
  <c r="U976" i="4"/>
  <c r="U977" i="4"/>
  <c r="U978" i="4"/>
  <c r="U979" i="4"/>
  <c r="U980" i="4"/>
  <c r="U981" i="4"/>
  <c r="U982" i="4"/>
  <c r="U983" i="4"/>
  <c r="U984" i="4"/>
  <c r="U985" i="4"/>
  <c r="U986" i="4"/>
  <c r="U987" i="4"/>
  <c r="U988" i="4"/>
  <c r="U989" i="4"/>
  <c r="U990" i="4"/>
  <c r="U991" i="4"/>
  <c r="U992" i="4"/>
  <c r="U993" i="4"/>
  <c r="U994" i="4"/>
  <c r="U995" i="4"/>
  <c r="U996" i="4"/>
  <c r="U997" i="4"/>
  <c r="U998" i="4"/>
  <c r="U999" i="4"/>
  <c r="U1000" i="4"/>
  <c r="U1001" i="4"/>
  <c r="U1002" i="4"/>
  <c r="U1003" i="4"/>
  <c r="U1004" i="4"/>
  <c r="U1005" i="4"/>
  <c r="U1006" i="4"/>
  <c r="U1007" i="4"/>
  <c r="U1008" i="4"/>
  <c r="U1009" i="4"/>
  <c r="U1010" i="4"/>
  <c r="U1011" i="4"/>
  <c r="U1012" i="4"/>
  <c r="U1013" i="4"/>
  <c r="U1014" i="4"/>
  <c r="V2" i="4"/>
  <c r="V3" i="4"/>
  <c r="V4" i="4"/>
  <c r="V5" i="4"/>
  <c r="V6" i="4"/>
  <c r="V7" i="4"/>
  <c r="V8" i="4"/>
  <c r="V9" i="4"/>
  <c r="V10" i="4"/>
  <c r="V11" i="4"/>
  <c r="V12" i="4"/>
  <c r="V13" i="4"/>
  <c r="V14" i="4"/>
  <c r="V15" i="4"/>
  <c r="V16" i="4"/>
  <c r="V17" i="4"/>
  <c r="V18" i="4"/>
  <c r="V19" i="4"/>
  <c r="V20" i="4"/>
  <c r="V21" i="4"/>
  <c r="V22" i="4"/>
  <c r="V23" i="4"/>
  <c r="V24" i="4"/>
  <c r="V25" i="4"/>
  <c r="V26" i="4"/>
  <c r="V27" i="4"/>
  <c r="V28" i="4"/>
  <c r="V29" i="4"/>
  <c r="V30" i="4"/>
  <c r="V31" i="4"/>
  <c r="V32" i="4"/>
  <c r="V33" i="4"/>
  <c r="V34" i="4"/>
  <c r="V35" i="4"/>
  <c r="V36" i="4"/>
  <c r="V37" i="4"/>
  <c r="V38" i="4"/>
  <c r="V39" i="4"/>
  <c r="V40" i="4"/>
  <c r="V41" i="4"/>
  <c r="V42" i="4"/>
  <c r="V43" i="4"/>
  <c r="V44" i="4"/>
  <c r="V45" i="4"/>
  <c r="V46" i="4"/>
  <c r="V47" i="4"/>
  <c r="V48" i="4"/>
  <c r="V49" i="4"/>
  <c r="V50" i="4"/>
  <c r="V51" i="4"/>
  <c r="V52" i="4"/>
  <c r="V53" i="4"/>
  <c r="V54" i="4"/>
  <c r="V55" i="4"/>
  <c r="V56" i="4"/>
  <c r="V57" i="4"/>
  <c r="V58" i="4"/>
  <c r="V59" i="4"/>
  <c r="V60" i="4"/>
  <c r="V61" i="4"/>
  <c r="V62" i="4"/>
  <c r="V63" i="4"/>
  <c r="V64" i="4"/>
  <c r="V65" i="4"/>
  <c r="V66" i="4"/>
  <c r="V67" i="4"/>
  <c r="V68" i="4"/>
  <c r="V69" i="4"/>
  <c r="V70" i="4"/>
  <c r="V71" i="4"/>
  <c r="V72" i="4"/>
  <c r="V73" i="4"/>
  <c r="V74" i="4"/>
  <c r="V75" i="4"/>
  <c r="V76" i="4"/>
  <c r="V77" i="4"/>
  <c r="V78" i="4"/>
  <c r="V79" i="4"/>
  <c r="V80" i="4"/>
  <c r="V81" i="4"/>
  <c r="V82" i="4"/>
  <c r="V83" i="4"/>
  <c r="V84" i="4"/>
  <c r="V85" i="4"/>
  <c r="V86" i="4"/>
  <c r="V87" i="4"/>
  <c r="V88" i="4"/>
  <c r="V89" i="4"/>
  <c r="V90" i="4"/>
  <c r="V91" i="4"/>
  <c r="V92" i="4"/>
  <c r="V93" i="4"/>
  <c r="V94" i="4"/>
  <c r="V95" i="4"/>
  <c r="V96" i="4"/>
  <c r="V97" i="4"/>
  <c r="V98" i="4"/>
  <c r="V99" i="4"/>
  <c r="V100" i="4"/>
  <c r="V101" i="4"/>
  <c r="V102" i="4"/>
  <c r="V103" i="4"/>
  <c r="V104" i="4"/>
  <c r="V105" i="4"/>
  <c r="V106" i="4"/>
  <c r="V107" i="4"/>
  <c r="V108" i="4"/>
  <c r="V109" i="4"/>
  <c r="V110" i="4"/>
  <c r="V111" i="4"/>
  <c r="V112" i="4"/>
  <c r="V113" i="4"/>
  <c r="V114" i="4"/>
  <c r="V115" i="4"/>
  <c r="V116" i="4"/>
  <c r="V117" i="4"/>
  <c r="V118" i="4"/>
  <c r="V119" i="4"/>
  <c r="V120" i="4"/>
  <c r="V121" i="4"/>
  <c r="V122" i="4"/>
  <c r="V123" i="4"/>
  <c r="V124" i="4"/>
  <c r="V125" i="4"/>
  <c r="V126" i="4"/>
  <c r="V127" i="4"/>
  <c r="V128" i="4"/>
  <c r="V129" i="4"/>
  <c r="V130" i="4"/>
  <c r="V131" i="4"/>
  <c r="V132" i="4"/>
  <c r="V133" i="4"/>
  <c r="V134" i="4"/>
  <c r="V135" i="4"/>
  <c r="V136" i="4"/>
  <c r="V137" i="4"/>
  <c r="V138" i="4"/>
  <c r="V139" i="4"/>
  <c r="V140" i="4"/>
  <c r="V141" i="4"/>
  <c r="V142" i="4"/>
  <c r="V143" i="4"/>
  <c r="V144" i="4"/>
  <c r="V145" i="4"/>
  <c r="V146" i="4"/>
  <c r="V147" i="4"/>
  <c r="V148" i="4"/>
  <c r="V149" i="4"/>
  <c r="V150" i="4"/>
  <c r="V151" i="4"/>
  <c r="V152" i="4"/>
  <c r="V153" i="4"/>
  <c r="V154" i="4"/>
  <c r="V155" i="4"/>
  <c r="V156" i="4"/>
  <c r="V157" i="4"/>
  <c r="V158" i="4"/>
  <c r="V159" i="4"/>
  <c r="V160" i="4"/>
  <c r="V161" i="4"/>
  <c r="V162" i="4"/>
  <c r="V163" i="4"/>
  <c r="V164" i="4"/>
  <c r="V165" i="4"/>
  <c r="V166" i="4"/>
  <c r="V167" i="4"/>
  <c r="V168" i="4"/>
  <c r="V169" i="4"/>
  <c r="V170" i="4"/>
  <c r="V171" i="4"/>
  <c r="V172" i="4"/>
  <c r="V173" i="4"/>
  <c r="V174" i="4"/>
  <c r="V175" i="4"/>
  <c r="V176" i="4"/>
  <c r="V177" i="4"/>
  <c r="V178" i="4"/>
  <c r="V179" i="4"/>
  <c r="V180" i="4"/>
  <c r="V181" i="4"/>
  <c r="V182" i="4"/>
  <c r="V183" i="4"/>
  <c r="V184" i="4"/>
  <c r="V185" i="4"/>
  <c r="V186" i="4"/>
  <c r="V187" i="4"/>
  <c r="V188" i="4"/>
  <c r="V189" i="4"/>
  <c r="V190" i="4"/>
  <c r="V191" i="4"/>
  <c r="V192" i="4"/>
  <c r="V193" i="4"/>
  <c r="V194" i="4"/>
  <c r="V195" i="4"/>
  <c r="V196" i="4"/>
  <c r="V197" i="4"/>
  <c r="V198" i="4"/>
  <c r="V199" i="4"/>
  <c r="V200" i="4"/>
  <c r="V201" i="4"/>
  <c r="V202" i="4"/>
  <c r="V203" i="4"/>
  <c r="V204" i="4"/>
  <c r="V205" i="4"/>
  <c r="V206" i="4"/>
  <c r="V207" i="4"/>
  <c r="V208" i="4"/>
  <c r="V209" i="4"/>
  <c r="V210" i="4"/>
  <c r="V211" i="4"/>
  <c r="V212" i="4"/>
  <c r="V213" i="4"/>
  <c r="V214" i="4"/>
  <c r="V215" i="4"/>
  <c r="V216" i="4"/>
  <c r="V217" i="4"/>
  <c r="V218" i="4"/>
  <c r="V219" i="4"/>
  <c r="V220" i="4"/>
  <c r="V221" i="4"/>
  <c r="V222" i="4"/>
  <c r="V223" i="4"/>
  <c r="V224" i="4"/>
  <c r="V225" i="4"/>
  <c r="V226" i="4"/>
  <c r="V227" i="4"/>
  <c r="V228" i="4"/>
  <c r="V229" i="4"/>
  <c r="V230" i="4"/>
  <c r="V231" i="4"/>
  <c r="V232" i="4"/>
  <c r="V233" i="4"/>
  <c r="V234" i="4"/>
  <c r="V235" i="4"/>
  <c r="V236" i="4"/>
  <c r="V237" i="4"/>
  <c r="V238" i="4"/>
  <c r="V239" i="4"/>
  <c r="V240" i="4"/>
  <c r="V241" i="4"/>
  <c r="V242" i="4"/>
  <c r="V243" i="4"/>
  <c r="V244" i="4"/>
  <c r="V245" i="4"/>
  <c r="V246" i="4"/>
  <c r="V247" i="4"/>
  <c r="V248" i="4"/>
  <c r="V249" i="4"/>
  <c r="V250" i="4"/>
  <c r="V251" i="4"/>
  <c r="V252" i="4"/>
  <c r="V253" i="4"/>
  <c r="V254" i="4"/>
  <c r="V255" i="4"/>
  <c r="V256" i="4"/>
  <c r="V257" i="4"/>
  <c r="V258" i="4"/>
  <c r="V259" i="4"/>
  <c r="V260" i="4"/>
  <c r="V261" i="4"/>
  <c r="V262" i="4"/>
  <c r="V263" i="4"/>
  <c r="V264" i="4"/>
  <c r="V265" i="4"/>
  <c r="V266" i="4"/>
  <c r="V267" i="4"/>
  <c r="V268" i="4"/>
  <c r="V269" i="4"/>
  <c r="V270" i="4"/>
  <c r="V271" i="4"/>
  <c r="V272" i="4"/>
  <c r="V273" i="4"/>
  <c r="V274" i="4"/>
  <c r="V275" i="4"/>
  <c r="V276" i="4"/>
  <c r="V277" i="4"/>
  <c r="V278" i="4"/>
  <c r="V279" i="4"/>
  <c r="V280" i="4"/>
  <c r="V281" i="4"/>
  <c r="V282" i="4"/>
  <c r="V283" i="4"/>
  <c r="V284" i="4"/>
  <c r="V285" i="4"/>
  <c r="V286" i="4"/>
  <c r="V287" i="4"/>
  <c r="V288" i="4"/>
  <c r="V289" i="4"/>
  <c r="V290" i="4"/>
  <c r="V291" i="4"/>
  <c r="V292" i="4"/>
  <c r="V293" i="4"/>
  <c r="V294" i="4"/>
  <c r="V295" i="4"/>
  <c r="V296" i="4"/>
  <c r="V297" i="4"/>
  <c r="V298" i="4"/>
  <c r="V299" i="4"/>
  <c r="V300" i="4"/>
  <c r="V301" i="4"/>
  <c r="V302" i="4"/>
  <c r="V303" i="4"/>
  <c r="V304" i="4"/>
  <c r="V305" i="4"/>
  <c r="V306" i="4"/>
  <c r="V307" i="4"/>
  <c r="V308" i="4"/>
  <c r="V309" i="4"/>
  <c r="V310" i="4"/>
  <c r="V311" i="4"/>
  <c r="V312" i="4"/>
  <c r="V313" i="4"/>
  <c r="V314" i="4"/>
  <c r="V315" i="4"/>
  <c r="V316" i="4"/>
  <c r="V317" i="4"/>
  <c r="V318" i="4"/>
  <c r="V319" i="4"/>
  <c r="V320" i="4"/>
  <c r="V321" i="4"/>
  <c r="V322" i="4"/>
  <c r="V323" i="4"/>
  <c r="V324" i="4"/>
  <c r="V325" i="4"/>
  <c r="V326" i="4"/>
  <c r="V327" i="4"/>
  <c r="V328" i="4"/>
  <c r="V329" i="4"/>
  <c r="V330" i="4"/>
  <c r="V331" i="4"/>
  <c r="V332" i="4"/>
  <c r="V333" i="4"/>
  <c r="V334" i="4"/>
  <c r="V335" i="4"/>
  <c r="V336" i="4"/>
  <c r="V337" i="4"/>
  <c r="V338" i="4"/>
  <c r="V339" i="4"/>
  <c r="V340" i="4"/>
  <c r="V341" i="4"/>
  <c r="V342" i="4"/>
  <c r="V343" i="4"/>
  <c r="V344" i="4"/>
  <c r="V345" i="4"/>
  <c r="V346" i="4"/>
  <c r="V347" i="4"/>
  <c r="V348" i="4"/>
  <c r="V349" i="4"/>
  <c r="V350" i="4"/>
  <c r="V351" i="4"/>
  <c r="V352" i="4"/>
  <c r="V353" i="4"/>
  <c r="V354" i="4"/>
  <c r="V355" i="4"/>
  <c r="V356" i="4"/>
  <c r="V357" i="4"/>
  <c r="V358" i="4"/>
  <c r="V359" i="4"/>
  <c r="V360" i="4"/>
  <c r="V361" i="4"/>
  <c r="V362" i="4"/>
  <c r="V363" i="4"/>
  <c r="V364" i="4"/>
  <c r="V365" i="4"/>
  <c r="V366" i="4"/>
  <c r="V367" i="4"/>
  <c r="V368" i="4"/>
  <c r="V369" i="4"/>
  <c r="V370" i="4"/>
  <c r="V371" i="4"/>
  <c r="V372" i="4"/>
  <c r="V373" i="4"/>
  <c r="V374" i="4"/>
  <c r="V375" i="4"/>
  <c r="V376" i="4"/>
  <c r="V377" i="4"/>
  <c r="V378" i="4"/>
  <c r="V379" i="4"/>
  <c r="V380" i="4"/>
  <c r="V381" i="4"/>
  <c r="V382" i="4"/>
  <c r="V383" i="4"/>
  <c r="V384" i="4"/>
  <c r="V385" i="4"/>
  <c r="V386" i="4"/>
  <c r="V387" i="4"/>
  <c r="V388" i="4"/>
  <c r="V389" i="4"/>
  <c r="V390" i="4"/>
  <c r="V391" i="4"/>
  <c r="V392" i="4"/>
  <c r="V393" i="4"/>
  <c r="V394" i="4"/>
  <c r="V395" i="4"/>
  <c r="V396" i="4"/>
  <c r="V397" i="4"/>
  <c r="V398" i="4"/>
  <c r="V399" i="4"/>
  <c r="V400" i="4"/>
  <c r="V401" i="4"/>
  <c r="V402" i="4"/>
  <c r="V403" i="4"/>
  <c r="V404" i="4"/>
  <c r="V405" i="4"/>
  <c r="V406" i="4"/>
  <c r="V407" i="4"/>
  <c r="V408" i="4"/>
  <c r="V409" i="4"/>
  <c r="V410" i="4"/>
  <c r="V411" i="4"/>
  <c r="V412" i="4"/>
  <c r="V413" i="4"/>
  <c r="V414" i="4"/>
  <c r="V415" i="4"/>
  <c r="V416" i="4"/>
  <c r="V417" i="4"/>
  <c r="V418" i="4"/>
  <c r="V419" i="4"/>
  <c r="V420" i="4"/>
  <c r="V421" i="4"/>
  <c r="V422" i="4"/>
  <c r="V423" i="4"/>
  <c r="V424" i="4"/>
  <c r="V425" i="4"/>
  <c r="V426" i="4"/>
  <c r="V427" i="4"/>
  <c r="V428" i="4"/>
  <c r="V429" i="4"/>
  <c r="V430" i="4"/>
  <c r="V431" i="4"/>
  <c r="V432" i="4"/>
  <c r="V433" i="4"/>
  <c r="V434" i="4"/>
  <c r="V435" i="4"/>
  <c r="V436" i="4"/>
  <c r="V437" i="4"/>
  <c r="V438" i="4"/>
  <c r="V439" i="4"/>
  <c r="V440" i="4"/>
  <c r="V441" i="4"/>
  <c r="V442" i="4"/>
  <c r="V443" i="4"/>
  <c r="V444" i="4"/>
  <c r="V445" i="4"/>
  <c r="V446" i="4"/>
  <c r="V447" i="4"/>
  <c r="V448" i="4"/>
  <c r="V449" i="4"/>
  <c r="V450" i="4"/>
  <c r="V451" i="4"/>
  <c r="V452" i="4"/>
  <c r="V453" i="4"/>
  <c r="V454" i="4"/>
  <c r="V455" i="4"/>
  <c r="V456" i="4"/>
  <c r="V457" i="4"/>
  <c r="V458" i="4"/>
  <c r="V459" i="4"/>
  <c r="V460" i="4"/>
  <c r="V461" i="4"/>
  <c r="V462" i="4"/>
  <c r="V463" i="4"/>
  <c r="V464" i="4"/>
  <c r="V465" i="4"/>
  <c r="V466" i="4"/>
  <c r="V467" i="4"/>
  <c r="V468" i="4"/>
  <c r="V469" i="4"/>
  <c r="V470" i="4"/>
  <c r="V471" i="4"/>
  <c r="V472" i="4"/>
  <c r="V473" i="4"/>
  <c r="V474" i="4"/>
  <c r="V475" i="4"/>
  <c r="V476" i="4"/>
  <c r="V477" i="4"/>
  <c r="V478" i="4"/>
  <c r="V479" i="4"/>
  <c r="V480" i="4"/>
  <c r="V481" i="4"/>
  <c r="V482" i="4"/>
  <c r="V483" i="4"/>
  <c r="V484" i="4"/>
  <c r="V485" i="4"/>
  <c r="V486" i="4"/>
  <c r="V487" i="4"/>
  <c r="V488" i="4"/>
  <c r="V489" i="4"/>
  <c r="V490" i="4"/>
  <c r="V491" i="4"/>
  <c r="V492" i="4"/>
  <c r="V493" i="4"/>
  <c r="V494" i="4"/>
  <c r="V495" i="4"/>
  <c r="V496" i="4"/>
  <c r="V497" i="4"/>
  <c r="V498" i="4"/>
  <c r="V499" i="4"/>
  <c r="V500" i="4"/>
  <c r="V501" i="4"/>
  <c r="V502" i="4"/>
  <c r="V503" i="4"/>
  <c r="V504" i="4"/>
  <c r="V505" i="4"/>
  <c r="V506" i="4"/>
  <c r="V507" i="4"/>
  <c r="V508" i="4"/>
  <c r="V509" i="4"/>
  <c r="V510" i="4"/>
  <c r="V511" i="4"/>
  <c r="V512" i="4"/>
  <c r="V513" i="4"/>
  <c r="V514" i="4"/>
  <c r="V515" i="4"/>
  <c r="V516" i="4"/>
  <c r="V517" i="4"/>
  <c r="V518" i="4"/>
  <c r="V519" i="4"/>
  <c r="V520" i="4"/>
  <c r="V521" i="4"/>
  <c r="V522" i="4"/>
  <c r="V523" i="4"/>
  <c r="V524" i="4"/>
  <c r="V525" i="4"/>
  <c r="V526" i="4"/>
  <c r="V527" i="4"/>
  <c r="V528" i="4"/>
  <c r="V529" i="4"/>
  <c r="V530" i="4"/>
  <c r="V531" i="4"/>
  <c r="V532" i="4"/>
  <c r="V533" i="4"/>
  <c r="V534" i="4"/>
  <c r="V535" i="4"/>
  <c r="V536" i="4"/>
  <c r="V537" i="4"/>
  <c r="V538" i="4"/>
  <c r="V539" i="4"/>
  <c r="V540" i="4"/>
  <c r="V541" i="4"/>
  <c r="V542" i="4"/>
  <c r="V543" i="4"/>
  <c r="V544" i="4"/>
  <c r="V545" i="4"/>
  <c r="V546" i="4"/>
  <c r="V547" i="4"/>
  <c r="V548" i="4"/>
  <c r="V549" i="4"/>
  <c r="V550" i="4"/>
  <c r="V551" i="4"/>
  <c r="V552" i="4"/>
  <c r="V553" i="4"/>
  <c r="V554" i="4"/>
  <c r="V555" i="4"/>
  <c r="V556" i="4"/>
  <c r="V557" i="4"/>
  <c r="V558" i="4"/>
  <c r="V559" i="4"/>
  <c r="V560" i="4"/>
  <c r="V561" i="4"/>
  <c r="V562" i="4"/>
  <c r="V563" i="4"/>
  <c r="V564" i="4"/>
  <c r="V565" i="4"/>
  <c r="V566" i="4"/>
  <c r="V567" i="4"/>
  <c r="V568" i="4"/>
  <c r="V569" i="4"/>
  <c r="V570" i="4"/>
  <c r="V571" i="4"/>
  <c r="V572" i="4"/>
  <c r="V573" i="4"/>
  <c r="V574" i="4"/>
  <c r="V575" i="4"/>
  <c r="V576" i="4"/>
  <c r="V577" i="4"/>
  <c r="V578" i="4"/>
  <c r="V579" i="4"/>
  <c r="V580" i="4"/>
  <c r="V581" i="4"/>
  <c r="V582" i="4"/>
  <c r="V583" i="4"/>
  <c r="V584" i="4"/>
  <c r="V585" i="4"/>
  <c r="V586" i="4"/>
  <c r="V587" i="4"/>
  <c r="V588" i="4"/>
  <c r="V589" i="4"/>
  <c r="V590" i="4"/>
  <c r="V591" i="4"/>
  <c r="V592" i="4"/>
  <c r="V593" i="4"/>
  <c r="V594" i="4"/>
  <c r="V595" i="4"/>
  <c r="V596" i="4"/>
  <c r="V597" i="4"/>
  <c r="V598" i="4"/>
  <c r="V599" i="4"/>
  <c r="V600" i="4"/>
  <c r="V601" i="4"/>
  <c r="V602" i="4"/>
  <c r="V603" i="4"/>
  <c r="V604" i="4"/>
  <c r="V605" i="4"/>
  <c r="V606" i="4"/>
  <c r="V607" i="4"/>
  <c r="V608" i="4"/>
  <c r="V609" i="4"/>
  <c r="V610" i="4"/>
  <c r="V611" i="4"/>
  <c r="V612" i="4"/>
  <c r="V613" i="4"/>
  <c r="V614" i="4"/>
  <c r="V615" i="4"/>
  <c r="V616" i="4"/>
  <c r="V617" i="4"/>
  <c r="V618" i="4"/>
  <c r="V619" i="4"/>
  <c r="V620" i="4"/>
  <c r="V621" i="4"/>
  <c r="V622" i="4"/>
  <c r="V623" i="4"/>
  <c r="V624" i="4"/>
  <c r="V625" i="4"/>
  <c r="V626" i="4"/>
  <c r="V627" i="4"/>
  <c r="V628" i="4"/>
  <c r="V629" i="4"/>
  <c r="V630" i="4"/>
  <c r="V631" i="4"/>
  <c r="V632" i="4"/>
  <c r="V633" i="4"/>
  <c r="V634" i="4"/>
  <c r="V635" i="4"/>
  <c r="V636" i="4"/>
  <c r="V637" i="4"/>
  <c r="V638" i="4"/>
  <c r="V639" i="4"/>
  <c r="V640" i="4"/>
  <c r="V641" i="4"/>
  <c r="V642" i="4"/>
  <c r="V643" i="4"/>
  <c r="V644" i="4"/>
  <c r="V645" i="4"/>
  <c r="V646" i="4"/>
  <c r="V647" i="4"/>
  <c r="V648" i="4"/>
  <c r="V649" i="4"/>
  <c r="V650" i="4"/>
  <c r="V651" i="4"/>
  <c r="V652" i="4"/>
  <c r="V653" i="4"/>
  <c r="V654" i="4"/>
  <c r="V655" i="4"/>
  <c r="V656" i="4"/>
  <c r="V657" i="4"/>
  <c r="V658" i="4"/>
  <c r="V659" i="4"/>
  <c r="V660" i="4"/>
  <c r="V661" i="4"/>
  <c r="V662" i="4"/>
  <c r="V663" i="4"/>
  <c r="V664" i="4"/>
  <c r="V665" i="4"/>
  <c r="V666" i="4"/>
  <c r="V667" i="4"/>
  <c r="V668" i="4"/>
  <c r="V669" i="4"/>
  <c r="V670" i="4"/>
  <c r="V671" i="4"/>
  <c r="V672" i="4"/>
  <c r="V673" i="4"/>
  <c r="V674" i="4"/>
  <c r="V675" i="4"/>
  <c r="V676" i="4"/>
  <c r="V677" i="4"/>
  <c r="V678" i="4"/>
  <c r="V679" i="4"/>
  <c r="V680" i="4"/>
  <c r="V681" i="4"/>
  <c r="V682" i="4"/>
  <c r="V683" i="4"/>
  <c r="V684" i="4"/>
  <c r="V685" i="4"/>
  <c r="V686" i="4"/>
  <c r="V687" i="4"/>
  <c r="V688" i="4"/>
  <c r="V689" i="4"/>
  <c r="V690" i="4"/>
  <c r="V691" i="4"/>
  <c r="V692" i="4"/>
  <c r="V693" i="4"/>
  <c r="V694" i="4"/>
  <c r="V695" i="4"/>
  <c r="V696" i="4"/>
  <c r="V697" i="4"/>
  <c r="V698" i="4"/>
  <c r="V699" i="4"/>
  <c r="V700" i="4"/>
  <c r="V701" i="4"/>
  <c r="V702" i="4"/>
  <c r="V703" i="4"/>
  <c r="V704" i="4"/>
  <c r="V705" i="4"/>
  <c r="V706" i="4"/>
  <c r="V707" i="4"/>
  <c r="V708" i="4"/>
  <c r="V709" i="4"/>
  <c r="V710" i="4"/>
  <c r="V711" i="4"/>
  <c r="V712" i="4"/>
  <c r="V713" i="4"/>
  <c r="V714" i="4"/>
  <c r="V715" i="4"/>
  <c r="V716" i="4"/>
  <c r="V717" i="4"/>
  <c r="V718" i="4"/>
  <c r="V719" i="4"/>
  <c r="V720" i="4"/>
  <c r="V721" i="4"/>
  <c r="V722" i="4"/>
  <c r="V723" i="4"/>
  <c r="V724" i="4"/>
  <c r="V725" i="4"/>
  <c r="V726" i="4"/>
  <c r="V727" i="4"/>
  <c r="V728" i="4"/>
  <c r="V729" i="4"/>
  <c r="V730" i="4"/>
  <c r="V731" i="4"/>
  <c r="V732" i="4"/>
  <c r="V733" i="4"/>
  <c r="V734" i="4"/>
  <c r="V735" i="4"/>
  <c r="V736" i="4"/>
  <c r="V737" i="4"/>
  <c r="V738" i="4"/>
  <c r="V739" i="4"/>
  <c r="V740" i="4"/>
  <c r="V741" i="4"/>
  <c r="V742" i="4"/>
  <c r="V743" i="4"/>
  <c r="V744" i="4"/>
  <c r="V745" i="4"/>
  <c r="V746" i="4"/>
  <c r="V747" i="4"/>
  <c r="V748" i="4"/>
  <c r="V749" i="4"/>
  <c r="V750" i="4"/>
  <c r="V751" i="4"/>
  <c r="V752" i="4"/>
  <c r="V753" i="4"/>
  <c r="V754" i="4"/>
  <c r="V755" i="4"/>
  <c r="V756" i="4"/>
  <c r="V757" i="4"/>
  <c r="V758" i="4"/>
  <c r="V759" i="4"/>
  <c r="V760" i="4"/>
  <c r="V761" i="4"/>
  <c r="V762" i="4"/>
  <c r="V763" i="4"/>
  <c r="V764" i="4"/>
  <c r="V765" i="4"/>
  <c r="V766" i="4"/>
  <c r="V767" i="4"/>
  <c r="V768" i="4"/>
  <c r="V769" i="4"/>
  <c r="V770" i="4"/>
  <c r="V771" i="4"/>
  <c r="V772" i="4"/>
  <c r="V773" i="4"/>
  <c r="V774" i="4"/>
  <c r="V775" i="4"/>
  <c r="V776" i="4"/>
  <c r="V777" i="4"/>
  <c r="V778" i="4"/>
  <c r="V779" i="4"/>
  <c r="V780" i="4"/>
  <c r="V781" i="4"/>
  <c r="V782" i="4"/>
  <c r="V783" i="4"/>
  <c r="V784" i="4"/>
  <c r="V785" i="4"/>
  <c r="V786" i="4"/>
  <c r="V787" i="4"/>
  <c r="V788" i="4"/>
  <c r="V789" i="4"/>
  <c r="V790" i="4"/>
  <c r="V791" i="4"/>
  <c r="V792" i="4"/>
  <c r="V793" i="4"/>
  <c r="V794" i="4"/>
  <c r="V795" i="4"/>
  <c r="V796" i="4"/>
  <c r="V797" i="4"/>
  <c r="V798" i="4"/>
  <c r="V799" i="4"/>
  <c r="V800" i="4"/>
  <c r="V801" i="4"/>
  <c r="V802" i="4"/>
  <c r="V803" i="4"/>
  <c r="V804" i="4"/>
  <c r="V805" i="4"/>
  <c r="V806" i="4"/>
  <c r="V807" i="4"/>
  <c r="V808" i="4"/>
  <c r="V809" i="4"/>
  <c r="V810" i="4"/>
  <c r="V811" i="4"/>
  <c r="V812" i="4"/>
  <c r="V813" i="4"/>
  <c r="V814" i="4"/>
  <c r="V815" i="4"/>
  <c r="V816" i="4"/>
  <c r="V817" i="4"/>
  <c r="V818" i="4"/>
  <c r="V819" i="4"/>
  <c r="V820" i="4"/>
  <c r="V821" i="4"/>
  <c r="V822" i="4"/>
  <c r="V823" i="4"/>
  <c r="V824" i="4"/>
  <c r="V825" i="4"/>
  <c r="V826" i="4"/>
  <c r="V827" i="4"/>
  <c r="V828" i="4"/>
  <c r="V829" i="4"/>
  <c r="V830" i="4"/>
  <c r="V831" i="4"/>
  <c r="V832" i="4"/>
  <c r="V833" i="4"/>
  <c r="V834" i="4"/>
  <c r="V835" i="4"/>
  <c r="V836" i="4"/>
  <c r="V837" i="4"/>
  <c r="V838" i="4"/>
  <c r="V839" i="4"/>
  <c r="V840" i="4"/>
  <c r="V841" i="4"/>
  <c r="V842" i="4"/>
  <c r="V843" i="4"/>
  <c r="V844" i="4"/>
  <c r="V845" i="4"/>
  <c r="V846" i="4"/>
  <c r="V847" i="4"/>
  <c r="V848" i="4"/>
  <c r="V849" i="4"/>
  <c r="V850" i="4"/>
  <c r="V851" i="4"/>
  <c r="V852" i="4"/>
  <c r="V853" i="4"/>
  <c r="V854" i="4"/>
  <c r="V855" i="4"/>
  <c r="V856" i="4"/>
  <c r="V857" i="4"/>
  <c r="V858" i="4"/>
  <c r="V859" i="4"/>
  <c r="V860" i="4"/>
  <c r="V861" i="4"/>
  <c r="V862" i="4"/>
  <c r="V863" i="4"/>
  <c r="V864" i="4"/>
  <c r="V865" i="4"/>
  <c r="V866" i="4"/>
  <c r="V867" i="4"/>
  <c r="V868" i="4"/>
  <c r="V869" i="4"/>
  <c r="V870" i="4"/>
  <c r="V871" i="4"/>
  <c r="V872" i="4"/>
  <c r="V873" i="4"/>
  <c r="V874" i="4"/>
  <c r="V875" i="4"/>
  <c r="V876" i="4"/>
  <c r="V877" i="4"/>
  <c r="V878" i="4"/>
  <c r="V879" i="4"/>
  <c r="V880" i="4"/>
  <c r="V881" i="4"/>
  <c r="V882" i="4"/>
  <c r="V883" i="4"/>
  <c r="V884" i="4"/>
  <c r="V885" i="4"/>
  <c r="V886" i="4"/>
  <c r="V887" i="4"/>
  <c r="V888" i="4"/>
  <c r="V889" i="4"/>
  <c r="V890" i="4"/>
  <c r="V891" i="4"/>
  <c r="V892" i="4"/>
  <c r="V893" i="4"/>
  <c r="V894" i="4"/>
  <c r="V895" i="4"/>
  <c r="V896" i="4"/>
  <c r="V897" i="4"/>
  <c r="V898" i="4"/>
  <c r="V899" i="4"/>
  <c r="V900" i="4"/>
  <c r="V901" i="4"/>
  <c r="V902" i="4"/>
  <c r="V903" i="4"/>
  <c r="V904" i="4"/>
  <c r="V905" i="4"/>
  <c r="V906" i="4"/>
  <c r="V907" i="4"/>
  <c r="V908" i="4"/>
  <c r="V909" i="4"/>
  <c r="V910" i="4"/>
  <c r="V911" i="4"/>
  <c r="V912" i="4"/>
  <c r="V913" i="4"/>
  <c r="V914" i="4"/>
  <c r="V915" i="4"/>
  <c r="V916" i="4"/>
  <c r="V917" i="4"/>
  <c r="V918" i="4"/>
  <c r="V919" i="4"/>
  <c r="V920" i="4"/>
  <c r="V921" i="4"/>
  <c r="V922" i="4"/>
  <c r="V923" i="4"/>
  <c r="V924" i="4"/>
  <c r="V925" i="4"/>
  <c r="V926" i="4"/>
  <c r="V927" i="4"/>
  <c r="V928" i="4"/>
  <c r="V929" i="4"/>
  <c r="V930" i="4"/>
  <c r="V931" i="4"/>
  <c r="V932" i="4"/>
  <c r="V933" i="4"/>
  <c r="V934" i="4"/>
  <c r="V935" i="4"/>
  <c r="V936" i="4"/>
  <c r="V937" i="4"/>
  <c r="V938" i="4"/>
  <c r="V939" i="4"/>
  <c r="V940" i="4"/>
  <c r="V941" i="4"/>
  <c r="V942" i="4"/>
  <c r="V943" i="4"/>
  <c r="V944" i="4"/>
  <c r="V945" i="4"/>
  <c r="V946" i="4"/>
  <c r="V947" i="4"/>
  <c r="V948" i="4"/>
  <c r="V949" i="4"/>
  <c r="V950" i="4"/>
  <c r="V951" i="4"/>
  <c r="V952" i="4"/>
  <c r="V953" i="4"/>
  <c r="V954" i="4"/>
  <c r="V955" i="4"/>
  <c r="V956" i="4"/>
  <c r="V957" i="4"/>
  <c r="V958" i="4"/>
  <c r="V959" i="4"/>
  <c r="V960" i="4"/>
  <c r="V961" i="4"/>
  <c r="V962" i="4"/>
  <c r="V963" i="4"/>
  <c r="V964" i="4"/>
  <c r="V965" i="4"/>
  <c r="V966" i="4"/>
  <c r="V967" i="4"/>
  <c r="V968" i="4"/>
  <c r="V969" i="4"/>
  <c r="V970" i="4"/>
  <c r="V971" i="4"/>
  <c r="V972" i="4"/>
  <c r="V973" i="4"/>
  <c r="V974" i="4"/>
  <c r="V975" i="4"/>
  <c r="V976" i="4"/>
  <c r="V977" i="4"/>
  <c r="V978" i="4"/>
  <c r="V979" i="4"/>
  <c r="V980" i="4"/>
  <c r="V981" i="4"/>
  <c r="V982" i="4"/>
  <c r="V983" i="4"/>
  <c r="V984" i="4"/>
  <c r="V985" i="4"/>
  <c r="V986" i="4"/>
  <c r="V987" i="4"/>
  <c r="V988" i="4"/>
  <c r="V989" i="4"/>
  <c r="V990" i="4"/>
  <c r="V991" i="4"/>
  <c r="V992" i="4"/>
  <c r="V993" i="4"/>
  <c r="V994" i="4"/>
  <c r="V995" i="4"/>
  <c r="V996" i="4"/>
  <c r="V997" i="4"/>
  <c r="V998" i="4"/>
  <c r="V999" i="4"/>
  <c r="V1000" i="4"/>
  <c r="V1001" i="4"/>
  <c r="V1002" i="4"/>
  <c r="V1003" i="4"/>
  <c r="V1004" i="4"/>
  <c r="V1005" i="4"/>
  <c r="V1006" i="4"/>
  <c r="V1007" i="4"/>
  <c r="V1008" i="4"/>
  <c r="V1009" i="4"/>
  <c r="V1010" i="4"/>
  <c r="V1011" i="4"/>
  <c r="V1012" i="4"/>
  <c r="V1013" i="4"/>
  <c r="V1014" i="4"/>
  <c r="W2" i="4"/>
  <c r="W3" i="4"/>
  <c r="W4" i="4"/>
  <c r="W5" i="4"/>
  <c r="W6" i="4"/>
  <c r="W7" i="4"/>
  <c r="W8" i="4"/>
  <c r="W9" i="4"/>
  <c r="W10" i="4"/>
  <c r="W11" i="4"/>
  <c r="W12" i="4"/>
  <c r="W13" i="4"/>
  <c r="W14" i="4"/>
  <c r="W15" i="4"/>
  <c r="W16" i="4"/>
  <c r="W17" i="4"/>
  <c r="W18" i="4"/>
  <c r="W19" i="4"/>
  <c r="W20" i="4"/>
  <c r="W21" i="4"/>
  <c r="W22" i="4"/>
  <c r="W23" i="4"/>
  <c r="W24" i="4"/>
  <c r="W25" i="4"/>
  <c r="W26" i="4"/>
  <c r="W27" i="4"/>
  <c r="W28" i="4"/>
  <c r="W29" i="4"/>
  <c r="W30" i="4"/>
  <c r="W31" i="4"/>
  <c r="W32" i="4"/>
  <c r="W33" i="4"/>
  <c r="W34" i="4"/>
  <c r="W35" i="4"/>
  <c r="W36" i="4"/>
  <c r="W37" i="4"/>
  <c r="W38" i="4"/>
  <c r="W39" i="4"/>
  <c r="W40" i="4"/>
  <c r="W41" i="4"/>
  <c r="W42" i="4"/>
  <c r="W43" i="4"/>
  <c r="W44" i="4"/>
  <c r="W45" i="4"/>
  <c r="W46" i="4"/>
  <c r="W47" i="4"/>
  <c r="W48" i="4"/>
  <c r="W49" i="4"/>
  <c r="W50" i="4"/>
  <c r="W51" i="4"/>
  <c r="W52" i="4"/>
  <c r="W53" i="4"/>
  <c r="W54" i="4"/>
  <c r="W55" i="4"/>
  <c r="W56" i="4"/>
  <c r="W57" i="4"/>
  <c r="W58" i="4"/>
  <c r="W59" i="4"/>
  <c r="W60" i="4"/>
  <c r="W61" i="4"/>
  <c r="W62" i="4"/>
  <c r="W63" i="4"/>
  <c r="W64" i="4"/>
  <c r="W65" i="4"/>
  <c r="W66" i="4"/>
  <c r="W67" i="4"/>
  <c r="W68" i="4"/>
  <c r="W69" i="4"/>
  <c r="W70" i="4"/>
  <c r="W71" i="4"/>
  <c r="W72" i="4"/>
  <c r="W73" i="4"/>
  <c r="W74" i="4"/>
  <c r="W75" i="4"/>
  <c r="W76" i="4"/>
  <c r="W77" i="4"/>
  <c r="W78" i="4"/>
  <c r="W79" i="4"/>
  <c r="W80" i="4"/>
  <c r="W81" i="4"/>
  <c r="W82" i="4"/>
  <c r="W83" i="4"/>
  <c r="W84" i="4"/>
  <c r="W85" i="4"/>
  <c r="W86" i="4"/>
  <c r="W87" i="4"/>
  <c r="W88" i="4"/>
  <c r="W89" i="4"/>
  <c r="W90" i="4"/>
  <c r="W91" i="4"/>
  <c r="W92" i="4"/>
  <c r="W93" i="4"/>
  <c r="W94" i="4"/>
  <c r="W95" i="4"/>
  <c r="W96" i="4"/>
  <c r="W97" i="4"/>
  <c r="W98" i="4"/>
  <c r="W99" i="4"/>
  <c r="W100" i="4"/>
  <c r="W101" i="4"/>
  <c r="W102" i="4"/>
  <c r="W103" i="4"/>
  <c r="W104" i="4"/>
  <c r="W105" i="4"/>
  <c r="W106" i="4"/>
  <c r="W107" i="4"/>
  <c r="W108" i="4"/>
  <c r="W109" i="4"/>
  <c r="W110" i="4"/>
  <c r="W111" i="4"/>
  <c r="W112" i="4"/>
  <c r="W113" i="4"/>
  <c r="W114" i="4"/>
  <c r="W115" i="4"/>
  <c r="W116" i="4"/>
  <c r="W117" i="4"/>
  <c r="W118" i="4"/>
  <c r="W119" i="4"/>
  <c r="W120" i="4"/>
  <c r="W121" i="4"/>
  <c r="W122" i="4"/>
  <c r="W123" i="4"/>
  <c r="W124" i="4"/>
  <c r="W125" i="4"/>
  <c r="W126" i="4"/>
  <c r="W127" i="4"/>
  <c r="W128" i="4"/>
  <c r="W129" i="4"/>
  <c r="W130" i="4"/>
  <c r="W131" i="4"/>
  <c r="W132" i="4"/>
  <c r="W133" i="4"/>
  <c r="W134" i="4"/>
  <c r="W135" i="4"/>
  <c r="W136" i="4"/>
  <c r="W137" i="4"/>
  <c r="W138" i="4"/>
  <c r="W139" i="4"/>
  <c r="W140" i="4"/>
  <c r="W141" i="4"/>
  <c r="W142" i="4"/>
  <c r="W143" i="4"/>
  <c r="W144" i="4"/>
  <c r="W145" i="4"/>
  <c r="W146" i="4"/>
  <c r="W147" i="4"/>
  <c r="W148" i="4"/>
  <c r="W149" i="4"/>
  <c r="W150" i="4"/>
  <c r="W151" i="4"/>
  <c r="W152" i="4"/>
  <c r="W153" i="4"/>
  <c r="W154" i="4"/>
  <c r="W155" i="4"/>
  <c r="W156" i="4"/>
  <c r="W157" i="4"/>
  <c r="W158" i="4"/>
  <c r="W159" i="4"/>
  <c r="W160" i="4"/>
  <c r="W161" i="4"/>
  <c r="W162" i="4"/>
  <c r="W163" i="4"/>
  <c r="W164" i="4"/>
  <c r="W165" i="4"/>
  <c r="W166" i="4"/>
  <c r="W167" i="4"/>
  <c r="W168" i="4"/>
  <c r="W169" i="4"/>
  <c r="W170" i="4"/>
  <c r="W171" i="4"/>
  <c r="W172" i="4"/>
  <c r="W173" i="4"/>
  <c r="W174" i="4"/>
  <c r="W175" i="4"/>
  <c r="W176" i="4"/>
  <c r="W177" i="4"/>
  <c r="W178" i="4"/>
  <c r="W179" i="4"/>
  <c r="W180" i="4"/>
  <c r="W181" i="4"/>
  <c r="W182" i="4"/>
  <c r="W183" i="4"/>
  <c r="W184" i="4"/>
  <c r="W185" i="4"/>
  <c r="W186" i="4"/>
  <c r="W187" i="4"/>
  <c r="W188" i="4"/>
  <c r="W189" i="4"/>
  <c r="W190" i="4"/>
  <c r="W191" i="4"/>
  <c r="W192" i="4"/>
  <c r="W193" i="4"/>
  <c r="W194" i="4"/>
  <c r="W195" i="4"/>
  <c r="W196" i="4"/>
  <c r="W197" i="4"/>
  <c r="W198" i="4"/>
  <c r="W199" i="4"/>
  <c r="W200" i="4"/>
  <c r="W201" i="4"/>
  <c r="W202" i="4"/>
  <c r="W203" i="4"/>
  <c r="W204" i="4"/>
  <c r="W205" i="4"/>
  <c r="W206" i="4"/>
  <c r="W207" i="4"/>
  <c r="W208" i="4"/>
  <c r="W209" i="4"/>
  <c r="W210" i="4"/>
  <c r="W211" i="4"/>
  <c r="W212" i="4"/>
  <c r="W213" i="4"/>
  <c r="W214" i="4"/>
  <c r="W215" i="4"/>
  <c r="W216" i="4"/>
  <c r="W217" i="4"/>
  <c r="W218" i="4"/>
  <c r="W219" i="4"/>
  <c r="W220" i="4"/>
  <c r="W221" i="4"/>
  <c r="W222" i="4"/>
  <c r="W223" i="4"/>
  <c r="W224" i="4"/>
  <c r="W225" i="4"/>
  <c r="W226" i="4"/>
  <c r="W227" i="4"/>
  <c r="W228" i="4"/>
  <c r="W229" i="4"/>
  <c r="W230" i="4"/>
  <c r="W231" i="4"/>
  <c r="W232" i="4"/>
  <c r="W233" i="4"/>
  <c r="W234" i="4"/>
  <c r="W235" i="4"/>
  <c r="W236" i="4"/>
  <c r="W237" i="4"/>
  <c r="W238" i="4"/>
  <c r="W239" i="4"/>
  <c r="W240" i="4"/>
  <c r="W241" i="4"/>
  <c r="W242" i="4"/>
  <c r="W243" i="4"/>
  <c r="W244" i="4"/>
  <c r="W245" i="4"/>
  <c r="W246" i="4"/>
  <c r="W247" i="4"/>
  <c r="W248" i="4"/>
  <c r="W249" i="4"/>
  <c r="W250" i="4"/>
  <c r="W251" i="4"/>
  <c r="W252" i="4"/>
  <c r="W253" i="4"/>
  <c r="W254" i="4"/>
  <c r="W255" i="4"/>
  <c r="W256" i="4"/>
  <c r="W257" i="4"/>
  <c r="W258" i="4"/>
  <c r="W259" i="4"/>
  <c r="W260" i="4"/>
  <c r="W261" i="4"/>
  <c r="W262" i="4"/>
  <c r="W263" i="4"/>
  <c r="W264" i="4"/>
  <c r="W265" i="4"/>
  <c r="W266" i="4"/>
  <c r="W267" i="4"/>
  <c r="W268" i="4"/>
  <c r="W269" i="4"/>
  <c r="W270" i="4"/>
  <c r="W271" i="4"/>
  <c r="W272" i="4"/>
  <c r="W273" i="4"/>
  <c r="W274" i="4"/>
  <c r="W275" i="4"/>
  <c r="W276" i="4"/>
  <c r="W277" i="4"/>
  <c r="W278" i="4"/>
  <c r="W279" i="4"/>
  <c r="W280" i="4"/>
  <c r="W281" i="4"/>
  <c r="W282" i="4"/>
  <c r="W283" i="4"/>
  <c r="W284" i="4"/>
  <c r="W285" i="4"/>
  <c r="W286" i="4"/>
  <c r="W287" i="4"/>
  <c r="W288" i="4"/>
  <c r="W289" i="4"/>
  <c r="W290" i="4"/>
  <c r="W291" i="4"/>
  <c r="W292" i="4"/>
  <c r="W293" i="4"/>
  <c r="W294" i="4"/>
  <c r="W295" i="4"/>
  <c r="W296" i="4"/>
  <c r="W297" i="4"/>
  <c r="W298" i="4"/>
  <c r="W299" i="4"/>
  <c r="W300" i="4"/>
  <c r="W301" i="4"/>
  <c r="W302" i="4"/>
  <c r="W303" i="4"/>
  <c r="W304" i="4"/>
  <c r="W305" i="4"/>
  <c r="W306" i="4"/>
  <c r="W307" i="4"/>
  <c r="W308" i="4"/>
  <c r="W309" i="4"/>
  <c r="W310" i="4"/>
  <c r="W311" i="4"/>
  <c r="W312" i="4"/>
  <c r="W313" i="4"/>
  <c r="W314" i="4"/>
  <c r="W315" i="4"/>
  <c r="W316" i="4"/>
  <c r="W317" i="4"/>
  <c r="W318" i="4"/>
  <c r="W319" i="4"/>
  <c r="W320" i="4"/>
  <c r="W321" i="4"/>
  <c r="W322" i="4"/>
  <c r="W323" i="4"/>
  <c r="W324" i="4"/>
  <c r="W325" i="4"/>
  <c r="W326" i="4"/>
  <c r="W327" i="4"/>
  <c r="W328" i="4"/>
  <c r="W329" i="4"/>
  <c r="W330" i="4"/>
  <c r="W331" i="4"/>
  <c r="W332" i="4"/>
  <c r="W333" i="4"/>
  <c r="W334" i="4"/>
  <c r="W335" i="4"/>
  <c r="W336" i="4"/>
  <c r="W337" i="4"/>
  <c r="W338" i="4"/>
  <c r="W339" i="4"/>
  <c r="W340" i="4"/>
  <c r="W341" i="4"/>
  <c r="W342" i="4"/>
  <c r="W343" i="4"/>
  <c r="W344" i="4"/>
  <c r="W345" i="4"/>
  <c r="W346" i="4"/>
  <c r="W347" i="4"/>
  <c r="W348" i="4"/>
  <c r="W349" i="4"/>
  <c r="W350" i="4"/>
  <c r="W351" i="4"/>
  <c r="W352" i="4"/>
  <c r="W353" i="4"/>
  <c r="W354" i="4"/>
  <c r="W355" i="4"/>
  <c r="W356" i="4"/>
  <c r="W357" i="4"/>
  <c r="W358" i="4"/>
  <c r="W359" i="4"/>
  <c r="W360" i="4"/>
  <c r="W361" i="4"/>
  <c r="W362" i="4"/>
  <c r="W363" i="4"/>
  <c r="W364" i="4"/>
  <c r="W365" i="4"/>
  <c r="W366" i="4"/>
  <c r="W367" i="4"/>
  <c r="W368" i="4"/>
  <c r="W369" i="4"/>
  <c r="W370" i="4"/>
  <c r="W371" i="4"/>
  <c r="W372" i="4"/>
  <c r="W373" i="4"/>
  <c r="W374" i="4"/>
  <c r="W375" i="4"/>
  <c r="W376" i="4"/>
  <c r="W377" i="4"/>
  <c r="W378" i="4"/>
  <c r="W379" i="4"/>
  <c r="W380" i="4"/>
  <c r="W381" i="4"/>
  <c r="W382" i="4"/>
  <c r="W383" i="4"/>
  <c r="W384" i="4"/>
  <c r="W385" i="4"/>
  <c r="W386" i="4"/>
  <c r="W387" i="4"/>
  <c r="W388" i="4"/>
  <c r="W389" i="4"/>
  <c r="W390" i="4"/>
  <c r="W391" i="4"/>
  <c r="W392" i="4"/>
  <c r="W393" i="4"/>
  <c r="W394" i="4"/>
  <c r="W395" i="4"/>
  <c r="W396" i="4"/>
  <c r="W397" i="4"/>
  <c r="W398" i="4"/>
  <c r="W399" i="4"/>
  <c r="W400" i="4"/>
  <c r="W401" i="4"/>
  <c r="W402" i="4"/>
  <c r="W403" i="4"/>
  <c r="W404" i="4"/>
  <c r="W405" i="4"/>
  <c r="W406" i="4"/>
  <c r="W407" i="4"/>
  <c r="W408" i="4"/>
  <c r="W409" i="4"/>
  <c r="W410" i="4"/>
  <c r="W411" i="4"/>
  <c r="W412" i="4"/>
  <c r="W413" i="4"/>
  <c r="W414" i="4"/>
  <c r="W415" i="4"/>
  <c r="W416" i="4"/>
  <c r="W417" i="4"/>
  <c r="W418" i="4"/>
  <c r="W419" i="4"/>
  <c r="W420" i="4"/>
  <c r="W421" i="4"/>
  <c r="W422" i="4"/>
  <c r="W423" i="4"/>
  <c r="W424" i="4"/>
  <c r="W425" i="4"/>
  <c r="W426" i="4"/>
  <c r="W427" i="4"/>
  <c r="W428" i="4"/>
  <c r="W429" i="4"/>
  <c r="W430" i="4"/>
  <c r="W431" i="4"/>
  <c r="W432" i="4"/>
  <c r="W433" i="4"/>
  <c r="W434" i="4"/>
  <c r="W435" i="4"/>
  <c r="W436" i="4"/>
  <c r="W437" i="4"/>
  <c r="W438" i="4"/>
  <c r="W439" i="4"/>
  <c r="W440" i="4"/>
  <c r="W441" i="4"/>
  <c r="W442" i="4"/>
  <c r="W443" i="4"/>
  <c r="W444" i="4"/>
  <c r="W445" i="4"/>
  <c r="W446" i="4"/>
  <c r="W447" i="4"/>
  <c r="W448" i="4"/>
  <c r="W449" i="4"/>
  <c r="W450" i="4"/>
  <c r="W451" i="4"/>
  <c r="W452" i="4"/>
  <c r="W453" i="4"/>
  <c r="W454" i="4"/>
  <c r="W455" i="4"/>
  <c r="W456" i="4"/>
  <c r="W457" i="4"/>
  <c r="W458" i="4"/>
  <c r="W459" i="4"/>
  <c r="W460" i="4"/>
  <c r="W461" i="4"/>
  <c r="W462" i="4"/>
  <c r="W463" i="4"/>
  <c r="W464" i="4"/>
  <c r="W465" i="4"/>
  <c r="W466" i="4"/>
  <c r="W467" i="4"/>
  <c r="W468" i="4"/>
  <c r="W469" i="4"/>
  <c r="W470" i="4"/>
  <c r="W471" i="4"/>
  <c r="W472" i="4"/>
  <c r="W473" i="4"/>
  <c r="W474" i="4"/>
  <c r="W475" i="4"/>
  <c r="W476" i="4"/>
  <c r="W477" i="4"/>
  <c r="W478" i="4"/>
  <c r="W479" i="4"/>
  <c r="W480" i="4"/>
  <c r="W481" i="4"/>
  <c r="W482" i="4"/>
  <c r="W483" i="4"/>
  <c r="W484" i="4"/>
  <c r="W485" i="4"/>
  <c r="W486" i="4"/>
  <c r="W487" i="4"/>
  <c r="W488" i="4"/>
  <c r="W489" i="4"/>
  <c r="W490" i="4"/>
  <c r="W491" i="4"/>
  <c r="W492" i="4"/>
  <c r="W493" i="4"/>
  <c r="W494" i="4"/>
  <c r="W495" i="4"/>
  <c r="W496" i="4"/>
  <c r="W497" i="4"/>
  <c r="W498" i="4"/>
  <c r="W499" i="4"/>
  <c r="W500" i="4"/>
  <c r="W501" i="4"/>
  <c r="W502" i="4"/>
  <c r="W503" i="4"/>
  <c r="W504" i="4"/>
  <c r="W505" i="4"/>
  <c r="W506" i="4"/>
  <c r="W507" i="4"/>
  <c r="W508" i="4"/>
  <c r="W509" i="4"/>
  <c r="W510" i="4"/>
  <c r="W511" i="4"/>
  <c r="W512" i="4"/>
  <c r="W513" i="4"/>
  <c r="W514" i="4"/>
  <c r="W515" i="4"/>
  <c r="W516" i="4"/>
  <c r="W517" i="4"/>
  <c r="W518" i="4"/>
  <c r="W519" i="4"/>
  <c r="W520" i="4"/>
  <c r="W521" i="4"/>
  <c r="W522" i="4"/>
  <c r="W523" i="4"/>
  <c r="W524" i="4"/>
  <c r="W525" i="4"/>
  <c r="W526" i="4"/>
  <c r="W527" i="4"/>
  <c r="W528" i="4"/>
  <c r="W529" i="4"/>
  <c r="W530" i="4"/>
  <c r="W531" i="4"/>
  <c r="W532" i="4"/>
  <c r="W533" i="4"/>
  <c r="W534" i="4"/>
  <c r="W535" i="4"/>
  <c r="W536" i="4"/>
  <c r="W537" i="4"/>
  <c r="W538" i="4"/>
  <c r="W539" i="4"/>
  <c r="W540" i="4"/>
  <c r="W541" i="4"/>
  <c r="W542" i="4"/>
  <c r="W543" i="4"/>
  <c r="W544" i="4"/>
  <c r="W545" i="4"/>
  <c r="W546" i="4"/>
  <c r="W547" i="4"/>
  <c r="W548" i="4"/>
  <c r="W549" i="4"/>
  <c r="W550" i="4"/>
  <c r="W551" i="4"/>
  <c r="W552" i="4"/>
  <c r="W553" i="4"/>
  <c r="W554" i="4"/>
  <c r="W555" i="4"/>
  <c r="W556" i="4"/>
  <c r="W557" i="4"/>
  <c r="W558" i="4"/>
  <c r="W559" i="4"/>
  <c r="W560" i="4"/>
  <c r="W561" i="4"/>
  <c r="W562" i="4"/>
  <c r="W563" i="4"/>
  <c r="W564" i="4"/>
  <c r="W565" i="4"/>
  <c r="W566" i="4"/>
  <c r="W567" i="4"/>
  <c r="W568" i="4"/>
  <c r="W569" i="4"/>
  <c r="W570" i="4"/>
  <c r="W571" i="4"/>
  <c r="W572" i="4"/>
  <c r="W573" i="4"/>
  <c r="W574" i="4"/>
  <c r="W575" i="4"/>
  <c r="W576" i="4"/>
  <c r="W577" i="4"/>
  <c r="W578" i="4"/>
  <c r="W579" i="4"/>
  <c r="W580" i="4"/>
  <c r="W581" i="4"/>
  <c r="W582" i="4"/>
  <c r="W583" i="4"/>
  <c r="W584" i="4"/>
  <c r="W585" i="4"/>
  <c r="W586" i="4"/>
  <c r="W587" i="4"/>
  <c r="W588" i="4"/>
  <c r="W589" i="4"/>
  <c r="W590" i="4"/>
  <c r="W591" i="4"/>
  <c r="W592" i="4"/>
  <c r="W593" i="4"/>
  <c r="W594" i="4"/>
  <c r="W595" i="4"/>
  <c r="W596" i="4"/>
  <c r="W597" i="4"/>
  <c r="W598" i="4"/>
  <c r="W599" i="4"/>
  <c r="W600" i="4"/>
  <c r="W601" i="4"/>
  <c r="W602" i="4"/>
  <c r="W603" i="4"/>
  <c r="W604" i="4"/>
  <c r="W605" i="4"/>
  <c r="W606" i="4"/>
  <c r="W607" i="4"/>
  <c r="W608" i="4"/>
  <c r="W609" i="4"/>
  <c r="W610" i="4"/>
  <c r="W611" i="4"/>
  <c r="W612" i="4"/>
  <c r="W613" i="4"/>
  <c r="W614" i="4"/>
  <c r="W615" i="4"/>
  <c r="W616" i="4"/>
  <c r="W617" i="4"/>
  <c r="W618" i="4"/>
  <c r="W619" i="4"/>
  <c r="W620" i="4"/>
  <c r="W621" i="4"/>
  <c r="W622" i="4"/>
  <c r="W623" i="4"/>
  <c r="W624" i="4"/>
  <c r="W625" i="4"/>
  <c r="W626" i="4"/>
  <c r="W627" i="4"/>
  <c r="W628" i="4"/>
  <c r="W629" i="4"/>
  <c r="W630" i="4"/>
  <c r="W631" i="4"/>
  <c r="W632" i="4"/>
  <c r="W633" i="4"/>
  <c r="W634" i="4"/>
  <c r="W635" i="4"/>
  <c r="W636" i="4"/>
  <c r="W637" i="4"/>
  <c r="W638" i="4"/>
  <c r="W639" i="4"/>
  <c r="W640" i="4"/>
  <c r="W641" i="4"/>
  <c r="W642" i="4"/>
  <c r="W643" i="4"/>
  <c r="W644" i="4"/>
  <c r="W645" i="4"/>
  <c r="W646" i="4"/>
  <c r="W647" i="4"/>
  <c r="W648" i="4"/>
  <c r="W649" i="4"/>
  <c r="W650" i="4"/>
  <c r="W651" i="4"/>
  <c r="W652" i="4"/>
  <c r="W653" i="4"/>
  <c r="W654" i="4"/>
  <c r="W655" i="4"/>
  <c r="W656" i="4"/>
  <c r="W657" i="4"/>
  <c r="W658" i="4"/>
  <c r="W659" i="4"/>
  <c r="W660" i="4"/>
  <c r="W661" i="4"/>
  <c r="W662" i="4"/>
  <c r="W663" i="4"/>
  <c r="W664" i="4"/>
  <c r="W665" i="4"/>
  <c r="W666" i="4"/>
  <c r="W667" i="4"/>
  <c r="W668" i="4"/>
  <c r="W669" i="4"/>
  <c r="W670" i="4"/>
  <c r="W671" i="4"/>
  <c r="W672" i="4"/>
  <c r="W673" i="4"/>
  <c r="W674" i="4"/>
  <c r="W675" i="4"/>
  <c r="W676" i="4"/>
  <c r="W677" i="4"/>
  <c r="W678" i="4"/>
  <c r="W679" i="4"/>
  <c r="W680" i="4"/>
  <c r="W681" i="4"/>
  <c r="W682" i="4"/>
  <c r="W683" i="4"/>
  <c r="W684" i="4"/>
  <c r="W685" i="4"/>
  <c r="W686" i="4"/>
  <c r="W687" i="4"/>
  <c r="W688" i="4"/>
  <c r="W689" i="4"/>
  <c r="W690" i="4"/>
  <c r="W691" i="4"/>
  <c r="W692" i="4"/>
  <c r="W693" i="4"/>
  <c r="W694" i="4"/>
  <c r="W695" i="4"/>
  <c r="W696" i="4"/>
  <c r="W697" i="4"/>
  <c r="W698" i="4"/>
  <c r="W699" i="4"/>
  <c r="W700" i="4"/>
  <c r="W701" i="4"/>
  <c r="W702" i="4"/>
  <c r="W703" i="4"/>
  <c r="W704" i="4"/>
  <c r="W705" i="4"/>
  <c r="W706" i="4"/>
  <c r="W707" i="4"/>
  <c r="W708" i="4"/>
  <c r="W709" i="4"/>
  <c r="W710" i="4"/>
  <c r="W711" i="4"/>
  <c r="W712" i="4"/>
  <c r="W713" i="4"/>
  <c r="W714" i="4"/>
  <c r="W715" i="4"/>
  <c r="W716" i="4"/>
  <c r="W717" i="4"/>
  <c r="W718" i="4"/>
  <c r="W719" i="4"/>
  <c r="W720" i="4"/>
  <c r="W721" i="4"/>
  <c r="W722" i="4"/>
  <c r="W723" i="4"/>
  <c r="W724" i="4"/>
  <c r="W725" i="4"/>
  <c r="W726" i="4"/>
  <c r="W727" i="4"/>
  <c r="W728" i="4"/>
  <c r="W729" i="4"/>
  <c r="W730" i="4"/>
  <c r="W731" i="4"/>
  <c r="W732" i="4"/>
  <c r="W733" i="4"/>
  <c r="W734" i="4"/>
  <c r="W735" i="4"/>
  <c r="W736" i="4"/>
  <c r="W737" i="4"/>
  <c r="W738" i="4"/>
  <c r="W739" i="4"/>
  <c r="W740" i="4"/>
  <c r="W741" i="4"/>
  <c r="W742" i="4"/>
  <c r="W743" i="4"/>
  <c r="W744" i="4"/>
  <c r="W745" i="4"/>
  <c r="W746" i="4"/>
  <c r="W747" i="4"/>
  <c r="W748" i="4"/>
  <c r="W749" i="4"/>
  <c r="W750" i="4"/>
  <c r="W751" i="4"/>
  <c r="W752" i="4"/>
  <c r="W753" i="4"/>
  <c r="W754" i="4"/>
  <c r="W755" i="4"/>
  <c r="W756" i="4"/>
  <c r="W757" i="4"/>
  <c r="W758" i="4"/>
  <c r="W759" i="4"/>
  <c r="W760" i="4"/>
  <c r="W761" i="4"/>
  <c r="W762" i="4"/>
  <c r="W763" i="4"/>
  <c r="W764" i="4"/>
  <c r="W765" i="4"/>
  <c r="W766" i="4"/>
  <c r="W767" i="4"/>
  <c r="W768" i="4"/>
  <c r="W769" i="4"/>
  <c r="W770" i="4"/>
  <c r="W771" i="4"/>
  <c r="W772" i="4"/>
  <c r="W773" i="4"/>
  <c r="W774" i="4"/>
  <c r="W775" i="4"/>
  <c r="W776" i="4"/>
  <c r="W777" i="4"/>
  <c r="W778" i="4"/>
  <c r="W779" i="4"/>
  <c r="W780" i="4"/>
  <c r="W781" i="4"/>
  <c r="W782" i="4"/>
  <c r="W783" i="4"/>
  <c r="W784" i="4"/>
  <c r="W785" i="4"/>
  <c r="W786" i="4"/>
  <c r="W787" i="4"/>
  <c r="W788" i="4"/>
  <c r="W789" i="4"/>
  <c r="W790" i="4"/>
  <c r="W791" i="4"/>
  <c r="W792" i="4"/>
  <c r="W793" i="4"/>
  <c r="W794" i="4"/>
  <c r="W795" i="4"/>
  <c r="W796" i="4"/>
  <c r="W797" i="4"/>
  <c r="W798" i="4"/>
  <c r="W799" i="4"/>
  <c r="W800" i="4"/>
  <c r="W801" i="4"/>
  <c r="W802" i="4"/>
  <c r="W803" i="4"/>
  <c r="W804" i="4"/>
  <c r="W805" i="4"/>
  <c r="W806" i="4"/>
  <c r="W807" i="4"/>
  <c r="W808" i="4"/>
  <c r="W809" i="4"/>
  <c r="W810" i="4"/>
  <c r="W811" i="4"/>
  <c r="W812" i="4"/>
  <c r="W813" i="4"/>
  <c r="W814" i="4"/>
  <c r="W815" i="4"/>
  <c r="W816" i="4"/>
  <c r="W817" i="4"/>
  <c r="W818" i="4"/>
  <c r="W819" i="4"/>
  <c r="W820" i="4"/>
  <c r="W821" i="4"/>
  <c r="W822" i="4"/>
  <c r="W823" i="4"/>
  <c r="W824" i="4"/>
  <c r="W825" i="4"/>
  <c r="W826" i="4"/>
  <c r="W827" i="4"/>
  <c r="W828" i="4"/>
  <c r="W829" i="4"/>
  <c r="W830" i="4"/>
  <c r="W831" i="4"/>
  <c r="W832" i="4"/>
  <c r="W833" i="4"/>
  <c r="W834" i="4"/>
  <c r="W835" i="4"/>
  <c r="W836" i="4"/>
  <c r="W837" i="4"/>
  <c r="W838" i="4"/>
  <c r="W839" i="4"/>
  <c r="W840" i="4"/>
  <c r="W841" i="4"/>
  <c r="W842" i="4"/>
  <c r="W843" i="4"/>
  <c r="W844" i="4"/>
  <c r="W845" i="4"/>
  <c r="W846" i="4"/>
  <c r="W847" i="4"/>
  <c r="W848" i="4"/>
  <c r="W849" i="4"/>
  <c r="W850" i="4"/>
  <c r="W851" i="4"/>
  <c r="W852" i="4"/>
  <c r="W853" i="4"/>
  <c r="W854" i="4"/>
  <c r="W855" i="4"/>
  <c r="W856" i="4"/>
  <c r="W857" i="4"/>
  <c r="W858" i="4"/>
  <c r="W859" i="4"/>
  <c r="W860" i="4"/>
  <c r="W861" i="4"/>
  <c r="W862" i="4"/>
  <c r="W863" i="4"/>
  <c r="W864" i="4"/>
  <c r="W865" i="4"/>
  <c r="W866" i="4"/>
  <c r="W867" i="4"/>
  <c r="W868" i="4"/>
  <c r="W869" i="4"/>
  <c r="W870" i="4"/>
  <c r="W871" i="4"/>
  <c r="W872" i="4"/>
  <c r="W873" i="4"/>
  <c r="W874" i="4"/>
  <c r="W875" i="4"/>
  <c r="W876" i="4"/>
  <c r="W877" i="4"/>
  <c r="W878" i="4"/>
  <c r="W879" i="4"/>
  <c r="W880" i="4"/>
  <c r="W881" i="4"/>
  <c r="W882" i="4"/>
  <c r="W883" i="4"/>
  <c r="W884" i="4"/>
  <c r="W885" i="4"/>
  <c r="W886" i="4"/>
  <c r="W887" i="4"/>
  <c r="W888" i="4"/>
  <c r="W889" i="4"/>
  <c r="W890" i="4"/>
  <c r="W891" i="4"/>
  <c r="W892" i="4"/>
  <c r="W893" i="4"/>
  <c r="W894" i="4"/>
  <c r="W895" i="4"/>
  <c r="W896" i="4"/>
  <c r="W897" i="4"/>
  <c r="W898" i="4"/>
  <c r="W899" i="4"/>
  <c r="W900" i="4"/>
  <c r="W901" i="4"/>
  <c r="W902" i="4"/>
  <c r="W903" i="4"/>
  <c r="W904" i="4"/>
  <c r="W905" i="4"/>
  <c r="W906" i="4"/>
  <c r="W907" i="4"/>
  <c r="W908" i="4"/>
  <c r="W909" i="4"/>
  <c r="W910" i="4"/>
  <c r="W911" i="4"/>
  <c r="W912" i="4"/>
  <c r="W913" i="4"/>
  <c r="W914" i="4"/>
  <c r="W915" i="4"/>
  <c r="W916" i="4"/>
  <c r="W917" i="4"/>
  <c r="W918" i="4"/>
  <c r="W919" i="4"/>
  <c r="W920" i="4"/>
  <c r="W921" i="4"/>
  <c r="W922" i="4"/>
  <c r="W923" i="4"/>
  <c r="W924" i="4"/>
  <c r="W925" i="4"/>
  <c r="W926" i="4"/>
  <c r="W927" i="4"/>
  <c r="W928" i="4"/>
  <c r="W929" i="4"/>
  <c r="W930" i="4"/>
  <c r="W931" i="4"/>
  <c r="W932" i="4"/>
  <c r="W933" i="4"/>
  <c r="W934" i="4"/>
  <c r="W935" i="4"/>
  <c r="W936" i="4"/>
  <c r="W937" i="4"/>
  <c r="W938" i="4"/>
  <c r="W939" i="4"/>
  <c r="W940" i="4"/>
  <c r="W941" i="4"/>
  <c r="W942" i="4"/>
  <c r="W943" i="4"/>
  <c r="W944" i="4"/>
  <c r="W945" i="4"/>
  <c r="W946" i="4"/>
  <c r="W947" i="4"/>
  <c r="W948" i="4"/>
  <c r="W949" i="4"/>
  <c r="W950" i="4"/>
  <c r="W951" i="4"/>
  <c r="W952" i="4"/>
  <c r="W953" i="4"/>
  <c r="W954" i="4"/>
  <c r="W955" i="4"/>
  <c r="W956" i="4"/>
  <c r="W957" i="4"/>
  <c r="W958" i="4"/>
  <c r="W959" i="4"/>
  <c r="W960" i="4"/>
  <c r="W961" i="4"/>
  <c r="W962" i="4"/>
  <c r="W963" i="4"/>
  <c r="W964" i="4"/>
  <c r="W965" i="4"/>
  <c r="W966" i="4"/>
  <c r="W967" i="4"/>
  <c r="W968" i="4"/>
  <c r="W969" i="4"/>
  <c r="W970" i="4"/>
  <c r="W971" i="4"/>
  <c r="W972" i="4"/>
  <c r="W973" i="4"/>
  <c r="W974" i="4"/>
  <c r="W975" i="4"/>
  <c r="W976" i="4"/>
  <c r="W977" i="4"/>
  <c r="W978" i="4"/>
  <c r="W979" i="4"/>
  <c r="W980" i="4"/>
  <c r="W981" i="4"/>
  <c r="W982" i="4"/>
  <c r="W983" i="4"/>
  <c r="W984" i="4"/>
  <c r="W985" i="4"/>
  <c r="W986" i="4"/>
  <c r="W987" i="4"/>
  <c r="W988" i="4"/>
  <c r="W989" i="4"/>
  <c r="W990" i="4"/>
  <c r="W991" i="4"/>
  <c r="W992" i="4"/>
  <c r="W993" i="4"/>
  <c r="W994" i="4"/>
  <c r="W995" i="4"/>
  <c r="W996" i="4"/>
  <c r="W997" i="4"/>
  <c r="W998" i="4"/>
  <c r="W999" i="4"/>
  <c r="W1000" i="4"/>
  <c r="W1001" i="4"/>
  <c r="W1002" i="4"/>
  <c r="W1003" i="4"/>
  <c r="W1004" i="4"/>
  <c r="W1005" i="4"/>
  <c r="W1006" i="4"/>
  <c r="W1007" i="4"/>
  <c r="W1008" i="4"/>
  <c r="W1009" i="4"/>
  <c r="W1010" i="4"/>
  <c r="W1011" i="4"/>
  <c r="W1012" i="4"/>
  <c r="W1013" i="4"/>
  <c r="W1014" i="4"/>
  <c r="X2" i="4"/>
  <c r="X3" i="4"/>
  <c r="Y3" i="4" s="1"/>
  <c r="X4" i="4"/>
  <c r="Y4" i="4" s="1"/>
  <c r="X5" i="4"/>
  <c r="X6" i="4"/>
  <c r="X7" i="4"/>
  <c r="X8" i="4"/>
  <c r="Y8" i="4" s="1"/>
  <c r="X9" i="4"/>
  <c r="X10" i="4"/>
  <c r="X11" i="4"/>
  <c r="Y11" i="4" s="1"/>
  <c r="X12" i="4"/>
  <c r="Y12" i="4" s="1"/>
  <c r="X13" i="4"/>
  <c r="Y13" i="4" s="1"/>
  <c r="X14" i="4"/>
  <c r="X15" i="4"/>
  <c r="Y15" i="4" s="1"/>
  <c r="X16" i="4"/>
  <c r="Y16" i="4" s="1"/>
  <c r="X17" i="4"/>
  <c r="X18" i="4"/>
  <c r="X19" i="4"/>
  <c r="Y19" i="4" s="1"/>
  <c r="X20" i="4"/>
  <c r="Y20" i="4" s="1"/>
  <c r="X21" i="4"/>
  <c r="X22" i="4"/>
  <c r="X23" i="4"/>
  <c r="X24" i="4"/>
  <c r="Y24" i="4" s="1"/>
  <c r="X25" i="4"/>
  <c r="Y25" i="4" s="1"/>
  <c r="X26" i="4"/>
  <c r="X27" i="4"/>
  <c r="Y27" i="4" s="1"/>
  <c r="X28" i="4"/>
  <c r="Y28" i="4" s="1"/>
  <c r="X29" i="4"/>
  <c r="X30" i="4"/>
  <c r="X31" i="4"/>
  <c r="Y31" i="4" s="1"/>
  <c r="X32" i="4"/>
  <c r="Y32" i="4" s="1"/>
  <c r="X33" i="4"/>
  <c r="Y33" i="4" s="1"/>
  <c r="X34" i="4"/>
  <c r="X35" i="4"/>
  <c r="Y35" i="4" s="1"/>
  <c r="X36" i="4"/>
  <c r="Y36" i="4" s="1"/>
  <c r="X37" i="4"/>
  <c r="X38" i="4"/>
  <c r="X39" i="4"/>
  <c r="X40" i="4"/>
  <c r="Y40" i="4" s="1"/>
  <c r="X41" i="4"/>
  <c r="X42" i="4"/>
  <c r="X43" i="4"/>
  <c r="Y43" i="4" s="1"/>
  <c r="X44" i="4"/>
  <c r="Y44" i="4" s="1"/>
  <c r="X45" i="4"/>
  <c r="Y45" i="4" s="1"/>
  <c r="X46" i="4"/>
  <c r="X47" i="4"/>
  <c r="Y47" i="4" s="1"/>
  <c r="X48" i="4"/>
  <c r="Y48" i="4" s="1"/>
  <c r="X49" i="4"/>
  <c r="X50" i="4"/>
  <c r="X51" i="4"/>
  <c r="Y51" i="4" s="1"/>
  <c r="X52" i="4"/>
  <c r="Y52" i="4" s="1"/>
  <c r="X53" i="4"/>
  <c r="X54" i="4"/>
  <c r="X55" i="4"/>
  <c r="X56" i="4"/>
  <c r="Y56" i="4" s="1"/>
  <c r="X57" i="4"/>
  <c r="Y57" i="4" s="1"/>
  <c r="X58" i="4"/>
  <c r="X59" i="4"/>
  <c r="Y59" i="4" s="1"/>
  <c r="X60" i="4"/>
  <c r="Y60" i="4" s="1"/>
  <c r="X61" i="4"/>
  <c r="X62" i="4"/>
  <c r="X63" i="4"/>
  <c r="Y63" i="4" s="1"/>
  <c r="X64" i="4"/>
  <c r="Y64" i="4" s="1"/>
  <c r="X65" i="4"/>
  <c r="Y65" i="4" s="1"/>
  <c r="X66" i="4"/>
  <c r="X67" i="4"/>
  <c r="Y67" i="4" s="1"/>
  <c r="X68" i="4"/>
  <c r="Y68" i="4" s="1"/>
  <c r="X69" i="4"/>
  <c r="X70" i="4"/>
  <c r="X71" i="4"/>
  <c r="X72" i="4"/>
  <c r="Y72" i="4" s="1"/>
  <c r="X73" i="4"/>
  <c r="X74" i="4"/>
  <c r="X75" i="4"/>
  <c r="Y75" i="4" s="1"/>
  <c r="X76" i="4"/>
  <c r="Y76" i="4" s="1"/>
  <c r="X77" i="4"/>
  <c r="Y77" i="4" s="1"/>
  <c r="X78" i="4"/>
  <c r="X79" i="4"/>
  <c r="Y79" i="4" s="1"/>
  <c r="X80" i="4"/>
  <c r="Y80" i="4" s="1"/>
  <c r="X81" i="4"/>
  <c r="X82" i="4"/>
  <c r="X83" i="4"/>
  <c r="Y83" i="4" s="1"/>
  <c r="X84" i="4"/>
  <c r="Y84" i="4" s="1"/>
  <c r="X85" i="4"/>
  <c r="X86" i="4"/>
  <c r="X87" i="4"/>
  <c r="X88" i="4"/>
  <c r="Y88" i="4" s="1"/>
  <c r="X89" i="4"/>
  <c r="Y89" i="4" s="1"/>
  <c r="X90" i="4"/>
  <c r="X91" i="4"/>
  <c r="Y91" i="4" s="1"/>
  <c r="X92" i="4"/>
  <c r="Y92" i="4" s="1"/>
  <c r="X93" i="4"/>
  <c r="X94" i="4"/>
  <c r="X95" i="4"/>
  <c r="Y95" i="4" s="1"/>
  <c r="X96" i="4"/>
  <c r="Y96" i="4" s="1"/>
  <c r="X97" i="4"/>
  <c r="Y97" i="4" s="1"/>
  <c r="X98" i="4"/>
  <c r="X99" i="4"/>
  <c r="Y99" i="4" s="1"/>
  <c r="X100" i="4"/>
  <c r="Y100" i="4" s="1"/>
  <c r="X101" i="4"/>
  <c r="X102" i="4"/>
  <c r="X103" i="4"/>
  <c r="X104" i="4"/>
  <c r="Y104" i="4" s="1"/>
  <c r="X105" i="4"/>
  <c r="X106" i="4"/>
  <c r="X107" i="4"/>
  <c r="Y107" i="4" s="1"/>
  <c r="X108" i="4"/>
  <c r="Y108" i="4" s="1"/>
  <c r="X109" i="4"/>
  <c r="Y109" i="4" s="1"/>
  <c r="X110" i="4"/>
  <c r="X111" i="4"/>
  <c r="Y111" i="4" s="1"/>
  <c r="X112" i="4"/>
  <c r="Y112" i="4" s="1"/>
  <c r="X113" i="4"/>
  <c r="X114" i="4"/>
  <c r="X115" i="4"/>
  <c r="Y115" i="4" s="1"/>
  <c r="X116" i="4"/>
  <c r="Y116" i="4" s="1"/>
  <c r="X117" i="4"/>
  <c r="X118" i="4"/>
  <c r="X119" i="4"/>
  <c r="X120" i="4"/>
  <c r="Y120" i="4" s="1"/>
  <c r="X121" i="4"/>
  <c r="Y121" i="4" s="1"/>
  <c r="X122" i="4"/>
  <c r="X123" i="4"/>
  <c r="Y123" i="4" s="1"/>
  <c r="X124" i="4"/>
  <c r="Y124" i="4" s="1"/>
  <c r="X125" i="4"/>
  <c r="X126" i="4"/>
  <c r="X127" i="4"/>
  <c r="Y127" i="4" s="1"/>
  <c r="X128" i="4"/>
  <c r="Y128" i="4" s="1"/>
  <c r="X129" i="4"/>
  <c r="Y129" i="4" s="1"/>
  <c r="X130" i="4"/>
  <c r="X131" i="4"/>
  <c r="Y131" i="4" s="1"/>
  <c r="X132" i="4"/>
  <c r="Y132" i="4" s="1"/>
  <c r="X133" i="4"/>
  <c r="X134" i="4"/>
  <c r="X135" i="4"/>
  <c r="X136" i="4"/>
  <c r="Y136" i="4" s="1"/>
  <c r="X137" i="4"/>
  <c r="X138" i="4"/>
  <c r="X139" i="4"/>
  <c r="Y139" i="4" s="1"/>
  <c r="X140" i="4"/>
  <c r="Y140" i="4" s="1"/>
  <c r="X141" i="4"/>
  <c r="Y141" i="4" s="1"/>
  <c r="X142" i="4"/>
  <c r="X143" i="4"/>
  <c r="Y143" i="4" s="1"/>
  <c r="X144" i="4"/>
  <c r="Y144" i="4" s="1"/>
  <c r="X145" i="4"/>
  <c r="X146" i="4"/>
  <c r="X147" i="4"/>
  <c r="Y147" i="4" s="1"/>
  <c r="X148" i="4"/>
  <c r="Y148" i="4" s="1"/>
  <c r="X149" i="4"/>
  <c r="X150" i="4"/>
  <c r="X151" i="4"/>
  <c r="X152" i="4"/>
  <c r="Y152" i="4" s="1"/>
  <c r="X153" i="4"/>
  <c r="Y153" i="4" s="1"/>
  <c r="X154" i="4"/>
  <c r="X155" i="4"/>
  <c r="Y155" i="4" s="1"/>
  <c r="X156" i="4"/>
  <c r="Y156" i="4" s="1"/>
  <c r="X157" i="4"/>
  <c r="X158" i="4"/>
  <c r="X159" i="4"/>
  <c r="Y159" i="4" s="1"/>
  <c r="X160" i="4"/>
  <c r="Y160" i="4" s="1"/>
  <c r="X161" i="4"/>
  <c r="Y161" i="4" s="1"/>
  <c r="X162" i="4"/>
  <c r="X163" i="4"/>
  <c r="Y163" i="4" s="1"/>
  <c r="X164" i="4"/>
  <c r="Y164" i="4" s="1"/>
  <c r="X165" i="4"/>
  <c r="X166" i="4"/>
  <c r="X167" i="4"/>
  <c r="X168" i="4"/>
  <c r="Y168" i="4" s="1"/>
  <c r="X169" i="4"/>
  <c r="X170" i="4"/>
  <c r="X171" i="4"/>
  <c r="Y171" i="4" s="1"/>
  <c r="X172" i="4"/>
  <c r="Y172" i="4" s="1"/>
  <c r="X173" i="4"/>
  <c r="Y173" i="4" s="1"/>
  <c r="X174" i="4"/>
  <c r="X175" i="4"/>
  <c r="Y175" i="4" s="1"/>
  <c r="X176" i="4"/>
  <c r="Y176" i="4" s="1"/>
  <c r="X177" i="4"/>
  <c r="X178" i="4"/>
  <c r="X179" i="4"/>
  <c r="Y179" i="4" s="1"/>
  <c r="X180" i="4"/>
  <c r="Y180" i="4" s="1"/>
  <c r="X181" i="4"/>
  <c r="X182" i="4"/>
  <c r="X183" i="4"/>
  <c r="X184" i="4"/>
  <c r="Y184" i="4" s="1"/>
  <c r="X185" i="4"/>
  <c r="Y185" i="4" s="1"/>
  <c r="X186" i="4"/>
  <c r="X187" i="4"/>
  <c r="Y187" i="4" s="1"/>
  <c r="X188" i="4"/>
  <c r="Y188" i="4" s="1"/>
  <c r="X189" i="4"/>
  <c r="X190" i="4"/>
  <c r="X191" i="4"/>
  <c r="Y191" i="4" s="1"/>
  <c r="X192" i="4"/>
  <c r="Y192" i="4" s="1"/>
  <c r="X193" i="4"/>
  <c r="Y193" i="4" s="1"/>
  <c r="X194" i="4"/>
  <c r="X195" i="4"/>
  <c r="Y195" i="4" s="1"/>
  <c r="X196" i="4"/>
  <c r="Y196" i="4" s="1"/>
  <c r="X197" i="4"/>
  <c r="X198" i="4"/>
  <c r="X199" i="4"/>
  <c r="X200" i="4"/>
  <c r="Y200" i="4" s="1"/>
  <c r="X201" i="4"/>
  <c r="X202" i="4"/>
  <c r="X203" i="4"/>
  <c r="Y203" i="4" s="1"/>
  <c r="X204" i="4"/>
  <c r="Y204" i="4" s="1"/>
  <c r="X205" i="4"/>
  <c r="Y205" i="4" s="1"/>
  <c r="X206" i="4"/>
  <c r="X207" i="4"/>
  <c r="X208" i="4"/>
  <c r="Y208" i="4" s="1"/>
  <c r="X209" i="4"/>
  <c r="X210" i="4"/>
  <c r="X211" i="4"/>
  <c r="Y211" i="4" s="1"/>
  <c r="X212" i="4"/>
  <c r="Y212" i="4" s="1"/>
  <c r="X213" i="4"/>
  <c r="X214" i="4"/>
  <c r="X215" i="4"/>
  <c r="Y215" i="4" s="1"/>
  <c r="X216" i="4"/>
  <c r="Y216" i="4" s="1"/>
  <c r="X217" i="4"/>
  <c r="X218" i="4"/>
  <c r="X219" i="4"/>
  <c r="Y219" i="4" s="1"/>
  <c r="X220" i="4"/>
  <c r="Y220" i="4" s="1"/>
  <c r="X221" i="4"/>
  <c r="X222" i="4"/>
  <c r="X223" i="4"/>
  <c r="X224" i="4"/>
  <c r="Y224" i="4" s="1"/>
  <c r="X225" i="4"/>
  <c r="Y225" i="4" s="1"/>
  <c r="X226" i="4"/>
  <c r="X227" i="4"/>
  <c r="Y227" i="4" s="1"/>
  <c r="X228" i="4"/>
  <c r="Y228" i="4" s="1"/>
  <c r="X229" i="4"/>
  <c r="X230" i="4"/>
  <c r="X231" i="4"/>
  <c r="Y231" i="4" s="1"/>
  <c r="X232" i="4"/>
  <c r="Y232" i="4" s="1"/>
  <c r="X233" i="4"/>
  <c r="Y233" i="4" s="1"/>
  <c r="X234" i="4"/>
  <c r="X235" i="4"/>
  <c r="Y235" i="4" s="1"/>
  <c r="X236" i="4"/>
  <c r="Y236" i="4" s="1"/>
  <c r="X237" i="4"/>
  <c r="X238" i="4"/>
  <c r="X239" i="4"/>
  <c r="Y239" i="4" s="1"/>
  <c r="X240" i="4"/>
  <c r="Y240" i="4" s="1"/>
  <c r="X241" i="4"/>
  <c r="Y241" i="4" s="1"/>
  <c r="X242" i="4"/>
  <c r="X243" i="4"/>
  <c r="Y243" i="4" s="1"/>
  <c r="X244" i="4"/>
  <c r="Y244" i="4" s="1"/>
  <c r="X245" i="4"/>
  <c r="Y245" i="4" s="1"/>
  <c r="X246" i="4"/>
  <c r="X247" i="4"/>
  <c r="Y247" i="4" s="1"/>
  <c r="X248" i="4"/>
  <c r="Y248" i="4" s="1"/>
  <c r="X249" i="4"/>
  <c r="X250" i="4"/>
  <c r="X251" i="4"/>
  <c r="X252" i="4"/>
  <c r="Y252" i="4" s="1"/>
  <c r="X253" i="4"/>
  <c r="Y253" i="4" s="1"/>
  <c r="X254" i="4"/>
  <c r="X255" i="4"/>
  <c r="Y255" i="4" s="1"/>
  <c r="X256" i="4"/>
  <c r="Y256" i="4" s="1"/>
  <c r="X257" i="4"/>
  <c r="X258" i="4"/>
  <c r="X259" i="4"/>
  <c r="Y259" i="4" s="1"/>
  <c r="X260" i="4"/>
  <c r="Y260" i="4" s="1"/>
  <c r="X261" i="4"/>
  <c r="Y261" i="4" s="1"/>
  <c r="X262" i="4"/>
  <c r="X263" i="4"/>
  <c r="Y263" i="4" s="1"/>
  <c r="X264" i="4"/>
  <c r="Y264" i="4" s="1"/>
  <c r="X265" i="4"/>
  <c r="X266" i="4"/>
  <c r="X267" i="4"/>
  <c r="X268" i="4"/>
  <c r="Y268" i="4" s="1"/>
  <c r="X269" i="4"/>
  <c r="X270" i="4"/>
  <c r="X271" i="4"/>
  <c r="Y271" i="4" s="1"/>
  <c r="X272" i="4"/>
  <c r="Y272" i="4" s="1"/>
  <c r="X273" i="4"/>
  <c r="Y273" i="4" s="1"/>
  <c r="X274" i="4"/>
  <c r="X275" i="4"/>
  <c r="Y275" i="4" s="1"/>
  <c r="X276" i="4"/>
  <c r="Y276" i="4" s="1"/>
  <c r="X277" i="4"/>
  <c r="Y277" i="4" s="1"/>
  <c r="X278" i="4"/>
  <c r="X279" i="4"/>
  <c r="Y279" i="4" s="1"/>
  <c r="X280" i="4"/>
  <c r="Y280" i="4" s="1"/>
  <c r="X281" i="4"/>
  <c r="X282" i="4"/>
  <c r="X283" i="4"/>
  <c r="X284" i="4"/>
  <c r="Y284" i="4" s="1"/>
  <c r="X285" i="4"/>
  <c r="Y285" i="4" s="1"/>
  <c r="X286" i="4"/>
  <c r="X287" i="4"/>
  <c r="Y287" i="4" s="1"/>
  <c r="X288" i="4"/>
  <c r="Y288" i="4" s="1"/>
  <c r="X289" i="4"/>
  <c r="X290" i="4"/>
  <c r="X291" i="4"/>
  <c r="Y291" i="4" s="1"/>
  <c r="X292" i="4"/>
  <c r="Y292" i="4" s="1"/>
  <c r="X293" i="4"/>
  <c r="Y293" i="4" s="1"/>
  <c r="X294" i="4"/>
  <c r="X295" i="4"/>
  <c r="Y295" i="4" s="1"/>
  <c r="X296" i="4"/>
  <c r="Y296" i="4" s="1"/>
  <c r="X297" i="4"/>
  <c r="X298" i="4"/>
  <c r="X299" i="4"/>
  <c r="X300" i="4"/>
  <c r="Y300" i="4" s="1"/>
  <c r="X301" i="4"/>
  <c r="X302" i="4"/>
  <c r="X303" i="4"/>
  <c r="Y303" i="4" s="1"/>
  <c r="X304" i="4"/>
  <c r="Y304" i="4" s="1"/>
  <c r="X305" i="4"/>
  <c r="Y305" i="4" s="1"/>
  <c r="X306" i="4"/>
  <c r="X307" i="4"/>
  <c r="Y307" i="4" s="1"/>
  <c r="X308" i="4"/>
  <c r="Y308" i="4" s="1"/>
  <c r="X309" i="4"/>
  <c r="Y309" i="4" s="1"/>
  <c r="X310" i="4"/>
  <c r="X311" i="4"/>
  <c r="Y311" i="4" s="1"/>
  <c r="X312" i="4"/>
  <c r="Y312" i="4" s="1"/>
  <c r="X313" i="4"/>
  <c r="X314" i="4"/>
  <c r="X315" i="4"/>
  <c r="X316" i="4"/>
  <c r="Y316" i="4" s="1"/>
  <c r="X317" i="4"/>
  <c r="Y317" i="4" s="1"/>
  <c r="X318" i="4"/>
  <c r="X319" i="4"/>
  <c r="Y319" i="4" s="1"/>
  <c r="X320" i="4"/>
  <c r="Y320" i="4" s="1"/>
  <c r="X321" i="4"/>
  <c r="X322" i="4"/>
  <c r="X323" i="4"/>
  <c r="Y323" i="4" s="1"/>
  <c r="X324" i="4"/>
  <c r="Y324" i="4" s="1"/>
  <c r="X325" i="4"/>
  <c r="Y325" i="4" s="1"/>
  <c r="X326" i="4"/>
  <c r="X327" i="4"/>
  <c r="Y327" i="4" s="1"/>
  <c r="X328" i="4"/>
  <c r="Y328" i="4" s="1"/>
  <c r="X329" i="4"/>
  <c r="X330" i="4"/>
  <c r="X331" i="4"/>
  <c r="X332" i="4"/>
  <c r="Y332" i="4" s="1"/>
  <c r="X333" i="4"/>
  <c r="X334" i="4"/>
  <c r="X335" i="4"/>
  <c r="Y335" i="4" s="1"/>
  <c r="X336" i="4"/>
  <c r="Y336" i="4" s="1"/>
  <c r="X337" i="4"/>
  <c r="Y337" i="4" s="1"/>
  <c r="X338" i="4"/>
  <c r="X339" i="4"/>
  <c r="Y339" i="4" s="1"/>
  <c r="X340" i="4"/>
  <c r="Y340" i="4" s="1"/>
  <c r="X341" i="4"/>
  <c r="Y341" i="4" s="1"/>
  <c r="X342" i="4"/>
  <c r="X343" i="4"/>
  <c r="Y343" i="4" s="1"/>
  <c r="X344" i="4"/>
  <c r="X345" i="4"/>
  <c r="Y345" i="4" s="1"/>
  <c r="X346" i="4"/>
  <c r="X347" i="4"/>
  <c r="X348" i="4"/>
  <c r="Y348" i="4" s="1"/>
  <c r="X349" i="4"/>
  <c r="Y349" i="4" s="1"/>
  <c r="X350" i="4"/>
  <c r="X351" i="4"/>
  <c r="Y351" i="4" s="1"/>
  <c r="X352" i="4"/>
  <c r="X353" i="4"/>
  <c r="Y353" i="4" s="1"/>
  <c r="X354" i="4"/>
  <c r="X355" i="4"/>
  <c r="X356" i="4"/>
  <c r="X357" i="4"/>
  <c r="Y357" i="4" s="1"/>
  <c r="X358" i="4"/>
  <c r="X359" i="4"/>
  <c r="Y359" i="4" s="1"/>
  <c r="X360" i="4"/>
  <c r="X361" i="4"/>
  <c r="Y361" i="4" s="1"/>
  <c r="X362" i="4"/>
  <c r="X363" i="4"/>
  <c r="X364" i="4"/>
  <c r="Y364" i="4" s="1"/>
  <c r="X365" i="4"/>
  <c r="Y365" i="4" s="1"/>
  <c r="X366" i="4"/>
  <c r="X367" i="4"/>
  <c r="Y367" i="4" s="1"/>
  <c r="X368" i="4"/>
  <c r="X369" i="4"/>
  <c r="Y369" i="4" s="1"/>
  <c r="X370" i="4"/>
  <c r="X371" i="4"/>
  <c r="X372" i="4"/>
  <c r="X373" i="4"/>
  <c r="Y373" i="4" s="1"/>
  <c r="X374" i="4"/>
  <c r="X375" i="4"/>
  <c r="Y375" i="4" s="1"/>
  <c r="X376" i="4"/>
  <c r="X377" i="4"/>
  <c r="Y377" i="4" s="1"/>
  <c r="X378" i="4"/>
  <c r="X379" i="4"/>
  <c r="X380" i="4"/>
  <c r="Y380" i="4" s="1"/>
  <c r="X381" i="4"/>
  <c r="Y381" i="4" s="1"/>
  <c r="X382" i="4"/>
  <c r="X383" i="4"/>
  <c r="Y383" i="4" s="1"/>
  <c r="X384" i="4"/>
  <c r="X385" i="4"/>
  <c r="Y385" i="4" s="1"/>
  <c r="X386" i="4"/>
  <c r="X387" i="4"/>
  <c r="X388" i="4"/>
  <c r="X389" i="4"/>
  <c r="Y389" i="4" s="1"/>
  <c r="X390" i="4"/>
  <c r="X391" i="4"/>
  <c r="Y391" i="4" s="1"/>
  <c r="X392" i="4"/>
  <c r="X393" i="4"/>
  <c r="Y393" i="4" s="1"/>
  <c r="X394" i="4"/>
  <c r="X395" i="4"/>
  <c r="X396" i="4"/>
  <c r="Y396" i="4" s="1"/>
  <c r="X397" i="4"/>
  <c r="Y397" i="4" s="1"/>
  <c r="X398" i="4"/>
  <c r="X399" i="4"/>
  <c r="Y399" i="4" s="1"/>
  <c r="X400" i="4"/>
  <c r="X401" i="4"/>
  <c r="Y401" i="4" s="1"/>
  <c r="X402" i="4"/>
  <c r="X403" i="4"/>
  <c r="X404" i="4"/>
  <c r="X405" i="4"/>
  <c r="Y405" i="4" s="1"/>
  <c r="X406" i="4"/>
  <c r="X407" i="4"/>
  <c r="Y407" i="4" s="1"/>
  <c r="X408" i="4"/>
  <c r="X409" i="4"/>
  <c r="Y409" i="4" s="1"/>
  <c r="X410" i="4"/>
  <c r="X411" i="4"/>
  <c r="X412" i="4"/>
  <c r="Y412" i="4" s="1"/>
  <c r="X413" i="4"/>
  <c r="Y413" i="4" s="1"/>
  <c r="X414" i="4"/>
  <c r="X415" i="4"/>
  <c r="Y415" i="4" s="1"/>
  <c r="X416" i="4"/>
  <c r="X417" i="4"/>
  <c r="Y417" i="4" s="1"/>
  <c r="X418" i="4"/>
  <c r="X419" i="4"/>
  <c r="X420" i="4"/>
  <c r="X421" i="4"/>
  <c r="Y421" i="4" s="1"/>
  <c r="X422" i="4"/>
  <c r="X423" i="4"/>
  <c r="Y423" i="4" s="1"/>
  <c r="X424" i="4"/>
  <c r="X425" i="4"/>
  <c r="Y425" i="4" s="1"/>
  <c r="X426" i="4"/>
  <c r="X427" i="4"/>
  <c r="X428" i="4"/>
  <c r="Y428" i="4" s="1"/>
  <c r="X429" i="4"/>
  <c r="Y429" i="4" s="1"/>
  <c r="X430" i="4"/>
  <c r="X431" i="4"/>
  <c r="Y431" i="4" s="1"/>
  <c r="X432" i="4"/>
  <c r="X433" i="4"/>
  <c r="Y433" i="4" s="1"/>
  <c r="X434" i="4"/>
  <c r="X435" i="4"/>
  <c r="X436" i="4"/>
  <c r="X437" i="4"/>
  <c r="Y437" i="4" s="1"/>
  <c r="X438" i="4"/>
  <c r="X439" i="4"/>
  <c r="Y439" i="4" s="1"/>
  <c r="X440" i="4"/>
  <c r="X441" i="4"/>
  <c r="Y441" i="4" s="1"/>
  <c r="X442" i="4"/>
  <c r="X443" i="4"/>
  <c r="X444" i="4"/>
  <c r="Y444" i="4" s="1"/>
  <c r="X445" i="4"/>
  <c r="Y445" i="4" s="1"/>
  <c r="X446" i="4"/>
  <c r="X447" i="4"/>
  <c r="Y447" i="4" s="1"/>
  <c r="X448" i="4"/>
  <c r="X449" i="4"/>
  <c r="Y449" i="4" s="1"/>
  <c r="X450" i="4"/>
  <c r="X451" i="4"/>
  <c r="X452" i="4"/>
  <c r="X453" i="4"/>
  <c r="Y453" i="4" s="1"/>
  <c r="X454" i="4"/>
  <c r="X455" i="4"/>
  <c r="Y455" i="4" s="1"/>
  <c r="X456" i="4"/>
  <c r="X457" i="4"/>
  <c r="Y457" i="4" s="1"/>
  <c r="X458" i="4"/>
  <c r="X459" i="4"/>
  <c r="X460" i="4"/>
  <c r="Y460" i="4" s="1"/>
  <c r="X461" i="4"/>
  <c r="Y461" i="4" s="1"/>
  <c r="X462" i="4"/>
  <c r="X463" i="4"/>
  <c r="Y463" i="4" s="1"/>
  <c r="X464" i="4"/>
  <c r="X465" i="4"/>
  <c r="Y465" i="4" s="1"/>
  <c r="X466" i="4"/>
  <c r="X467" i="4"/>
  <c r="X468" i="4"/>
  <c r="X469" i="4"/>
  <c r="Y469" i="4" s="1"/>
  <c r="X470" i="4"/>
  <c r="X471" i="4"/>
  <c r="Y471" i="4" s="1"/>
  <c r="X472" i="4"/>
  <c r="X473" i="4"/>
  <c r="Y473" i="4" s="1"/>
  <c r="X474" i="4"/>
  <c r="X475" i="4"/>
  <c r="X476" i="4"/>
  <c r="Y476" i="4" s="1"/>
  <c r="X477" i="4"/>
  <c r="Y477" i="4" s="1"/>
  <c r="X478" i="4"/>
  <c r="X479" i="4"/>
  <c r="Y479" i="4" s="1"/>
  <c r="X480" i="4"/>
  <c r="X481" i="4"/>
  <c r="Y481" i="4" s="1"/>
  <c r="X482" i="4"/>
  <c r="X483" i="4"/>
  <c r="X484" i="4"/>
  <c r="X485" i="4"/>
  <c r="Y485" i="4" s="1"/>
  <c r="X486" i="4"/>
  <c r="X487" i="4"/>
  <c r="Y487" i="4" s="1"/>
  <c r="X488" i="4"/>
  <c r="X489" i="4"/>
  <c r="Y489" i="4" s="1"/>
  <c r="X490" i="4"/>
  <c r="X491" i="4"/>
  <c r="X492" i="4"/>
  <c r="Y492" i="4" s="1"/>
  <c r="X493" i="4"/>
  <c r="Y493" i="4" s="1"/>
  <c r="X494" i="4"/>
  <c r="X495" i="4"/>
  <c r="Y495" i="4" s="1"/>
  <c r="X496" i="4"/>
  <c r="X497" i="4"/>
  <c r="Y497" i="4" s="1"/>
  <c r="X498" i="4"/>
  <c r="X499" i="4"/>
  <c r="X500" i="4"/>
  <c r="X501" i="4"/>
  <c r="Y501" i="4" s="1"/>
  <c r="X502" i="4"/>
  <c r="X503" i="4"/>
  <c r="Y503" i="4" s="1"/>
  <c r="X504" i="4"/>
  <c r="X505" i="4"/>
  <c r="Y505" i="4" s="1"/>
  <c r="X506" i="4"/>
  <c r="X507" i="4"/>
  <c r="X508" i="4"/>
  <c r="Y508" i="4" s="1"/>
  <c r="X509" i="4"/>
  <c r="Y509" i="4" s="1"/>
  <c r="X510" i="4"/>
  <c r="X511" i="4"/>
  <c r="Y511" i="4" s="1"/>
  <c r="X512" i="4"/>
  <c r="X513" i="4"/>
  <c r="Y513" i="4" s="1"/>
  <c r="X514" i="4"/>
  <c r="X515" i="4"/>
  <c r="X516" i="4"/>
  <c r="X517" i="4"/>
  <c r="X518" i="4"/>
  <c r="X519" i="4"/>
  <c r="X520" i="4"/>
  <c r="X521" i="4"/>
  <c r="X522" i="4"/>
  <c r="X523" i="4"/>
  <c r="X524" i="4"/>
  <c r="X525" i="4"/>
  <c r="X526" i="4"/>
  <c r="X527" i="4"/>
  <c r="X528" i="4"/>
  <c r="X529" i="4"/>
  <c r="X530" i="4"/>
  <c r="X531" i="4"/>
  <c r="X532" i="4"/>
  <c r="X533" i="4"/>
  <c r="X534" i="4"/>
  <c r="X535" i="4"/>
  <c r="X536" i="4"/>
  <c r="X537" i="4"/>
  <c r="X538" i="4"/>
  <c r="X539" i="4"/>
  <c r="X540" i="4"/>
  <c r="X541" i="4"/>
  <c r="X542" i="4"/>
  <c r="X543" i="4"/>
  <c r="X544" i="4"/>
  <c r="X545" i="4"/>
  <c r="X546" i="4"/>
  <c r="X547" i="4"/>
  <c r="X548" i="4"/>
  <c r="X549" i="4"/>
  <c r="X550" i="4"/>
  <c r="X551" i="4"/>
  <c r="X552" i="4"/>
  <c r="X553" i="4"/>
  <c r="X554" i="4"/>
  <c r="X555" i="4"/>
  <c r="X556" i="4"/>
  <c r="X557" i="4"/>
  <c r="X558" i="4"/>
  <c r="X559" i="4"/>
  <c r="X560" i="4"/>
  <c r="X561" i="4"/>
  <c r="X562" i="4"/>
  <c r="X563" i="4"/>
  <c r="X564" i="4"/>
  <c r="X565" i="4"/>
  <c r="X566" i="4"/>
  <c r="X567" i="4"/>
  <c r="X568" i="4"/>
  <c r="X569" i="4"/>
  <c r="X570" i="4"/>
  <c r="X571" i="4"/>
  <c r="X572" i="4"/>
  <c r="X573" i="4"/>
  <c r="X574" i="4"/>
  <c r="X575" i="4"/>
  <c r="X576" i="4"/>
  <c r="X577" i="4"/>
  <c r="X578" i="4"/>
  <c r="X579" i="4"/>
  <c r="X580" i="4"/>
  <c r="X581" i="4"/>
  <c r="X582" i="4"/>
  <c r="X583" i="4"/>
  <c r="X584" i="4"/>
  <c r="X585" i="4"/>
  <c r="X586" i="4"/>
  <c r="X587" i="4"/>
  <c r="X588" i="4"/>
  <c r="X589" i="4"/>
  <c r="X590" i="4"/>
  <c r="X591" i="4"/>
  <c r="X592" i="4"/>
  <c r="X593" i="4"/>
  <c r="X594" i="4"/>
  <c r="X595" i="4"/>
  <c r="X596" i="4"/>
  <c r="X597" i="4"/>
  <c r="X598" i="4"/>
  <c r="X599" i="4"/>
  <c r="X600" i="4"/>
  <c r="X601" i="4"/>
  <c r="X602" i="4"/>
  <c r="X603" i="4"/>
  <c r="X604" i="4"/>
  <c r="X605" i="4"/>
  <c r="X606" i="4"/>
  <c r="X607" i="4"/>
  <c r="X608" i="4"/>
  <c r="X609" i="4"/>
  <c r="X610" i="4"/>
  <c r="X611" i="4"/>
  <c r="X612" i="4"/>
  <c r="X613" i="4"/>
  <c r="X614" i="4"/>
  <c r="X615" i="4"/>
  <c r="X616" i="4"/>
  <c r="X617" i="4"/>
  <c r="X618" i="4"/>
  <c r="X619" i="4"/>
  <c r="X620" i="4"/>
  <c r="X621" i="4"/>
  <c r="X622" i="4"/>
  <c r="X623" i="4"/>
  <c r="X624" i="4"/>
  <c r="X625" i="4"/>
  <c r="X626" i="4"/>
  <c r="X627" i="4"/>
  <c r="X628" i="4"/>
  <c r="X629" i="4"/>
  <c r="X630" i="4"/>
  <c r="X631" i="4"/>
  <c r="X632" i="4"/>
  <c r="X633" i="4"/>
  <c r="X634" i="4"/>
  <c r="X635" i="4"/>
  <c r="X636" i="4"/>
  <c r="X637" i="4"/>
  <c r="X638" i="4"/>
  <c r="X639" i="4"/>
  <c r="X640" i="4"/>
  <c r="X641" i="4"/>
  <c r="X642" i="4"/>
  <c r="X643" i="4"/>
  <c r="X644" i="4"/>
  <c r="X645" i="4"/>
  <c r="X646" i="4"/>
  <c r="X647" i="4"/>
  <c r="X648" i="4"/>
  <c r="X649" i="4"/>
  <c r="X650" i="4"/>
  <c r="X651" i="4"/>
  <c r="X652" i="4"/>
  <c r="X653" i="4"/>
  <c r="X654" i="4"/>
  <c r="X655" i="4"/>
  <c r="X656" i="4"/>
  <c r="X657" i="4"/>
  <c r="X658" i="4"/>
  <c r="X659" i="4"/>
  <c r="X660" i="4"/>
  <c r="X661" i="4"/>
  <c r="X662" i="4"/>
  <c r="X663" i="4"/>
  <c r="X664" i="4"/>
  <c r="X665" i="4"/>
  <c r="X666" i="4"/>
  <c r="X667" i="4"/>
  <c r="X668" i="4"/>
  <c r="X669" i="4"/>
  <c r="X670" i="4"/>
  <c r="X671" i="4"/>
  <c r="X672" i="4"/>
  <c r="X673" i="4"/>
  <c r="X674" i="4"/>
  <c r="X675" i="4"/>
  <c r="X676" i="4"/>
  <c r="X677" i="4"/>
  <c r="X678" i="4"/>
  <c r="X679" i="4"/>
  <c r="X680" i="4"/>
  <c r="X681" i="4"/>
  <c r="X682" i="4"/>
  <c r="X683" i="4"/>
  <c r="X684" i="4"/>
  <c r="X685" i="4"/>
  <c r="X686" i="4"/>
  <c r="X687" i="4"/>
  <c r="X688" i="4"/>
  <c r="X689" i="4"/>
  <c r="X690" i="4"/>
  <c r="X691" i="4"/>
  <c r="X692" i="4"/>
  <c r="X693" i="4"/>
  <c r="X694" i="4"/>
  <c r="X695" i="4"/>
  <c r="X696" i="4"/>
  <c r="X697" i="4"/>
  <c r="X698" i="4"/>
  <c r="X699" i="4"/>
  <c r="X700" i="4"/>
  <c r="X701" i="4"/>
  <c r="X702" i="4"/>
  <c r="X703" i="4"/>
  <c r="X704" i="4"/>
  <c r="X705" i="4"/>
  <c r="X706" i="4"/>
  <c r="X707" i="4"/>
  <c r="X708" i="4"/>
  <c r="X709" i="4"/>
  <c r="X710" i="4"/>
  <c r="X711" i="4"/>
  <c r="X712" i="4"/>
  <c r="X713" i="4"/>
  <c r="X714" i="4"/>
  <c r="X715" i="4"/>
  <c r="X716" i="4"/>
  <c r="X717" i="4"/>
  <c r="X718" i="4"/>
  <c r="X719" i="4"/>
  <c r="X720" i="4"/>
  <c r="X721" i="4"/>
  <c r="X722" i="4"/>
  <c r="X723" i="4"/>
  <c r="X724" i="4"/>
  <c r="X725" i="4"/>
  <c r="X726" i="4"/>
  <c r="X727" i="4"/>
  <c r="X728" i="4"/>
  <c r="X729" i="4"/>
  <c r="X730" i="4"/>
  <c r="X731" i="4"/>
  <c r="X732" i="4"/>
  <c r="X733" i="4"/>
  <c r="X734" i="4"/>
  <c r="X735" i="4"/>
  <c r="X736" i="4"/>
  <c r="X737" i="4"/>
  <c r="X738" i="4"/>
  <c r="X739" i="4"/>
  <c r="X740" i="4"/>
  <c r="X741" i="4"/>
  <c r="X742" i="4"/>
  <c r="X743" i="4"/>
  <c r="X744" i="4"/>
  <c r="X745" i="4"/>
  <c r="X746" i="4"/>
  <c r="X747" i="4"/>
  <c r="X748" i="4"/>
  <c r="X749" i="4"/>
  <c r="X750" i="4"/>
  <c r="X751" i="4"/>
  <c r="X752" i="4"/>
  <c r="X753" i="4"/>
  <c r="X754" i="4"/>
  <c r="X755" i="4"/>
  <c r="X756" i="4"/>
  <c r="X757" i="4"/>
  <c r="X758" i="4"/>
  <c r="X759" i="4"/>
  <c r="X760" i="4"/>
  <c r="X761" i="4"/>
  <c r="X762" i="4"/>
  <c r="X763" i="4"/>
  <c r="X764" i="4"/>
  <c r="X765" i="4"/>
  <c r="X766" i="4"/>
  <c r="X767" i="4"/>
  <c r="X768" i="4"/>
  <c r="X769" i="4"/>
  <c r="X770" i="4"/>
  <c r="X771" i="4"/>
  <c r="X772" i="4"/>
  <c r="X773" i="4"/>
  <c r="X774" i="4"/>
  <c r="X775" i="4"/>
  <c r="X776" i="4"/>
  <c r="X777" i="4"/>
  <c r="X778" i="4"/>
  <c r="X779" i="4"/>
  <c r="X780" i="4"/>
  <c r="X781" i="4"/>
  <c r="X782" i="4"/>
  <c r="X783" i="4"/>
  <c r="X784" i="4"/>
  <c r="X785" i="4"/>
  <c r="X786" i="4"/>
  <c r="X787" i="4"/>
  <c r="X788" i="4"/>
  <c r="X789" i="4"/>
  <c r="X790" i="4"/>
  <c r="X791" i="4"/>
  <c r="X792" i="4"/>
  <c r="X793" i="4"/>
  <c r="X794" i="4"/>
  <c r="X795" i="4"/>
  <c r="X796" i="4"/>
  <c r="X797" i="4"/>
  <c r="X798" i="4"/>
  <c r="X799" i="4"/>
  <c r="X800" i="4"/>
  <c r="X801" i="4"/>
  <c r="X802" i="4"/>
  <c r="X803" i="4"/>
  <c r="X804" i="4"/>
  <c r="X805" i="4"/>
  <c r="X806" i="4"/>
  <c r="X807" i="4"/>
  <c r="X808" i="4"/>
  <c r="X809" i="4"/>
  <c r="X810" i="4"/>
  <c r="X811" i="4"/>
  <c r="X812" i="4"/>
  <c r="X813" i="4"/>
  <c r="X814" i="4"/>
  <c r="X815" i="4"/>
  <c r="X816" i="4"/>
  <c r="X817" i="4"/>
  <c r="X818" i="4"/>
  <c r="X819" i="4"/>
  <c r="X820" i="4"/>
  <c r="X821" i="4"/>
  <c r="X822" i="4"/>
  <c r="X823" i="4"/>
  <c r="X824" i="4"/>
  <c r="X825" i="4"/>
  <c r="X826" i="4"/>
  <c r="X827" i="4"/>
  <c r="X828" i="4"/>
  <c r="X829" i="4"/>
  <c r="X830" i="4"/>
  <c r="X831" i="4"/>
  <c r="X832" i="4"/>
  <c r="X833" i="4"/>
  <c r="X834" i="4"/>
  <c r="X835" i="4"/>
  <c r="X836" i="4"/>
  <c r="X837" i="4"/>
  <c r="X838" i="4"/>
  <c r="X839" i="4"/>
  <c r="X840" i="4"/>
  <c r="X841" i="4"/>
  <c r="X842" i="4"/>
  <c r="X843" i="4"/>
  <c r="X844" i="4"/>
  <c r="X845" i="4"/>
  <c r="X846" i="4"/>
  <c r="X847" i="4"/>
  <c r="X848" i="4"/>
  <c r="X849" i="4"/>
  <c r="X850" i="4"/>
  <c r="X851" i="4"/>
  <c r="X852" i="4"/>
  <c r="X853" i="4"/>
  <c r="X854" i="4"/>
  <c r="X855" i="4"/>
  <c r="X856" i="4"/>
  <c r="X857" i="4"/>
  <c r="X858" i="4"/>
  <c r="X859" i="4"/>
  <c r="X860" i="4"/>
  <c r="X861" i="4"/>
  <c r="X862" i="4"/>
  <c r="X863" i="4"/>
  <c r="X864" i="4"/>
  <c r="X865" i="4"/>
  <c r="X866" i="4"/>
  <c r="X867" i="4"/>
  <c r="X868" i="4"/>
  <c r="X869" i="4"/>
  <c r="X870" i="4"/>
  <c r="X871" i="4"/>
  <c r="X872" i="4"/>
  <c r="X873" i="4"/>
  <c r="X874" i="4"/>
  <c r="X875" i="4"/>
  <c r="X876" i="4"/>
  <c r="X877" i="4"/>
  <c r="X878" i="4"/>
  <c r="X879" i="4"/>
  <c r="X880" i="4"/>
  <c r="X881" i="4"/>
  <c r="X882" i="4"/>
  <c r="X883" i="4"/>
  <c r="X884" i="4"/>
  <c r="X885" i="4"/>
  <c r="X886" i="4"/>
  <c r="X887" i="4"/>
  <c r="X888" i="4"/>
  <c r="X889" i="4"/>
  <c r="X890" i="4"/>
  <c r="X891" i="4"/>
  <c r="X892" i="4"/>
  <c r="X893" i="4"/>
  <c r="X894" i="4"/>
  <c r="X895" i="4"/>
  <c r="X896" i="4"/>
  <c r="X897" i="4"/>
  <c r="X898" i="4"/>
  <c r="X899" i="4"/>
  <c r="X900" i="4"/>
  <c r="X901" i="4"/>
  <c r="X902" i="4"/>
  <c r="X903" i="4"/>
  <c r="X904" i="4"/>
  <c r="X905" i="4"/>
  <c r="X906" i="4"/>
  <c r="X907" i="4"/>
  <c r="X908" i="4"/>
  <c r="X909" i="4"/>
  <c r="X910" i="4"/>
  <c r="X911" i="4"/>
  <c r="X912" i="4"/>
  <c r="X913" i="4"/>
  <c r="X914" i="4"/>
  <c r="X915" i="4"/>
  <c r="X916" i="4"/>
  <c r="X917" i="4"/>
  <c r="X918" i="4"/>
  <c r="X919" i="4"/>
  <c r="X920" i="4"/>
  <c r="X921" i="4"/>
  <c r="X922" i="4"/>
  <c r="X923" i="4"/>
  <c r="X924" i="4"/>
  <c r="X925" i="4"/>
  <c r="X926" i="4"/>
  <c r="X927" i="4"/>
  <c r="X928" i="4"/>
  <c r="X929" i="4"/>
  <c r="X930" i="4"/>
  <c r="X931" i="4"/>
  <c r="X932" i="4"/>
  <c r="X933" i="4"/>
  <c r="X934" i="4"/>
  <c r="X935" i="4"/>
  <c r="X936" i="4"/>
  <c r="X937" i="4"/>
  <c r="X938" i="4"/>
  <c r="X939" i="4"/>
  <c r="X940" i="4"/>
  <c r="X941" i="4"/>
  <c r="X942" i="4"/>
  <c r="X943" i="4"/>
  <c r="X944" i="4"/>
  <c r="X945" i="4"/>
  <c r="X946" i="4"/>
  <c r="X947" i="4"/>
  <c r="X948" i="4"/>
  <c r="X949" i="4"/>
  <c r="X950" i="4"/>
  <c r="X951" i="4"/>
  <c r="X952" i="4"/>
  <c r="X953" i="4"/>
  <c r="X954" i="4"/>
  <c r="X955" i="4"/>
  <c r="X956" i="4"/>
  <c r="X957" i="4"/>
  <c r="X958" i="4"/>
  <c r="X959" i="4"/>
  <c r="X960" i="4"/>
  <c r="X961" i="4"/>
  <c r="X962" i="4"/>
  <c r="X963" i="4"/>
  <c r="X964" i="4"/>
  <c r="X965" i="4"/>
  <c r="X966" i="4"/>
  <c r="X967" i="4"/>
  <c r="X968" i="4"/>
  <c r="X969" i="4"/>
  <c r="X970" i="4"/>
  <c r="X971" i="4"/>
  <c r="X972" i="4"/>
  <c r="X973" i="4"/>
  <c r="X974" i="4"/>
  <c r="X975" i="4"/>
  <c r="X976" i="4"/>
  <c r="X977" i="4"/>
  <c r="X978" i="4"/>
  <c r="X979" i="4"/>
  <c r="X980" i="4"/>
  <c r="X981" i="4"/>
  <c r="X982" i="4"/>
  <c r="X983" i="4"/>
  <c r="X984" i="4"/>
  <c r="X985" i="4"/>
  <c r="X986" i="4"/>
  <c r="X987" i="4"/>
  <c r="X988" i="4"/>
  <c r="X989" i="4"/>
  <c r="X990" i="4"/>
  <c r="X991" i="4"/>
  <c r="X992" i="4"/>
  <c r="X993" i="4"/>
  <c r="X994" i="4"/>
  <c r="X995" i="4"/>
  <c r="X996" i="4"/>
  <c r="X997" i="4"/>
  <c r="X998" i="4"/>
  <c r="X999" i="4"/>
  <c r="X1000" i="4"/>
  <c r="X1001" i="4"/>
  <c r="X1002" i="4"/>
  <c r="X1003" i="4"/>
  <c r="X1004" i="4"/>
  <c r="X1005" i="4"/>
  <c r="X1006" i="4"/>
  <c r="X1007" i="4"/>
  <c r="X1008" i="4"/>
  <c r="X1009" i="4"/>
  <c r="X1010" i="4"/>
  <c r="X1011" i="4"/>
  <c r="X1012" i="4"/>
  <c r="X1013" i="4"/>
  <c r="X1014" i="4"/>
  <c r="Y2" i="4"/>
  <c r="Y5" i="4"/>
  <c r="Y6" i="4"/>
  <c r="Y7" i="4"/>
  <c r="Y9" i="4"/>
  <c r="Y10" i="4"/>
  <c r="Y14" i="4"/>
  <c r="Y17" i="4"/>
  <c r="Y18" i="4"/>
  <c r="Y21" i="4"/>
  <c r="Y22" i="4"/>
  <c r="Y23" i="4"/>
  <c r="Y26" i="4"/>
  <c r="Y29" i="4"/>
  <c r="Y30" i="4"/>
  <c r="Y34" i="4"/>
  <c r="Y37" i="4"/>
  <c r="Y38" i="4"/>
  <c r="Y39" i="4"/>
  <c r="Y41" i="4"/>
  <c r="Y42" i="4"/>
  <c r="Y46" i="4"/>
  <c r="Y49" i="4"/>
  <c r="Y50" i="4"/>
  <c r="Y53" i="4"/>
  <c r="Y54" i="4"/>
  <c r="Y55" i="4"/>
  <c r="Y58" i="4"/>
  <c r="Y61" i="4"/>
  <c r="Y62" i="4"/>
  <c r="Y66" i="4"/>
  <c r="Y69" i="4"/>
  <c r="Y70" i="4"/>
  <c r="Y71" i="4"/>
  <c r="Y73" i="4"/>
  <c r="Y74" i="4"/>
  <c r="Y78" i="4"/>
  <c r="Y81" i="4"/>
  <c r="Y82" i="4"/>
  <c r="Y85" i="4"/>
  <c r="Y86" i="4"/>
  <c r="Y87" i="4"/>
  <c r="Y90" i="4"/>
  <c r="Y93" i="4"/>
  <c r="Y94" i="4"/>
  <c r="Y98" i="4"/>
  <c r="Y101" i="4"/>
  <c r="Y102" i="4"/>
  <c r="Y103" i="4"/>
  <c r="Y105" i="4"/>
  <c r="Y106" i="4"/>
  <c r="Y110" i="4"/>
  <c r="Y113" i="4"/>
  <c r="Y114" i="4"/>
  <c r="Y117" i="4"/>
  <c r="Y118" i="4"/>
  <c r="Y119" i="4"/>
  <c r="Y122" i="4"/>
  <c r="Y125" i="4"/>
  <c r="Y126" i="4"/>
  <c r="Y130" i="4"/>
  <c r="Y133" i="4"/>
  <c r="Y134" i="4"/>
  <c r="Y135" i="4"/>
  <c r="Y137" i="4"/>
  <c r="Y138" i="4"/>
  <c r="Y142" i="4"/>
  <c r="Y145" i="4"/>
  <c r="Y146" i="4"/>
  <c r="Y149" i="4"/>
  <c r="Y150" i="4"/>
  <c r="Y151" i="4"/>
  <c r="Y154" i="4"/>
  <c r="Y157" i="4"/>
  <c r="Y158" i="4"/>
  <c r="Y162" i="4"/>
  <c r="Y165" i="4"/>
  <c r="Y166" i="4"/>
  <c r="Y167" i="4"/>
  <c r="Y169" i="4"/>
  <c r="Y170" i="4"/>
  <c r="Y174" i="4"/>
  <c r="Y177" i="4"/>
  <c r="Y178" i="4"/>
  <c r="Y181" i="4"/>
  <c r="Y182" i="4"/>
  <c r="Y183" i="4"/>
  <c r="Y186" i="4"/>
  <c r="Y189" i="4"/>
  <c r="Y190" i="4"/>
  <c r="Y194" i="4"/>
  <c r="Y197" i="4"/>
  <c r="Y198" i="4"/>
  <c r="Y199" i="4"/>
  <c r="Y201" i="4"/>
  <c r="Y202" i="4"/>
  <c r="Y206" i="4"/>
  <c r="Y207" i="4"/>
  <c r="Y209" i="4"/>
  <c r="Y210" i="4"/>
  <c r="Y213" i="4"/>
  <c r="Y214" i="4"/>
  <c r="Y217" i="4"/>
  <c r="Y218" i="4"/>
  <c r="Y221" i="4"/>
  <c r="Y222" i="4"/>
  <c r="Y223" i="4"/>
  <c r="Y226" i="4"/>
  <c r="Y229" i="4"/>
  <c r="Y230" i="4"/>
  <c r="Y234" i="4"/>
  <c r="Y237" i="4"/>
  <c r="Y238" i="4"/>
  <c r="Y242" i="4"/>
  <c r="Y246" i="4"/>
  <c r="Y249" i="4"/>
  <c r="Y250" i="4"/>
  <c r="Y251" i="4"/>
  <c r="Y254" i="4"/>
  <c r="Y257" i="4"/>
  <c r="Y258" i="4"/>
  <c r="Y262" i="4"/>
  <c r="Y265" i="4"/>
  <c r="Y266" i="4"/>
  <c r="Y267" i="4"/>
  <c r="Y269" i="4"/>
  <c r="Y270" i="4"/>
  <c r="Y274" i="4"/>
  <c r="Y278" i="4"/>
  <c r="Y281" i="4"/>
  <c r="Y282" i="4"/>
  <c r="Y283" i="4"/>
  <c r="Y286" i="4"/>
  <c r="Y289" i="4"/>
  <c r="Y290" i="4"/>
  <c r="Y294" i="4"/>
  <c r="Y297" i="4"/>
  <c r="Y298" i="4"/>
  <c r="Y299" i="4"/>
  <c r="Y301" i="4"/>
  <c r="Y302" i="4"/>
  <c r="Y306" i="4"/>
  <c r="Y310" i="4"/>
  <c r="Y313" i="4"/>
  <c r="Y314" i="4"/>
  <c r="Y315" i="4"/>
  <c r="Y318" i="4"/>
  <c r="Y321" i="4"/>
  <c r="Y322" i="4"/>
  <c r="Y326" i="4"/>
  <c r="Y329" i="4"/>
  <c r="Y330" i="4"/>
  <c r="Y331" i="4"/>
  <c r="Y333" i="4"/>
  <c r="Y334" i="4"/>
  <c r="Y338" i="4"/>
  <c r="Y342" i="4"/>
  <c r="Y344" i="4"/>
  <c r="Y346" i="4"/>
  <c r="Y347" i="4"/>
  <c r="Y350" i="4"/>
  <c r="Y352" i="4"/>
  <c r="Y354" i="4"/>
  <c r="Y355" i="4"/>
  <c r="Y356" i="4"/>
  <c r="Y358" i="4"/>
  <c r="Y360" i="4"/>
  <c r="Y362" i="4"/>
  <c r="Y363" i="4"/>
  <c r="Y366" i="4"/>
  <c r="Y368" i="4"/>
  <c r="Y370" i="4"/>
  <c r="Y371" i="4"/>
  <c r="Y372" i="4"/>
  <c r="Y374" i="4"/>
  <c r="Y376" i="4"/>
  <c r="Y378" i="4"/>
  <c r="Y379" i="4"/>
  <c r="Y382" i="4"/>
  <c r="Y384" i="4"/>
  <c r="Y386" i="4"/>
  <c r="Y387" i="4"/>
  <c r="Y388" i="4"/>
  <c r="Y390" i="4"/>
  <c r="Y392" i="4"/>
  <c r="Y394" i="4"/>
  <c r="Y395" i="4"/>
  <c r="Y398" i="4"/>
  <c r="Y400" i="4"/>
  <c r="Y402" i="4"/>
  <c r="Y403" i="4"/>
  <c r="Y404" i="4"/>
  <c r="Y406" i="4"/>
  <c r="Y408" i="4"/>
  <c r="Y410" i="4"/>
  <c r="Y411" i="4"/>
  <c r="Y414" i="4"/>
  <c r="Y416" i="4"/>
  <c r="Y418" i="4"/>
  <c r="Y419" i="4"/>
  <c r="Y420" i="4"/>
  <c r="Y422" i="4"/>
  <c r="Y424" i="4"/>
  <c r="Y426" i="4"/>
  <c r="Y427" i="4"/>
  <c r="Y430" i="4"/>
  <c r="Y432" i="4"/>
  <c r="Y434" i="4"/>
  <c r="Y435" i="4"/>
  <c r="Y436" i="4"/>
  <c r="Y438" i="4"/>
  <c r="Y440" i="4"/>
  <c r="Y442" i="4"/>
  <c r="Y443" i="4"/>
  <c r="Y446" i="4"/>
  <c r="Y448" i="4"/>
  <c r="Y450" i="4"/>
  <c r="Y451" i="4"/>
  <c r="Y452" i="4"/>
  <c r="Y454" i="4"/>
  <c r="Y456" i="4"/>
  <c r="Y458" i="4"/>
  <c r="Y459" i="4"/>
  <c r="Y462" i="4"/>
  <c r="Y464" i="4"/>
  <c r="Y466" i="4"/>
  <c r="Y467" i="4"/>
  <c r="Y468" i="4"/>
  <c r="Y470" i="4"/>
  <c r="Y472" i="4"/>
  <c r="Y474" i="4"/>
  <c r="Y475" i="4"/>
  <c r="Y478" i="4"/>
  <c r="Y480" i="4"/>
  <c r="Y482" i="4"/>
  <c r="Y483" i="4"/>
  <c r="Y484" i="4"/>
  <c r="Y486" i="4"/>
  <c r="Y488" i="4"/>
  <c r="Y490" i="4"/>
  <c r="Y491" i="4"/>
  <c r="Y494" i="4"/>
  <c r="Y496" i="4"/>
  <c r="Y498" i="4"/>
  <c r="Y499" i="4"/>
  <c r="Y500" i="4"/>
  <c r="Y502" i="4"/>
  <c r="Y504" i="4"/>
  <c r="Y506" i="4"/>
  <c r="Y507" i="4"/>
  <c r="Y510" i="4"/>
  <c r="Y512" i="4"/>
  <c r="Y514" i="4"/>
  <c r="Y515" i="4"/>
  <c r="Y516" i="4"/>
  <c r="Y517" i="4"/>
  <c r="Y518" i="4"/>
  <c r="Y519" i="4"/>
  <c r="Y520" i="4"/>
  <c r="Y521" i="4"/>
  <c r="Y522" i="4"/>
  <c r="Y523" i="4"/>
  <c r="Y524" i="4"/>
  <c r="Y525" i="4"/>
  <c r="Y526" i="4"/>
  <c r="Y527" i="4"/>
  <c r="Y528" i="4"/>
  <c r="Y529" i="4"/>
  <c r="Y530" i="4"/>
  <c r="Y531" i="4"/>
  <c r="Y532" i="4"/>
  <c r="Y533" i="4"/>
  <c r="Y534" i="4"/>
  <c r="Y535" i="4"/>
  <c r="Y536" i="4"/>
  <c r="Y537" i="4"/>
  <c r="Y538" i="4"/>
  <c r="Y539" i="4"/>
  <c r="Y540" i="4"/>
  <c r="Y541" i="4"/>
  <c r="Y542" i="4"/>
  <c r="Y543" i="4"/>
  <c r="Y544" i="4"/>
  <c r="Y545" i="4"/>
  <c r="Y546" i="4"/>
  <c r="Y547" i="4"/>
  <c r="Y548" i="4"/>
  <c r="Y549" i="4"/>
  <c r="Y550" i="4"/>
  <c r="Y551" i="4"/>
  <c r="Y552" i="4"/>
  <c r="Y553" i="4"/>
  <c r="Y554" i="4"/>
  <c r="Y555" i="4"/>
  <c r="Y556" i="4"/>
  <c r="Y557" i="4"/>
  <c r="Y558" i="4"/>
  <c r="Y559" i="4"/>
  <c r="Y560" i="4"/>
  <c r="Y561" i="4"/>
  <c r="Y562" i="4"/>
  <c r="Y563" i="4"/>
  <c r="Y564" i="4"/>
  <c r="Y565" i="4"/>
  <c r="Y566" i="4"/>
  <c r="Y567" i="4"/>
  <c r="Y568" i="4"/>
  <c r="Y569" i="4"/>
  <c r="Y570" i="4"/>
  <c r="Y571" i="4"/>
  <c r="Y572" i="4"/>
  <c r="Y573" i="4"/>
  <c r="Y574" i="4"/>
  <c r="Y575" i="4"/>
  <c r="Y576" i="4"/>
  <c r="Y577" i="4"/>
  <c r="Y578" i="4"/>
  <c r="Y579" i="4"/>
  <c r="Y580" i="4"/>
  <c r="Y581" i="4"/>
  <c r="Y582" i="4"/>
  <c r="Y583" i="4"/>
  <c r="Y584" i="4"/>
  <c r="Y585" i="4"/>
  <c r="Y586" i="4"/>
  <c r="Y587" i="4"/>
  <c r="Y588" i="4"/>
  <c r="Y589" i="4"/>
  <c r="Y590" i="4"/>
  <c r="Y591" i="4"/>
  <c r="Y592" i="4"/>
  <c r="Y593" i="4"/>
  <c r="Y594" i="4"/>
  <c r="Y595" i="4"/>
  <c r="Y596" i="4"/>
  <c r="Y597" i="4"/>
  <c r="Y598" i="4"/>
  <c r="Y599" i="4"/>
  <c r="Y600" i="4"/>
  <c r="Y601" i="4"/>
  <c r="Y602" i="4"/>
  <c r="Y603" i="4"/>
  <c r="Y604" i="4"/>
  <c r="Y605" i="4"/>
  <c r="Y606" i="4"/>
  <c r="Y607" i="4"/>
  <c r="Y608" i="4"/>
  <c r="Y609" i="4"/>
  <c r="Y610" i="4"/>
  <c r="Y611" i="4"/>
  <c r="Y612" i="4"/>
  <c r="Y613" i="4"/>
  <c r="Y614" i="4"/>
  <c r="Y615" i="4"/>
  <c r="Y616" i="4"/>
  <c r="Y617" i="4"/>
  <c r="Y618" i="4"/>
  <c r="Y619" i="4"/>
  <c r="Y620" i="4"/>
  <c r="Y621" i="4"/>
  <c r="Y622" i="4"/>
  <c r="Y623" i="4"/>
  <c r="Y624" i="4"/>
  <c r="Y625" i="4"/>
  <c r="Y626" i="4"/>
  <c r="Y627" i="4"/>
  <c r="Y628" i="4"/>
  <c r="Y629" i="4"/>
  <c r="Y630" i="4"/>
  <c r="Y631" i="4"/>
  <c r="Y632" i="4"/>
  <c r="Y633" i="4"/>
  <c r="Y634" i="4"/>
  <c r="Y635" i="4"/>
  <c r="Y636" i="4"/>
  <c r="Y637" i="4"/>
  <c r="Y638" i="4"/>
  <c r="Y639" i="4"/>
  <c r="Y640" i="4"/>
  <c r="Y641" i="4"/>
  <c r="Y642" i="4"/>
  <c r="Y643" i="4"/>
  <c r="Y644" i="4"/>
  <c r="Y645" i="4"/>
  <c r="Y646" i="4"/>
  <c r="Y647" i="4"/>
  <c r="Y648" i="4"/>
  <c r="Y649" i="4"/>
  <c r="Y650" i="4"/>
  <c r="Y651" i="4"/>
  <c r="Y652" i="4"/>
  <c r="Y653" i="4"/>
  <c r="Y654" i="4"/>
  <c r="Y655" i="4"/>
  <c r="Y656" i="4"/>
  <c r="Y657" i="4"/>
  <c r="Y658" i="4"/>
  <c r="Y659" i="4"/>
  <c r="Y660" i="4"/>
  <c r="Y661" i="4"/>
  <c r="Y662" i="4"/>
  <c r="Y663" i="4"/>
  <c r="Y664" i="4"/>
  <c r="Y665" i="4"/>
  <c r="Y666" i="4"/>
  <c r="Y667" i="4"/>
  <c r="Y668" i="4"/>
  <c r="Y669" i="4"/>
  <c r="Y670" i="4"/>
  <c r="Y671" i="4"/>
  <c r="Y672" i="4"/>
  <c r="Y673" i="4"/>
  <c r="Y674" i="4"/>
  <c r="Y675" i="4"/>
  <c r="Y676" i="4"/>
  <c r="Y677" i="4"/>
  <c r="Y678" i="4"/>
  <c r="Y679" i="4"/>
  <c r="Y680" i="4"/>
  <c r="Y681" i="4"/>
  <c r="Y682" i="4"/>
  <c r="Y683" i="4"/>
  <c r="Y684" i="4"/>
  <c r="Y685" i="4"/>
  <c r="Y686" i="4"/>
  <c r="Y687" i="4"/>
  <c r="Y688" i="4"/>
  <c r="Y689" i="4"/>
  <c r="Y690" i="4"/>
  <c r="Y691" i="4"/>
  <c r="Y692" i="4"/>
  <c r="Y693" i="4"/>
  <c r="Y694" i="4"/>
  <c r="Y695" i="4"/>
  <c r="Y696" i="4"/>
  <c r="Y697" i="4"/>
  <c r="Y698" i="4"/>
  <c r="Y699" i="4"/>
  <c r="Y700" i="4"/>
  <c r="Y701" i="4"/>
  <c r="Y702" i="4"/>
  <c r="Y703" i="4"/>
  <c r="Y704" i="4"/>
  <c r="Y705" i="4"/>
  <c r="Y706" i="4"/>
  <c r="Y707" i="4"/>
  <c r="Y708" i="4"/>
  <c r="Y709" i="4"/>
  <c r="Y710" i="4"/>
  <c r="Y711" i="4"/>
  <c r="Y712" i="4"/>
  <c r="Y713" i="4"/>
  <c r="Y714" i="4"/>
  <c r="Y715" i="4"/>
  <c r="Y716" i="4"/>
  <c r="Y717" i="4"/>
  <c r="Y718" i="4"/>
  <c r="Y719" i="4"/>
  <c r="Y720" i="4"/>
  <c r="Y721" i="4"/>
  <c r="Y722" i="4"/>
  <c r="Y723" i="4"/>
  <c r="Y724" i="4"/>
  <c r="Y725" i="4"/>
  <c r="Y726" i="4"/>
  <c r="Y727" i="4"/>
  <c r="Y728" i="4"/>
  <c r="Y729" i="4"/>
  <c r="Y730" i="4"/>
  <c r="Y731" i="4"/>
  <c r="Y732" i="4"/>
  <c r="Y733" i="4"/>
  <c r="Y734" i="4"/>
  <c r="Y735" i="4"/>
  <c r="Y736" i="4"/>
  <c r="Y737" i="4"/>
  <c r="Y738" i="4"/>
  <c r="Y739" i="4"/>
  <c r="Y740" i="4"/>
  <c r="Y741" i="4"/>
  <c r="Y742" i="4"/>
  <c r="Y743" i="4"/>
  <c r="Y744" i="4"/>
  <c r="Y745" i="4"/>
  <c r="Y746" i="4"/>
  <c r="Y747" i="4"/>
  <c r="Y748" i="4"/>
  <c r="Y749" i="4"/>
  <c r="Y750" i="4"/>
  <c r="Y751" i="4"/>
  <c r="Y752" i="4"/>
  <c r="Y753" i="4"/>
  <c r="Y754" i="4"/>
  <c r="Y755" i="4"/>
  <c r="Y756" i="4"/>
  <c r="Y757" i="4"/>
  <c r="Y758" i="4"/>
  <c r="Y759" i="4"/>
  <c r="Y760" i="4"/>
  <c r="Y761" i="4"/>
  <c r="Y762" i="4"/>
  <c r="Y763" i="4"/>
  <c r="Y764" i="4"/>
  <c r="Y765" i="4"/>
  <c r="Y766" i="4"/>
  <c r="Y767" i="4"/>
  <c r="Y768" i="4"/>
  <c r="Y769" i="4"/>
  <c r="Y770" i="4"/>
  <c r="Y771" i="4"/>
  <c r="Y772" i="4"/>
  <c r="Y773" i="4"/>
  <c r="Y774" i="4"/>
  <c r="Y775" i="4"/>
  <c r="Y776" i="4"/>
  <c r="Y777" i="4"/>
  <c r="Y778" i="4"/>
  <c r="Y779" i="4"/>
  <c r="Y780" i="4"/>
  <c r="Y781" i="4"/>
  <c r="Y782" i="4"/>
  <c r="Y783" i="4"/>
  <c r="Y784" i="4"/>
  <c r="Y785" i="4"/>
  <c r="Y786" i="4"/>
  <c r="Y787" i="4"/>
  <c r="Y788" i="4"/>
  <c r="Y789" i="4"/>
  <c r="Y790" i="4"/>
  <c r="Y791" i="4"/>
  <c r="Y792" i="4"/>
  <c r="Y793" i="4"/>
  <c r="Y794" i="4"/>
  <c r="Y795" i="4"/>
  <c r="Y796" i="4"/>
  <c r="Y797" i="4"/>
  <c r="Y798" i="4"/>
  <c r="Y799" i="4"/>
  <c r="Y800" i="4"/>
  <c r="Y801" i="4"/>
  <c r="Y802" i="4"/>
  <c r="Y803" i="4"/>
  <c r="Y804" i="4"/>
  <c r="Y805" i="4"/>
  <c r="Y806" i="4"/>
  <c r="Y807" i="4"/>
  <c r="Y808" i="4"/>
  <c r="Y809" i="4"/>
  <c r="Y810" i="4"/>
  <c r="Y811" i="4"/>
  <c r="Y812" i="4"/>
  <c r="Y813" i="4"/>
  <c r="Y814" i="4"/>
  <c r="Y815" i="4"/>
  <c r="Y816" i="4"/>
  <c r="Y817" i="4"/>
  <c r="Y818" i="4"/>
  <c r="Y819" i="4"/>
  <c r="Y820" i="4"/>
  <c r="Y821" i="4"/>
  <c r="Y822" i="4"/>
  <c r="Y823" i="4"/>
  <c r="Y824" i="4"/>
  <c r="Y825" i="4"/>
  <c r="Y826" i="4"/>
  <c r="Y827" i="4"/>
  <c r="Y828" i="4"/>
  <c r="Y829" i="4"/>
  <c r="Y830" i="4"/>
  <c r="Y831" i="4"/>
  <c r="Y832" i="4"/>
  <c r="Y833" i="4"/>
  <c r="Y834" i="4"/>
  <c r="Y835" i="4"/>
  <c r="Y836" i="4"/>
  <c r="Y837" i="4"/>
  <c r="Y838" i="4"/>
  <c r="Y839" i="4"/>
  <c r="Y840" i="4"/>
  <c r="Y841" i="4"/>
  <c r="Y842" i="4"/>
  <c r="Y843" i="4"/>
  <c r="Y844" i="4"/>
  <c r="Y845" i="4"/>
  <c r="Y846" i="4"/>
  <c r="Y847" i="4"/>
  <c r="Y848" i="4"/>
  <c r="Y849" i="4"/>
  <c r="Y850" i="4"/>
  <c r="Y851" i="4"/>
  <c r="Y852" i="4"/>
  <c r="Y853" i="4"/>
  <c r="Y854" i="4"/>
  <c r="Y855" i="4"/>
  <c r="Y856" i="4"/>
  <c r="Y857" i="4"/>
  <c r="Y858" i="4"/>
  <c r="Y859" i="4"/>
  <c r="Y860" i="4"/>
  <c r="Y861" i="4"/>
  <c r="Y862" i="4"/>
  <c r="Y863" i="4"/>
  <c r="Y864" i="4"/>
  <c r="Y865" i="4"/>
  <c r="Y866" i="4"/>
  <c r="Y867" i="4"/>
  <c r="Y868" i="4"/>
  <c r="Y869" i="4"/>
  <c r="Y870" i="4"/>
  <c r="Y871" i="4"/>
  <c r="Y872" i="4"/>
  <c r="Y873" i="4"/>
  <c r="Y874" i="4"/>
  <c r="Y875" i="4"/>
  <c r="Y876" i="4"/>
  <c r="Y877" i="4"/>
  <c r="Y878" i="4"/>
  <c r="Y879" i="4"/>
  <c r="Y880" i="4"/>
  <c r="Y881" i="4"/>
  <c r="Y882" i="4"/>
  <c r="Y883" i="4"/>
  <c r="Y884" i="4"/>
  <c r="Y885" i="4"/>
  <c r="Y886" i="4"/>
  <c r="Y887" i="4"/>
  <c r="Y888" i="4"/>
  <c r="Y889" i="4"/>
  <c r="Y890" i="4"/>
  <c r="Y891" i="4"/>
  <c r="Y892" i="4"/>
  <c r="Y893" i="4"/>
  <c r="Y894" i="4"/>
  <c r="Y895" i="4"/>
  <c r="Y896" i="4"/>
  <c r="Y897" i="4"/>
  <c r="Y898" i="4"/>
  <c r="Y899" i="4"/>
  <c r="Y900" i="4"/>
  <c r="Y901" i="4"/>
  <c r="Y902" i="4"/>
  <c r="Y903" i="4"/>
  <c r="Y904" i="4"/>
  <c r="Y905" i="4"/>
  <c r="Y906" i="4"/>
  <c r="Y907" i="4"/>
  <c r="Y908" i="4"/>
  <c r="Y909" i="4"/>
  <c r="Y910" i="4"/>
  <c r="Y911" i="4"/>
  <c r="Y912" i="4"/>
  <c r="Y913" i="4"/>
  <c r="Y914" i="4"/>
  <c r="Y915" i="4"/>
  <c r="Y916" i="4"/>
  <c r="Y917" i="4"/>
  <c r="Y918" i="4"/>
  <c r="Y919" i="4"/>
  <c r="Y920" i="4"/>
  <c r="Y921" i="4"/>
  <c r="Y922" i="4"/>
  <c r="Y923" i="4"/>
  <c r="Y924" i="4"/>
  <c r="Y925" i="4"/>
  <c r="Y926" i="4"/>
  <c r="Y927" i="4"/>
  <c r="Y928" i="4"/>
  <c r="Y929" i="4"/>
  <c r="Y930" i="4"/>
  <c r="Y931" i="4"/>
  <c r="Y932" i="4"/>
  <c r="Y933" i="4"/>
  <c r="Y934" i="4"/>
  <c r="Y935" i="4"/>
  <c r="Y936" i="4"/>
  <c r="Y937" i="4"/>
  <c r="Y938" i="4"/>
  <c r="Y939" i="4"/>
  <c r="Y940" i="4"/>
  <c r="Y941" i="4"/>
  <c r="Y942" i="4"/>
  <c r="Y943" i="4"/>
  <c r="Y944" i="4"/>
  <c r="Y945" i="4"/>
  <c r="Y946" i="4"/>
  <c r="Y947" i="4"/>
  <c r="Y948" i="4"/>
  <c r="Y949" i="4"/>
  <c r="Y950" i="4"/>
  <c r="Y951" i="4"/>
  <c r="Y952" i="4"/>
  <c r="Y953" i="4"/>
  <c r="Y954" i="4"/>
  <c r="Y955" i="4"/>
  <c r="Y956" i="4"/>
  <c r="Y957" i="4"/>
  <c r="Y958" i="4"/>
  <c r="Y959" i="4"/>
  <c r="Y960" i="4"/>
  <c r="Y961" i="4"/>
  <c r="Y962" i="4"/>
  <c r="Y963" i="4"/>
  <c r="Y964" i="4"/>
  <c r="Y965" i="4"/>
  <c r="Y966" i="4"/>
  <c r="Y967" i="4"/>
  <c r="Y968" i="4"/>
  <c r="Y969" i="4"/>
  <c r="Y970" i="4"/>
  <c r="Y971" i="4"/>
  <c r="Y972" i="4"/>
  <c r="Y973" i="4"/>
  <c r="Y974" i="4"/>
  <c r="Y975" i="4"/>
  <c r="Y976" i="4"/>
  <c r="Y977" i="4"/>
  <c r="Y978" i="4"/>
  <c r="Y979" i="4"/>
  <c r="Y980" i="4"/>
  <c r="Y981" i="4"/>
  <c r="Y982" i="4"/>
  <c r="Y983" i="4"/>
  <c r="Y984" i="4"/>
  <c r="Y985" i="4"/>
  <c r="Y986" i="4"/>
  <c r="Y987" i="4"/>
  <c r="Y988" i="4"/>
  <c r="Y989" i="4"/>
  <c r="Y990" i="4"/>
  <c r="Y991" i="4"/>
  <c r="Y992" i="4"/>
  <c r="Y993" i="4"/>
  <c r="Y994" i="4"/>
  <c r="Y995" i="4"/>
  <c r="Y996" i="4"/>
  <c r="Y997" i="4"/>
  <c r="Y998" i="4"/>
  <c r="Y999" i="4"/>
  <c r="Y1000" i="4"/>
  <c r="Y1001" i="4"/>
  <c r="Y1002" i="4"/>
  <c r="Y1003" i="4"/>
  <c r="Y1004" i="4"/>
  <c r="Y1005" i="4"/>
  <c r="Y1006" i="4"/>
  <c r="Y1007" i="4"/>
  <c r="Y1008" i="4"/>
  <c r="Y1009" i="4"/>
  <c r="Y1010" i="4"/>
  <c r="Y1011" i="4"/>
  <c r="Y1012" i="4"/>
  <c r="Y1013" i="4"/>
  <c r="Y1014" i="4"/>
  <c r="B442" i="16"/>
  <c r="C442" i="16"/>
  <c r="G442" i="16"/>
  <c r="N442" i="16"/>
  <c r="P442" i="16"/>
  <c r="A2" i="16"/>
  <c r="A3" i="16"/>
  <c r="A4" i="16"/>
  <c r="A5" i="16"/>
  <c r="A6" i="16"/>
  <c r="A7" i="16"/>
  <c r="A8" i="16"/>
  <c r="A9" i="16"/>
  <c r="A10" i="16"/>
  <c r="A11" i="16"/>
  <c r="A12" i="16"/>
  <c r="A13" i="16"/>
  <c r="A14" i="16"/>
  <c r="A15" i="16"/>
  <c r="A16" i="16"/>
  <c r="A17" i="16"/>
  <c r="A18" i="16"/>
  <c r="A19" i="16"/>
  <c r="A20" i="16"/>
  <c r="A21" i="16"/>
  <c r="A22" i="16"/>
  <c r="A23" i="16"/>
  <c r="A24" i="16"/>
  <c r="A25" i="16"/>
  <c r="A26" i="16"/>
  <c r="A27" i="16"/>
  <c r="A28" i="16"/>
  <c r="A29" i="16"/>
  <c r="A30" i="16"/>
  <c r="A31" i="16"/>
  <c r="A32" i="16"/>
  <c r="A33" i="16"/>
  <c r="A34" i="16"/>
  <c r="A35" i="16"/>
  <c r="A36" i="16"/>
  <c r="A37" i="16"/>
  <c r="A38" i="16"/>
  <c r="A39" i="16"/>
  <c r="A40" i="16"/>
  <c r="A41" i="16"/>
  <c r="A42" i="16"/>
  <c r="A43" i="16"/>
  <c r="A44" i="16"/>
  <c r="A45" i="16"/>
  <c r="A46" i="16"/>
  <c r="A47" i="16"/>
  <c r="A48" i="16"/>
  <c r="A49" i="16"/>
  <c r="A50" i="16"/>
  <c r="A51" i="16"/>
  <c r="A52" i="16"/>
  <c r="A53" i="16"/>
  <c r="A54" i="16"/>
  <c r="A55" i="16"/>
  <c r="A56" i="16"/>
  <c r="A57" i="16"/>
  <c r="A58" i="16"/>
  <c r="A59" i="16"/>
  <c r="A60" i="16"/>
  <c r="A61" i="16"/>
  <c r="A62" i="16"/>
  <c r="A63" i="16"/>
  <c r="A64" i="16"/>
  <c r="A65" i="16"/>
  <c r="A66" i="16"/>
  <c r="A67" i="16"/>
  <c r="A68" i="16"/>
  <c r="A69" i="16"/>
  <c r="A70" i="16"/>
  <c r="A71" i="16"/>
  <c r="A72" i="16"/>
  <c r="A73" i="16"/>
  <c r="A74" i="16"/>
  <c r="A75" i="16"/>
  <c r="A76" i="16"/>
  <c r="A77" i="16"/>
  <c r="A78" i="16"/>
  <c r="A79" i="16"/>
  <c r="A80" i="16"/>
  <c r="A81" i="16"/>
  <c r="A82" i="16"/>
  <c r="A83" i="16"/>
  <c r="A84" i="16"/>
  <c r="A85" i="16"/>
  <c r="A86" i="16"/>
  <c r="A87" i="16"/>
  <c r="A88" i="16"/>
  <c r="A89" i="16"/>
  <c r="A90" i="16"/>
  <c r="A91" i="16"/>
  <c r="A92" i="16"/>
  <c r="A93" i="16"/>
  <c r="A94" i="16"/>
  <c r="A95" i="16"/>
  <c r="A96" i="16"/>
  <c r="A97" i="16"/>
  <c r="A98" i="16"/>
  <c r="A99" i="16"/>
  <c r="A100" i="16"/>
  <c r="A101" i="16"/>
  <c r="A102" i="16"/>
  <c r="A103" i="16"/>
  <c r="A104" i="16"/>
  <c r="A105" i="16"/>
  <c r="A106" i="16"/>
  <c r="A107" i="16"/>
  <c r="A108" i="16"/>
  <c r="A109" i="16"/>
  <c r="A110" i="16"/>
  <c r="A111" i="16"/>
  <c r="A112" i="16"/>
  <c r="A113" i="16"/>
  <c r="A114" i="16"/>
  <c r="A115" i="16"/>
  <c r="A116" i="16"/>
  <c r="A117" i="16"/>
  <c r="A118" i="16"/>
  <c r="A119" i="16"/>
  <c r="A120" i="16"/>
  <c r="A121" i="16"/>
  <c r="A122" i="16"/>
  <c r="A123" i="16"/>
  <c r="A124" i="16"/>
  <c r="A125" i="16"/>
  <c r="A126" i="16"/>
  <c r="A127" i="16"/>
  <c r="A128" i="16"/>
  <c r="A129" i="16"/>
  <c r="A130" i="16"/>
  <c r="A131" i="16"/>
  <c r="A132" i="16"/>
  <c r="A133" i="16"/>
  <c r="A134" i="16"/>
  <c r="A135" i="16"/>
  <c r="A136" i="16"/>
  <c r="A137" i="16"/>
  <c r="A138" i="16"/>
  <c r="A139" i="16"/>
  <c r="A140" i="16"/>
  <c r="A141" i="16"/>
  <c r="A142" i="16"/>
  <c r="A143" i="16"/>
  <c r="A144" i="16"/>
  <c r="A145" i="16"/>
  <c r="A146" i="16"/>
  <c r="A147" i="16"/>
  <c r="A148" i="16"/>
  <c r="A149" i="16"/>
  <c r="A150" i="16"/>
  <c r="A151" i="16"/>
  <c r="A152" i="16"/>
  <c r="A153" i="16"/>
  <c r="A154" i="16"/>
  <c r="A155" i="16"/>
  <c r="A156" i="16"/>
  <c r="A157" i="16"/>
  <c r="A158" i="16"/>
  <c r="A159" i="16"/>
  <c r="A160" i="16"/>
  <c r="A161" i="16"/>
  <c r="A162" i="16"/>
  <c r="A163" i="16"/>
  <c r="A164" i="16"/>
  <c r="A165" i="16"/>
  <c r="A166" i="16"/>
  <c r="A167" i="16"/>
  <c r="A168" i="16"/>
  <c r="A169" i="16"/>
  <c r="A170" i="16"/>
  <c r="A171" i="16"/>
  <c r="A172" i="16"/>
  <c r="A173" i="16"/>
  <c r="A174" i="16"/>
  <c r="A175" i="16"/>
  <c r="A176" i="16"/>
  <c r="A177" i="16"/>
  <c r="A178" i="16"/>
  <c r="A179" i="16"/>
  <c r="A180" i="16"/>
  <c r="A181" i="16"/>
  <c r="A182" i="16"/>
  <c r="A183" i="16"/>
  <c r="A184" i="16"/>
  <c r="A185" i="16"/>
  <c r="A186" i="16"/>
  <c r="A187" i="16"/>
  <c r="A188" i="16"/>
  <c r="A189" i="16"/>
  <c r="A190" i="16"/>
  <c r="A191" i="16"/>
  <c r="A192" i="16"/>
  <c r="A193" i="16"/>
  <c r="A194" i="16"/>
  <c r="A195" i="16"/>
  <c r="A196" i="16"/>
  <c r="A197" i="16"/>
  <c r="A198" i="16"/>
  <c r="A199" i="16"/>
  <c r="A200" i="16"/>
  <c r="A201" i="16"/>
  <c r="A202" i="16"/>
  <c r="A203" i="16"/>
  <c r="A204" i="16"/>
  <c r="A205" i="16"/>
  <c r="A206" i="16"/>
  <c r="A207" i="16"/>
  <c r="A208" i="16"/>
  <c r="A209" i="16"/>
  <c r="A210" i="16"/>
  <c r="A211" i="16"/>
  <c r="A212" i="16"/>
  <c r="A213" i="16"/>
  <c r="A214" i="16"/>
  <c r="A215" i="16"/>
  <c r="A216" i="16"/>
  <c r="A217" i="16"/>
  <c r="A218" i="16"/>
  <c r="A219" i="16"/>
  <c r="A220" i="16"/>
  <c r="A221" i="16"/>
  <c r="A222" i="16"/>
  <c r="A223" i="16"/>
  <c r="A224" i="16"/>
  <c r="A225" i="16"/>
  <c r="A226" i="16"/>
  <c r="A227" i="16"/>
  <c r="A228" i="16"/>
  <c r="A229" i="16"/>
  <c r="A230" i="16"/>
  <c r="A231" i="16"/>
  <c r="A232" i="16"/>
  <c r="A233" i="16"/>
  <c r="A234" i="16"/>
  <c r="A235" i="16"/>
  <c r="A236" i="16"/>
  <c r="A237" i="16"/>
  <c r="A238" i="16"/>
  <c r="A239" i="16"/>
  <c r="A240" i="16"/>
  <c r="A241" i="16"/>
  <c r="A242" i="16"/>
  <c r="A243" i="16"/>
  <c r="A244" i="16"/>
  <c r="A245" i="16"/>
  <c r="A246" i="16"/>
  <c r="A247" i="16"/>
  <c r="A248" i="16"/>
  <c r="A249" i="16"/>
  <c r="A250" i="16"/>
  <c r="A251" i="16"/>
  <c r="A252" i="16"/>
  <c r="A253" i="16"/>
  <c r="A254" i="16"/>
  <c r="A255" i="16"/>
  <c r="A256" i="16"/>
  <c r="A257" i="16"/>
  <c r="A258" i="16"/>
  <c r="A259" i="16"/>
  <c r="A260" i="16"/>
  <c r="A261" i="16"/>
  <c r="A262" i="16"/>
  <c r="A263" i="16"/>
  <c r="A264" i="16"/>
  <c r="A265" i="16"/>
  <c r="A266" i="16"/>
  <c r="A267" i="16"/>
  <c r="A268" i="16"/>
  <c r="A269" i="16"/>
  <c r="A270" i="16"/>
  <c r="A271" i="16"/>
  <c r="A272" i="16"/>
  <c r="A273" i="16"/>
  <c r="A274" i="16"/>
  <c r="A275" i="16"/>
  <c r="A276" i="16"/>
  <c r="A277" i="16"/>
  <c r="A278" i="16"/>
  <c r="A279" i="16"/>
  <c r="A280" i="16"/>
  <c r="A281" i="16"/>
  <c r="A282" i="16"/>
  <c r="A283" i="16"/>
  <c r="A284" i="16"/>
  <c r="A285" i="16"/>
  <c r="A286" i="16"/>
  <c r="A287" i="16"/>
  <c r="A288" i="16"/>
  <c r="A289" i="16"/>
  <c r="A290" i="16"/>
  <c r="A291" i="16"/>
  <c r="A292" i="16"/>
  <c r="A293" i="16"/>
  <c r="A294" i="16"/>
  <c r="A295" i="16"/>
  <c r="A296" i="16"/>
  <c r="A297" i="16"/>
  <c r="A298" i="16"/>
  <c r="A299" i="16"/>
  <c r="A300" i="16"/>
  <c r="A301" i="16"/>
  <c r="A302" i="16"/>
  <c r="A303" i="16"/>
  <c r="A304" i="16"/>
  <c r="A305" i="16"/>
  <c r="A306" i="16"/>
  <c r="A307" i="16"/>
  <c r="A308" i="16"/>
  <c r="A309" i="16"/>
  <c r="A310" i="16"/>
  <c r="A311" i="16"/>
  <c r="A312" i="16"/>
  <c r="A313" i="16"/>
  <c r="A314" i="16"/>
  <c r="A315" i="16"/>
  <c r="A316" i="16"/>
  <c r="A317" i="16"/>
  <c r="A318" i="16"/>
  <c r="A319" i="16"/>
  <c r="A320" i="16"/>
  <c r="A321" i="16"/>
  <c r="A322" i="16"/>
  <c r="A323" i="16"/>
  <c r="A324" i="16"/>
  <c r="A325" i="16"/>
  <c r="A326" i="16"/>
  <c r="A327" i="16"/>
  <c r="A328" i="16"/>
  <c r="A329" i="16"/>
  <c r="A330" i="16"/>
  <c r="A331" i="16"/>
  <c r="A332" i="16"/>
  <c r="A333" i="16"/>
  <c r="A334" i="16"/>
  <c r="A335" i="16"/>
  <c r="A336" i="16"/>
  <c r="A337" i="16"/>
  <c r="A338" i="16"/>
  <c r="A339" i="16"/>
  <c r="A340" i="16"/>
  <c r="A341" i="16"/>
  <c r="A342" i="16"/>
  <c r="A343" i="16"/>
  <c r="A344" i="16"/>
  <c r="A345" i="16"/>
  <c r="A346" i="16"/>
  <c r="A347" i="16"/>
  <c r="A348" i="16"/>
  <c r="A349" i="16"/>
  <c r="A350" i="16"/>
  <c r="A351" i="16"/>
  <c r="A352" i="16"/>
  <c r="A353" i="16"/>
  <c r="A354" i="16"/>
  <c r="A355" i="16"/>
  <c r="A356" i="16"/>
  <c r="A357" i="16"/>
  <c r="A358" i="16"/>
  <c r="A359" i="16"/>
  <c r="A360" i="16"/>
  <c r="A361" i="16"/>
  <c r="A362" i="16"/>
  <c r="A363" i="16"/>
  <c r="A364" i="16"/>
  <c r="A365" i="16"/>
  <c r="A366" i="16"/>
  <c r="A367" i="16"/>
  <c r="A368" i="16"/>
  <c r="A369" i="16"/>
  <c r="A370" i="16"/>
  <c r="A371" i="16"/>
  <c r="A372" i="16"/>
  <c r="A373" i="16"/>
  <c r="A374" i="16"/>
  <c r="A375" i="16"/>
  <c r="A376" i="16"/>
  <c r="A377" i="16"/>
  <c r="A378" i="16"/>
  <c r="A379" i="16"/>
  <c r="A380" i="16"/>
  <c r="A381" i="16"/>
  <c r="A382" i="16"/>
  <c r="A383" i="16"/>
  <c r="A384" i="16"/>
  <c r="A385" i="16"/>
  <c r="A386" i="16"/>
  <c r="A387" i="16"/>
  <c r="A388" i="16"/>
  <c r="A389" i="16"/>
  <c r="A390" i="16"/>
  <c r="A391" i="16"/>
  <c r="A392" i="16"/>
  <c r="A393" i="16"/>
  <c r="A394" i="16"/>
  <c r="A395" i="16"/>
  <c r="A396" i="16"/>
  <c r="A397" i="16"/>
  <c r="A398" i="16"/>
  <c r="A399" i="16"/>
  <c r="A400" i="16"/>
  <c r="A401" i="16"/>
  <c r="A402" i="16"/>
  <c r="A403" i="16"/>
  <c r="A404" i="16"/>
  <c r="A405" i="16"/>
  <c r="A406" i="16"/>
  <c r="A407" i="16"/>
  <c r="A408" i="16"/>
  <c r="A409" i="16"/>
  <c r="A410" i="16"/>
  <c r="A411" i="16"/>
  <c r="A412" i="16"/>
  <c r="A413" i="16"/>
  <c r="A414" i="16"/>
  <c r="A415" i="16"/>
  <c r="A416" i="16"/>
  <c r="A417" i="16"/>
  <c r="A418" i="16"/>
  <c r="A419" i="16"/>
  <c r="A420" i="16"/>
  <c r="A421" i="16"/>
  <c r="A422" i="16"/>
  <c r="A423" i="16"/>
  <c r="A424" i="16"/>
  <c r="A425" i="16"/>
  <c r="A426" i="16"/>
  <c r="A427" i="16"/>
  <c r="A428" i="16"/>
  <c r="A429" i="16"/>
  <c r="A430" i="16"/>
  <c r="A431" i="16"/>
  <c r="A432" i="16"/>
  <c r="A433" i="16"/>
  <c r="A434" i="16"/>
  <c r="A435" i="16"/>
  <c r="A436" i="16"/>
  <c r="A437" i="16"/>
  <c r="A438" i="16"/>
  <c r="A439" i="16"/>
  <c r="A440" i="16"/>
  <c r="A441" i="16"/>
  <c r="BI7" i="14" l="1"/>
  <c r="BI8" i="14"/>
  <c r="BI9" i="14"/>
  <c r="BI10" i="14"/>
  <c r="BI11" i="14"/>
  <c r="BI12" i="14"/>
  <c r="BI13" i="14"/>
  <c r="BI14" i="14"/>
  <c r="BI15" i="14"/>
  <c r="BI16" i="14"/>
  <c r="BI17" i="14"/>
  <c r="BI18" i="14"/>
  <c r="BI19" i="14"/>
  <c r="BI20" i="14"/>
  <c r="BI21" i="14"/>
  <c r="BI22" i="14"/>
  <c r="BI23" i="14"/>
  <c r="BI24" i="14"/>
  <c r="BI25" i="14"/>
  <c r="BI26" i="14"/>
  <c r="BI27" i="14"/>
  <c r="BI28" i="14"/>
  <c r="BI29" i="14"/>
  <c r="BI30" i="14"/>
  <c r="BI31" i="14"/>
  <c r="BI32" i="14"/>
  <c r="BI33" i="14"/>
  <c r="BI34" i="14"/>
  <c r="BI35" i="14"/>
  <c r="BI36" i="14"/>
  <c r="BI37" i="14"/>
  <c r="BI38" i="14"/>
  <c r="BI39" i="14"/>
  <c r="BI40" i="14"/>
  <c r="BI41" i="14"/>
  <c r="BI42" i="14"/>
  <c r="BI43" i="14"/>
  <c r="BI44" i="14"/>
  <c r="BI45" i="14"/>
  <c r="BI46" i="14"/>
  <c r="BI47" i="14"/>
  <c r="BI48" i="14"/>
  <c r="BI49" i="14"/>
  <c r="BI50" i="14"/>
  <c r="BI51" i="14"/>
  <c r="BI52" i="14"/>
  <c r="BI53" i="14"/>
  <c r="BI54" i="14"/>
  <c r="BI55" i="14"/>
  <c r="BI56" i="14"/>
  <c r="BI57" i="14"/>
  <c r="BI58" i="14"/>
  <c r="BI59" i="14"/>
  <c r="BI60" i="14"/>
  <c r="BI61" i="14"/>
  <c r="BI62" i="14"/>
  <c r="BI63" i="14"/>
  <c r="BI64" i="14"/>
  <c r="BI65" i="14"/>
  <c r="BI66" i="14"/>
  <c r="BI67" i="14"/>
  <c r="BI68" i="14"/>
  <c r="BI69" i="14"/>
  <c r="BI70" i="14"/>
  <c r="BI71" i="14"/>
  <c r="BI72" i="14"/>
  <c r="BI73" i="14"/>
  <c r="BI74" i="14"/>
  <c r="BI75" i="14"/>
  <c r="BI76" i="14"/>
  <c r="BI77" i="14"/>
  <c r="BI78" i="14"/>
  <c r="BI79" i="14"/>
  <c r="BI80" i="14"/>
  <c r="BI81" i="14"/>
  <c r="BI82" i="14"/>
  <c r="BI83" i="14"/>
  <c r="BI84" i="14"/>
  <c r="BI85" i="14"/>
  <c r="BI86" i="14"/>
  <c r="BI87" i="14"/>
  <c r="BI88" i="14"/>
  <c r="BI89" i="14"/>
  <c r="BI90" i="14"/>
  <c r="BI91" i="14"/>
  <c r="BI92" i="14"/>
  <c r="BI93" i="14"/>
  <c r="BI94" i="14"/>
  <c r="BI95" i="14"/>
  <c r="BI96" i="14"/>
  <c r="BI97" i="14"/>
  <c r="BI98" i="14"/>
  <c r="BI99" i="14"/>
  <c r="BI100" i="14"/>
  <c r="BI101" i="14"/>
  <c r="BI102" i="14"/>
  <c r="BI103" i="14"/>
  <c r="BI104" i="14"/>
  <c r="BI105" i="14"/>
  <c r="BI106" i="14"/>
  <c r="BI107" i="14"/>
  <c r="BI108" i="14"/>
  <c r="BI109" i="14"/>
  <c r="BI110" i="14"/>
  <c r="BI111" i="14"/>
  <c r="BI112" i="14"/>
  <c r="BI113" i="14"/>
  <c r="BI114" i="14"/>
  <c r="BI115" i="14"/>
  <c r="BI116" i="14"/>
  <c r="BI117" i="14"/>
  <c r="BI118" i="14"/>
  <c r="BI119" i="14"/>
  <c r="BI120" i="14"/>
  <c r="BI121" i="14"/>
  <c r="BI122" i="14"/>
  <c r="BI123" i="14"/>
  <c r="BI124" i="14"/>
  <c r="BI125" i="14"/>
  <c r="BI126" i="14"/>
  <c r="BI127" i="14"/>
  <c r="BI128" i="14"/>
  <c r="BI129" i="14"/>
  <c r="BI130" i="14"/>
  <c r="BI131" i="14"/>
  <c r="BI132" i="14"/>
  <c r="BI133" i="14"/>
  <c r="BI134" i="14"/>
  <c r="BI135" i="14"/>
  <c r="BI136" i="14"/>
  <c r="BI137" i="14"/>
  <c r="BI138" i="14"/>
  <c r="BI139" i="14"/>
  <c r="BI140" i="14"/>
  <c r="BI141" i="14"/>
  <c r="BI142" i="14"/>
  <c r="BI143" i="14"/>
  <c r="BI144" i="14"/>
  <c r="BI6" i="14"/>
  <c r="BH7" i="14"/>
  <c r="BH8" i="14"/>
  <c r="BH9" i="14"/>
  <c r="BH10" i="14"/>
  <c r="BH11" i="14"/>
  <c r="BH12" i="14"/>
  <c r="BH13" i="14"/>
  <c r="BH14" i="14"/>
  <c r="BH15" i="14"/>
  <c r="BH16" i="14"/>
  <c r="BH17" i="14"/>
  <c r="BH18" i="14"/>
  <c r="BH19" i="14"/>
  <c r="BH20" i="14"/>
  <c r="BH21" i="14"/>
  <c r="BH22" i="14"/>
  <c r="BH23" i="14"/>
  <c r="BH24" i="14"/>
  <c r="BH25" i="14"/>
  <c r="BH26" i="14"/>
  <c r="BH27" i="14"/>
  <c r="BH28" i="14"/>
  <c r="BH29" i="14"/>
  <c r="BH30" i="14"/>
  <c r="BH31" i="14"/>
  <c r="BH32" i="14"/>
  <c r="BH33" i="14"/>
  <c r="BH34" i="14"/>
  <c r="BH35" i="14"/>
  <c r="BH36" i="14"/>
  <c r="BH37" i="14"/>
  <c r="BH38" i="14"/>
  <c r="BH39" i="14"/>
  <c r="BH40" i="14"/>
  <c r="BH41" i="14"/>
  <c r="BH42" i="14"/>
  <c r="BH43" i="14"/>
  <c r="BH44" i="14"/>
  <c r="BH45" i="14"/>
  <c r="BH46" i="14"/>
  <c r="BH47" i="14"/>
  <c r="BH48" i="14"/>
  <c r="BH49" i="14"/>
  <c r="BH50" i="14"/>
  <c r="BH51" i="14"/>
  <c r="BH52" i="14"/>
  <c r="BH53" i="14"/>
  <c r="BH54" i="14"/>
  <c r="BH55" i="14"/>
  <c r="BH56" i="14"/>
  <c r="BH57" i="14"/>
  <c r="BH58" i="14"/>
  <c r="BH59" i="14"/>
  <c r="BH60" i="14"/>
  <c r="BH61" i="14"/>
  <c r="BH62" i="14"/>
  <c r="BH63" i="14"/>
  <c r="BH64" i="14"/>
  <c r="BH65" i="14"/>
  <c r="BH66" i="14"/>
  <c r="BH67" i="14"/>
  <c r="BH68" i="14"/>
  <c r="BH69" i="14"/>
  <c r="BH70" i="14"/>
  <c r="BH71" i="14"/>
  <c r="BH72" i="14"/>
  <c r="BH73" i="14"/>
  <c r="BH74" i="14"/>
  <c r="BH75" i="14"/>
  <c r="BH76" i="14"/>
  <c r="BH77" i="14"/>
  <c r="BH78" i="14"/>
  <c r="BH79" i="14"/>
  <c r="BH80" i="14"/>
  <c r="BH81" i="14"/>
  <c r="BH82" i="14"/>
  <c r="BH83" i="14"/>
  <c r="BH84" i="14"/>
  <c r="BH85" i="14"/>
  <c r="BH86" i="14"/>
  <c r="BH87" i="14"/>
  <c r="BH88" i="14"/>
  <c r="BH89" i="14"/>
  <c r="BH90" i="14"/>
  <c r="BH91" i="14"/>
  <c r="BH92" i="14"/>
  <c r="BH93" i="14"/>
  <c r="BH94" i="14"/>
  <c r="BH95" i="14"/>
  <c r="BH96" i="14"/>
  <c r="BH97" i="14"/>
  <c r="BH98" i="14"/>
  <c r="BH99" i="14"/>
  <c r="BH100" i="14"/>
  <c r="BH101" i="14"/>
  <c r="BH102" i="14"/>
  <c r="BH103" i="14"/>
  <c r="BH104" i="14"/>
  <c r="BH105" i="14"/>
  <c r="BH106" i="14"/>
  <c r="BH107" i="14"/>
  <c r="BH108" i="14"/>
  <c r="BH109" i="14"/>
  <c r="BH110" i="14"/>
  <c r="BH111" i="14"/>
  <c r="BH112" i="14"/>
  <c r="BH113" i="14"/>
  <c r="BH114" i="14"/>
  <c r="BH115" i="14"/>
  <c r="BH116" i="14"/>
  <c r="BH117" i="14"/>
  <c r="BH118" i="14"/>
  <c r="BH119" i="14"/>
  <c r="BH120" i="14"/>
  <c r="BH121" i="14"/>
  <c r="BH122" i="14"/>
  <c r="BH123" i="14"/>
  <c r="BH124" i="14"/>
  <c r="BH125" i="14"/>
  <c r="BH126" i="14"/>
  <c r="BH127" i="14"/>
  <c r="BH128" i="14"/>
  <c r="BH129" i="14"/>
  <c r="BH130" i="14"/>
  <c r="BH131" i="14"/>
  <c r="BH132" i="14"/>
  <c r="BH133" i="14"/>
  <c r="BH134" i="14"/>
  <c r="BH135" i="14"/>
  <c r="BH136" i="14"/>
  <c r="BH137" i="14"/>
  <c r="BH138" i="14"/>
  <c r="BH139" i="14"/>
  <c r="BH140" i="14"/>
  <c r="BH141" i="14"/>
  <c r="BH142" i="14"/>
  <c r="BH143" i="14"/>
  <c r="BH144" i="14"/>
  <c r="BH6" i="14"/>
  <c r="BG7" i="14" l="1"/>
  <c r="BG8" i="14"/>
  <c r="BG9" i="14"/>
  <c r="BG10" i="14"/>
  <c r="BG11" i="14"/>
  <c r="BG12" i="14"/>
  <c r="BG13" i="14"/>
  <c r="BG14" i="14"/>
  <c r="BG15" i="14"/>
  <c r="BG16" i="14"/>
  <c r="BG17" i="14"/>
  <c r="BG18" i="14"/>
  <c r="BG19" i="14"/>
  <c r="BG20" i="14"/>
  <c r="BG21" i="14"/>
  <c r="BG22" i="14"/>
  <c r="BG23" i="14"/>
  <c r="BG24" i="14"/>
  <c r="BG25" i="14"/>
  <c r="BG26" i="14"/>
  <c r="BG27" i="14"/>
  <c r="BG28" i="14"/>
  <c r="BG29" i="14"/>
  <c r="BG30" i="14"/>
  <c r="BG31" i="14"/>
  <c r="BG32" i="14"/>
  <c r="BG33" i="14"/>
  <c r="BG34" i="14"/>
  <c r="BG35" i="14"/>
  <c r="BG36" i="14"/>
  <c r="BG37" i="14"/>
  <c r="BG38" i="14"/>
  <c r="BG39" i="14"/>
  <c r="BG40" i="14"/>
  <c r="BG41" i="14"/>
  <c r="BG42" i="14"/>
  <c r="BG43" i="14"/>
  <c r="BG44" i="14"/>
  <c r="BG45" i="14"/>
  <c r="BG46" i="14"/>
  <c r="BG47" i="14"/>
  <c r="BG48" i="14"/>
  <c r="BG49" i="14"/>
  <c r="BG50" i="14"/>
  <c r="BG51" i="14"/>
  <c r="BG52" i="14"/>
  <c r="BG53" i="14"/>
  <c r="BG54" i="14"/>
  <c r="BG55" i="14"/>
  <c r="BG56" i="14"/>
  <c r="BG57" i="14"/>
  <c r="BG58" i="14"/>
  <c r="BG59" i="14"/>
  <c r="BG60" i="14"/>
  <c r="BG61" i="14"/>
  <c r="BG62" i="14"/>
  <c r="BG63" i="14"/>
  <c r="BG64" i="14"/>
  <c r="BG65" i="14"/>
  <c r="BG66" i="14"/>
  <c r="BG67" i="14"/>
  <c r="BG68" i="14"/>
  <c r="BG69" i="14"/>
  <c r="BG70" i="14"/>
  <c r="BG71" i="14"/>
  <c r="BG72" i="14"/>
  <c r="BG73" i="14"/>
  <c r="BG74" i="14"/>
  <c r="BG75" i="14"/>
  <c r="BG76" i="14"/>
  <c r="BG77" i="14"/>
  <c r="BG78" i="14"/>
  <c r="BG79" i="14"/>
  <c r="BG80" i="14"/>
  <c r="BG81" i="14"/>
  <c r="BG82" i="14"/>
  <c r="BG83" i="14"/>
  <c r="BG84" i="14"/>
  <c r="BG85" i="14"/>
  <c r="BG86" i="14"/>
  <c r="BG87" i="14"/>
  <c r="BG88" i="14"/>
  <c r="BG89" i="14"/>
  <c r="BG90" i="14"/>
  <c r="BG91" i="14"/>
  <c r="BG92" i="14"/>
  <c r="BG93" i="14"/>
  <c r="BG94" i="14"/>
  <c r="BG95" i="14"/>
  <c r="BG96" i="14"/>
  <c r="BG97" i="14"/>
  <c r="BG98" i="14"/>
  <c r="BG99" i="14"/>
  <c r="BG100" i="14"/>
  <c r="BG101" i="14"/>
  <c r="BG102" i="14"/>
  <c r="BG103" i="14"/>
  <c r="BG104" i="14"/>
  <c r="BG105" i="14"/>
  <c r="BG106" i="14"/>
  <c r="BG107" i="14"/>
  <c r="BG108" i="14"/>
  <c r="BG109" i="14"/>
  <c r="BG110" i="14"/>
  <c r="BG111" i="14"/>
  <c r="BG112" i="14"/>
  <c r="BG113" i="14"/>
  <c r="BG114" i="14"/>
  <c r="BG115" i="14"/>
  <c r="BG116" i="14"/>
  <c r="BG117" i="14"/>
  <c r="BG118" i="14"/>
  <c r="BG119" i="14"/>
  <c r="BG120" i="14"/>
  <c r="BG121" i="14"/>
  <c r="BG122" i="14"/>
  <c r="BG123" i="14"/>
  <c r="BG124" i="14"/>
  <c r="BG125" i="14"/>
  <c r="BG126" i="14"/>
  <c r="BG127" i="14"/>
  <c r="BG128" i="14"/>
  <c r="BG129" i="14"/>
  <c r="BG130" i="14"/>
  <c r="BG131" i="14"/>
  <c r="BG132" i="14"/>
  <c r="BG133" i="14"/>
  <c r="BG134" i="14"/>
  <c r="BG135" i="14"/>
  <c r="BG136" i="14"/>
  <c r="BG137" i="14"/>
  <c r="BG138" i="14"/>
  <c r="BG139" i="14"/>
  <c r="BG140" i="14"/>
  <c r="BG141" i="14"/>
  <c r="BG142" i="14"/>
  <c r="BG143" i="14"/>
  <c r="BG144" i="14"/>
  <c r="BG6" i="14"/>
  <c r="BG3" i="14" l="1"/>
  <c r="B99" i="14"/>
  <c r="C99" i="14"/>
  <c r="D99" i="14"/>
  <c r="E99" i="14"/>
  <c r="F99" i="14"/>
  <c r="G99" i="14"/>
  <c r="H99" i="14"/>
  <c r="I99" i="14"/>
  <c r="J99" i="14"/>
  <c r="K99" i="14"/>
  <c r="L99" i="14"/>
  <c r="M99" i="14"/>
  <c r="N99" i="14"/>
  <c r="O99" i="14"/>
  <c r="P99" i="14"/>
  <c r="Q99" i="14"/>
  <c r="R99" i="14"/>
  <c r="S99" i="14"/>
  <c r="T99" i="14"/>
  <c r="U99" i="14"/>
  <c r="V99" i="14"/>
  <c r="W99" i="14"/>
  <c r="X99" i="14"/>
  <c r="Y99" i="14"/>
  <c r="Z99" i="14"/>
  <c r="AA99" i="14"/>
  <c r="AB99" i="14"/>
  <c r="AC99" i="14"/>
  <c r="AD99" i="14"/>
  <c r="AE99" i="14"/>
  <c r="AF99" i="14"/>
  <c r="AG99" i="14"/>
  <c r="AH99" i="14"/>
  <c r="AI99" i="14"/>
  <c r="AJ99" i="14"/>
  <c r="AK99" i="14"/>
  <c r="AL99" i="14"/>
  <c r="AM99" i="14"/>
  <c r="AN99" i="14"/>
  <c r="AO99" i="14"/>
  <c r="AP99" i="14"/>
  <c r="AT99" i="14"/>
  <c r="AU99" i="14"/>
  <c r="AV99" i="14"/>
  <c r="AW99" i="14"/>
  <c r="AX99" i="14"/>
  <c r="AY99" i="14"/>
  <c r="AZ99" i="14"/>
  <c r="BA99" i="14"/>
  <c r="BB99" i="14"/>
  <c r="AQ99" i="14"/>
  <c r="AR99" i="14"/>
  <c r="AS99" i="14"/>
  <c r="BC99" i="14"/>
  <c r="BD99" i="14"/>
  <c r="BE99" i="14"/>
  <c r="BF99" i="14"/>
  <c r="BJ99" i="14"/>
  <c r="BK99" i="14"/>
  <c r="BL99" i="14"/>
  <c r="BM99" i="14"/>
  <c r="BN99" i="14"/>
  <c r="C98" i="14"/>
  <c r="D98" i="14"/>
  <c r="E98" i="14"/>
  <c r="F98" i="14"/>
  <c r="G98" i="14"/>
  <c r="H98" i="14"/>
  <c r="I98" i="14"/>
  <c r="J98" i="14"/>
  <c r="K98" i="14"/>
  <c r="L98" i="14"/>
  <c r="M98" i="14"/>
  <c r="N98" i="14"/>
  <c r="O98" i="14"/>
  <c r="P98" i="14"/>
  <c r="Q98" i="14"/>
  <c r="R98" i="14"/>
  <c r="S98" i="14"/>
  <c r="T98" i="14"/>
  <c r="U98" i="14"/>
  <c r="V98" i="14"/>
  <c r="W98" i="14"/>
  <c r="X98" i="14"/>
  <c r="Y98" i="14"/>
  <c r="Z98" i="14"/>
  <c r="AA98" i="14"/>
  <c r="AB98" i="14"/>
  <c r="AC98" i="14"/>
  <c r="AD98" i="14"/>
  <c r="AE98" i="14"/>
  <c r="AF98" i="14"/>
  <c r="AG98" i="14"/>
  <c r="AH98" i="14"/>
  <c r="AI98" i="14"/>
  <c r="AJ98" i="14"/>
  <c r="AK98" i="14"/>
  <c r="AL98" i="14"/>
  <c r="AM98" i="14"/>
  <c r="AN98" i="14"/>
  <c r="AO98" i="14"/>
  <c r="AP98" i="14"/>
  <c r="AT98" i="14"/>
  <c r="AU98" i="14"/>
  <c r="AV98" i="14"/>
  <c r="AW98" i="14"/>
  <c r="AX98" i="14"/>
  <c r="AY98" i="14"/>
  <c r="AZ98" i="14"/>
  <c r="BA98" i="14"/>
  <c r="BB98" i="14"/>
  <c r="AQ98" i="14"/>
  <c r="AR98" i="14"/>
  <c r="AS98" i="14"/>
  <c r="BC98" i="14"/>
  <c r="BD98" i="14"/>
  <c r="BE98" i="14"/>
  <c r="BF98" i="14"/>
  <c r="BJ98" i="14"/>
  <c r="BK98" i="14"/>
  <c r="BL98" i="14"/>
  <c r="BM98" i="14"/>
  <c r="BN98" i="14"/>
  <c r="BN7" i="14" l="1"/>
  <c r="BN8" i="14"/>
  <c r="BN9" i="14"/>
  <c r="BN10" i="14"/>
  <c r="BN11" i="14"/>
  <c r="BN12" i="14"/>
  <c r="BN13" i="14"/>
  <c r="BN14" i="14"/>
  <c r="BN15" i="14"/>
  <c r="BN16" i="14"/>
  <c r="BN17" i="14"/>
  <c r="BN18" i="14"/>
  <c r="BN19" i="14"/>
  <c r="BN20" i="14"/>
  <c r="BN21" i="14"/>
  <c r="BN22" i="14"/>
  <c r="BN23" i="14"/>
  <c r="BN24" i="14"/>
  <c r="BN25" i="14"/>
  <c r="BN26" i="14"/>
  <c r="BN27" i="14"/>
  <c r="BN28" i="14"/>
  <c r="BN29" i="14"/>
  <c r="BN30" i="14"/>
  <c r="BN31" i="14"/>
  <c r="BN32" i="14"/>
  <c r="BN33" i="14"/>
  <c r="BN34" i="14"/>
  <c r="BN35" i="14"/>
  <c r="BN36" i="14"/>
  <c r="BN37" i="14"/>
  <c r="BN38" i="14"/>
  <c r="BN39" i="14"/>
  <c r="BN40" i="14"/>
  <c r="BN41" i="14"/>
  <c r="BN42" i="14"/>
  <c r="BN43" i="14"/>
  <c r="BN44" i="14"/>
  <c r="BN45" i="14"/>
  <c r="BN46" i="14"/>
  <c r="BN47" i="14"/>
  <c r="BN48" i="14"/>
  <c r="BN49" i="14"/>
  <c r="BN50" i="14"/>
  <c r="BN51" i="14"/>
  <c r="BN52" i="14"/>
  <c r="BN53" i="14"/>
  <c r="BN54" i="14"/>
  <c r="BN55" i="14"/>
  <c r="BN56" i="14"/>
  <c r="BN57" i="14"/>
  <c r="BN58" i="14"/>
  <c r="BN59" i="14"/>
  <c r="BN60" i="14"/>
  <c r="BN61" i="14"/>
  <c r="BN62" i="14"/>
  <c r="BN63" i="14"/>
  <c r="BN64" i="14"/>
  <c r="BN65" i="14"/>
  <c r="BN66" i="14"/>
  <c r="BN67" i="14"/>
  <c r="BN68" i="14"/>
  <c r="BN69" i="14"/>
  <c r="BN70" i="14"/>
  <c r="BN71" i="14"/>
  <c r="BN72" i="14"/>
  <c r="BN73" i="14"/>
  <c r="BN74" i="14"/>
  <c r="BN75" i="14"/>
  <c r="BN76" i="14"/>
  <c r="BN77" i="14"/>
  <c r="BN78" i="14"/>
  <c r="BN79" i="14"/>
  <c r="BN80" i="14"/>
  <c r="BN81" i="14"/>
  <c r="BN82" i="14"/>
  <c r="BN83" i="14"/>
  <c r="BN84" i="14"/>
  <c r="BN85" i="14"/>
  <c r="BN86" i="14"/>
  <c r="BN87" i="14"/>
  <c r="BN88" i="14"/>
  <c r="BN89" i="14"/>
  <c r="BN90" i="14"/>
  <c r="BN91" i="14"/>
  <c r="BN92" i="14"/>
  <c r="BN93" i="14"/>
  <c r="BN94" i="14"/>
  <c r="BN95" i="14"/>
  <c r="BN96" i="14"/>
  <c r="BN97" i="14"/>
  <c r="BN100" i="14"/>
  <c r="BN101" i="14"/>
  <c r="BN102" i="14"/>
  <c r="BN103" i="14"/>
  <c r="BN104" i="14"/>
  <c r="BN105" i="14"/>
  <c r="BN106" i="14"/>
  <c r="BN107" i="14"/>
  <c r="BN108" i="14"/>
  <c r="BN109" i="14"/>
  <c r="BN110" i="14"/>
  <c r="BN111" i="14"/>
  <c r="BN112" i="14"/>
  <c r="BN113" i="14"/>
  <c r="BN114" i="14"/>
  <c r="BN115" i="14"/>
  <c r="BN116" i="14"/>
  <c r="BN117" i="14"/>
  <c r="BN118" i="14"/>
  <c r="BN119" i="14"/>
  <c r="BN120" i="14"/>
  <c r="BN121" i="14"/>
  <c r="BN122" i="14"/>
  <c r="BN123" i="14"/>
  <c r="BN124" i="14"/>
  <c r="BN125" i="14"/>
  <c r="BN126" i="14"/>
  <c r="BN127" i="14"/>
  <c r="BN128" i="14"/>
  <c r="BN129" i="14"/>
  <c r="BN130" i="14"/>
  <c r="BN131" i="14"/>
  <c r="BN132" i="14"/>
  <c r="BN133" i="14"/>
  <c r="BN134" i="14"/>
  <c r="BN135" i="14"/>
  <c r="BN136" i="14"/>
  <c r="BN137" i="14"/>
  <c r="BN138" i="14"/>
  <c r="BN139" i="14"/>
  <c r="BN140" i="14"/>
  <c r="BN141" i="14"/>
  <c r="BN142" i="14"/>
  <c r="BN143" i="14"/>
  <c r="BN144" i="14"/>
  <c r="BN6" i="14"/>
  <c r="BM7" i="14"/>
  <c r="BM8" i="14"/>
  <c r="BM9" i="14"/>
  <c r="BM10" i="14"/>
  <c r="BM11" i="14"/>
  <c r="BM12" i="14"/>
  <c r="BM13" i="14"/>
  <c r="BM14" i="14"/>
  <c r="BM15" i="14"/>
  <c r="BM16" i="14"/>
  <c r="BM17" i="14"/>
  <c r="BM18" i="14"/>
  <c r="BM19" i="14"/>
  <c r="BM20" i="14"/>
  <c r="BM21" i="14"/>
  <c r="BM22" i="14"/>
  <c r="BM23" i="14"/>
  <c r="BM24" i="14"/>
  <c r="BM25" i="14"/>
  <c r="BM26" i="14"/>
  <c r="BM27" i="14"/>
  <c r="BM28" i="14"/>
  <c r="BM29" i="14"/>
  <c r="BM30" i="14"/>
  <c r="BM31" i="14"/>
  <c r="BM32" i="14"/>
  <c r="BM33" i="14"/>
  <c r="BM34" i="14"/>
  <c r="BM35" i="14"/>
  <c r="BM36" i="14"/>
  <c r="BM37" i="14"/>
  <c r="BM38" i="14"/>
  <c r="BM39" i="14"/>
  <c r="BM40" i="14"/>
  <c r="BM41" i="14"/>
  <c r="BM42" i="14"/>
  <c r="BM43" i="14"/>
  <c r="BM44" i="14"/>
  <c r="BM45" i="14"/>
  <c r="BM46" i="14"/>
  <c r="BM47" i="14"/>
  <c r="BM48" i="14"/>
  <c r="BM49" i="14"/>
  <c r="BM50" i="14"/>
  <c r="BM51" i="14"/>
  <c r="BM52" i="14"/>
  <c r="BM53" i="14"/>
  <c r="BM54" i="14"/>
  <c r="BM55" i="14"/>
  <c r="BM56" i="14"/>
  <c r="BM57" i="14"/>
  <c r="BM58" i="14"/>
  <c r="BM59" i="14"/>
  <c r="BM60" i="14"/>
  <c r="BM61" i="14"/>
  <c r="BM62" i="14"/>
  <c r="BM63" i="14"/>
  <c r="BM64" i="14"/>
  <c r="BM65" i="14"/>
  <c r="BM66" i="14"/>
  <c r="BM67" i="14"/>
  <c r="BM68" i="14"/>
  <c r="BM69" i="14"/>
  <c r="BM70" i="14"/>
  <c r="BM71" i="14"/>
  <c r="BM72" i="14"/>
  <c r="BM73" i="14"/>
  <c r="BM74" i="14"/>
  <c r="BM75" i="14"/>
  <c r="BM76" i="14"/>
  <c r="BM77" i="14"/>
  <c r="BM78" i="14"/>
  <c r="BM79" i="14"/>
  <c r="BM80" i="14"/>
  <c r="BM81" i="14"/>
  <c r="BM82" i="14"/>
  <c r="BM83" i="14"/>
  <c r="BM84" i="14"/>
  <c r="BM85" i="14"/>
  <c r="BM86" i="14"/>
  <c r="BM87" i="14"/>
  <c r="BM88" i="14"/>
  <c r="BM89" i="14"/>
  <c r="BM90" i="14"/>
  <c r="BM91" i="14"/>
  <c r="BM92" i="14"/>
  <c r="BM93" i="14"/>
  <c r="BM94" i="14"/>
  <c r="BM95" i="14"/>
  <c r="BM96" i="14"/>
  <c r="BM97" i="14"/>
  <c r="BM100" i="14"/>
  <c r="BM101" i="14"/>
  <c r="BM102" i="14"/>
  <c r="BM103" i="14"/>
  <c r="BM104" i="14"/>
  <c r="BM105" i="14"/>
  <c r="BM106" i="14"/>
  <c r="BM107" i="14"/>
  <c r="BM108" i="14"/>
  <c r="BM109" i="14"/>
  <c r="BM110" i="14"/>
  <c r="BM111" i="14"/>
  <c r="BM112" i="14"/>
  <c r="BM113" i="14"/>
  <c r="BM114" i="14"/>
  <c r="BM115" i="14"/>
  <c r="BM116" i="14"/>
  <c r="BM117" i="14"/>
  <c r="BM118" i="14"/>
  <c r="BM119" i="14"/>
  <c r="BM120" i="14"/>
  <c r="BM121" i="14"/>
  <c r="BM122" i="14"/>
  <c r="BM123" i="14"/>
  <c r="BM124" i="14"/>
  <c r="BM125" i="14"/>
  <c r="BM126" i="14"/>
  <c r="BM127" i="14"/>
  <c r="BM128" i="14"/>
  <c r="BM129" i="14"/>
  <c r="BM130" i="14"/>
  <c r="BM131" i="14"/>
  <c r="BM132" i="14"/>
  <c r="BM133" i="14"/>
  <c r="BM134" i="14"/>
  <c r="BM135" i="14"/>
  <c r="BM136" i="14"/>
  <c r="BM137" i="14"/>
  <c r="BM138" i="14"/>
  <c r="BM139" i="14"/>
  <c r="BM140" i="14"/>
  <c r="BM141" i="14"/>
  <c r="BM142" i="14"/>
  <c r="BM143" i="14"/>
  <c r="BM144" i="14"/>
  <c r="BM6" i="14"/>
  <c r="BM3" i="14" l="1"/>
  <c r="BF7" i="14"/>
  <c r="BF8" i="14"/>
  <c r="BF9" i="14"/>
  <c r="BF10" i="14"/>
  <c r="BF11" i="14"/>
  <c r="BF12" i="14"/>
  <c r="BF13" i="14"/>
  <c r="BF14" i="14"/>
  <c r="BF15" i="14"/>
  <c r="BF16" i="14"/>
  <c r="BF17" i="14"/>
  <c r="BF18" i="14"/>
  <c r="BF19" i="14"/>
  <c r="BF20" i="14"/>
  <c r="BF21" i="14"/>
  <c r="BF22" i="14"/>
  <c r="BF23" i="14"/>
  <c r="BF24" i="14"/>
  <c r="BF25" i="14"/>
  <c r="BF26" i="14"/>
  <c r="BF27" i="14"/>
  <c r="BF28" i="14"/>
  <c r="BF29" i="14"/>
  <c r="BF30" i="14"/>
  <c r="BF31" i="14"/>
  <c r="BF32" i="14"/>
  <c r="BF33" i="14"/>
  <c r="BF34" i="14"/>
  <c r="BF35" i="14"/>
  <c r="BF36" i="14"/>
  <c r="BF37" i="14"/>
  <c r="BF38" i="14"/>
  <c r="BF39" i="14"/>
  <c r="BF40" i="14"/>
  <c r="BF41" i="14"/>
  <c r="BF42" i="14"/>
  <c r="BF43" i="14"/>
  <c r="BF44" i="14"/>
  <c r="BF45" i="14"/>
  <c r="BF46" i="14"/>
  <c r="BF47" i="14"/>
  <c r="BF48" i="14"/>
  <c r="BF49" i="14"/>
  <c r="BF50" i="14"/>
  <c r="BF51" i="14"/>
  <c r="BF52" i="14"/>
  <c r="BF53" i="14"/>
  <c r="BF54" i="14"/>
  <c r="BF55" i="14"/>
  <c r="BF56" i="14"/>
  <c r="BF57" i="14"/>
  <c r="BF58" i="14"/>
  <c r="BF59" i="14"/>
  <c r="BF60" i="14"/>
  <c r="BF61" i="14"/>
  <c r="BF62" i="14"/>
  <c r="BF63" i="14"/>
  <c r="BF64" i="14"/>
  <c r="BF65" i="14"/>
  <c r="BF66" i="14"/>
  <c r="BF67" i="14"/>
  <c r="BF68" i="14"/>
  <c r="BF69" i="14"/>
  <c r="BF70" i="14"/>
  <c r="BF71" i="14"/>
  <c r="BF72" i="14"/>
  <c r="BF73" i="14"/>
  <c r="BF74" i="14"/>
  <c r="BF75" i="14"/>
  <c r="BF76" i="14"/>
  <c r="BF77" i="14"/>
  <c r="BF78" i="14"/>
  <c r="BF79" i="14"/>
  <c r="BF80" i="14"/>
  <c r="BF81" i="14"/>
  <c r="BF82" i="14"/>
  <c r="BF83" i="14"/>
  <c r="BF84" i="14"/>
  <c r="BF85" i="14"/>
  <c r="BF86" i="14"/>
  <c r="BF87" i="14"/>
  <c r="BF88" i="14"/>
  <c r="BF89" i="14"/>
  <c r="BF90" i="14"/>
  <c r="BF91" i="14"/>
  <c r="BF92" i="14"/>
  <c r="BF93" i="14"/>
  <c r="BF94" i="14"/>
  <c r="BF95" i="14"/>
  <c r="BF96" i="14"/>
  <c r="BF97" i="14"/>
  <c r="BF100" i="14"/>
  <c r="BF101" i="14"/>
  <c r="BF102" i="14"/>
  <c r="BF103" i="14"/>
  <c r="BF104" i="14"/>
  <c r="BF105" i="14"/>
  <c r="BF106" i="14"/>
  <c r="BF107" i="14"/>
  <c r="BF108" i="14"/>
  <c r="BF109" i="14"/>
  <c r="BF110" i="14"/>
  <c r="BF111" i="14"/>
  <c r="BF112" i="14"/>
  <c r="BF113" i="14"/>
  <c r="BF114" i="14"/>
  <c r="BF115" i="14"/>
  <c r="BF116" i="14"/>
  <c r="BF117" i="14"/>
  <c r="BF118" i="14"/>
  <c r="BF119" i="14"/>
  <c r="BF120" i="14"/>
  <c r="BF121" i="14"/>
  <c r="BF122" i="14"/>
  <c r="BF123" i="14"/>
  <c r="BF124" i="14"/>
  <c r="BF125" i="14"/>
  <c r="BF126" i="14"/>
  <c r="BF127" i="14"/>
  <c r="BF128" i="14"/>
  <c r="BF129" i="14"/>
  <c r="BF130" i="14"/>
  <c r="BF131" i="14"/>
  <c r="BF132" i="14"/>
  <c r="BF133" i="14"/>
  <c r="BF134" i="14"/>
  <c r="BF135" i="14"/>
  <c r="BF136" i="14"/>
  <c r="BF137" i="14"/>
  <c r="BF138" i="14"/>
  <c r="BF139" i="14"/>
  <c r="BF140" i="14"/>
  <c r="BF141" i="14"/>
  <c r="BF142" i="14"/>
  <c r="BF143" i="14"/>
  <c r="BF144" i="14"/>
  <c r="BF6" i="14"/>
  <c r="BF3" i="14" l="1"/>
  <c r="AL7" i="14"/>
  <c r="AL8" i="14"/>
  <c r="AL9" i="14"/>
  <c r="AL10" i="14"/>
  <c r="AL11" i="14"/>
  <c r="AL12" i="14"/>
  <c r="AL13" i="14"/>
  <c r="AL14" i="14"/>
  <c r="AL15" i="14"/>
  <c r="AL16" i="14"/>
  <c r="AL17" i="14"/>
  <c r="AL18" i="14"/>
  <c r="AL19" i="14"/>
  <c r="AL20" i="14"/>
  <c r="AL21" i="14"/>
  <c r="AL22" i="14"/>
  <c r="AL23" i="14"/>
  <c r="AL24" i="14"/>
  <c r="AL25" i="14"/>
  <c r="AL26" i="14"/>
  <c r="AL27" i="14"/>
  <c r="AL28" i="14"/>
  <c r="AL29" i="14"/>
  <c r="AL30" i="14"/>
  <c r="AL31" i="14"/>
  <c r="AL32" i="14"/>
  <c r="AL33" i="14"/>
  <c r="AL34" i="14"/>
  <c r="AL35" i="14"/>
  <c r="AL36" i="14"/>
  <c r="AL37" i="14"/>
  <c r="AL38" i="14"/>
  <c r="AL39" i="14"/>
  <c r="AL40" i="14"/>
  <c r="AL41" i="14"/>
  <c r="AL42" i="14"/>
  <c r="AL43" i="14"/>
  <c r="AL44" i="14"/>
  <c r="AL45" i="14"/>
  <c r="AL46" i="14"/>
  <c r="AL47" i="14"/>
  <c r="AL48" i="14"/>
  <c r="AL49" i="14"/>
  <c r="AL50" i="14"/>
  <c r="AL51" i="14"/>
  <c r="AL52" i="14"/>
  <c r="AL53" i="14"/>
  <c r="AL54" i="14"/>
  <c r="AL55" i="14"/>
  <c r="AL56" i="14"/>
  <c r="AL57" i="14"/>
  <c r="AL58" i="14"/>
  <c r="AL59" i="14"/>
  <c r="AL60" i="14"/>
  <c r="AL61" i="14"/>
  <c r="AL62" i="14"/>
  <c r="AL63" i="14"/>
  <c r="AL64" i="14"/>
  <c r="AL65" i="14"/>
  <c r="AL66" i="14"/>
  <c r="AL67" i="14"/>
  <c r="AL68" i="14"/>
  <c r="AL69" i="14"/>
  <c r="AL70" i="14"/>
  <c r="AL71" i="14"/>
  <c r="AL72" i="14"/>
  <c r="AL73" i="14"/>
  <c r="AL74" i="14"/>
  <c r="AL75" i="14"/>
  <c r="AL76" i="14"/>
  <c r="AL77" i="14"/>
  <c r="AL78" i="14"/>
  <c r="AL79" i="14"/>
  <c r="AL80" i="14"/>
  <c r="AL81" i="14"/>
  <c r="AL82" i="14"/>
  <c r="AL83" i="14"/>
  <c r="AL84" i="14"/>
  <c r="AL85" i="14"/>
  <c r="AL86" i="14"/>
  <c r="AL87" i="14"/>
  <c r="AL88" i="14"/>
  <c r="AL89" i="14"/>
  <c r="AL90" i="14"/>
  <c r="AL91" i="14"/>
  <c r="AL92" i="14"/>
  <c r="AL93" i="14"/>
  <c r="AL94" i="14"/>
  <c r="AL95" i="14"/>
  <c r="AL96" i="14"/>
  <c r="AL97" i="14"/>
  <c r="AL100" i="14"/>
  <c r="AL101" i="14"/>
  <c r="AL102" i="14"/>
  <c r="AL103" i="14"/>
  <c r="AL104" i="14"/>
  <c r="AL105" i="14"/>
  <c r="AL106" i="14"/>
  <c r="AL107" i="14"/>
  <c r="AL108" i="14"/>
  <c r="AL109" i="14"/>
  <c r="AL110" i="14"/>
  <c r="AL111" i="14"/>
  <c r="AL112" i="14"/>
  <c r="AL113" i="14"/>
  <c r="AL114" i="14"/>
  <c r="AL115" i="14"/>
  <c r="AL116" i="14"/>
  <c r="AL117" i="14"/>
  <c r="AL118" i="14"/>
  <c r="AL119" i="14"/>
  <c r="AL120" i="14"/>
  <c r="AL121" i="14"/>
  <c r="AL122" i="14"/>
  <c r="AL123" i="14"/>
  <c r="AL124" i="14"/>
  <c r="AL125" i="14"/>
  <c r="AL126" i="14"/>
  <c r="AL127" i="14"/>
  <c r="AL128" i="14"/>
  <c r="AL129" i="14"/>
  <c r="AL130" i="14"/>
  <c r="AL131" i="14"/>
  <c r="AL132" i="14"/>
  <c r="AL133" i="14"/>
  <c r="AL134" i="14"/>
  <c r="AL135" i="14"/>
  <c r="AL136" i="14"/>
  <c r="AL137" i="14"/>
  <c r="AL138" i="14"/>
  <c r="AL139" i="14"/>
  <c r="AL140" i="14"/>
  <c r="AL141" i="14"/>
  <c r="AL142" i="14"/>
  <c r="AL143" i="14"/>
  <c r="AL144" i="14"/>
  <c r="AK7" i="14" l="1"/>
  <c r="AK8" i="14"/>
  <c r="AK9" i="14"/>
  <c r="AK10" i="14"/>
  <c r="AK11" i="14"/>
  <c r="AK12" i="14"/>
  <c r="AK13" i="14"/>
  <c r="AK14" i="14"/>
  <c r="AK15" i="14"/>
  <c r="AK16" i="14"/>
  <c r="AK17" i="14"/>
  <c r="AK18" i="14"/>
  <c r="AK19" i="14"/>
  <c r="AK20" i="14"/>
  <c r="AK21" i="14"/>
  <c r="AK22" i="14"/>
  <c r="AK23" i="14"/>
  <c r="AK24" i="14"/>
  <c r="AK25" i="14"/>
  <c r="AK26" i="14"/>
  <c r="AK27" i="14"/>
  <c r="AK28" i="14"/>
  <c r="AK29" i="14"/>
  <c r="AK30" i="14"/>
  <c r="AK31" i="14"/>
  <c r="AK32" i="14"/>
  <c r="AK33" i="14"/>
  <c r="AK34" i="14"/>
  <c r="AK35" i="14"/>
  <c r="AK36" i="14"/>
  <c r="AK37" i="14"/>
  <c r="AK38" i="14"/>
  <c r="AK39" i="14"/>
  <c r="AK40" i="14"/>
  <c r="AK41" i="14"/>
  <c r="AK42" i="14"/>
  <c r="AK43" i="14"/>
  <c r="AK44" i="14"/>
  <c r="AK45" i="14"/>
  <c r="AK46" i="14"/>
  <c r="AK47" i="14"/>
  <c r="AK48" i="14"/>
  <c r="AK49" i="14"/>
  <c r="AK50" i="14"/>
  <c r="AK51" i="14"/>
  <c r="AK52" i="14"/>
  <c r="AK53" i="14"/>
  <c r="AK54" i="14"/>
  <c r="AK55" i="14"/>
  <c r="AK56" i="14"/>
  <c r="AK57" i="14"/>
  <c r="AK58" i="14"/>
  <c r="AK59" i="14"/>
  <c r="AK60" i="14"/>
  <c r="AK61" i="14"/>
  <c r="AK62" i="14"/>
  <c r="AK63" i="14"/>
  <c r="AK64" i="14"/>
  <c r="AK65" i="14"/>
  <c r="AK66" i="14"/>
  <c r="AK67" i="14"/>
  <c r="AK68" i="14"/>
  <c r="AK69" i="14"/>
  <c r="AK70" i="14"/>
  <c r="AK71" i="14"/>
  <c r="AK72" i="14"/>
  <c r="AK73" i="14"/>
  <c r="AK74" i="14"/>
  <c r="AK75" i="14"/>
  <c r="AK76" i="14"/>
  <c r="AK77" i="14"/>
  <c r="AK78" i="14"/>
  <c r="AK79" i="14"/>
  <c r="AK80" i="14"/>
  <c r="AK81" i="14"/>
  <c r="AK82" i="14"/>
  <c r="AK83" i="14"/>
  <c r="AK84" i="14"/>
  <c r="AK85" i="14"/>
  <c r="AK86" i="14"/>
  <c r="AK87" i="14"/>
  <c r="AK88" i="14"/>
  <c r="AK89" i="14"/>
  <c r="AK90" i="14"/>
  <c r="AK91" i="14"/>
  <c r="AK92" i="14"/>
  <c r="AK93" i="14"/>
  <c r="AK94" i="14"/>
  <c r="AK95" i="14"/>
  <c r="AK96" i="14"/>
  <c r="AK97" i="14"/>
  <c r="AK100" i="14"/>
  <c r="AK101" i="14"/>
  <c r="AK102" i="14"/>
  <c r="AK103" i="14"/>
  <c r="AK104" i="14"/>
  <c r="AK105" i="14"/>
  <c r="AK106" i="14"/>
  <c r="AK107" i="14"/>
  <c r="AK108" i="14"/>
  <c r="AK109" i="14"/>
  <c r="AK110" i="14"/>
  <c r="AK111" i="14"/>
  <c r="AK112" i="14"/>
  <c r="AK113" i="14"/>
  <c r="AK114" i="14"/>
  <c r="AK115" i="14"/>
  <c r="AK116" i="14"/>
  <c r="AK117" i="14"/>
  <c r="AK118" i="14"/>
  <c r="AK119" i="14"/>
  <c r="AK120" i="14"/>
  <c r="AK121" i="14"/>
  <c r="AK122" i="14"/>
  <c r="AK123" i="14"/>
  <c r="AK124" i="14"/>
  <c r="AK125" i="14"/>
  <c r="AK126" i="14"/>
  <c r="AK127" i="14"/>
  <c r="AK128" i="14"/>
  <c r="AK129" i="14"/>
  <c r="AK130" i="14"/>
  <c r="AK131" i="14"/>
  <c r="AK132" i="14"/>
  <c r="AK133" i="14"/>
  <c r="AK134" i="14"/>
  <c r="AK135" i="14"/>
  <c r="AK136" i="14"/>
  <c r="AK137" i="14"/>
  <c r="AK138" i="14"/>
  <c r="AK139" i="14"/>
  <c r="AK140" i="14"/>
  <c r="AK141" i="14"/>
  <c r="AK142" i="14"/>
  <c r="AK143" i="14"/>
  <c r="AK144" i="14"/>
  <c r="AK6" i="14"/>
  <c r="AK3" i="14" l="1"/>
  <c r="C66" i="14"/>
  <c r="D66" i="14"/>
  <c r="E66" i="14"/>
  <c r="F66" i="14"/>
  <c r="G66" i="14"/>
  <c r="H66" i="14"/>
  <c r="I66" i="14"/>
  <c r="J66" i="14"/>
  <c r="K66" i="14"/>
  <c r="L66" i="14"/>
  <c r="M66" i="14"/>
  <c r="N66" i="14"/>
  <c r="O66" i="14"/>
  <c r="P66" i="14"/>
  <c r="Q66" i="14"/>
  <c r="R66" i="14"/>
  <c r="S66" i="14"/>
  <c r="T66" i="14"/>
  <c r="U66" i="14"/>
  <c r="V66" i="14"/>
  <c r="W66" i="14"/>
  <c r="X66" i="14"/>
  <c r="Y66" i="14"/>
  <c r="Z66" i="14"/>
  <c r="AA66" i="14"/>
  <c r="AB66" i="14"/>
  <c r="AC66" i="14"/>
  <c r="AD66" i="14"/>
  <c r="AE66" i="14"/>
  <c r="AF66" i="14"/>
  <c r="AG66" i="14"/>
  <c r="AH66" i="14"/>
  <c r="AI66" i="14"/>
  <c r="AJ66" i="14"/>
  <c r="AM66" i="14"/>
  <c r="AN66" i="14"/>
  <c r="AO66" i="14"/>
  <c r="AP66" i="14"/>
  <c r="AT66" i="14"/>
  <c r="AU66" i="14"/>
  <c r="AV66" i="14"/>
  <c r="AW66" i="14"/>
  <c r="AZ66" i="14"/>
  <c r="AX66" i="14"/>
  <c r="AY66" i="14"/>
  <c r="BA66" i="14"/>
  <c r="BB66" i="14"/>
  <c r="AQ66" i="14"/>
  <c r="AR66" i="14"/>
  <c r="AS66" i="14"/>
  <c r="BC66" i="14"/>
  <c r="BD66" i="14"/>
  <c r="BE66" i="14"/>
  <c r="BL66" i="14"/>
  <c r="BK66" i="14"/>
  <c r="BJ66" i="14"/>
  <c r="B67" i="14"/>
  <c r="C67" i="14"/>
  <c r="D67" i="14"/>
  <c r="E67" i="14"/>
  <c r="F67" i="14"/>
  <c r="G67" i="14"/>
  <c r="H67" i="14"/>
  <c r="I67" i="14"/>
  <c r="J67" i="14"/>
  <c r="K67" i="14"/>
  <c r="L67" i="14"/>
  <c r="M67" i="14"/>
  <c r="N67" i="14"/>
  <c r="O67" i="14"/>
  <c r="P67" i="14"/>
  <c r="Q67" i="14"/>
  <c r="R67" i="14"/>
  <c r="S67" i="14"/>
  <c r="T67" i="14"/>
  <c r="U67" i="14"/>
  <c r="V67" i="14"/>
  <c r="W67" i="14"/>
  <c r="X67" i="14"/>
  <c r="Y67" i="14"/>
  <c r="Z67" i="14"/>
  <c r="AA67" i="14"/>
  <c r="AB67" i="14"/>
  <c r="AC67" i="14"/>
  <c r="AD67" i="14"/>
  <c r="AE67" i="14"/>
  <c r="AF67" i="14"/>
  <c r="AG67" i="14"/>
  <c r="AH67" i="14"/>
  <c r="AI67" i="14"/>
  <c r="AJ67" i="14"/>
  <c r="AM67" i="14"/>
  <c r="AN67" i="14"/>
  <c r="AO67" i="14"/>
  <c r="AP67" i="14"/>
  <c r="AT67" i="14"/>
  <c r="AU67" i="14"/>
  <c r="AV67" i="14"/>
  <c r="AW67" i="14"/>
  <c r="AZ67" i="14"/>
  <c r="AX67" i="14"/>
  <c r="AY67" i="14"/>
  <c r="BA67" i="14"/>
  <c r="BB67" i="14"/>
  <c r="AQ67" i="14"/>
  <c r="AR67" i="14"/>
  <c r="AS67" i="14"/>
  <c r="BC67" i="14"/>
  <c r="BD67" i="14"/>
  <c r="BE67" i="14"/>
  <c r="BL67" i="14"/>
  <c r="BK67" i="14"/>
  <c r="BJ67" i="14"/>
  <c r="BE7" i="14" l="1"/>
  <c r="BE8" i="14"/>
  <c r="BE9" i="14"/>
  <c r="BE10" i="14"/>
  <c r="BE11" i="14"/>
  <c r="BE12" i="14"/>
  <c r="BE13" i="14"/>
  <c r="BE14" i="14"/>
  <c r="BE15" i="14"/>
  <c r="BE16" i="14"/>
  <c r="BE17" i="14"/>
  <c r="BE18" i="14"/>
  <c r="BE19" i="14"/>
  <c r="BE20" i="14"/>
  <c r="BE21" i="14"/>
  <c r="BE22" i="14"/>
  <c r="BE23" i="14"/>
  <c r="BE24" i="14"/>
  <c r="BE25" i="14"/>
  <c r="BE26" i="14"/>
  <c r="BE27" i="14"/>
  <c r="BE28" i="14"/>
  <c r="BE29" i="14"/>
  <c r="BE30" i="14"/>
  <c r="BE31" i="14"/>
  <c r="BE32" i="14"/>
  <c r="BE33" i="14"/>
  <c r="BE34" i="14"/>
  <c r="BE35" i="14"/>
  <c r="BE36" i="14"/>
  <c r="BE37" i="14"/>
  <c r="BE38" i="14"/>
  <c r="BE39" i="14"/>
  <c r="BE40" i="14"/>
  <c r="BE41" i="14"/>
  <c r="BE42" i="14"/>
  <c r="BE43" i="14"/>
  <c r="BE44" i="14"/>
  <c r="BE45" i="14"/>
  <c r="BE46" i="14"/>
  <c r="BE47" i="14"/>
  <c r="BE48" i="14"/>
  <c r="BE49" i="14"/>
  <c r="BE50" i="14"/>
  <c r="BE51" i="14"/>
  <c r="BE52" i="14"/>
  <c r="BE53" i="14"/>
  <c r="BE54" i="14"/>
  <c r="BE55" i="14"/>
  <c r="BE56" i="14"/>
  <c r="BE57" i="14"/>
  <c r="BE58" i="14"/>
  <c r="BE59" i="14"/>
  <c r="BE60" i="14"/>
  <c r="BE61" i="14"/>
  <c r="BE62" i="14"/>
  <c r="BE63" i="14"/>
  <c r="BE64" i="14"/>
  <c r="BE65" i="14"/>
  <c r="BE68" i="14"/>
  <c r="BE69" i="14"/>
  <c r="BE70" i="14"/>
  <c r="BE71" i="14"/>
  <c r="BE72" i="14"/>
  <c r="BE73" i="14"/>
  <c r="BE74" i="14"/>
  <c r="BE75" i="14"/>
  <c r="BE76" i="14"/>
  <c r="BE77" i="14"/>
  <c r="BE78" i="14"/>
  <c r="BE79" i="14"/>
  <c r="BE80" i="14"/>
  <c r="BE81" i="14"/>
  <c r="BE82" i="14"/>
  <c r="BE83" i="14"/>
  <c r="BE84" i="14"/>
  <c r="BE85" i="14"/>
  <c r="BE86" i="14"/>
  <c r="BE87" i="14"/>
  <c r="BE88" i="14"/>
  <c r="BE89" i="14"/>
  <c r="BE90" i="14"/>
  <c r="BE91" i="14"/>
  <c r="BE92" i="14"/>
  <c r="BE93" i="14"/>
  <c r="BE94" i="14"/>
  <c r="BE95" i="14"/>
  <c r="BE96" i="14"/>
  <c r="BE97" i="14"/>
  <c r="BE100" i="14"/>
  <c r="BE101" i="14"/>
  <c r="BE102" i="14"/>
  <c r="BE103" i="14"/>
  <c r="BE104" i="14"/>
  <c r="BE105" i="14"/>
  <c r="BE106" i="14"/>
  <c r="BE107" i="14"/>
  <c r="BE108" i="14"/>
  <c r="BE109" i="14"/>
  <c r="BE110" i="14"/>
  <c r="BE111" i="14"/>
  <c r="BE112" i="14"/>
  <c r="BE113" i="14"/>
  <c r="BE114" i="14"/>
  <c r="BE115" i="14"/>
  <c r="BE116" i="14"/>
  <c r="BE117" i="14"/>
  <c r="BE118" i="14"/>
  <c r="BE119" i="14"/>
  <c r="BE120" i="14"/>
  <c r="BE121" i="14"/>
  <c r="BE122" i="14"/>
  <c r="BE123" i="14"/>
  <c r="BE124" i="14"/>
  <c r="BE125" i="14"/>
  <c r="BE126" i="14"/>
  <c r="BE127" i="14"/>
  <c r="BE128" i="14"/>
  <c r="BE129" i="14"/>
  <c r="BE130" i="14"/>
  <c r="BE131" i="14"/>
  <c r="BE132" i="14"/>
  <c r="BE133" i="14"/>
  <c r="BE134" i="14"/>
  <c r="BE135" i="14"/>
  <c r="BE136" i="14"/>
  <c r="BE137" i="14"/>
  <c r="BE138" i="14"/>
  <c r="BE139" i="14"/>
  <c r="BE140" i="14"/>
  <c r="BE141" i="14"/>
  <c r="BE142" i="14"/>
  <c r="BE143" i="14"/>
  <c r="BE144" i="14"/>
  <c r="BE6" i="14"/>
  <c r="BD12" i="14"/>
  <c r="BD13" i="14"/>
  <c r="BD14" i="14"/>
  <c r="BD15" i="14"/>
  <c r="BD16" i="14"/>
  <c r="BD17" i="14"/>
  <c r="BD18" i="14"/>
  <c r="BD19" i="14"/>
  <c r="BD20" i="14"/>
  <c r="BD21" i="14"/>
  <c r="BD22" i="14"/>
  <c r="BD23" i="14"/>
  <c r="BD24" i="14"/>
  <c r="BD25" i="14"/>
  <c r="BD26" i="14"/>
  <c r="BD27" i="14"/>
  <c r="BD28" i="14"/>
  <c r="BD29" i="14"/>
  <c r="BD30" i="14"/>
  <c r="BD31" i="14"/>
  <c r="BD32" i="14"/>
  <c r="BD33" i="14"/>
  <c r="BD34" i="14"/>
  <c r="BD35" i="14"/>
  <c r="BD36" i="14"/>
  <c r="BD37" i="14"/>
  <c r="BD38" i="14"/>
  <c r="BD39" i="14"/>
  <c r="BD40" i="14"/>
  <c r="BD41" i="14"/>
  <c r="BD42" i="14"/>
  <c r="BD43" i="14"/>
  <c r="BD44" i="14"/>
  <c r="BD45" i="14"/>
  <c r="BD46" i="14"/>
  <c r="BD47" i="14"/>
  <c r="BD48" i="14"/>
  <c r="BD49" i="14"/>
  <c r="BD50" i="14"/>
  <c r="BD51" i="14"/>
  <c r="BD52" i="14"/>
  <c r="BD53" i="14"/>
  <c r="BD54" i="14"/>
  <c r="BD55" i="14"/>
  <c r="BD56" i="14"/>
  <c r="BD57" i="14"/>
  <c r="BD58" i="14"/>
  <c r="BD59" i="14"/>
  <c r="BD60" i="14"/>
  <c r="BD61" i="14"/>
  <c r="BD62" i="14"/>
  <c r="BD63" i="14"/>
  <c r="BD64" i="14"/>
  <c r="BD65" i="14"/>
  <c r="BD68" i="14"/>
  <c r="BD69" i="14"/>
  <c r="BD70" i="14"/>
  <c r="BD71" i="14"/>
  <c r="BD72" i="14"/>
  <c r="BD73" i="14"/>
  <c r="BD74" i="14"/>
  <c r="BD75" i="14"/>
  <c r="BD76" i="14"/>
  <c r="BD77" i="14"/>
  <c r="BD78" i="14"/>
  <c r="BD79" i="14"/>
  <c r="BD80" i="14"/>
  <c r="BD81" i="14"/>
  <c r="BD82" i="14"/>
  <c r="BD83" i="14"/>
  <c r="BD84" i="14"/>
  <c r="BD85" i="14"/>
  <c r="BD86" i="14"/>
  <c r="BD87" i="14"/>
  <c r="BD88" i="14"/>
  <c r="BD89" i="14"/>
  <c r="BD90" i="14"/>
  <c r="BD91" i="14"/>
  <c r="BD92" i="14"/>
  <c r="BD93" i="14"/>
  <c r="BD94" i="14"/>
  <c r="BD95" i="14"/>
  <c r="BD96" i="14"/>
  <c r="BD97" i="14"/>
  <c r="BD100" i="14"/>
  <c r="BD101" i="14"/>
  <c r="BD102" i="14"/>
  <c r="BD103" i="14"/>
  <c r="BD104" i="14"/>
  <c r="BD105" i="14"/>
  <c r="BD106" i="14"/>
  <c r="BD107" i="14"/>
  <c r="BD108" i="14"/>
  <c r="BD109" i="14"/>
  <c r="BD110" i="14"/>
  <c r="BD111" i="14"/>
  <c r="BD112" i="14"/>
  <c r="BD113" i="14"/>
  <c r="BD114" i="14"/>
  <c r="BD115" i="14"/>
  <c r="BD116" i="14"/>
  <c r="BD117" i="14"/>
  <c r="BD118" i="14"/>
  <c r="BD119" i="14"/>
  <c r="BD120" i="14"/>
  <c r="BD121" i="14"/>
  <c r="BD122" i="14"/>
  <c r="BD123" i="14"/>
  <c r="BD124" i="14"/>
  <c r="BD125" i="14"/>
  <c r="BD126" i="14"/>
  <c r="BD127" i="14"/>
  <c r="BD128" i="14"/>
  <c r="BD129" i="14"/>
  <c r="BD130" i="14"/>
  <c r="BD131" i="14"/>
  <c r="BD132" i="14"/>
  <c r="BD133" i="14"/>
  <c r="BD134" i="14"/>
  <c r="BD135" i="14"/>
  <c r="BD136" i="14"/>
  <c r="BD137" i="14"/>
  <c r="BD138" i="14"/>
  <c r="BD139" i="14"/>
  <c r="BD140" i="14"/>
  <c r="BD141" i="14"/>
  <c r="BD142" i="14"/>
  <c r="BD143" i="14"/>
  <c r="BD144" i="14"/>
  <c r="BD6" i="14"/>
  <c r="BD7" i="14"/>
  <c r="BD8" i="14"/>
  <c r="BD9" i="14"/>
  <c r="BD10" i="14"/>
  <c r="BD11" i="14"/>
  <c r="BC6" i="14"/>
  <c r="BC7" i="14"/>
  <c r="BC8" i="14"/>
  <c r="BC10" i="14"/>
  <c r="BC11" i="14"/>
  <c r="BC12" i="14"/>
  <c r="BC13" i="14"/>
  <c r="BC14" i="14"/>
  <c r="BC15" i="14"/>
  <c r="BC16" i="14"/>
  <c r="BC17" i="14"/>
  <c r="BC18" i="14"/>
  <c r="BC19" i="14"/>
  <c r="BC20" i="14"/>
  <c r="BC21" i="14"/>
  <c r="BC22" i="14"/>
  <c r="BC23" i="14"/>
  <c r="BC24" i="14"/>
  <c r="BC25" i="14"/>
  <c r="BC26" i="14"/>
  <c r="BC27" i="14"/>
  <c r="BC28" i="14"/>
  <c r="BC29" i="14"/>
  <c r="BC30" i="14"/>
  <c r="BC31" i="14"/>
  <c r="BC32" i="14"/>
  <c r="BC33" i="14"/>
  <c r="BC34" i="14"/>
  <c r="BC35" i="14"/>
  <c r="BC36" i="14"/>
  <c r="BC37" i="14"/>
  <c r="BC38" i="14"/>
  <c r="BC39" i="14"/>
  <c r="BC40" i="14"/>
  <c r="BC41" i="14"/>
  <c r="BC42" i="14"/>
  <c r="BC43" i="14"/>
  <c r="BC44" i="14"/>
  <c r="BC45" i="14"/>
  <c r="BC46" i="14"/>
  <c r="BC47" i="14"/>
  <c r="BC48" i="14"/>
  <c r="BC49" i="14"/>
  <c r="BC50" i="14"/>
  <c r="BC51" i="14"/>
  <c r="BC52" i="14"/>
  <c r="BC53" i="14"/>
  <c r="BC54" i="14"/>
  <c r="BC55" i="14"/>
  <c r="BC56" i="14"/>
  <c r="BC57" i="14"/>
  <c r="BC58" i="14"/>
  <c r="BC59" i="14"/>
  <c r="BC60" i="14"/>
  <c r="BC61" i="14"/>
  <c r="BC62" i="14"/>
  <c r="BC63" i="14"/>
  <c r="BC64" i="14"/>
  <c r="BC65" i="14"/>
  <c r="BC68" i="14"/>
  <c r="BC69" i="14"/>
  <c r="BC70" i="14"/>
  <c r="BC71" i="14"/>
  <c r="BC72" i="14"/>
  <c r="BC73" i="14"/>
  <c r="BC74" i="14"/>
  <c r="BC75" i="14"/>
  <c r="BC76" i="14"/>
  <c r="BC77" i="14"/>
  <c r="BC78" i="14"/>
  <c r="BC79" i="14"/>
  <c r="BC80" i="14"/>
  <c r="BC81" i="14"/>
  <c r="BC82" i="14"/>
  <c r="BC83" i="14"/>
  <c r="BC84" i="14"/>
  <c r="BC85" i="14"/>
  <c r="BC86" i="14"/>
  <c r="BC87" i="14"/>
  <c r="BC88" i="14"/>
  <c r="BC89" i="14"/>
  <c r="BC90" i="14"/>
  <c r="BC91" i="14"/>
  <c r="BC92" i="14"/>
  <c r="BC93" i="14"/>
  <c r="BC94" i="14"/>
  <c r="BC95" i="14"/>
  <c r="BC96" i="14"/>
  <c r="BC97" i="14"/>
  <c r="BC100" i="14"/>
  <c r="BC101" i="14"/>
  <c r="BC102" i="14"/>
  <c r="BC103" i="14"/>
  <c r="BC104" i="14"/>
  <c r="BC105" i="14"/>
  <c r="BC106" i="14"/>
  <c r="BC107" i="14"/>
  <c r="BC108" i="14"/>
  <c r="BC109" i="14"/>
  <c r="BC110" i="14"/>
  <c r="BC111" i="14"/>
  <c r="BC112" i="14"/>
  <c r="BC113" i="14"/>
  <c r="BC114" i="14"/>
  <c r="BC115" i="14"/>
  <c r="BC116" i="14"/>
  <c r="BC117" i="14"/>
  <c r="BC118" i="14"/>
  <c r="BC119" i="14"/>
  <c r="BC120" i="14"/>
  <c r="BC121" i="14"/>
  <c r="BC122" i="14"/>
  <c r="BC123" i="14"/>
  <c r="BC124" i="14"/>
  <c r="BC125" i="14"/>
  <c r="BC126" i="14"/>
  <c r="BC127" i="14"/>
  <c r="BC128" i="14"/>
  <c r="BC129" i="14"/>
  <c r="BC130" i="14"/>
  <c r="BC131" i="14"/>
  <c r="BC132" i="14"/>
  <c r="BC133" i="14"/>
  <c r="BC134" i="14"/>
  <c r="BC135" i="14"/>
  <c r="BC136" i="14"/>
  <c r="BC137" i="14"/>
  <c r="BC138" i="14"/>
  <c r="BC139" i="14"/>
  <c r="BC140" i="14"/>
  <c r="BC141" i="14"/>
  <c r="BC142" i="14"/>
  <c r="BC143" i="14"/>
  <c r="BC144" i="14"/>
  <c r="BC9" i="14"/>
  <c r="BE3" i="14" l="1"/>
  <c r="A3" i="11"/>
  <c r="O271" i="11"/>
  <c r="N271" i="11"/>
  <c r="M271" i="11"/>
  <c r="L271" i="11"/>
  <c r="K271" i="11"/>
  <c r="J271" i="11"/>
  <c r="I271" i="11"/>
  <c r="H271" i="11"/>
  <c r="G271" i="11"/>
  <c r="F271" i="11"/>
  <c r="E271" i="11"/>
  <c r="D271" i="11"/>
  <c r="C271" i="11"/>
  <c r="B271" i="11"/>
  <c r="B11" i="11" l="1"/>
  <c r="C11" i="11"/>
  <c r="D11" i="11"/>
  <c r="E11" i="11"/>
  <c r="F11" i="11"/>
  <c r="G11" i="11"/>
  <c r="H11" i="11"/>
  <c r="I11" i="11"/>
  <c r="J11" i="11"/>
  <c r="K11" i="11"/>
  <c r="L11" i="11"/>
  <c r="M11" i="11"/>
  <c r="N11" i="11"/>
  <c r="O11" i="11"/>
  <c r="B12" i="11"/>
  <c r="C12" i="11"/>
  <c r="D12" i="11"/>
  <c r="E12" i="11"/>
  <c r="F12" i="11"/>
  <c r="G12" i="11"/>
  <c r="H12" i="11"/>
  <c r="I12" i="11"/>
  <c r="J12" i="11"/>
  <c r="K12" i="11"/>
  <c r="L12" i="11"/>
  <c r="M12" i="11"/>
  <c r="N12" i="11"/>
  <c r="O12" i="11"/>
  <c r="B13" i="11"/>
  <c r="C13" i="11"/>
  <c r="D13" i="11"/>
  <c r="E13" i="11"/>
  <c r="F13" i="11"/>
  <c r="G13" i="11"/>
  <c r="H13" i="11"/>
  <c r="I13" i="11"/>
  <c r="J13" i="11"/>
  <c r="K13" i="11"/>
  <c r="L13" i="11"/>
  <c r="M13" i="11"/>
  <c r="N13" i="11"/>
  <c r="O13" i="11"/>
  <c r="B14" i="11"/>
  <c r="C14" i="11"/>
  <c r="D14" i="11"/>
  <c r="E14" i="11"/>
  <c r="F14" i="11"/>
  <c r="G14" i="11"/>
  <c r="H14" i="11"/>
  <c r="I14" i="11"/>
  <c r="J14" i="11"/>
  <c r="K14" i="11"/>
  <c r="L14" i="11"/>
  <c r="M14" i="11"/>
  <c r="N14" i="11"/>
  <c r="O14" i="11"/>
  <c r="AI7" i="14" l="1"/>
  <c r="AJ7" i="14"/>
  <c r="AI8" i="14"/>
  <c r="AJ8" i="14"/>
  <c r="AI9" i="14"/>
  <c r="AJ9" i="14"/>
  <c r="AI10" i="14"/>
  <c r="AJ10" i="14"/>
  <c r="AI11" i="14"/>
  <c r="AJ11" i="14"/>
  <c r="AI12" i="14"/>
  <c r="AJ12" i="14"/>
  <c r="AI13" i="14"/>
  <c r="AJ13" i="14"/>
  <c r="AI14" i="14"/>
  <c r="AJ14" i="14"/>
  <c r="AI15" i="14"/>
  <c r="AJ15" i="14"/>
  <c r="AI16" i="14"/>
  <c r="AJ16" i="14"/>
  <c r="AI17" i="14"/>
  <c r="AJ17" i="14"/>
  <c r="AI18" i="14"/>
  <c r="AJ18" i="14"/>
  <c r="AI19" i="14"/>
  <c r="AJ19" i="14"/>
  <c r="AI20" i="14"/>
  <c r="AJ20" i="14"/>
  <c r="AI21" i="14"/>
  <c r="AJ21" i="14"/>
  <c r="AI22" i="14"/>
  <c r="AJ22" i="14"/>
  <c r="AI23" i="14"/>
  <c r="AJ23" i="14"/>
  <c r="AI24" i="14"/>
  <c r="AJ24" i="14"/>
  <c r="AI25" i="14"/>
  <c r="AJ25" i="14"/>
  <c r="AI26" i="14"/>
  <c r="AJ26" i="14"/>
  <c r="AI27" i="14"/>
  <c r="AJ27" i="14"/>
  <c r="AI28" i="14"/>
  <c r="AJ28" i="14"/>
  <c r="AI29" i="14"/>
  <c r="AJ29" i="14"/>
  <c r="AI30" i="14"/>
  <c r="AJ30" i="14"/>
  <c r="AI31" i="14"/>
  <c r="AJ31" i="14"/>
  <c r="AI32" i="14"/>
  <c r="AJ32" i="14"/>
  <c r="AI33" i="14"/>
  <c r="AJ33" i="14"/>
  <c r="AI34" i="14"/>
  <c r="AJ34" i="14"/>
  <c r="AI35" i="14"/>
  <c r="AJ35" i="14"/>
  <c r="AI36" i="14"/>
  <c r="AJ36" i="14"/>
  <c r="AI37" i="14"/>
  <c r="AJ37" i="14"/>
  <c r="AI38" i="14"/>
  <c r="AJ38" i="14"/>
  <c r="AI39" i="14"/>
  <c r="AJ39" i="14"/>
  <c r="AI40" i="14"/>
  <c r="AJ40" i="14"/>
  <c r="AI41" i="14"/>
  <c r="AJ41" i="14"/>
  <c r="AI42" i="14"/>
  <c r="AJ42" i="14"/>
  <c r="AI43" i="14"/>
  <c r="AJ43" i="14"/>
  <c r="AI44" i="14"/>
  <c r="AJ44" i="14"/>
  <c r="AI45" i="14"/>
  <c r="AJ45" i="14"/>
  <c r="AI46" i="14"/>
  <c r="AJ46" i="14"/>
  <c r="AI47" i="14"/>
  <c r="AJ47" i="14"/>
  <c r="AI48" i="14"/>
  <c r="AJ48" i="14"/>
  <c r="AI49" i="14"/>
  <c r="AJ49" i="14"/>
  <c r="AI50" i="14"/>
  <c r="AJ50" i="14"/>
  <c r="AI51" i="14"/>
  <c r="AJ51" i="14"/>
  <c r="AI52" i="14"/>
  <c r="AJ52" i="14"/>
  <c r="AI53" i="14"/>
  <c r="AJ53" i="14"/>
  <c r="AI54" i="14"/>
  <c r="AJ54" i="14"/>
  <c r="AI55" i="14"/>
  <c r="AJ55" i="14"/>
  <c r="AI56" i="14"/>
  <c r="AJ56" i="14"/>
  <c r="AI57" i="14"/>
  <c r="AJ57" i="14"/>
  <c r="AI58" i="14"/>
  <c r="AJ58" i="14"/>
  <c r="AI59" i="14"/>
  <c r="AJ59" i="14"/>
  <c r="AI60" i="14"/>
  <c r="AJ60" i="14"/>
  <c r="AI61" i="14"/>
  <c r="AJ61" i="14"/>
  <c r="AI62" i="14"/>
  <c r="AJ62" i="14"/>
  <c r="AI63" i="14"/>
  <c r="AJ63" i="14"/>
  <c r="AI64" i="14"/>
  <c r="AJ64" i="14"/>
  <c r="AI65" i="14"/>
  <c r="AJ65" i="14"/>
  <c r="AI68" i="14"/>
  <c r="AJ68" i="14"/>
  <c r="AI69" i="14"/>
  <c r="AJ69" i="14"/>
  <c r="AI70" i="14"/>
  <c r="AJ70" i="14"/>
  <c r="AI71" i="14"/>
  <c r="AJ71" i="14"/>
  <c r="AI72" i="14"/>
  <c r="AJ72" i="14"/>
  <c r="AI73" i="14"/>
  <c r="AJ73" i="14"/>
  <c r="AI74" i="14"/>
  <c r="AJ74" i="14"/>
  <c r="AI75" i="14"/>
  <c r="AJ75" i="14"/>
  <c r="AI76" i="14"/>
  <c r="AJ76" i="14"/>
  <c r="AI77" i="14"/>
  <c r="AJ77" i="14"/>
  <c r="AI78" i="14"/>
  <c r="AJ78" i="14"/>
  <c r="AI79" i="14"/>
  <c r="AJ79" i="14"/>
  <c r="AI80" i="14"/>
  <c r="AJ80" i="14"/>
  <c r="AI81" i="14"/>
  <c r="AJ81" i="14"/>
  <c r="AI82" i="14"/>
  <c r="AJ82" i="14"/>
  <c r="AI83" i="14"/>
  <c r="AJ83" i="14"/>
  <c r="AI84" i="14"/>
  <c r="AJ84" i="14"/>
  <c r="AI85" i="14"/>
  <c r="AJ85" i="14"/>
  <c r="AI86" i="14"/>
  <c r="AJ86" i="14"/>
  <c r="AI87" i="14"/>
  <c r="AJ87" i="14"/>
  <c r="AI88" i="14"/>
  <c r="AJ88" i="14"/>
  <c r="AI89" i="14"/>
  <c r="AJ89" i="14"/>
  <c r="AI90" i="14"/>
  <c r="AJ90" i="14"/>
  <c r="AI91" i="14"/>
  <c r="AJ91" i="14"/>
  <c r="AI92" i="14"/>
  <c r="AJ92" i="14"/>
  <c r="AI93" i="14"/>
  <c r="AJ93" i="14"/>
  <c r="AI94" i="14"/>
  <c r="AJ94" i="14"/>
  <c r="AI95" i="14"/>
  <c r="AJ95" i="14"/>
  <c r="AI96" i="14"/>
  <c r="AJ96" i="14"/>
  <c r="AI97" i="14"/>
  <c r="AJ97" i="14"/>
  <c r="AI100" i="14"/>
  <c r="AJ100" i="14"/>
  <c r="AI101" i="14"/>
  <c r="AJ101" i="14"/>
  <c r="AI102" i="14"/>
  <c r="AJ102" i="14"/>
  <c r="AI103" i="14"/>
  <c r="AJ103" i="14"/>
  <c r="AI104" i="14"/>
  <c r="AJ104" i="14"/>
  <c r="AI105" i="14"/>
  <c r="AJ105" i="14"/>
  <c r="AI106" i="14"/>
  <c r="AJ106" i="14"/>
  <c r="AI107" i="14"/>
  <c r="AJ107" i="14"/>
  <c r="AI108" i="14"/>
  <c r="AJ108" i="14"/>
  <c r="AI109" i="14"/>
  <c r="AJ109" i="14"/>
  <c r="AI110" i="14"/>
  <c r="AJ110" i="14"/>
  <c r="AI111" i="14"/>
  <c r="AJ111" i="14"/>
  <c r="AI112" i="14"/>
  <c r="AJ112" i="14"/>
  <c r="AI113" i="14"/>
  <c r="AJ113" i="14"/>
  <c r="AI114" i="14"/>
  <c r="AJ114" i="14"/>
  <c r="AI115" i="14"/>
  <c r="AJ115" i="14"/>
  <c r="AI116" i="14"/>
  <c r="AJ116" i="14"/>
  <c r="AI117" i="14"/>
  <c r="AJ117" i="14"/>
  <c r="AI118" i="14"/>
  <c r="AJ118" i="14"/>
  <c r="AI119" i="14"/>
  <c r="AJ119" i="14"/>
  <c r="AI120" i="14"/>
  <c r="AJ120" i="14"/>
  <c r="AI121" i="14"/>
  <c r="AJ121" i="14"/>
  <c r="AI122" i="14"/>
  <c r="AJ122" i="14"/>
  <c r="AI123" i="14"/>
  <c r="AJ123" i="14"/>
  <c r="AI124" i="14"/>
  <c r="AJ124" i="14"/>
  <c r="AI125" i="14"/>
  <c r="AJ125" i="14"/>
  <c r="AI126" i="14"/>
  <c r="AJ126" i="14"/>
  <c r="AI127" i="14"/>
  <c r="AJ127" i="14"/>
  <c r="AI128" i="14"/>
  <c r="AJ128" i="14"/>
  <c r="AI129" i="14"/>
  <c r="AJ129" i="14"/>
  <c r="AI130" i="14"/>
  <c r="AJ130" i="14"/>
  <c r="AI131" i="14"/>
  <c r="AJ131" i="14"/>
  <c r="AI132" i="14"/>
  <c r="AJ132" i="14"/>
  <c r="AI133" i="14"/>
  <c r="AJ133" i="14"/>
  <c r="AI134" i="14"/>
  <c r="AJ134" i="14"/>
  <c r="AI135" i="14"/>
  <c r="AJ135" i="14"/>
  <c r="AI136" i="14"/>
  <c r="AJ136" i="14"/>
  <c r="AI137" i="14"/>
  <c r="AJ137" i="14"/>
  <c r="AI138" i="14"/>
  <c r="AJ138" i="14"/>
  <c r="AI139" i="14"/>
  <c r="AJ139" i="14"/>
  <c r="AI140" i="14"/>
  <c r="AJ140" i="14"/>
  <c r="AI141" i="14"/>
  <c r="AJ141" i="14"/>
  <c r="AI142" i="14"/>
  <c r="AJ142" i="14"/>
  <c r="AI143" i="14"/>
  <c r="AJ143" i="14"/>
  <c r="AI144" i="14"/>
  <c r="AJ144" i="14"/>
  <c r="AJ6" i="14"/>
  <c r="AI6" i="14"/>
  <c r="AI3" i="14" l="1"/>
  <c r="AJ3" i="14"/>
  <c r="B140" i="14"/>
  <c r="C140" i="14"/>
  <c r="D140" i="14"/>
  <c r="E140" i="14"/>
  <c r="F140" i="14"/>
  <c r="G140" i="14"/>
  <c r="H140" i="14"/>
  <c r="I140" i="14"/>
  <c r="J140" i="14"/>
  <c r="K140" i="14"/>
  <c r="L140" i="14"/>
  <c r="M140" i="14"/>
  <c r="N140" i="14"/>
  <c r="O140" i="14"/>
  <c r="P140" i="14"/>
  <c r="Q140" i="14"/>
  <c r="R140" i="14"/>
  <c r="S140" i="14"/>
  <c r="T140" i="14"/>
  <c r="U140" i="14"/>
  <c r="V140" i="14"/>
  <c r="W140" i="14"/>
  <c r="X140" i="14"/>
  <c r="Y140" i="14"/>
  <c r="Z140" i="14"/>
  <c r="AA140" i="14"/>
  <c r="AB140" i="14"/>
  <c r="AC140" i="14"/>
  <c r="AD140" i="14"/>
  <c r="AE140" i="14"/>
  <c r="AF140" i="14"/>
  <c r="AG140" i="14"/>
  <c r="AH140" i="14"/>
  <c r="AM140" i="14"/>
  <c r="AN140" i="14"/>
  <c r="AO140" i="14"/>
  <c r="AP140" i="14"/>
  <c r="AT140" i="14"/>
  <c r="AU140" i="14"/>
  <c r="AV140" i="14"/>
  <c r="AW140" i="14"/>
  <c r="AZ140" i="14"/>
  <c r="AX140" i="14"/>
  <c r="AY140" i="14"/>
  <c r="BA140" i="14"/>
  <c r="BB140" i="14"/>
  <c r="AQ140" i="14"/>
  <c r="AR140" i="14"/>
  <c r="AS140" i="14"/>
  <c r="BL140" i="14"/>
  <c r="BK140" i="14"/>
  <c r="BJ140" i="14"/>
  <c r="C138" i="14"/>
  <c r="D138" i="14"/>
  <c r="E138" i="14"/>
  <c r="F138" i="14"/>
  <c r="G138" i="14"/>
  <c r="H138" i="14"/>
  <c r="I138" i="14"/>
  <c r="J138" i="14"/>
  <c r="K138" i="14"/>
  <c r="L138" i="14"/>
  <c r="M138" i="14"/>
  <c r="N138" i="14"/>
  <c r="O138" i="14"/>
  <c r="P138" i="14"/>
  <c r="Q138" i="14"/>
  <c r="R138" i="14"/>
  <c r="S138" i="14"/>
  <c r="T138" i="14"/>
  <c r="U138" i="14"/>
  <c r="V138" i="14"/>
  <c r="W138" i="14"/>
  <c r="X138" i="14"/>
  <c r="Y138" i="14"/>
  <c r="Z138" i="14"/>
  <c r="AA138" i="14"/>
  <c r="AB138" i="14"/>
  <c r="AC138" i="14"/>
  <c r="AD138" i="14"/>
  <c r="AE138" i="14"/>
  <c r="AF138" i="14"/>
  <c r="AG138" i="14"/>
  <c r="AH138" i="14"/>
  <c r="AM138" i="14"/>
  <c r="AN138" i="14"/>
  <c r="AO138" i="14"/>
  <c r="AP138" i="14"/>
  <c r="AT138" i="14"/>
  <c r="AU138" i="14"/>
  <c r="AV138" i="14"/>
  <c r="AW138" i="14"/>
  <c r="AZ138" i="14"/>
  <c r="AX138" i="14"/>
  <c r="AY138" i="14"/>
  <c r="BA138" i="14"/>
  <c r="BB138" i="14"/>
  <c r="AQ138" i="14"/>
  <c r="AR138" i="14"/>
  <c r="AS138" i="14"/>
  <c r="BL138" i="14"/>
  <c r="BK138" i="14"/>
  <c r="BJ138" i="14"/>
  <c r="C135" i="14"/>
  <c r="D135" i="14"/>
  <c r="E135" i="14"/>
  <c r="F135" i="14"/>
  <c r="G135" i="14"/>
  <c r="H135" i="14"/>
  <c r="I135" i="14"/>
  <c r="J135" i="14"/>
  <c r="K135" i="14"/>
  <c r="L135" i="14"/>
  <c r="M135" i="14"/>
  <c r="N135" i="14"/>
  <c r="O135" i="14"/>
  <c r="P135" i="14"/>
  <c r="Q135" i="14"/>
  <c r="R135" i="14"/>
  <c r="S135" i="14"/>
  <c r="T135" i="14"/>
  <c r="U135" i="14"/>
  <c r="V135" i="14"/>
  <c r="W135" i="14"/>
  <c r="X135" i="14"/>
  <c r="Y135" i="14"/>
  <c r="Z135" i="14"/>
  <c r="AA135" i="14"/>
  <c r="AB135" i="14"/>
  <c r="AC135" i="14"/>
  <c r="AD135" i="14"/>
  <c r="AE135" i="14"/>
  <c r="AF135" i="14"/>
  <c r="AG135" i="14"/>
  <c r="AH135" i="14"/>
  <c r="AM135" i="14"/>
  <c r="AN135" i="14"/>
  <c r="AO135" i="14"/>
  <c r="AP135" i="14"/>
  <c r="AT135" i="14"/>
  <c r="AU135" i="14"/>
  <c r="AV135" i="14"/>
  <c r="AW135" i="14"/>
  <c r="AZ135" i="14"/>
  <c r="AX135" i="14"/>
  <c r="AY135" i="14"/>
  <c r="BA135" i="14"/>
  <c r="BB135" i="14"/>
  <c r="AQ135" i="14"/>
  <c r="AR135" i="14"/>
  <c r="AS135" i="14"/>
  <c r="BL135" i="14"/>
  <c r="BK135" i="14"/>
  <c r="BJ135" i="14"/>
  <c r="C136" i="14"/>
  <c r="D136" i="14"/>
  <c r="E136" i="14"/>
  <c r="F136" i="14"/>
  <c r="G136" i="14"/>
  <c r="H136" i="14"/>
  <c r="I136" i="14"/>
  <c r="J136" i="14"/>
  <c r="K136" i="14"/>
  <c r="L136" i="14"/>
  <c r="M136" i="14"/>
  <c r="N136" i="14"/>
  <c r="O136" i="14"/>
  <c r="P136" i="14"/>
  <c r="Q136" i="14"/>
  <c r="R136" i="14"/>
  <c r="S136" i="14"/>
  <c r="T136" i="14"/>
  <c r="U136" i="14"/>
  <c r="V136" i="14"/>
  <c r="W136" i="14"/>
  <c r="X136" i="14"/>
  <c r="Y136" i="14"/>
  <c r="Z136" i="14"/>
  <c r="AA136" i="14"/>
  <c r="AB136" i="14"/>
  <c r="AC136" i="14"/>
  <c r="AD136" i="14"/>
  <c r="AE136" i="14"/>
  <c r="AF136" i="14"/>
  <c r="AG136" i="14"/>
  <c r="AH136" i="14"/>
  <c r="AM136" i="14"/>
  <c r="AN136" i="14"/>
  <c r="AO136" i="14"/>
  <c r="AP136" i="14"/>
  <c r="AT136" i="14"/>
  <c r="AU136" i="14"/>
  <c r="AV136" i="14"/>
  <c r="AW136" i="14"/>
  <c r="AZ136" i="14"/>
  <c r="AX136" i="14"/>
  <c r="AY136" i="14"/>
  <c r="BA136" i="14"/>
  <c r="BB136" i="14"/>
  <c r="AQ136" i="14"/>
  <c r="AR136" i="14"/>
  <c r="AS136" i="14"/>
  <c r="BL136" i="14"/>
  <c r="BK136" i="14"/>
  <c r="BJ136" i="14"/>
  <c r="B135" i="14"/>
  <c r="B136" i="14"/>
  <c r="B138" i="14"/>
  <c r="C6" i="14" l="1"/>
  <c r="B134" i="14" l="1"/>
  <c r="AG134" i="14"/>
  <c r="C134" i="14"/>
  <c r="D134" i="14"/>
  <c r="E134" i="14"/>
  <c r="F134" i="14"/>
  <c r="G134" i="14"/>
  <c r="I134" i="14"/>
  <c r="J134" i="14"/>
  <c r="K134" i="14"/>
  <c r="L134" i="14"/>
  <c r="M134" i="14"/>
  <c r="N134" i="14"/>
  <c r="O134" i="14"/>
  <c r="P134" i="14"/>
  <c r="Q134" i="14"/>
  <c r="V134" i="14"/>
  <c r="X134" i="14"/>
  <c r="Y134" i="14"/>
  <c r="Z134" i="14"/>
  <c r="AA134" i="14"/>
  <c r="AD134" i="14"/>
  <c r="AM134" i="14"/>
  <c r="AN134" i="14"/>
  <c r="AO134" i="14"/>
  <c r="AP134" i="14"/>
  <c r="BB134" i="14"/>
  <c r="BJ134" i="14"/>
  <c r="AT134" i="14" l="1"/>
  <c r="AZ134" i="14"/>
  <c r="H134" i="14"/>
  <c r="T134" i="14"/>
  <c r="AB134" i="14"/>
  <c r="AF134" i="14"/>
  <c r="AV134" i="14"/>
  <c r="AY134" i="14"/>
  <c r="AR134" i="14"/>
  <c r="BL134" i="14"/>
  <c r="U134" i="14"/>
  <c r="AH134" i="14"/>
  <c r="BA134" i="14"/>
  <c r="AC134" i="14"/>
  <c r="AW134" i="14"/>
  <c r="AS134" i="14"/>
  <c r="BK134" i="14"/>
  <c r="AX134" i="14"/>
  <c r="AE134" i="14"/>
  <c r="S134" i="14"/>
  <c r="R134" i="14"/>
  <c r="AQ134" i="14"/>
  <c r="AU134" i="14"/>
  <c r="W134" i="14"/>
  <c r="C137" i="14"/>
  <c r="D137" i="14"/>
  <c r="E137" i="14"/>
  <c r="F137" i="14"/>
  <c r="G137" i="14"/>
  <c r="H137" i="14"/>
  <c r="I137" i="14"/>
  <c r="J137" i="14"/>
  <c r="K137" i="14"/>
  <c r="L137" i="14"/>
  <c r="M137" i="14"/>
  <c r="N137" i="14"/>
  <c r="O137" i="14"/>
  <c r="P137" i="14"/>
  <c r="Q137" i="14"/>
  <c r="R137" i="14"/>
  <c r="S137" i="14"/>
  <c r="T137" i="14"/>
  <c r="U137" i="14"/>
  <c r="V137" i="14"/>
  <c r="W137" i="14"/>
  <c r="X137" i="14"/>
  <c r="Y137" i="14"/>
  <c r="Z137" i="14"/>
  <c r="AA137" i="14"/>
  <c r="AB137" i="14"/>
  <c r="AC137" i="14"/>
  <c r="AD137" i="14"/>
  <c r="AE137" i="14"/>
  <c r="AF137" i="14"/>
  <c r="AH137" i="14"/>
  <c r="AG137" i="14"/>
  <c r="AM137" i="14"/>
  <c r="AN137" i="14"/>
  <c r="AO137" i="14"/>
  <c r="AP137" i="14"/>
  <c r="AT137" i="14"/>
  <c r="AU137" i="14"/>
  <c r="AV137" i="14"/>
  <c r="AW137" i="14"/>
  <c r="AZ137" i="14"/>
  <c r="AX137" i="14"/>
  <c r="AY137" i="14"/>
  <c r="BA137" i="14"/>
  <c r="BB137" i="14"/>
  <c r="AQ137" i="14"/>
  <c r="AR137" i="14"/>
  <c r="AS137" i="14"/>
  <c r="BL137" i="14"/>
  <c r="BK137" i="14"/>
  <c r="BJ137" i="14"/>
  <c r="C90" i="14"/>
  <c r="D90" i="14"/>
  <c r="E90" i="14"/>
  <c r="F90" i="14"/>
  <c r="G90" i="14"/>
  <c r="H90" i="14"/>
  <c r="I90" i="14"/>
  <c r="J90" i="14"/>
  <c r="K90" i="14"/>
  <c r="L90" i="14"/>
  <c r="M90" i="14"/>
  <c r="N90" i="14"/>
  <c r="O90" i="14"/>
  <c r="P90" i="14"/>
  <c r="Q90" i="14"/>
  <c r="R90" i="14"/>
  <c r="S90" i="14"/>
  <c r="T90" i="14"/>
  <c r="U90" i="14"/>
  <c r="V90" i="14"/>
  <c r="W90" i="14"/>
  <c r="X90" i="14"/>
  <c r="Y90" i="14"/>
  <c r="Z90" i="14"/>
  <c r="AA90" i="14"/>
  <c r="AB90" i="14"/>
  <c r="AC90" i="14"/>
  <c r="AD90" i="14"/>
  <c r="AE90" i="14"/>
  <c r="AF90" i="14"/>
  <c r="AH90" i="14"/>
  <c r="AG90" i="14"/>
  <c r="AM90" i="14"/>
  <c r="AN90" i="14"/>
  <c r="AO90" i="14"/>
  <c r="AP90" i="14"/>
  <c r="AT90" i="14"/>
  <c r="AU90" i="14"/>
  <c r="AV90" i="14"/>
  <c r="AW90" i="14"/>
  <c r="AZ90" i="14"/>
  <c r="AX90" i="14"/>
  <c r="AY90" i="14"/>
  <c r="BA90" i="14"/>
  <c r="BB90" i="14"/>
  <c r="AQ90" i="14"/>
  <c r="AR90" i="14"/>
  <c r="AS90" i="14"/>
  <c r="BL90" i="14"/>
  <c r="BK90" i="14"/>
  <c r="BJ90" i="14"/>
  <c r="C91" i="14"/>
  <c r="D91" i="14"/>
  <c r="E91" i="14"/>
  <c r="F91" i="14"/>
  <c r="G91" i="14"/>
  <c r="H91" i="14"/>
  <c r="I91" i="14"/>
  <c r="J91" i="14"/>
  <c r="K91" i="14"/>
  <c r="L91" i="14"/>
  <c r="M91" i="14"/>
  <c r="N91" i="14"/>
  <c r="O91" i="14"/>
  <c r="P91" i="14"/>
  <c r="Q91" i="14"/>
  <c r="R91" i="14"/>
  <c r="S91" i="14"/>
  <c r="T91" i="14"/>
  <c r="U91" i="14"/>
  <c r="V91" i="14"/>
  <c r="W91" i="14"/>
  <c r="X91" i="14"/>
  <c r="Y91" i="14"/>
  <c r="Z91" i="14"/>
  <c r="AA91" i="14"/>
  <c r="AB91" i="14"/>
  <c r="AC91" i="14"/>
  <c r="AD91" i="14"/>
  <c r="AE91" i="14"/>
  <c r="AF91" i="14"/>
  <c r="AH91" i="14"/>
  <c r="AG91" i="14"/>
  <c r="AM91" i="14"/>
  <c r="AN91" i="14"/>
  <c r="AO91" i="14"/>
  <c r="AP91" i="14"/>
  <c r="AT91" i="14"/>
  <c r="AU91" i="14"/>
  <c r="AV91" i="14"/>
  <c r="AW91" i="14"/>
  <c r="AZ91" i="14"/>
  <c r="AX91" i="14"/>
  <c r="AY91" i="14"/>
  <c r="BA91" i="14"/>
  <c r="BB91" i="14"/>
  <c r="AQ91" i="14"/>
  <c r="AR91" i="14"/>
  <c r="AS91" i="14"/>
  <c r="BL91" i="14"/>
  <c r="BK91" i="14"/>
  <c r="BJ91" i="14"/>
  <c r="C92" i="14"/>
  <c r="D92" i="14"/>
  <c r="E92" i="14"/>
  <c r="F92" i="14"/>
  <c r="G92" i="14"/>
  <c r="H92" i="14"/>
  <c r="I92" i="14"/>
  <c r="J92" i="14"/>
  <c r="K92" i="14"/>
  <c r="L92" i="14"/>
  <c r="M92" i="14"/>
  <c r="N92" i="14"/>
  <c r="O92" i="14"/>
  <c r="P92" i="14"/>
  <c r="Q92" i="14"/>
  <c r="R92" i="14"/>
  <c r="S92" i="14"/>
  <c r="T92" i="14"/>
  <c r="U92" i="14"/>
  <c r="V92" i="14"/>
  <c r="W92" i="14"/>
  <c r="X92" i="14"/>
  <c r="Y92" i="14"/>
  <c r="Z92" i="14"/>
  <c r="AA92" i="14"/>
  <c r="AB92" i="14"/>
  <c r="AC92" i="14"/>
  <c r="AD92" i="14"/>
  <c r="AE92" i="14"/>
  <c r="AF92" i="14"/>
  <c r="AH92" i="14"/>
  <c r="AG92" i="14"/>
  <c r="AM92" i="14"/>
  <c r="AN92" i="14"/>
  <c r="AO92" i="14"/>
  <c r="AP92" i="14"/>
  <c r="AT92" i="14"/>
  <c r="AU92" i="14"/>
  <c r="AV92" i="14"/>
  <c r="AW92" i="14"/>
  <c r="AZ92" i="14"/>
  <c r="AX92" i="14"/>
  <c r="AY92" i="14"/>
  <c r="BA92" i="14"/>
  <c r="BB92" i="14"/>
  <c r="AQ92" i="14"/>
  <c r="AR92" i="14"/>
  <c r="AS92" i="14"/>
  <c r="BL92" i="14"/>
  <c r="BK92" i="14"/>
  <c r="BJ92" i="14"/>
  <c r="C97" i="14"/>
  <c r="D97" i="14"/>
  <c r="E97" i="14"/>
  <c r="F97" i="14"/>
  <c r="G97" i="14"/>
  <c r="H97" i="14"/>
  <c r="I97" i="14"/>
  <c r="J97" i="14"/>
  <c r="K97" i="14"/>
  <c r="L97" i="14"/>
  <c r="M97" i="14"/>
  <c r="N97" i="14"/>
  <c r="O97" i="14"/>
  <c r="P97" i="14"/>
  <c r="Q97" i="14"/>
  <c r="R97" i="14"/>
  <c r="S97" i="14"/>
  <c r="T97" i="14"/>
  <c r="U97" i="14"/>
  <c r="V97" i="14"/>
  <c r="W97" i="14"/>
  <c r="X97" i="14"/>
  <c r="Y97" i="14"/>
  <c r="Z97" i="14"/>
  <c r="AA97" i="14"/>
  <c r="AB97" i="14"/>
  <c r="AC97" i="14"/>
  <c r="AD97" i="14"/>
  <c r="AE97" i="14"/>
  <c r="AF97" i="14"/>
  <c r="AH97" i="14"/>
  <c r="AG97" i="14"/>
  <c r="AM97" i="14"/>
  <c r="AN97" i="14"/>
  <c r="AO97" i="14"/>
  <c r="AP97" i="14"/>
  <c r="AT97" i="14"/>
  <c r="AU97" i="14"/>
  <c r="AV97" i="14"/>
  <c r="AW97" i="14"/>
  <c r="AZ97" i="14"/>
  <c r="AX97" i="14"/>
  <c r="AY97" i="14"/>
  <c r="BA97" i="14"/>
  <c r="BB97" i="14"/>
  <c r="AQ97" i="14"/>
  <c r="AR97" i="14"/>
  <c r="AS97" i="14"/>
  <c r="BL97" i="14"/>
  <c r="BK97" i="14"/>
  <c r="BJ97" i="14"/>
  <c r="B90" i="14"/>
  <c r="B91" i="14"/>
  <c r="B92" i="14"/>
  <c r="B97" i="14"/>
  <c r="B137" i="14"/>
  <c r="C88" i="14" l="1"/>
  <c r="D88" i="14"/>
  <c r="E88" i="14"/>
  <c r="F88" i="14"/>
  <c r="G88" i="14"/>
  <c r="H88" i="14"/>
  <c r="I88" i="14"/>
  <c r="J88" i="14"/>
  <c r="K88" i="14"/>
  <c r="L88" i="14"/>
  <c r="M88" i="14"/>
  <c r="N88" i="14"/>
  <c r="O88" i="14"/>
  <c r="P88" i="14"/>
  <c r="Q88" i="14"/>
  <c r="R88" i="14"/>
  <c r="S88" i="14"/>
  <c r="T88" i="14"/>
  <c r="U88" i="14"/>
  <c r="V88" i="14"/>
  <c r="W88" i="14"/>
  <c r="X88" i="14"/>
  <c r="Y88" i="14"/>
  <c r="Z88" i="14"/>
  <c r="AA88" i="14"/>
  <c r="AB88" i="14"/>
  <c r="AC88" i="14"/>
  <c r="AD88" i="14"/>
  <c r="AE88" i="14"/>
  <c r="AF88" i="14"/>
  <c r="AH88" i="14"/>
  <c r="AG88" i="14"/>
  <c r="AM88" i="14"/>
  <c r="AN88" i="14"/>
  <c r="AO88" i="14"/>
  <c r="AP88" i="14"/>
  <c r="AT88" i="14"/>
  <c r="AU88" i="14"/>
  <c r="AV88" i="14"/>
  <c r="AW88" i="14"/>
  <c r="AZ88" i="14"/>
  <c r="AX88" i="14"/>
  <c r="AY88" i="14"/>
  <c r="BA88" i="14"/>
  <c r="BB88" i="14"/>
  <c r="AQ88" i="14"/>
  <c r="AR88" i="14"/>
  <c r="AS88" i="14"/>
  <c r="BL88" i="14"/>
  <c r="BK88" i="14"/>
  <c r="BJ88" i="14"/>
  <c r="C86" i="14"/>
  <c r="D86" i="14"/>
  <c r="E86" i="14"/>
  <c r="F86" i="14"/>
  <c r="G86" i="14"/>
  <c r="H86" i="14"/>
  <c r="I86" i="14"/>
  <c r="J86" i="14"/>
  <c r="K86" i="14"/>
  <c r="L86" i="14"/>
  <c r="M86" i="14"/>
  <c r="N86" i="14"/>
  <c r="O86" i="14"/>
  <c r="P86" i="14"/>
  <c r="Q86" i="14"/>
  <c r="R86" i="14"/>
  <c r="S86" i="14"/>
  <c r="T86" i="14"/>
  <c r="U86" i="14"/>
  <c r="V86" i="14"/>
  <c r="W86" i="14"/>
  <c r="X86" i="14"/>
  <c r="Y86" i="14"/>
  <c r="Z86" i="14"/>
  <c r="AA86" i="14"/>
  <c r="AB86" i="14"/>
  <c r="AC86" i="14"/>
  <c r="AD86" i="14"/>
  <c r="AE86" i="14"/>
  <c r="AF86" i="14"/>
  <c r="AH86" i="14"/>
  <c r="AG86" i="14"/>
  <c r="AM86" i="14"/>
  <c r="AN86" i="14"/>
  <c r="AO86" i="14"/>
  <c r="AP86" i="14"/>
  <c r="AT86" i="14"/>
  <c r="AU86" i="14"/>
  <c r="AV86" i="14"/>
  <c r="AW86" i="14"/>
  <c r="AZ86" i="14"/>
  <c r="AX86" i="14"/>
  <c r="AY86" i="14"/>
  <c r="BA86" i="14"/>
  <c r="BB86" i="14"/>
  <c r="AQ86" i="14"/>
  <c r="AR86" i="14"/>
  <c r="AS86" i="14"/>
  <c r="BL86" i="14"/>
  <c r="BK86" i="14"/>
  <c r="BJ86" i="14"/>
  <c r="B86" i="14"/>
  <c r="B88" i="14"/>
  <c r="P7" i="14" l="1"/>
  <c r="P8" i="14"/>
  <c r="P9" i="14"/>
  <c r="P10" i="14"/>
  <c r="P11" i="14"/>
  <c r="P12" i="14"/>
  <c r="P13" i="14"/>
  <c r="P14" i="14"/>
  <c r="P15" i="14"/>
  <c r="P16" i="14"/>
  <c r="P17" i="14"/>
  <c r="P18" i="14"/>
  <c r="P19" i="14"/>
  <c r="P20" i="14"/>
  <c r="P21" i="14"/>
  <c r="P22" i="14"/>
  <c r="P23" i="14"/>
  <c r="P24" i="14"/>
  <c r="P25" i="14"/>
  <c r="P26" i="14"/>
  <c r="P27" i="14"/>
  <c r="P28" i="14"/>
  <c r="P29" i="14"/>
  <c r="P30" i="14"/>
  <c r="P31" i="14"/>
  <c r="P32" i="14"/>
  <c r="P33" i="14"/>
  <c r="P34" i="14"/>
  <c r="P35" i="14"/>
  <c r="P36" i="14"/>
  <c r="P37" i="14"/>
  <c r="P38" i="14"/>
  <c r="P39" i="14"/>
  <c r="P40" i="14"/>
  <c r="P41" i="14"/>
  <c r="P42" i="14"/>
  <c r="P43" i="14"/>
  <c r="P44" i="14"/>
  <c r="P45" i="14"/>
  <c r="P46" i="14"/>
  <c r="P47" i="14"/>
  <c r="P48" i="14"/>
  <c r="P49" i="14"/>
  <c r="P50" i="14"/>
  <c r="P51" i="14"/>
  <c r="P52" i="14"/>
  <c r="P53" i="14"/>
  <c r="P54" i="14"/>
  <c r="P55" i="14"/>
  <c r="P56" i="14"/>
  <c r="P57" i="14"/>
  <c r="P58" i="14"/>
  <c r="P59" i="14"/>
  <c r="P60" i="14"/>
  <c r="P61" i="14"/>
  <c r="P62" i="14"/>
  <c r="P63" i="14"/>
  <c r="P64" i="14"/>
  <c r="P65" i="14"/>
  <c r="P68" i="14"/>
  <c r="P74" i="14"/>
  <c r="P76" i="14"/>
  <c r="P77" i="14"/>
  <c r="P78" i="14"/>
  <c r="P79" i="14"/>
  <c r="P69" i="14"/>
  <c r="P70" i="14"/>
  <c r="P71" i="14"/>
  <c r="P72" i="14"/>
  <c r="P73" i="14"/>
  <c r="P75" i="14"/>
  <c r="P87" i="14"/>
  <c r="P89" i="14"/>
  <c r="P93" i="14"/>
  <c r="P94" i="14"/>
  <c r="P95" i="14"/>
  <c r="P96" i="14"/>
  <c r="P100" i="14"/>
  <c r="P114" i="14"/>
  <c r="P119" i="14"/>
  <c r="P139" i="14"/>
  <c r="P80" i="14"/>
  <c r="P81" i="14"/>
  <c r="P82" i="14"/>
  <c r="P83" i="14"/>
  <c r="P84" i="14"/>
  <c r="P85" i="14"/>
  <c r="P101" i="14"/>
  <c r="P102" i="14"/>
  <c r="P103" i="14"/>
  <c r="P104" i="14"/>
  <c r="P105" i="14"/>
  <c r="P106" i="14"/>
  <c r="P107" i="14"/>
  <c r="P108" i="14"/>
  <c r="P109" i="14"/>
  <c r="P110" i="14"/>
  <c r="P111" i="14"/>
  <c r="P112" i="14"/>
  <c r="P113" i="14"/>
  <c r="P115" i="14"/>
  <c r="P116" i="14"/>
  <c r="P117" i="14"/>
  <c r="P118" i="14"/>
  <c r="P120" i="14"/>
  <c r="P121" i="14"/>
  <c r="P122" i="14"/>
  <c r="P123" i="14"/>
  <c r="P124" i="14"/>
  <c r="P125" i="14"/>
  <c r="P126" i="14"/>
  <c r="P127" i="14"/>
  <c r="P128" i="14"/>
  <c r="P129" i="14"/>
  <c r="P130" i="14"/>
  <c r="P131" i="14"/>
  <c r="P132" i="14"/>
  <c r="P133" i="14"/>
  <c r="P141" i="14"/>
  <c r="P142" i="14"/>
  <c r="P143" i="14"/>
  <c r="P144" i="14"/>
  <c r="Q6" i="14"/>
  <c r="R6" i="14"/>
  <c r="S6" i="14"/>
  <c r="T6" i="14"/>
  <c r="U6" i="14"/>
  <c r="V6" i="14"/>
  <c r="W6" i="14"/>
  <c r="P6" i="14"/>
  <c r="O7" i="14"/>
  <c r="O8" i="14"/>
  <c r="O9" i="14"/>
  <c r="O10" i="14"/>
  <c r="O11" i="14"/>
  <c r="O12" i="14"/>
  <c r="O13" i="14"/>
  <c r="O14" i="14"/>
  <c r="O15" i="14"/>
  <c r="O16" i="14"/>
  <c r="O17" i="14"/>
  <c r="O18" i="14"/>
  <c r="O19" i="14"/>
  <c r="O20" i="14"/>
  <c r="O21" i="14"/>
  <c r="O22" i="14"/>
  <c r="O23" i="14"/>
  <c r="O24" i="14"/>
  <c r="O25" i="14"/>
  <c r="O26" i="14"/>
  <c r="O27" i="14"/>
  <c r="O28" i="14"/>
  <c r="O29" i="14"/>
  <c r="O30" i="14"/>
  <c r="O31" i="14"/>
  <c r="O32" i="14"/>
  <c r="O33" i="14"/>
  <c r="O34" i="14"/>
  <c r="O35" i="14"/>
  <c r="O36" i="14"/>
  <c r="O37" i="14"/>
  <c r="O38" i="14"/>
  <c r="O39" i="14"/>
  <c r="O40" i="14"/>
  <c r="O41" i="14"/>
  <c r="O42" i="14"/>
  <c r="O43" i="14"/>
  <c r="O44" i="14"/>
  <c r="O45" i="14"/>
  <c r="O46" i="14"/>
  <c r="O47" i="14"/>
  <c r="O48" i="14"/>
  <c r="O49" i="14"/>
  <c r="O50" i="14"/>
  <c r="O51" i="14"/>
  <c r="O52" i="14"/>
  <c r="O53" i="14"/>
  <c r="O54" i="14"/>
  <c r="O55" i="14"/>
  <c r="O56" i="14"/>
  <c r="O57" i="14"/>
  <c r="O58" i="14"/>
  <c r="O59" i="14"/>
  <c r="O60" i="14"/>
  <c r="O61" i="14"/>
  <c r="O62" i="14"/>
  <c r="O63" i="14"/>
  <c r="O64" i="14"/>
  <c r="O65" i="14"/>
  <c r="O68" i="14"/>
  <c r="O74" i="14"/>
  <c r="O76" i="14"/>
  <c r="O77" i="14"/>
  <c r="O78" i="14"/>
  <c r="O79" i="14"/>
  <c r="O69" i="14"/>
  <c r="O70" i="14"/>
  <c r="O71" i="14"/>
  <c r="O72" i="14"/>
  <c r="O73" i="14"/>
  <c r="O75" i="14"/>
  <c r="O87" i="14"/>
  <c r="O89" i="14"/>
  <c r="O93" i="14"/>
  <c r="O94" i="14"/>
  <c r="O95" i="14"/>
  <c r="O96" i="14"/>
  <c r="O100" i="14"/>
  <c r="O114" i="14"/>
  <c r="O119" i="14"/>
  <c r="O139" i="14"/>
  <c r="O80" i="14"/>
  <c r="O81" i="14"/>
  <c r="O82" i="14"/>
  <c r="O83" i="14"/>
  <c r="O84" i="14"/>
  <c r="O85" i="14"/>
  <c r="O101" i="14"/>
  <c r="O102" i="14"/>
  <c r="O103" i="14"/>
  <c r="O104" i="14"/>
  <c r="O105" i="14"/>
  <c r="O106" i="14"/>
  <c r="O107" i="14"/>
  <c r="O108" i="14"/>
  <c r="O109" i="14"/>
  <c r="O110" i="14"/>
  <c r="O111" i="14"/>
  <c r="O112" i="14"/>
  <c r="O113" i="14"/>
  <c r="O115" i="14"/>
  <c r="O116" i="14"/>
  <c r="O117" i="14"/>
  <c r="O118" i="14"/>
  <c r="O120" i="14"/>
  <c r="O121" i="14"/>
  <c r="O122" i="14"/>
  <c r="O123" i="14"/>
  <c r="O124" i="14"/>
  <c r="O125" i="14"/>
  <c r="O126" i="14"/>
  <c r="O127" i="14"/>
  <c r="O128" i="14"/>
  <c r="O129" i="14"/>
  <c r="O130" i="14"/>
  <c r="O131" i="14"/>
  <c r="O132" i="14"/>
  <c r="O133" i="14"/>
  <c r="O141" i="14"/>
  <c r="O142" i="14"/>
  <c r="O143" i="14"/>
  <c r="O144" i="14"/>
  <c r="O6" i="14"/>
  <c r="O3" i="14" l="1"/>
  <c r="P3" i="14"/>
  <c r="AH128" i="13"/>
  <c r="A3" i="15" s="1"/>
  <c r="B68" i="14"/>
  <c r="C68" i="14"/>
  <c r="D68" i="14"/>
  <c r="E68" i="14"/>
  <c r="F68" i="14"/>
  <c r="G68" i="14"/>
  <c r="H68" i="14"/>
  <c r="I68" i="14"/>
  <c r="J68" i="14"/>
  <c r="K68" i="14"/>
  <c r="L68" i="14"/>
  <c r="M68" i="14"/>
  <c r="N68" i="14"/>
  <c r="Q68" i="14"/>
  <c r="R68" i="14"/>
  <c r="S68" i="14"/>
  <c r="T68" i="14"/>
  <c r="U68" i="14"/>
  <c r="V68" i="14"/>
  <c r="W68" i="14"/>
  <c r="X68" i="14"/>
  <c r="Y68" i="14"/>
  <c r="Z68" i="14"/>
  <c r="AA68" i="14"/>
  <c r="AB68" i="14"/>
  <c r="AC68" i="14"/>
  <c r="AD68" i="14"/>
  <c r="AE68" i="14"/>
  <c r="AF68" i="14"/>
  <c r="AH68" i="14"/>
  <c r="AG68" i="14"/>
  <c r="AM68" i="14"/>
  <c r="AN68" i="14"/>
  <c r="AO68" i="14"/>
  <c r="AP68" i="14"/>
  <c r="AT68" i="14"/>
  <c r="AU68" i="14"/>
  <c r="AV68" i="14"/>
  <c r="AW68" i="14"/>
  <c r="AZ68" i="14"/>
  <c r="AX68" i="14"/>
  <c r="AY68" i="14"/>
  <c r="BA68" i="14"/>
  <c r="BB68" i="14"/>
  <c r="AQ68" i="14"/>
  <c r="AR68" i="14"/>
  <c r="AS68" i="14"/>
  <c r="BL68" i="14"/>
  <c r="BK68" i="14"/>
  <c r="BJ68" i="14"/>
  <c r="B74" i="14"/>
  <c r="C74" i="14"/>
  <c r="D74" i="14"/>
  <c r="E74" i="14"/>
  <c r="F74" i="14"/>
  <c r="G74" i="14"/>
  <c r="H74" i="14"/>
  <c r="I74" i="14"/>
  <c r="J74" i="14"/>
  <c r="K74" i="14"/>
  <c r="L74" i="14"/>
  <c r="M74" i="14"/>
  <c r="N74" i="14"/>
  <c r="Q74" i="14"/>
  <c r="R74" i="14"/>
  <c r="S74" i="14"/>
  <c r="T74" i="14"/>
  <c r="U74" i="14"/>
  <c r="V74" i="14"/>
  <c r="W74" i="14"/>
  <c r="X74" i="14"/>
  <c r="Y74" i="14"/>
  <c r="Z74" i="14"/>
  <c r="AA74" i="14"/>
  <c r="AB74" i="14"/>
  <c r="AC74" i="14"/>
  <c r="AD74" i="14"/>
  <c r="AE74" i="14"/>
  <c r="AF74" i="14"/>
  <c r="AH74" i="14"/>
  <c r="AG74" i="14"/>
  <c r="AM74" i="14"/>
  <c r="AN74" i="14"/>
  <c r="AO74" i="14"/>
  <c r="AP74" i="14"/>
  <c r="AT74" i="14"/>
  <c r="AU74" i="14"/>
  <c r="AV74" i="14"/>
  <c r="AW74" i="14"/>
  <c r="AZ74" i="14"/>
  <c r="AX74" i="14"/>
  <c r="AY74" i="14"/>
  <c r="BA74" i="14"/>
  <c r="BB74" i="14"/>
  <c r="AQ74" i="14"/>
  <c r="AR74" i="14"/>
  <c r="AS74" i="14"/>
  <c r="BL74" i="14"/>
  <c r="BK74" i="14"/>
  <c r="BJ74" i="14"/>
  <c r="B76" i="14"/>
  <c r="C76" i="14"/>
  <c r="D76" i="14"/>
  <c r="E76" i="14"/>
  <c r="F76" i="14"/>
  <c r="G76" i="14"/>
  <c r="H76" i="14"/>
  <c r="I76" i="14"/>
  <c r="J76" i="14"/>
  <c r="K76" i="14"/>
  <c r="L76" i="14"/>
  <c r="M76" i="14"/>
  <c r="N76" i="14"/>
  <c r="Q76" i="14"/>
  <c r="R76" i="14"/>
  <c r="S76" i="14"/>
  <c r="T76" i="14"/>
  <c r="U76" i="14"/>
  <c r="V76" i="14"/>
  <c r="W76" i="14"/>
  <c r="X76" i="14"/>
  <c r="Y76" i="14"/>
  <c r="Z76" i="14"/>
  <c r="AA76" i="14"/>
  <c r="AB76" i="14"/>
  <c r="AC76" i="14"/>
  <c r="AD76" i="14"/>
  <c r="AE76" i="14"/>
  <c r="AF76" i="14"/>
  <c r="AH76" i="14"/>
  <c r="AG76" i="14"/>
  <c r="AM76" i="14"/>
  <c r="AN76" i="14"/>
  <c r="AO76" i="14"/>
  <c r="AP76" i="14"/>
  <c r="AT76" i="14"/>
  <c r="AU76" i="14"/>
  <c r="AV76" i="14"/>
  <c r="AW76" i="14"/>
  <c r="AZ76" i="14"/>
  <c r="AX76" i="14"/>
  <c r="AY76" i="14"/>
  <c r="BA76" i="14"/>
  <c r="BB76" i="14"/>
  <c r="AQ76" i="14"/>
  <c r="AR76" i="14"/>
  <c r="AS76" i="14"/>
  <c r="BL76" i="14"/>
  <c r="BK76" i="14"/>
  <c r="BJ76" i="14"/>
  <c r="B77" i="14"/>
  <c r="C77" i="14"/>
  <c r="D77" i="14"/>
  <c r="E77" i="14"/>
  <c r="F77" i="14"/>
  <c r="G77" i="14"/>
  <c r="H77" i="14"/>
  <c r="I77" i="14"/>
  <c r="J77" i="14"/>
  <c r="K77" i="14"/>
  <c r="L77" i="14"/>
  <c r="M77" i="14"/>
  <c r="N77" i="14"/>
  <c r="Q77" i="14"/>
  <c r="R77" i="14"/>
  <c r="S77" i="14"/>
  <c r="T77" i="14"/>
  <c r="U77" i="14"/>
  <c r="V77" i="14"/>
  <c r="W77" i="14"/>
  <c r="X77" i="14"/>
  <c r="Y77" i="14"/>
  <c r="Z77" i="14"/>
  <c r="AA77" i="14"/>
  <c r="AB77" i="14"/>
  <c r="AC77" i="14"/>
  <c r="AD77" i="14"/>
  <c r="AE77" i="14"/>
  <c r="AF77" i="14"/>
  <c r="AH77" i="14"/>
  <c r="AG77" i="14"/>
  <c r="AM77" i="14"/>
  <c r="AN77" i="14"/>
  <c r="AO77" i="14"/>
  <c r="AP77" i="14"/>
  <c r="AT77" i="14"/>
  <c r="AU77" i="14"/>
  <c r="AV77" i="14"/>
  <c r="AW77" i="14"/>
  <c r="AZ77" i="14"/>
  <c r="AX77" i="14"/>
  <c r="AY77" i="14"/>
  <c r="BA77" i="14"/>
  <c r="BB77" i="14"/>
  <c r="AQ77" i="14"/>
  <c r="AR77" i="14"/>
  <c r="AS77" i="14"/>
  <c r="BL77" i="14"/>
  <c r="BK77" i="14"/>
  <c r="BJ77" i="14"/>
  <c r="B78" i="14"/>
  <c r="C78" i="14"/>
  <c r="D78" i="14"/>
  <c r="E78" i="14"/>
  <c r="F78" i="14"/>
  <c r="G78" i="14"/>
  <c r="H78" i="14"/>
  <c r="I78" i="14"/>
  <c r="J78" i="14"/>
  <c r="K78" i="14"/>
  <c r="L78" i="14"/>
  <c r="M78" i="14"/>
  <c r="N78" i="14"/>
  <c r="Q78" i="14"/>
  <c r="R78" i="14"/>
  <c r="S78" i="14"/>
  <c r="T78" i="14"/>
  <c r="U78" i="14"/>
  <c r="V78" i="14"/>
  <c r="W78" i="14"/>
  <c r="X78" i="14"/>
  <c r="Y78" i="14"/>
  <c r="Z78" i="14"/>
  <c r="AA78" i="14"/>
  <c r="AB78" i="14"/>
  <c r="AC78" i="14"/>
  <c r="AD78" i="14"/>
  <c r="AE78" i="14"/>
  <c r="AF78" i="14"/>
  <c r="AH78" i="14"/>
  <c r="AG78" i="14"/>
  <c r="AM78" i="14"/>
  <c r="AN78" i="14"/>
  <c r="AO78" i="14"/>
  <c r="AP78" i="14"/>
  <c r="AT78" i="14"/>
  <c r="AU78" i="14"/>
  <c r="AV78" i="14"/>
  <c r="AW78" i="14"/>
  <c r="AZ78" i="14"/>
  <c r="AX78" i="14"/>
  <c r="AY78" i="14"/>
  <c r="BA78" i="14"/>
  <c r="BB78" i="14"/>
  <c r="AQ78" i="14"/>
  <c r="AR78" i="14"/>
  <c r="AS78" i="14"/>
  <c r="BL78" i="14"/>
  <c r="BK78" i="14"/>
  <c r="BJ78" i="14"/>
  <c r="B79" i="14"/>
  <c r="C79" i="14"/>
  <c r="D79" i="14"/>
  <c r="E79" i="14"/>
  <c r="F79" i="14"/>
  <c r="G79" i="14"/>
  <c r="H79" i="14"/>
  <c r="I79" i="14"/>
  <c r="J79" i="14"/>
  <c r="K79" i="14"/>
  <c r="L79" i="14"/>
  <c r="M79" i="14"/>
  <c r="N79" i="14"/>
  <c r="Q79" i="14"/>
  <c r="R79" i="14"/>
  <c r="S79" i="14"/>
  <c r="T79" i="14"/>
  <c r="U79" i="14"/>
  <c r="V79" i="14"/>
  <c r="W79" i="14"/>
  <c r="X79" i="14"/>
  <c r="Y79" i="14"/>
  <c r="Z79" i="14"/>
  <c r="AA79" i="14"/>
  <c r="AB79" i="14"/>
  <c r="AC79" i="14"/>
  <c r="AD79" i="14"/>
  <c r="AE79" i="14"/>
  <c r="AF79" i="14"/>
  <c r="AH79" i="14"/>
  <c r="AG79" i="14"/>
  <c r="AM79" i="14"/>
  <c r="AN79" i="14"/>
  <c r="AO79" i="14"/>
  <c r="AP79" i="14"/>
  <c r="AT79" i="14"/>
  <c r="AU79" i="14"/>
  <c r="AV79" i="14"/>
  <c r="AW79" i="14"/>
  <c r="AZ79" i="14"/>
  <c r="AX79" i="14"/>
  <c r="AY79" i="14"/>
  <c r="BA79" i="14"/>
  <c r="BB79" i="14"/>
  <c r="AQ79" i="14"/>
  <c r="AR79" i="14"/>
  <c r="AS79" i="14"/>
  <c r="BL79" i="14"/>
  <c r="BK79" i="14"/>
  <c r="BJ79" i="14"/>
  <c r="B69" i="14"/>
  <c r="C69" i="14"/>
  <c r="D69" i="14"/>
  <c r="E69" i="14"/>
  <c r="F69" i="14"/>
  <c r="G69" i="14"/>
  <c r="H69" i="14"/>
  <c r="I69" i="14"/>
  <c r="J69" i="14"/>
  <c r="K69" i="14"/>
  <c r="L69" i="14"/>
  <c r="M69" i="14"/>
  <c r="N69" i="14"/>
  <c r="Q69" i="14"/>
  <c r="R69" i="14"/>
  <c r="S69" i="14"/>
  <c r="T69" i="14"/>
  <c r="U69" i="14"/>
  <c r="V69" i="14"/>
  <c r="W69" i="14"/>
  <c r="X69" i="14"/>
  <c r="Y69" i="14"/>
  <c r="Z69" i="14"/>
  <c r="AA69" i="14"/>
  <c r="AB69" i="14"/>
  <c r="AC69" i="14"/>
  <c r="AD69" i="14"/>
  <c r="AE69" i="14"/>
  <c r="AF69" i="14"/>
  <c r="AH69" i="14"/>
  <c r="AG69" i="14"/>
  <c r="AM69" i="14"/>
  <c r="AN69" i="14"/>
  <c r="AO69" i="14"/>
  <c r="AP69" i="14"/>
  <c r="AT69" i="14"/>
  <c r="AU69" i="14"/>
  <c r="AV69" i="14"/>
  <c r="AW69" i="14"/>
  <c r="AZ69" i="14"/>
  <c r="AX69" i="14"/>
  <c r="AY69" i="14"/>
  <c r="BA69" i="14"/>
  <c r="BB69" i="14"/>
  <c r="AQ69" i="14"/>
  <c r="AR69" i="14"/>
  <c r="AS69" i="14"/>
  <c r="BL69" i="14"/>
  <c r="BK69" i="14"/>
  <c r="BJ69" i="14"/>
  <c r="B70" i="14"/>
  <c r="C70" i="14"/>
  <c r="D70" i="14"/>
  <c r="E70" i="14"/>
  <c r="F70" i="14"/>
  <c r="G70" i="14"/>
  <c r="H70" i="14"/>
  <c r="I70" i="14"/>
  <c r="J70" i="14"/>
  <c r="K70" i="14"/>
  <c r="L70" i="14"/>
  <c r="M70" i="14"/>
  <c r="N70" i="14"/>
  <c r="Q70" i="14"/>
  <c r="R70" i="14"/>
  <c r="S70" i="14"/>
  <c r="T70" i="14"/>
  <c r="U70" i="14"/>
  <c r="V70" i="14"/>
  <c r="W70" i="14"/>
  <c r="X70" i="14"/>
  <c r="Y70" i="14"/>
  <c r="Z70" i="14"/>
  <c r="AA70" i="14"/>
  <c r="AB70" i="14"/>
  <c r="AC70" i="14"/>
  <c r="AD70" i="14"/>
  <c r="AE70" i="14"/>
  <c r="AF70" i="14"/>
  <c r="AH70" i="14"/>
  <c r="AG70" i="14"/>
  <c r="AM70" i="14"/>
  <c r="AN70" i="14"/>
  <c r="AO70" i="14"/>
  <c r="AP70" i="14"/>
  <c r="AT70" i="14"/>
  <c r="AU70" i="14"/>
  <c r="AV70" i="14"/>
  <c r="AW70" i="14"/>
  <c r="AZ70" i="14"/>
  <c r="AX70" i="14"/>
  <c r="AY70" i="14"/>
  <c r="BA70" i="14"/>
  <c r="BB70" i="14"/>
  <c r="AQ70" i="14"/>
  <c r="AR70" i="14"/>
  <c r="AS70" i="14"/>
  <c r="BL70" i="14"/>
  <c r="BK70" i="14"/>
  <c r="BJ70" i="14"/>
  <c r="B71" i="14"/>
  <c r="C71" i="14"/>
  <c r="D71" i="14"/>
  <c r="E71" i="14"/>
  <c r="F71" i="14"/>
  <c r="G71" i="14"/>
  <c r="H71" i="14"/>
  <c r="I71" i="14"/>
  <c r="J71" i="14"/>
  <c r="K71" i="14"/>
  <c r="L71" i="14"/>
  <c r="M71" i="14"/>
  <c r="N71" i="14"/>
  <c r="Q71" i="14"/>
  <c r="R71" i="14"/>
  <c r="S71" i="14"/>
  <c r="T71" i="14"/>
  <c r="U71" i="14"/>
  <c r="V71" i="14"/>
  <c r="W71" i="14"/>
  <c r="X71" i="14"/>
  <c r="Y71" i="14"/>
  <c r="Z71" i="14"/>
  <c r="AA71" i="14"/>
  <c r="AB71" i="14"/>
  <c r="AC71" i="14"/>
  <c r="AD71" i="14"/>
  <c r="AE71" i="14"/>
  <c r="AF71" i="14"/>
  <c r="AH71" i="14"/>
  <c r="AG71" i="14"/>
  <c r="AM71" i="14"/>
  <c r="AN71" i="14"/>
  <c r="AO71" i="14"/>
  <c r="AP71" i="14"/>
  <c r="AT71" i="14"/>
  <c r="AU71" i="14"/>
  <c r="AV71" i="14"/>
  <c r="AW71" i="14"/>
  <c r="AZ71" i="14"/>
  <c r="AX71" i="14"/>
  <c r="AY71" i="14"/>
  <c r="BA71" i="14"/>
  <c r="BB71" i="14"/>
  <c r="AQ71" i="14"/>
  <c r="AR71" i="14"/>
  <c r="AS71" i="14"/>
  <c r="BL71" i="14"/>
  <c r="BK71" i="14"/>
  <c r="BJ71" i="14"/>
  <c r="B72" i="14"/>
  <c r="C72" i="14"/>
  <c r="D72" i="14"/>
  <c r="E72" i="14"/>
  <c r="F72" i="14"/>
  <c r="G72" i="14"/>
  <c r="H72" i="14"/>
  <c r="I72" i="14"/>
  <c r="J72" i="14"/>
  <c r="K72" i="14"/>
  <c r="L72" i="14"/>
  <c r="M72" i="14"/>
  <c r="N72" i="14"/>
  <c r="Q72" i="14"/>
  <c r="R72" i="14"/>
  <c r="S72" i="14"/>
  <c r="T72" i="14"/>
  <c r="U72" i="14"/>
  <c r="V72" i="14"/>
  <c r="W72" i="14"/>
  <c r="X72" i="14"/>
  <c r="Y72" i="14"/>
  <c r="Z72" i="14"/>
  <c r="AA72" i="14"/>
  <c r="AB72" i="14"/>
  <c r="AC72" i="14"/>
  <c r="AD72" i="14"/>
  <c r="AE72" i="14"/>
  <c r="AF72" i="14"/>
  <c r="AH72" i="14"/>
  <c r="AG72" i="14"/>
  <c r="AM72" i="14"/>
  <c r="AN72" i="14"/>
  <c r="AO72" i="14"/>
  <c r="AP72" i="14"/>
  <c r="AT72" i="14"/>
  <c r="AU72" i="14"/>
  <c r="AV72" i="14"/>
  <c r="AW72" i="14"/>
  <c r="AZ72" i="14"/>
  <c r="AX72" i="14"/>
  <c r="AY72" i="14"/>
  <c r="BA72" i="14"/>
  <c r="BB72" i="14"/>
  <c r="AQ72" i="14"/>
  <c r="AR72" i="14"/>
  <c r="AS72" i="14"/>
  <c r="BL72" i="14"/>
  <c r="BK72" i="14"/>
  <c r="BJ72" i="14"/>
  <c r="B73" i="14"/>
  <c r="C73" i="14"/>
  <c r="D73" i="14"/>
  <c r="E73" i="14"/>
  <c r="F73" i="14"/>
  <c r="G73" i="14"/>
  <c r="H73" i="14"/>
  <c r="I73" i="14"/>
  <c r="J73" i="14"/>
  <c r="K73" i="14"/>
  <c r="L73" i="14"/>
  <c r="M73" i="14"/>
  <c r="N73" i="14"/>
  <c r="Q73" i="14"/>
  <c r="R73" i="14"/>
  <c r="S73" i="14"/>
  <c r="T73" i="14"/>
  <c r="U73" i="14"/>
  <c r="V73" i="14"/>
  <c r="W73" i="14"/>
  <c r="X73" i="14"/>
  <c r="Y73" i="14"/>
  <c r="Z73" i="14"/>
  <c r="AA73" i="14"/>
  <c r="AB73" i="14"/>
  <c r="AC73" i="14"/>
  <c r="AD73" i="14"/>
  <c r="AE73" i="14"/>
  <c r="AF73" i="14"/>
  <c r="AH73" i="14"/>
  <c r="AG73" i="14"/>
  <c r="AM73" i="14"/>
  <c r="AN73" i="14"/>
  <c r="AO73" i="14"/>
  <c r="AP73" i="14"/>
  <c r="AT73" i="14"/>
  <c r="AU73" i="14"/>
  <c r="AV73" i="14"/>
  <c r="AW73" i="14"/>
  <c r="AZ73" i="14"/>
  <c r="AX73" i="14"/>
  <c r="AY73" i="14"/>
  <c r="BA73" i="14"/>
  <c r="BB73" i="14"/>
  <c r="AQ73" i="14"/>
  <c r="AR73" i="14"/>
  <c r="AS73" i="14"/>
  <c r="BL73" i="14"/>
  <c r="BK73" i="14"/>
  <c r="BJ73" i="14"/>
  <c r="B75" i="14"/>
  <c r="C75" i="14"/>
  <c r="D75" i="14"/>
  <c r="E75" i="14"/>
  <c r="F75" i="14"/>
  <c r="G75" i="14"/>
  <c r="H75" i="14"/>
  <c r="I75" i="14"/>
  <c r="J75" i="14"/>
  <c r="K75" i="14"/>
  <c r="L75" i="14"/>
  <c r="M75" i="14"/>
  <c r="N75" i="14"/>
  <c r="Q75" i="14"/>
  <c r="R75" i="14"/>
  <c r="S75" i="14"/>
  <c r="T75" i="14"/>
  <c r="U75" i="14"/>
  <c r="V75" i="14"/>
  <c r="W75" i="14"/>
  <c r="X75" i="14"/>
  <c r="Y75" i="14"/>
  <c r="Z75" i="14"/>
  <c r="AA75" i="14"/>
  <c r="AB75" i="14"/>
  <c r="AC75" i="14"/>
  <c r="AD75" i="14"/>
  <c r="AE75" i="14"/>
  <c r="AF75" i="14"/>
  <c r="AH75" i="14"/>
  <c r="AG75" i="14"/>
  <c r="AM75" i="14"/>
  <c r="AN75" i="14"/>
  <c r="AO75" i="14"/>
  <c r="AP75" i="14"/>
  <c r="AT75" i="14"/>
  <c r="AU75" i="14"/>
  <c r="AV75" i="14"/>
  <c r="AW75" i="14"/>
  <c r="AZ75" i="14"/>
  <c r="AX75" i="14"/>
  <c r="AY75" i="14"/>
  <c r="BA75" i="14"/>
  <c r="BB75" i="14"/>
  <c r="AQ75" i="14"/>
  <c r="AR75" i="14"/>
  <c r="AS75" i="14"/>
  <c r="BL75" i="14"/>
  <c r="BK75" i="14"/>
  <c r="BJ75" i="14"/>
  <c r="B87" i="14"/>
  <c r="C87" i="14"/>
  <c r="D87" i="14"/>
  <c r="E87" i="14"/>
  <c r="F87" i="14"/>
  <c r="G87" i="14"/>
  <c r="H87" i="14"/>
  <c r="I87" i="14"/>
  <c r="J87" i="14"/>
  <c r="K87" i="14"/>
  <c r="L87" i="14"/>
  <c r="M87" i="14"/>
  <c r="N87" i="14"/>
  <c r="Q87" i="14"/>
  <c r="R87" i="14"/>
  <c r="S87" i="14"/>
  <c r="T87" i="14"/>
  <c r="U87" i="14"/>
  <c r="V87" i="14"/>
  <c r="W87" i="14"/>
  <c r="X87" i="14"/>
  <c r="Y87" i="14"/>
  <c r="Z87" i="14"/>
  <c r="AA87" i="14"/>
  <c r="AB87" i="14"/>
  <c r="AC87" i="14"/>
  <c r="AD87" i="14"/>
  <c r="AE87" i="14"/>
  <c r="AF87" i="14"/>
  <c r="AH87" i="14"/>
  <c r="AG87" i="14"/>
  <c r="AM87" i="14"/>
  <c r="AN87" i="14"/>
  <c r="AO87" i="14"/>
  <c r="AP87" i="14"/>
  <c r="AT87" i="14"/>
  <c r="AU87" i="14"/>
  <c r="AV87" i="14"/>
  <c r="AW87" i="14"/>
  <c r="AZ87" i="14"/>
  <c r="AX87" i="14"/>
  <c r="AY87" i="14"/>
  <c r="BA87" i="14"/>
  <c r="BB87" i="14"/>
  <c r="AQ87" i="14"/>
  <c r="AR87" i="14"/>
  <c r="AS87" i="14"/>
  <c r="BL87" i="14"/>
  <c r="BK87" i="14"/>
  <c r="BJ87" i="14"/>
  <c r="B89" i="14"/>
  <c r="C89" i="14"/>
  <c r="D89" i="14"/>
  <c r="E89" i="14"/>
  <c r="F89" i="14"/>
  <c r="G89" i="14"/>
  <c r="H89" i="14"/>
  <c r="I89" i="14"/>
  <c r="J89" i="14"/>
  <c r="K89" i="14"/>
  <c r="L89" i="14"/>
  <c r="M89" i="14"/>
  <c r="N89" i="14"/>
  <c r="Q89" i="14"/>
  <c r="R89" i="14"/>
  <c r="S89" i="14"/>
  <c r="T89" i="14"/>
  <c r="U89" i="14"/>
  <c r="V89" i="14"/>
  <c r="W89" i="14"/>
  <c r="X89" i="14"/>
  <c r="Y89" i="14"/>
  <c r="Z89" i="14"/>
  <c r="AA89" i="14"/>
  <c r="AB89" i="14"/>
  <c r="AC89" i="14"/>
  <c r="AD89" i="14"/>
  <c r="AE89" i="14"/>
  <c r="AF89" i="14"/>
  <c r="AH89" i="14"/>
  <c r="AG89" i="14"/>
  <c r="AM89" i="14"/>
  <c r="AN89" i="14"/>
  <c r="AO89" i="14"/>
  <c r="AP89" i="14"/>
  <c r="AT89" i="14"/>
  <c r="AU89" i="14"/>
  <c r="AV89" i="14"/>
  <c r="AW89" i="14"/>
  <c r="AZ89" i="14"/>
  <c r="AX89" i="14"/>
  <c r="AY89" i="14"/>
  <c r="BA89" i="14"/>
  <c r="BB89" i="14"/>
  <c r="AQ89" i="14"/>
  <c r="AR89" i="14"/>
  <c r="AS89" i="14"/>
  <c r="BL89" i="14"/>
  <c r="BK89" i="14"/>
  <c r="BJ89" i="14"/>
  <c r="B93" i="14"/>
  <c r="C93" i="14"/>
  <c r="D93" i="14"/>
  <c r="E93" i="14"/>
  <c r="F93" i="14"/>
  <c r="G93" i="14"/>
  <c r="H93" i="14"/>
  <c r="I93" i="14"/>
  <c r="J93" i="14"/>
  <c r="K93" i="14"/>
  <c r="L93" i="14"/>
  <c r="M93" i="14"/>
  <c r="N93" i="14"/>
  <c r="Q93" i="14"/>
  <c r="R93" i="14"/>
  <c r="S93" i="14"/>
  <c r="T93" i="14"/>
  <c r="U93" i="14"/>
  <c r="V93" i="14"/>
  <c r="W93" i="14"/>
  <c r="X93" i="14"/>
  <c r="Y93" i="14"/>
  <c r="Z93" i="14"/>
  <c r="AA93" i="14"/>
  <c r="AB93" i="14"/>
  <c r="AC93" i="14"/>
  <c r="AD93" i="14"/>
  <c r="AE93" i="14"/>
  <c r="AF93" i="14"/>
  <c r="AH93" i="14"/>
  <c r="AG93" i="14"/>
  <c r="AM93" i="14"/>
  <c r="AN93" i="14"/>
  <c r="AO93" i="14"/>
  <c r="AP93" i="14"/>
  <c r="AT93" i="14"/>
  <c r="AU93" i="14"/>
  <c r="AV93" i="14"/>
  <c r="AW93" i="14"/>
  <c r="AZ93" i="14"/>
  <c r="AX93" i="14"/>
  <c r="AY93" i="14"/>
  <c r="BA93" i="14"/>
  <c r="BB93" i="14"/>
  <c r="AQ93" i="14"/>
  <c r="AR93" i="14"/>
  <c r="AS93" i="14"/>
  <c r="BL93" i="14"/>
  <c r="BK93" i="14"/>
  <c r="BJ93" i="14"/>
  <c r="B94" i="14"/>
  <c r="C94" i="14"/>
  <c r="D94" i="14"/>
  <c r="E94" i="14"/>
  <c r="F94" i="14"/>
  <c r="G94" i="14"/>
  <c r="H94" i="14"/>
  <c r="I94" i="14"/>
  <c r="J94" i="14"/>
  <c r="K94" i="14"/>
  <c r="L94" i="14"/>
  <c r="M94" i="14"/>
  <c r="N94" i="14"/>
  <c r="Q94" i="14"/>
  <c r="R94" i="14"/>
  <c r="S94" i="14"/>
  <c r="T94" i="14"/>
  <c r="U94" i="14"/>
  <c r="V94" i="14"/>
  <c r="W94" i="14"/>
  <c r="X94" i="14"/>
  <c r="Y94" i="14"/>
  <c r="Z94" i="14"/>
  <c r="AA94" i="14"/>
  <c r="AB94" i="14"/>
  <c r="AC94" i="14"/>
  <c r="AD94" i="14"/>
  <c r="AE94" i="14"/>
  <c r="AF94" i="14"/>
  <c r="AH94" i="14"/>
  <c r="AG94" i="14"/>
  <c r="AM94" i="14"/>
  <c r="AN94" i="14"/>
  <c r="AO94" i="14"/>
  <c r="AP94" i="14"/>
  <c r="AT94" i="14"/>
  <c r="AU94" i="14"/>
  <c r="AV94" i="14"/>
  <c r="AW94" i="14"/>
  <c r="AZ94" i="14"/>
  <c r="AX94" i="14"/>
  <c r="AY94" i="14"/>
  <c r="BA94" i="14"/>
  <c r="BB94" i="14"/>
  <c r="AQ94" i="14"/>
  <c r="AR94" i="14"/>
  <c r="AS94" i="14"/>
  <c r="BL94" i="14"/>
  <c r="BK94" i="14"/>
  <c r="BJ94" i="14"/>
  <c r="B95" i="14"/>
  <c r="C95" i="14"/>
  <c r="D95" i="14"/>
  <c r="E95" i="14"/>
  <c r="F95" i="14"/>
  <c r="G95" i="14"/>
  <c r="H95" i="14"/>
  <c r="I95" i="14"/>
  <c r="J95" i="14"/>
  <c r="K95" i="14"/>
  <c r="L95" i="14"/>
  <c r="M95" i="14"/>
  <c r="N95" i="14"/>
  <c r="Q95" i="14"/>
  <c r="R95" i="14"/>
  <c r="S95" i="14"/>
  <c r="T95" i="14"/>
  <c r="U95" i="14"/>
  <c r="V95" i="14"/>
  <c r="W95" i="14"/>
  <c r="X95" i="14"/>
  <c r="Y95" i="14"/>
  <c r="Z95" i="14"/>
  <c r="AA95" i="14"/>
  <c r="AB95" i="14"/>
  <c r="AC95" i="14"/>
  <c r="AD95" i="14"/>
  <c r="AE95" i="14"/>
  <c r="AF95" i="14"/>
  <c r="AH95" i="14"/>
  <c r="AG95" i="14"/>
  <c r="AM95" i="14"/>
  <c r="AN95" i="14"/>
  <c r="AO95" i="14"/>
  <c r="AP95" i="14"/>
  <c r="AT95" i="14"/>
  <c r="AU95" i="14"/>
  <c r="AV95" i="14"/>
  <c r="AW95" i="14"/>
  <c r="AZ95" i="14"/>
  <c r="AX95" i="14"/>
  <c r="AY95" i="14"/>
  <c r="BA95" i="14"/>
  <c r="BB95" i="14"/>
  <c r="AQ95" i="14"/>
  <c r="AR95" i="14"/>
  <c r="AS95" i="14"/>
  <c r="BL95" i="14"/>
  <c r="BK95" i="14"/>
  <c r="BJ95" i="14"/>
  <c r="B96" i="14"/>
  <c r="C96" i="14"/>
  <c r="D96" i="14"/>
  <c r="E96" i="14"/>
  <c r="F96" i="14"/>
  <c r="G96" i="14"/>
  <c r="H96" i="14"/>
  <c r="I96" i="14"/>
  <c r="J96" i="14"/>
  <c r="K96" i="14"/>
  <c r="L96" i="14"/>
  <c r="M96" i="14"/>
  <c r="N96" i="14"/>
  <c r="Q96" i="14"/>
  <c r="R96" i="14"/>
  <c r="S96" i="14"/>
  <c r="T96" i="14"/>
  <c r="U96" i="14"/>
  <c r="V96" i="14"/>
  <c r="W96" i="14"/>
  <c r="X96" i="14"/>
  <c r="Y96" i="14"/>
  <c r="Z96" i="14"/>
  <c r="AA96" i="14"/>
  <c r="AB96" i="14"/>
  <c r="AC96" i="14"/>
  <c r="AD96" i="14"/>
  <c r="AE96" i="14"/>
  <c r="AF96" i="14"/>
  <c r="AH96" i="14"/>
  <c r="AG96" i="14"/>
  <c r="AM96" i="14"/>
  <c r="AN96" i="14"/>
  <c r="AO96" i="14"/>
  <c r="AP96" i="14"/>
  <c r="AT96" i="14"/>
  <c r="AU96" i="14"/>
  <c r="AV96" i="14"/>
  <c r="AW96" i="14"/>
  <c r="AZ96" i="14"/>
  <c r="AX96" i="14"/>
  <c r="AY96" i="14"/>
  <c r="BA96" i="14"/>
  <c r="BB96" i="14"/>
  <c r="AQ96" i="14"/>
  <c r="AR96" i="14"/>
  <c r="AS96" i="14"/>
  <c r="BL96" i="14"/>
  <c r="BK96" i="14"/>
  <c r="BJ96" i="14"/>
  <c r="B100" i="14"/>
  <c r="C100" i="14"/>
  <c r="D100" i="14"/>
  <c r="E100" i="14"/>
  <c r="F100" i="14"/>
  <c r="G100" i="14"/>
  <c r="H100" i="14"/>
  <c r="I100" i="14"/>
  <c r="J100" i="14"/>
  <c r="K100" i="14"/>
  <c r="L100" i="14"/>
  <c r="M100" i="14"/>
  <c r="N100" i="14"/>
  <c r="Q100" i="14"/>
  <c r="R100" i="14"/>
  <c r="S100" i="14"/>
  <c r="T100" i="14"/>
  <c r="U100" i="14"/>
  <c r="V100" i="14"/>
  <c r="W100" i="14"/>
  <c r="X100" i="14"/>
  <c r="Y100" i="14"/>
  <c r="Z100" i="14"/>
  <c r="AA100" i="14"/>
  <c r="AB100" i="14"/>
  <c r="AC100" i="14"/>
  <c r="AD100" i="14"/>
  <c r="AE100" i="14"/>
  <c r="AF100" i="14"/>
  <c r="AH100" i="14"/>
  <c r="AG100" i="14"/>
  <c r="AM100" i="14"/>
  <c r="AN100" i="14"/>
  <c r="AO100" i="14"/>
  <c r="AP100" i="14"/>
  <c r="AT100" i="14"/>
  <c r="AU100" i="14"/>
  <c r="AV100" i="14"/>
  <c r="AW100" i="14"/>
  <c r="AZ100" i="14"/>
  <c r="AX100" i="14"/>
  <c r="AY100" i="14"/>
  <c r="BA100" i="14"/>
  <c r="BB100" i="14"/>
  <c r="AQ100" i="14"/>
  <c r="AR100" i="14"/>
  <c r="AS100" i="14"/>
  <c r="BL100" i="14"/>
  <c r="BK100" i="14"/>
  <c r="BJ100" i="14"/>
  <c r="B114" i="14"/>
  <c r="C114" i="14"/>
  <c r="D114" i="14"/>
  <c r="E114" i="14"/>
  <c r="F114" i="14"/>
  <c r="G114" i="14"/>
  <c r="H114" i="14"/>
  <c r="I114" i="14"/>
  <c r="J114" i="14"/>
  <c r="K114" i="14"/>
  <c r="L114" i="14"/>
  <c r="M114" i="14"/>
  <c r="N114" i="14"/>
  <c r="Q114" i="14"/>
  <c r="R114" i="14"/>
  <c r="S114" i="14"/>
  <c r="T114" i="14"/>
  <c r="U114" i="14"/>
  <c r="V114" i="14"/>
  <c r="W114" i="14"/>
  <c r="X114" i="14"/>
  <c r="Y114" i="14"/>
  <c r="Z114" i="14"/>
  <c r="AA114" i="14"/>
  <c r="AB114" i="14"/>
  <c r="AC114" i="14"/>
  <c r="AD114" i="14"/>
  <c r="AE114" i="14"/>
  <c r="AF114" i="14"/>
  <c r="AH114" i="14"/>
  <c r="AG114" i="14"/>
  <c r="AM114" i="14"/>
  <c r="AN114" i="14"/>
  <c r="AO114" i="14"/>
  <c r="AP114" i="14"/>
  <c r="AT114" i="14"/>
  <c r="AU114" i="14"/>
  <c r="AV114" i="14"/>
  <c r="AW114" i="14"/>
  <c r="AZ114" i="14"/>
  <c r="AX114" i="14"/>
  <c r="AY114" i="14"/>
  <c r="BA114" i="14"/>
  <c r="BB114" i="14"/>
  <c r="AQ114" i="14"/>
  <c r="AR114" i="14"/>
  <c r="AS114" i="14"/>
  <c r="BL114" i="14"/>
  <c r="BK114" i="14"/>
  <c r="BJ114" i="14"/>
  <c r="B119" i="14"/>
  <c r="C119" i="14"/>
  <c r="D119" i="14"/>
  <c r="E119" i="14"/>
  <c r="F119" i="14"/>
  <c r="G119" i="14"/>
  <c r="H119" i="14"/>
  <c r="I119" i="14"/>
  <c r="J119" i="14"/>
  <c r="K119" i="14"/>
  <c r="L119" i="14"/>
  <c r="M119" i="14"/>
  <c r="N119" i="14"/>
  <c r="Q119" i="14"/>
  <c r="R119" i="14"/>
  <c r="S119" i="14"/>
  <c r="T119" i="14"/>
  <c r="U119" i="14"/>
  <c r="V119" i="14"/>
  <c r="W119" i="14"/>
  <c r="X119" i="14"/>
  <c r="Y119" i="14"/>
  <c r="Z119" i="14"/>
  <c r="AA119" i="14"/>
  <c r="AB119" i="14"/>
  <c r="AC119" i="14"/>
  <c r="AD119" i="14"/>
  <c r="AE119" i="14"/>
  <c r="AF119" i="14"/>
  <c r="AH119" i="14"/>
  <c r="AG119" i="14"/>
  <c r="AM119" i="14"/>
  <c r="AN119" i="14"/>
  <c r="AO119" i="14"/>
  <c r="AP119" i="14"/>
  <c r="AT119" i="14"/>
  <c r="AU119" i="14"/>
  <c r="AV119" i="14"/>
  <c r="AW119" i="14"/>
  <c r="AZ119" i="14"/>
  <c r="AX119" i="14"/>
  <c r="AY119" i="14"/>
  <c r="BA119" i="14"/>
  <c r="BB119" i="14"/>
  <c r="AQ119" i="14"/>
  <c r="AR119" i="14"/>
  <c r="AS119" i="14"/>
  <c r="BL119" i="14"/>
  <c r="BK119" i="14"/>
  <c r="BJ119" i="14"/>
  <c r="B139" i="14"/>
  <c r="C139" i="14"/>
  <c r="D139" i="14"/>
  <c r="E139" i="14"/>
  <c r="F139" i="14"/>
  <c r="G139" i="14"/>
  <c r="H139" i="14"/>
  <c r="I139" i="14"/>
  <c r="J139" i="14"/>
  <c r="K139" i="14"/>
  <c r="L139" i="14"/>
  <c r="M139" i="14"/>
  <c r="N139" i="14"/>
  <c r="Q139" i="14"/>
  <c r="R139" i="14"/>
  <c r="S139" i="14"/>
  <c r="T139" i="14"/>
  <c r="U139" i="14"/>
  <c r="V139" i="14"/>
  <c r="W139" i="14"/>
  <c r="X139" i="14"/>
  <c r="Y139" i="14"/>
  <c r="Z139" i="14"/>
  <c r="AA139" i="14"/>
  <c r="AB139" i="14"/>
  <c r="AC139" i="14"/>
  <c r="AD139" i="14"/>
  <c r="AE139" i="14"/>
  <c r="AF139" i="14"/>
  <c r="AH139" i="14"/>
  <c r="AG139" i="14"/>
  <c r="AM139" i="14"/>
  <c r="AN139" i="14"/>
  <c r="AO139" i="14"/>
  <c r="AP139" i="14"/>
  <c r="AT139" i="14"/>
  <c r="AU139" i="14"/>
  <c r="AV139" i="14"/>
  <c r="AW139" i="14"/>
  <c r="AZ139" i="14"/>
  <c r="AX139" i="14"/>
  <c r="AY139" i="14"/>
  <c r="BA139" i="14"/>
  <c r="BB139" i="14"/>
  <c r="AQ139" i="14"/>
  <c r="AR139" i="14"/>
  <c r="AS139" i="14"/>
  <c r="BL139" i="14"/>
  <c r="BK139" i="14"/>
  <c r="BJ139" i="14"/>
  <c r="B80" i="14"/>
  <c r="C80" i="14"/>
  <c r="D80" i="14"/>
  <c r="E80" i="14"/>
  <c r="F80" i="14"/>
  <c r="G80" i="14"/>
  <c r="H80" i="14"/>
  <c r="I80" i="14"/>
  <c r="J80" i="14"/>
  <c r="K80" i="14"/>
  <c r="L80" i="14"/>
  <c r="M80" i="14"/>
  <c r="N80" i="14"/>
  <c r="Q80" i="14"/>
  <c r="R80" i="14"/>
  <c r="S80" i="14"/>
  <c r="T80" i="14"/>
  <c r="U80" i="14"/>
  <c r="V80" i="14"/>
  <c r="W80" i="14"/>
  <c r="X80" i="14"/>
  <c r="Y80" i="14"/>
  <c r="Z80" i="14"/>
  <c r="AA80" i="14"/>
  <c r="AB80" i="14"/>
  <c r="AC80" i="14"/>
  <c r="AD80" i="14"/>
  <c r="AE80" i="14"/>
  <c r="AF80" i="14"/>
  <c r="AH80" i="14"/>
  <c r="AG80" i="14"/>
  <c r="AM80" i="14"/>
  <c r="AN80" i="14"/>
  <c r="AO80" i="14"/>
  <c r="AP80" i="14"/>
  <c r="AT80" i="14"/>
  <c r="AU80" i="14"/>
  <c r="AV80" i="14"/>
  <c r="AW80" i="14"/>
  <c r="AZ80" i="14"/>
  <c r="AX80" i="14"/>
  <c r="AY80" i="14"/>
  <c r="BA80" i="14"/>
  <c r="BB80" i="14"/>
  <c r="AQ80" i="14"/>
  <c r="AR80" i="14"/>
  <c r="AS80" i="14"/>
  <c r="BL80" i="14"/>
  <c r="BK80" i="14"/>
  <c r="BJ80" i="14"/>
  <c r="B81" i="14"/>
  <c r="C81" i="14"/>
  <c r="D81" i="14"/>
  <c r="E81" i="14"/>
  <c r="F81" i="14"/>
  <c r="G81" i="14"/>
  <c r="H81" i="14"/>
  <c r="I81" i="14"/>
  <c r="J81" i="14"/>
  <c r="K81" i="14"/>
  <c r="L81" i="14"/>
  <c r="M81" i="14"/>
  <c r="N81" i="14"/>
  <c r="Q81" i="14"/>
  <c r="R81" i="14"/>
  <c r="S81" i="14"/>
  <c r="T81" i="14"/>
  <c r="U81" i="14"/>
  <c r="V81" i="14"/>
  <c r="W81" i="14"/>
  <c r="X81" i="14"/>
  <c r="Y81" i="14"/>
  <c r="Z81" i="14"/>
  <c r="AA81" i="14"/>
  <c r="AB81" i="14"/>
  <c r="AC81" i="14"/>
  <c r="AD81" i="14"/>
  <c r="AE81" i="14"/>
  <c r="AF81" i="14"/>
  <c r="AH81" i="14"/>
  <c r="AG81" i="14"/>
  <c r="AM81" i="14"/>
  <c r="AN81" i="14"/>
  <c r="AO81" i="14"/>
  <c r="AP81" i="14"/>
  <c r="AT81" i="14"/>
  <c r="AU81" i="14"/>
  <c r="AV81" i="14"/>
  <c r="AW81" i="14"/>
  <c r="AZ81" i="14"/>
  <c r="AX81" i="14"/>
  <c r="AY81" i="14"/>
  <c r="BA81" i="14"/>
  <c r="BB81" i="14"/>
  <c r="AQ81" i="14"/>
  <c r="AR81" i="14"/>
  <c r="AS81" i="14"/>
  <c r="BL81" i="14"/>
  <c r="BK81" i="14"/>
  <c r="BJ81" i="14"/>
  <c r="B82" i="14"/>
  <c r="C82" i="14"/>
  <c r="D82" i="14"/>
  <c r="E82" i="14"/>
  <c r="F82" i="14"/>
  <c r="G82" i="14"/>
  <c r="H82" i="14"/>
  <c r="I82" i="14"/>
  <c r="J82" i="14"/>
  <c r="K82" i="14"/>
  <c r="L82" i="14"/>
  <c r="M82" i="14"/>
  <c r="N82" i="14"/>
  <c r="Q82" i="14"/>
  <c r="R82" i="14"/>
  <c r="S82" i="14"/>
  <c r="T82" i="14"/>
  <c r="U82" i="14"/>
  <c r="V82" i="14"/>
  <c r="W82" i="14"/>
  <c r="X82" i="14"/>
  <c r="Y82" i="14"/>
  <c r="Z82" i="14"/>
  <c r="AA82" i="14"/>
  <c r="AB82" i="14"/>
  <c r="AC82" i="14"/>
  <c r="AD82" i="14"/>
  <c r="AE82" i="14"/>
  <c r="AF82" i="14"/>
  <c r="AH82" i="14"/>
  <c r="AG82" i="14"/>
  <c r="AM82" i="14"/>
  <c r="AN82" i="14"/>
  <c r="AO82" i="14"/>
  <c r="AP82" i="14"/>
  <c r="AT82" i="14"/>
  <c r="AU82" i="14"/>
  <c r="AV82" i="14"/>
  <c r="AW82" i="14"/>
  <c r="AZ82" i="14"/>
  <c r="AX82" i="14"/>
  <c r="AY82" i="14"/>
  <c r="BA82" i="14"/>
  <c r="BB82" i="14"/>
  <c r="AQ82" i="14"/>
  <c r="AR82" i="14"/>
  <c r="AS82" i="14"/>
  <c r="BL82" i="14"/>
  <c r="BK82" i="14"/>
  <c r="BJ82" i="14"/>
  <c r="B83" i="14"/>
  <c r="C83" i="14"/>
  <c r="D83" i="14"/>
  <c r="E83" i="14"/>
  <c r="F83" i="14"/>
  <c r="G83" i="14"/>
  <c r="H83" i="14"/>
  <c r="I83" i="14"/>
  <c r="J83" i="14"/>
  <c r="K83" i="14"/>
  <c r="L83" i="14"/>
  <c r="M83" i="14"/>
  <c r="N83" i="14"/>
  <c r="Q83" i="14"/>
  <c r="R83" i="14"/>
  <c r="S83" i="14"/>
  <c r="T83" i="14"/>
  <c r="U83" i="14"/>
  <c r="V83" i="14"/>
  <c r="W83" i="14"/>
  <c r="X83" i="14"/>
  <c r="Y83" i="14"/>
  <c r="Z83" i="14"/>
  <c r="AA83" i="14"/>
  <c r="AB83" i="14"/>
  <c r="AC83" i="14"/>
  <c r="AD83" i="14"/>
  <c r="AE83" i="14"/>
  <c r="AF83" i="14"/>
  <c r="AH83" i="14"/>
  <c r="AG83" i="14"/>
  <c r="AM83" i="14"/>
  <c r="AN83" i="14"/>
  <c r="AO83" i="14"/>
  <c r="AP83" i="14"/>
  <c r="AT83" i="14"/>
  <c r="AU83" i="14"/>
  <c r="AV83" i="14"/>
  <c r="AW83" i="14"/>
  <c r="AZ83" i="14"/>
  <c r="AX83" i="14"/>
  <c r="AY83" i="14"/>
  <c r="BA83" i="14"/>
  <c r="BB83" i="14"/>
  <c r="AQ83" i="14"/>
  <c r="AR83" i="14"/>
  <c r="AS83" i="14"/>
  <c r="BL83" i="14"/>
  <c r="BK83" i="14"/>
  <c r="BJ83" i="14"/>
  <c r="B84" i="14"/>
  <c r="C84" i="14"/>
  <c r="D84" i="14"/>
  <c r="E84" i="14"/>
  <c r="F84" i="14"/>
  <c r="G84" i="14"/>
  <c r="H84" i="14"/>
  <c r="I84" i="14"/>
  <c r="J84" i="14"/>
  <c r="K84" i="14"/>
  <c r="L84" i="14"/>
  <c r="M84" i="14"/>
  <c r="N84" i="14"/>
  <c r="Q84" i="14"/>
  <c r="R84" i="14"/>
  <c r="S84" i="14"/>
  <c r="T84" i="14"/>
  <c r="U84" i="14"/>
  <c r="V84" i="14"/>
  <c r="W84" i="14"/>
  <c r="X84" i="14"/>
  <c r="Y84" i="14"/>
  <c r="Z84" i="14"/>
  <c r="AA84" i="14"/>
  <c r="AB84" i="14"/>
  <c r="AC84" i="14"/>
  <c r="AD84" i="14"/>
  <c r="AE84" i="14"/>
  <c r="AF84" i="14"/>
  <c r="AH84" i="14"/>
  <c r="AG84" i="14"/>
  <c r="AM84" i="14"/>
  <c r="AN84" i="14"/>
  <c r="AO84" i="14"/>
  <c r="AP84" i="14"/>
  <c r="AT84" i="14"/>
  <c r="AU84" i="14"/>
  <c r="AV84" i="14"/>
  <c r="AW84" i="14"/>
  <c r="AZ84" i="14"/>
  <c r="AX84" i="14"/>
  <c r="AY84" i="14"/>
  <c r="BA84" i="14"/>
  <c r="BB84" i="14"/>
  <c r="AQ84" i="14"/>
  <c r="AR84" i="14"/>
  <c r="AS84" i="14"/>
  <c r="BL84" i="14"/>
  <c r="BK84" i="14"/>
  <c r="BJ84" i="14"/>
  <c r="B85" i="14"/>
  <c r="C85" i="14"/>
  <c r="D85" i="14"/>
  <c r="E85" i="14"/>
  <c r="F85" i="14"/>
  <c r="G85" i="14"/>
  <c r="H85" i="14"/>
  <c r="I85" i="14"/>
  <c r="J85" i="14"/>
  <c r="K85" i="14"/>
  <c r="L85" i="14"/>
  <c r="M85" i="14"/>
  <c r="N85" i="14"/>
  <c r="Q85" i="14"/>
  <c r="R85" i="14"/>
  <c r="S85" i="14"/>
  <c r="T85" i="14"/>
  <c r="U85" i="14"/>
  <c r="V85" i="14"/>
  <c r="W85" i="14"/>
  <c r="X85" i="14"/>
  <c r="Y85" i="14"/>
  <c r="Z85" i="14"/>
  <c r="AA85" i="14"/>
  <c r="AB85" i="14"/>
  <c r="AC85" i="14"/>
  <c r="AD85" i="14"/>
  <c r="AE85" i="14"/>
  <c r="AF85" i="14"/>
  <c r="AH85" i="14"/>
  <c r="AG85" i="14"/>
  <c r="AM85" i="14"/>
  <c r="AN85" i="14"/>
  <c r="AO85" i="14"/>
  <c r="AP85" i="14"/>
  <c r="AT85" i="14"/>
  <c r="AU85" i="14"/>
  <c r="AV85" i="14"/>
  <c r="AW85" i="14"/>
  <c r="AZ85" i="14"/>
  <c r="AX85" i="14"/>
  <c r="AY85" i="14"/>
  <c r="BA85" i="14"/>
  <c r="BB85" i="14"/>
  <c r="AQ85" i="14"/>
  <c r="AR85" i="14"/>
  <c r="AS85" i="14"/>
  <c r="BL85" i="14"/>
  <c r="BK85" i="14"/>
  <c r="BJ85" i="14"/>
  <c r="B98" i="14"/>
  <c r="B101" i="14"/>
  <c r="C101" i="14"/>
  <c r="D101" i="14"/>
  <c r="E101" i="14"/>
  <c r="F101" i="14"/>
  <c r="G101" i="14"/>
  <c r="H101" i="14"/>
  <c r="I101" i="14"/>
  <c r="J101" i="14"/>
  <c r="K101" i="14"/>
  <c r="L101" i="14"/>
  <c r="M101" i="14"/>
  <c r="N101" i="14"/>
  <c r="Q101" i="14"/>
  <c r="R101" i="14"/>
  <c r="S101" i="14"/>
  <c r="T101" i="14"/>
  <c r="U101" i="14"/>
  <c r="V101" i="14"/>
  <c r="W101" i="14"/>
  <c r="X101" i="14"/>
  <c r="Y101" i="14"/>
  <c r="Z101" i="14"/>
  <c r="AA101" i="14"/>
  <c r="AB101" i="14"/>
  <c r="AC101" i="14"/>
  <c r="AD101" i="14"/>
  <c r="AE101" i="14"/>
  <c r="AF101" i="14"/>
  <c r="AH101" i="14"/>
  <c r="AG101" i="14"/>
  <c r="AM101" i="14"/>
  <c r="AN101" i="14"/>
  <c r="AO101" i="14"/>
  <c r="AP101" i="14"/>
  <c r="AT101" i="14"/>
  <c r="AU101" i="14"/>
  <c r="AV101" i="14"/>
  <c r="AW101" i="14"/>
  <c r="AZ101" i="14"/>
  <c r="AX101" i="14"/>
  <c r="AY101" i="14"/>
  <c r="BA101" i="14"/>
  <c r="BB101" i="14"/>
  <c r="AQ101" i="14"/>
  <c r="AR101" i="14"/>
  <c r="AS101" i="14"/>
  <c r="BL101" i="14"/>
  <c r="BK101" i="14"/>
  <c r="BJ101" i="14"/>
  <c r="B102" i="14"/>
  <c r="C102" i="14"/>
  <c r="D102" i="14"/>
  <c r="E102" i="14"/>
  <c r="F102" i="14"/>
  <c r="G102" i="14"/>
  <c r="H102" i="14"/>
  <c r="I102" i="14"/>
  <c r="J102" i="14"/>
  <c r="K102" i="14"/>
  <c r="L102" i="14"/>
  <c r="M102" i="14"/>
  <c r="N102" i="14"/>
  <c r="Q102" i="14"/>
  <c r="R102" i="14"/>
  <c r="S102" i="14"/>
  <c r="T102" i="14"/>
  <c r="U102" i="14"/>
  <c r="V102" i="14"/>
  <c r="W102" i="14"/>
  <c r="X102" i="14"/>
  <c r="Y102" i="14"/>
  <c r="Z102" i="14"/>
  <c r="AA102" i="14"/>
  <c r="AB102" i="14"/>
  <c r="AC102" i="14"/>
  <c r="AD102" i="14"/>
  <c r="AE102" i="14"/>
  <c r="AF102" i="14"/>
  <c r="AH102" i="14"/>
  <c r="AG102" i="14"/>
  <c r="AM102" i="14"/>
  <c r="AN102" i="14"/>
  <c r="AO102" i="14"/>
  <c r="AP102" i="14"/>
  <c r="AT102" i="14"/>
  <c r="AU102" i="14"/>
  <c r="AV102" i="14"/>
  <c r="AW102" i="14"/>
  <c r="AZ102" i="14"/>
  <c r="AX102" i="14"/>
  <c r="AY102" i="14"/>
  <c r="BA102" i="14"/>
  <c r="BB102" i="14"/>
  <c r="AQ102" i="14"/>
  <c r="AR102" i="14"/>
  <c r="AS102" i="14"/>
  <c r="BL102" i="14"/>
  <c r="BK102" i="14"/>
  <c r="BJ102" i="14"/>
  <c r="B103" i="14"/>
  <c r="C103" i="14"/>
  <c r="D103" i="14"/>
  <c r="E103" i="14"/>
  <c r="F103" i="14"/>
  <c r="G103" i="14"/>
  <c r="H103" i="14"/>
  <c r="I103" i="14"/>
  <c r="J103" i="14"/>
  <c r="K103" i="14"/>
  <c r="L103" i="14"/>
  <c r="M103" i="14"/>
  <c r="N103" i="14"/>
  <c r="Q103" i="14"/>
  <c r="R103" i="14"/>
  <c r="S103" i="14"/>
  <c r="T103" i="14"/>
  <c r="U103" i="14"/>
  <c r="V103" i="14"/>
  <c r="W103" i="14"/>
  <c r="X103" i="14"/>
  <c r="Y103" i="14"/>
  <c r="Z103" i="14"/>
  <c r="AA103" i="14"/>
  <c r="AB103" i="14"/>
  <c r="AC103" i="14"/>
  <c r="AD103" i="14"/>
  <c r="AE103" i="14"/>
  <c r="AF103" i="14"/>
  <c r="AH103" i="14"/>
  <c r="AG103" i="14"/>
  <c r="AM103" i="14"/>
  <c r="AN103" i="14"/>
  <c r="AO103" i="14"/>
  <c r="AP103" i="14"/>
  <c r="AT103" i="14"/>
  <c r="AU103" i="14"/>
  <c r="AV103" i="14"/>
  <c r="AW103" i="14"/>
  <c r="AZ103" i="14"/>
  <c r="AX103" i="14"/>
  <c r="AY103" i="14"/>
  <c r="BA103" i="14"/>
  <c r="BB103" i="14"/>
  <c r="AQ103" i="14"/>
  <c r="AR103" i="14"/>
  <c r="AS103" i="14"/>
  <c r="BL103" i="14"/>
  <c r="BK103" i="14"/>
  <c r="BJ103" i="14"/>
  <c r="B104" i="14"/>
  <c r="C104" i="14"/>
  <c r="D104" i="14"/>
  <c r="E104" i="14"/>
  <c r="F104" i="14"/>
  <c r="G104" i="14"/>
  <c r="H104" i="14"/>
  <c r="I104" i="14"/>
  <c r="J104" i="14"/>
  <c r="K104" i="14"/>
  <c r="L104" i="14"/>
  <c r="M104" i="14"/>
  <c r="N104" i="14"/>
  <c r="Q104" i="14"/>
  <c r="R104" i="14"/>
  <c r="S104" i="14"/>
  <c r="T104" i="14"/>
  <c r="U104" i="14"/>
  <c r="V104" i="14"/>
  <c r="W104" i="14"/>
  <c r="X104" i="14"/>
  <c r="Y104" i="14"/>
  <c r="Z104" i="14"/>
  <c r="AA104" i="14"/>
  <c r="AB104" i="14"/>
  <c r="AC104" i="14"/>
  <c r="AD104" i="14"/>
  <c r="AE104" i="14"/>
  <c r="AF104" i="14"/>
  <c r="AH104" i="14"/>
  <c r="AG104" i="14"/>
  <c r="AM104" i="14"/>
  <c r="AN104" i="14"/>
  <c r="AO104" i="14"/>
  <c r="AP104" i="14"/>
  <c r="AT104" i="14"/>
  <c r="AU104" i="14"/>
  <c r="AV104" i="14"/>
  <c r="AW104" i="14"/>
  <c r="AZ104" i="14"/>
  <c r="AX104" i="14"/>
  <c r="AY104" i="14"/>
  <c r="BA104" i="14"/>
  <c r="BB104" i="14"/>
  <c r="AQ104" i="14"/>
  <c r="AR104" i="14"/>
  <c r="AS104" i="14"/>
  <c r="BL104" i="14"/>
  <c r="BK104" i="14"/>
  <c r="BJ104" i="14"/>
  <c r="B105" i="14"/>
  <c r="C105" i="14"/>
  <c r="D105" i="14"/>
  <c r="E105" i="14"/>
  <c r="F105" i="14"/>
  <c r="G105" i="14"/>
  <c r="H105" i="14"/>
  <c r="I105" i="14"/>
  <c r="J105" i="14"/>
  <c r="K105" i="14"/>
  <c r="L105" i="14"/>
  <c r="M105" i="14"/>
  <c r="N105" i="14"/>
  <c r="Q105" i="14"/>
  <c r="R105" i="14"/>
  <c r="S105" i="14"/>
  <c r="T105" i="14"/>
  <c r="U105" i="14"/>
  <c r="V105" i="14"/>
  <c r="W105" i="14"/>
  <c r="X105" i="14"/>
  <c r="Y105" i="14"/>
  <c r="Z105" i="14"/>
  <c r="AA105" i="14"/>
  <c r="AB105" i="14"/>
  <c r="AC105" i="14"/>
  <c r="AD105" i="14"/>
  <c r="AE105" i="14"/>
  <c r="AF105" i="14"/>
  <c r="AH105" i="14"/>
  <c r="AG105" i="14"/>
  <c r="AM105" i="14"/>
  <c r="AN105" i="14"/>
  <c r="AO105" i="14"/>
  <c r="AP105" i="14"/>
  <c r="AT105" i="14"/>
  <c r="AU105" i="14"/>
  <c r="AV105" i="14"/>
  <c r="AW105" i="14"/>
  <c r="AZ105" i="14"/>
  <c r="AX105" i="14"/>
  <c r="AY105" i="14"/>
  <c r="BA105" i="14"/>
  <c r="BB105" i="14"/>
  <c r="AQ105" i="14"/>
  <c r="AR105" i="14"/>
  <c r="AS105" i="14"/>
  <c r="BL105" i="14"/>
  <c r="BK105" i="14"/>
  <c r="BJ105" i="14"/>
  <c r="B106" i="14"/>
  <c r="C106" i="14"/>
  <c r="D106" i="14"/>
  <c r="E106" i="14"/>
  <c r="F106" i="14"/>
  <c r="G106" i="14"/>
  <c r="H106" i="14"/>
  <c r="I106" i="14"/>
  <c r="J106" i="14"/>
  <c r="K106" i="14"/>
  <c r="L106" i="14"/>
  <c r="M106" i="14"/>
  <c r="N106" i="14"/>
  <c r="Q106" i="14"/>
  <c r="R106" i="14"/>
  <c r="S106" i="14"/>
  <c r="T106" i="14"/>
  <c r="U106" i="14"/>
  <c r="V106" i="14"/>
  <c r="W106" i="14"/>
  <c r="X106" i="14"/>
  <c r="Y106" i="14"/>
  <c r="Z106" i="14"/>
  <c r="AA106" i="14"/>
  <c r="AB106" i="14"/>
  <c r="AC106" i="14"/>
  <c r="AD106" i="14"/>
  <c r="AE106" i="14"/>
  <c r="AF106" i="14"/>
  <c r="AH106" i="14"/>
  <c r="AG106" i="14"/>
  <c r="AM106" i="14"/>
  <c r="AN106" i="14"/>
  <c r="AO106" i="14"/>
  <c r="AP106" i="14"/>
  <c r="AT106" i="14"/>
  <c r="AU106" i="14"/>
  <c r="AV106" i="14"/>
  <c r="AW106" i="14"/>
  <c r="AZ106" i="14"/>
  <c r="AX106" i="14"/>
  <c r="AY106" i="14"/>
  <c r="BA106" i="14"/>
  <c r="BB106" i="14"/>
  <c r="AQ106" i="14"/>
  <c r="AR106" i="14"/>
  <c r="AS106" i="14"/>
  <c r="BL106" i="14"/>
  <c r="BK106" i="14"/>
  <c r="BJ106" i="14"/>
  <c r="B107" i="14"/>
  <c r="C107" i="14"/>
  <c r="D107" i="14"/>
  <c r="E107" i="14"/>
  <c r="F107" i="14"/>
  <c r="G107" i="14"/>
  <c r="H107" i="14"/>
  <c r="I107" i="14"/>
  <c r="J107" i="14"/>
  <c r="K107" i="14"/>
  <c r="L107" i="14"/>
  <c r="M107" i="14"/>
  <c r="N107" i="14"/>
  <c r="Q107" i="14"/>
  <c r="R107" i="14"/>
  <c r="S107" i="14"/>
  <c r="T107" i="14"/>
  <c r="U107" i="14"/>
  <c r="V107" i="14"/>
  <c r="W107" i="14"/>
  <c r="X107" i="14"/>
  <c r="Y107" i="14"/>
  <c r="Z107" i="14"/>
  <c r="AA107" i="14"/>
  <c r="AB107" i="14"/>
  <c r="AC107" i="14"/>
  <c r="AD107" i="14"/>
  <c r="AE107" i="14"/>
  <c r="AF107" i="14"/>
  <c r="AH107" i="14"/>
  <c r="AG107" i="14"/>
  <c r="AM107" i="14"/>
  <c r="AN107" i="14"/>
  <c r="AO107" i="14"/>
  <c r="AP107" i="14"/>
  <c r="AT107" i="14"/>
  <c r="AU107" i="14"/>
  <c r="AV107" i="14"/>
  <c r="AW107" i="14"/>
  <c r="AZ107" i="14"/>
  <c r="AX107" i="14"/>
  <c r="AY107" i="14"/>
  <c r="BA107" i="14"/>
  <c r="BB107" i="14"/>
  <c r="AQ107" i="14"/>
  <c r="AR107" i="14"/>
  <c r="AS107" i="14"/>
  <c r="BL107" i="14"/>
  <c r="BK107" i="14"/>
  <c r="BJ107" i="14"/>
  <c r="B108" i="14"/>
  <c r="C108" i="14"/>
  <c r="D108" i="14"/>
  <c r="E108" i="14"/>
  <c r="F108" i="14"/>
  <c r="G108" i="14"/>
  <c r="H108" i="14"/>
  <c r="I108" i="14"/>
  <c r="J108" i="14"/>
  <c r="K108" i="14"/>
  <c r="L108" i="14"/>
  <c r="M108" i="14"/>
  <c r="N108" i="14"/>
  <c r="Q108" i="14"/>
  <c r="R108" i="14"/>
  <c r="S108" i="14"/>
  <c r="T108" i="14"/>
  <c r="U108" i="14"/>
  <c r="V108" i="14"/>
  <c r="W108" i="14"/>
  <c r="X108" i="14"/>
  <c r="Y108" i="14"/>
  <c r="Z108" i="14"/>
  <c r="AA108" i="14"/>
  <c r="AB108" i="14"/>
  <c r="AC108" i="14"/>
  <c r="AD108" i="14"/>
  <c r="AE108" i="14"/>
  <c r="AF108" i="14"/>
  <c r="AH108" i="14"/>
  <c r="AG108" i="14"/>
  <c r="AM108" i="14"/>
  <c r="AN108" i="14"/>
  <c r="AO108" i="14"/>
  <c r="AP108" i="14"/>
  <c r="AT108" i="14"/>
  <c r="AU108" i="14"/>
  <c r="AV108" i="14"/>
  <c r="AW108" i="14"/>
  <c r="AZ108" i="14"/>
  <c r="AX108" i="14"/>
  <c r="AY108" i="14"/>
  <c r="BA108" i="14"/>
  <c r="BB108" i="14"/>
  <c r="AQ108" i="14"/>
  <c r="AR108" i="14"/>
  <c r="AS108" i="14"/>
  <c r="BL108" i="14"/>
  <c r="BK108" i="14"/>
  <c r="BJ108" i="14"/>
  <c r="B109" i="14"/>
  <c r="C109" i="14"/>
  <c r="D109" i="14"/>
  <c r="E109" i="14"/>
  <c r="F109" i="14"/>
  <c r="G109" i="14"/>
  <c r="H109" i="14"/>
  <c r="I109" i="14"/>
  <c r="J109" i="14"/>
  <c r="K109" i="14"/>
  <c r="L109" i="14"/>
  <c r="M109" i="14"/>
  <c r="N109" i="14"/>
  <c r="Q109" i="14"/>
  <c r="R109" i="14"/>
  <c r="S109" i="14"/>
  <c r="T109" i="14"/>
  <c r="U109" i="14"/>
  <c r="V109" i="14"/>
  <c r="W109" i="14"/>
  <c r="X109" i="14"/>
  <c r="Y109" i="14"/>
  <c r="Z109" i="14"/>
  <c r="AA109" i="14"/>
  <c r="AB109" i="14"/>
  <c r="AC109" i="14"/>
  <c r="AD109" i="14"/>
  <c r="AE109" i="14"/>
  <c r="AF109" i="14"/>
  <c r="AH109" i="14"/>
  <c r="AG109" i="14"/>
  <c r="AM109" i="14"/>
  <c r="AN109" i="14"/>
  <c r="AO109" i="14"/>
  <c r="AP109" i="14"/>
  <c r="AT109" i="14"/>
  <c r="AU109" i="14"/>
  <c r="AV109" i="14"/>
  <c r="AW109" i="14"/>
  <c r="AZ109" i="14"/>
  <c r="AX109" i="14"/>
  <c r="AY109" i="14"/>
  <c r="BA109" i="14"/>
  <c r="BB109" i="14"/>
  <c r="AQ109" i="14"/>
  <c r="AR109" i="14"/>
  <c r="AS109" i="14"/>
  <c r="BL109" i="14"/>
  <c r="BK109" i="14"/>
  <c r="BJ109" i="14"/>
  <c r="B110" i="14"/>
  <c r="C110" i="14"/>
  <c r="D110" i="14"/>
  <c r="E110" i="14"/>
  <c r="F110" i="14"/>
  <c r="G110" i="14"/>
  <c r="H110" i="14"/>
  <c r="I110" i="14"/>
  <c r="J110" i="14"/>
  <c r="K110" i="14"/>
  <c r="L110" i="14"/>
  <c r="M110" i="14"/>
  <c r="N110" i="14"/>
  <c r="Q110" i="14"/>
  <c r="R110" i="14"/>
  <c r="S110" i="14"/>
  <c r="T110" i="14"/>
  <c r="U110" i="14"/>
  <c r="V110" i="14"/>
  <c r="W110" i="14"/>
  <c r="X110" i="14"/>
  <c r="Y110" i="14"/>
  <c r="Z110" i="14"/>
  <c r="AA110" i="14"/>
  <c r="AB110" i="14"/>
  <c r="AC110" i="14"/>
  <c r="AD110" i="14"/>
  <c r="AE110" i="14"/>
  <c r="AF110" i="14"/>
  <c r="AH110" i="14"/>
  <c r="AG110" i="14"/>
  <c r="AM110" i="14"/>
  <c r="AN110" i="14"/>
  <c r="AO110" i="14"/>
  <c r="AP110" i="14"/>
  <c r="AT110" i="14"/>
  <c r="AU110" i="14"/>
  <c r="AV110" i="14"/>
  <c r="AW110" i="14"/>
  <c r="AZ110" i="14"/>
  <c r="AX110" i="14"/>
  <c r="AY110" i="14"/>
  <c r="BA110" i="14"/>
  <c r="BB110" i="14"/>
  <c r="AQ110" i="14"/>
  <c r="AR110" i="14"/>
  <c r="AS110" i="14"/>
  <c r="BL110" i="14"/>
  <c r="BK110" i="14"/>
  <c r="BJ110" i="14"/>
  <c r="B111" i="14"/>
  <c r="C111" i="14"/>
  <c r="D111" i="14"/>
  <c r="E111" i="14"/>
  <c r="F111" i="14"/>
  <c r="G111" i="14"/>
  <c r="H111" i="14"/>
  <c r="I111" i="14"/>
  <c r="J111" i="14"/>
  <c r="K111" i="14"/>
  <c r="L111" i="14"/>
  <c r="M111" i="14"/>
  <c r="N111" i="14"/>
  <c r="Q111" i="14"/>
  <c r="R111" i="14"/>
  <c r="S111" i="14"/>
  <c r="T111" i="14"/>
  <c r="U111" i="14"/>
  <c r="V111" i="14"/>
  <c r="W111" i="14"/>
  <c r="X111" i="14"/>
  <c r="Y111" i="14"/>
  <c r="Z111" i="14"/>
  <c r="AA111" i="14"/>
  <c r="AB111" i="14"/>
  <c r="AC111" i="14"/>
  <c r="AD111" i="14"/>
  <c r="AE111" i="14"/>
  <c r="AF111" i="14"/>
  <c r="AH111" i="14"/>
  <c r="AG111" i="14"/>
  <c r="AM111" i="14"/>
  <c r="AN111" i="14"/>
  <c r="AO111" i="14"/>
  <c r="AP111" i="14"/>
  <c r="AT111" i="14"/>
  <c r="AU111" i="14"/>
  <c r="AV111" i="14"/>
  <c r="AW111" i="14"/>
  <c r="AZ111" i="14"/>
  <c r="AX111" i="14"/>
  <c r="AY111" i="14"/>
  <c r="BA111" i="14"/>
  <c r="BB111" i="14"/>
  <c r="AQ111" i="14"/>
  <c r="AR111" i="14"/>
  <c r="AS111" i="14"/>
  <c r="BL111" i="14"/>
  <c r="BK111" i="14"/>
  <c r="BJ111" i="14"/>
  <c r="B112" i="14"/>
  <c r="C112" i="14"/>
  <c r="D112" i="14"/>
  <c r="E112" i="14"/>
  <c r="F112" i="14"/>
  <c r="G112" i="14"/>
  <c r="H112" i="14"/>
  <c r="I112" i="14"/>
  <c r="J112" i="14"/>
  <c r="K112" i="14"/>
  <c r="L112" i="14"/>
  <c r="M112" i="14"/>
  <c r="N112" i="14"/>
  <c r="Q112" i="14"/>
  <c r="R112" i="14"/>
  <c r="S112" i="14"/>
  <c r="T112" i="14"/>
  <c r="U112" i="14"/>
  <c r="V112" i="14"/>
  <c r="W112" i="14"/>
  <c r="X112" i="14"/>
  <c r="Y112" i="14"/>
  <c r="Z112" i="14"/>
  <c r="AA112" i="14"/>
  <c r="AB112" i="14"/>
  <c r="AC112" i="14"/>
  <c r="AD112" i="14"/>
  <c r="AE112" i="14"/>
  <c r="AF112" i="14"/>
  <c r="AH112" i="14"/>
  <c r="AG112" i="14"/>
  <c r="AM112" i="14"/>
  <c r="AN112" i="14"/>
  <c r="AO112" i="14"/>
  <c r="AP112" i="14"/>
  <c r="AT112" i="14"/>
  <c r="AU112" i="14"/>
  <c r="AV112" i="14"/>
  <c r="AW112" i="14"/>
  <c r="AZ112" i="14"/>
  <c r="AX112" i="14"/>
  <c r="AY112" i="14"/>
  <c r="BA112" i="14"/>
  <c r="BB112" i="14"/>
  <c r="AQ112" i="14"/>
  <c r="AR112" i="14"/>
  <c r="AS112" i="14"/>
  <c r="BL112" i="14"/>
  <c r="BK112" i="14"/>
  <c r="BJ112" i="14"/>
  <c r="B113" i="14"/>
  <c r="C113" i="14"/>
  <c r="D113" i="14"/>
  <c r="E113" i="14"/>
  <c r="F113" i="14"/>
  <c r="G113" i="14"/>
  <c r="H113" i="14"/>
  <c r="I113" i="14"/>
  <c r="J113" i="14"/>
  <c r="K113" i="14"/>
  <c r="L113" i="14"/>
  <c r="M113" i="14"/>
  <c r="N113" i="14"/>
  <c r="Q113" i="14"/>
  <c r="R113" i="14"/>
  <c r="S113" i="14"/>
  <c r="T113" i="14"/>
  <c r="U113" i="14"/>
  <c r="V113" i="14"/>
  <c r="W113" i="14"/>
  <c r="X113" i="14"/>
  <c r="Y113" i="14"/>
  <c r="Z113" i="14"/>
  <c r="AA113" i="14"/>
  <c r="AB113" i="14"/>
  <c r="AC113" i="14"/>
  <c r="AD113" i="14"/>
  <c r="AE113" i="14"/>
  <c r="AF113" i="14"/>
  <c r="AH113" i="14"/>
  <c r="AG113" i="14"/>
  <c r="AM113" i="14"/>
  <c r="AN113" i="14"/>
  <c r="AO113" i="14"/>
  <c r="AP113" i="14"/>
  <c r="AT113" i="14"/>
  <c r="AU113" i="14"/>
  <c r="AV113" i="14"/>
  <c r="AW113" i="14"/>
  <c r="AZ113" i="14"/>
  <c r="AX113" i="14"/>
  <c r="AY113" i="14"/>
  <c r="BA113" i="14"/>
  <c r="BB113" i="14"/>
  <c r="AQ113" i="14"/>
  <c r="AR113" i="14"/>
  <c r="AS113" i="14"/>
  <c r="BL113" i="14"/>
  <c r="BK113" i="14"/>
  <c r="BJ113" i="14"/>
  <c r="B115" i="14"/>
  <c r="C115" i="14"/>
  <c r="D115" i="14"/>
  <c r="E115" i="14"/>
  <c r="F115" i="14"/>
  <c r="G115" i="14"/>
  <c r="H115" i="14"/>
  <c r="I115" i="14"/>
  <c r="J115" i="14"/>
  <c r="K115" i="14"/>
  <c r="L115" i="14"/>
  <c r="M115" i="14"/>
  <c r="N115" i="14"/>
  <c r="Q115" i="14"/>
  <c r="R115" i="14"/>
  <c r="S115" i="14"/>
  <c r="T115" i="14"/>
  <c r="U115" i="14"/>
  <c r="V115" i="14"/>
  <c r="W115" i="14"/>
  <c r="X115" i="14"/>
  <c r="Y115" i="14"/>
  <c r="Z115" i="14"/>
  <c r="AA115" i="14"/>
  <c r="AB115" i="14"/>
  <c r="AC115" i="14"/>
  <c r="AD115" i="14"/>
  <c r="AE115" i="14"/>
  <c r="AF115" i="14"/>
  <c r="AH115" i="14"/>
  <c r="AG115" i="14"/>
  <c r="AM115" i="14"/>
  <c r="AN115" i="14"/>
  <c r="AO115" i="14"/>
  <c r="AP115" i="14"/>
  <c r="AT115" i="14"/>
  <c r="AU115" i="14"/>
  <c r="AV115" i="14"/>
  <c r="AW115" i="14"/>
  <c r="AZ115" i="14"/>
  <c r="AX115" i="14"/>
  <c r="AY115" i="14"/>
  <c r="BA115" i="14"/>
  <c r="BB115" i="14"/>
  <c r="AQ115" i="14"/>
  <c r="AR115" i="14"/>
  <c r="AS115" i="14"/>
  <c r="BL115" i="14"/>
  <c r="BK115" i="14"/>
  <c r="BJ115" i="14"/>
  <c r="B116" i="14"/>
  <c r="C116" i="14"/>
  <c r="D116" i="14"/>
  <c r="E116" i="14"/>
  <c r="F116" i="14"/>
  <c r="G116" i="14"/>
  <c r="H116" i="14"/>
  <c r="I116" i="14"/>
  <c r="J116" i="14"/>
  <c r="K116" i="14"/>
  <c r="L116" i="14"/>
  <c r="M116" i="14"/>
  <c r="N116" i="14"/>
  <c r="Q116" i="14"/>
  <c r="R116" i="14"/>
  <c r="S116" i="14"/>
  <c r="T116" i="14"/>
  <c r="U116" i="14"/>
  <c r="V116" i="14"/>
  <c r="W116" i="14"/>
  <c r="X116" i="14"/>
  <c r="Y116" i="14"/>
  <c r="Z116" i="14"/>
  <c r="AA116" i="14"/>
  <c r="AB116" i="14"/>
  <c r="AC116" i="14"/>
  <c r="AD116" i="14"/>
  <c r="AE116" i="14"/>
  <c r="AF116" i="14"/>
  <c r="AH116" i="14"/>
  <c r="AG116" i="14"/>
  <c r="AM116" i="14"/>
  <c r="AN116" i="14"/>
  <c r="AO116" i="14"/>
  <c r="AP116" i="14"/>
  <c r="AT116" i="14"/>
  <c r="AU116" i="14"/>
  <c r="AV116" i="14"/>
  <c r="AW116" i="14"/>
  <c r="AZ116" i="14"/>
  <c r="AX116" i="14"/>
  <c r="AY116" i="14"/>
  <c r="BA116" i="14"/>
  <c r="BB116" i="14"/>
  <c r="AQ116" i="14"/>
  <c r="AR116" i="14"/>
  <c r="AS116" i="14"/>
  <c r="BL116" i="14"/>
  <c r="BK116" i="14"/>
  <c r="BJ116" i="14"/>
  <c r="B117" i="14"/>
  <c r="C117" i="14"/>
  <c r="D117" i="14"/>
  <c r="E117" i="14"/>
  <c r="F117" i="14"/>
  <c r="G117" i="14"/>
  <c r="H117" i="14"/>
  <c r="I117" i="14"/>
  <c r="J117" i="14"/>
  <c r="K117" i="14"/>
  <c r="L117" i="14"/>
  <c r="M117" i="14"/>
  <c r="N117" i="14"/>
  <c r="Q117" i="14"/>
  <c r="R117" i="14"/>
  <c r="S117" i="14"/>
  <c r="T117" i="14"/>
  <c r="U117" i="14"/>
  <c r="V117" i="14"/>
  <c r="W117" i="14"/>
  <c r="X117" i="14"/>
  <c r="Y117" i="14"/>
  <c r="Z117" i="14"/>
  <c r="AA117" i="14"/>
  <c r="AB117" i="14"/>
  <c r="AC117" i="14"/>
  <c r="AD117" i="14"/>
  <c r="AE117" i="14"/>
  <c r="AF117" i="14"/>
  <c r="AH117" i="14"/>
  <c r="AG117" i="14"/>
  <c r="AM117" i="14"/>
  <c r="AN117" i="14"/>
  <c r="AO117" i="14"/>
  <c r="AP117" i="14"/>
  <c r="AT117" i="14"/>
  <c r="AU117" i="14"/>
  <c r="AV117" i="14"/>
  <c r="AW117" i="14"/>
  <c r="AZ117" i="14"/>
  <c r="AX117" i="14"/>
  <c r="AY117" i="14"/>
  <c r="BA117" i="14"/>
  <c r="BB117" i="14"/>
  <c r="AQ117" i="14"/>
  <c r="AR117" i="14"/>
  <c r="AS117" i="14"/>
  <c r="BL117" i="14"/>
  <c r="BK117" i="14"/>
  <c r="BJ117" i="14"/>
  <c r="B118" i="14"/>
  <c r="C118" i="14"/>
  <c r="D118" i="14"/>
  <c r="E118" i="14"/>
  <c r="F118" i="14"/>
  <c r="G118" i="14"/>
  <c r="H118" i="14"/>
  <c r="I118" i="14"/>
  <c r="J118" i="14"/>
  <c r="K118" i="14"/>
  <c r="L118" i="14"/>
  <c r="M118" i="14"/>
  <c r="N118" i="14"/>
  <c r="Q118" i="14"/>
  <c r="R118" i="14"/>
  <c r="S118" i="14"/>
  <c r="T118" i="14"/>
  <c r="U118" i="14"/>
  <c r="V118" i="14"/>
  <c r="W118" i="14"/>
  <c r="X118" i="14"/>
  <c r="Y118" i="14"/>
  <c r="Z118" i="14"/>
  <c r="AA118" i="14"/>
  <c r="AB118" i="14"/>
  <c r="AC118" i="14"/>
  <c r="AD118" i="14"/>
  <c r="AE118" i="14"/>
  <c r="AF118" i="14"/>
  <c r="AH118" i="14"/>
  <c r="AG118" i="14"/>
  <c r="AM118" i="14"/>
  <c r="AN118" i="14"/>
  <c r="AO118" i="14"/>
  <c r="AP118" i="14"/>
  <c r="AT118" i="14"/>
  <c r="AU118" i="14"/>
  <c r="AV118" i="14"/>
  <c r="AW118" i="14"/>
  <c r="AZ118" i="14"/>
  <c r="AX118" i="14"/>
  <c r="AY118" i="14"/>
  <c r="BA118" i="14"/>
  <c r="BB118" i="14"/>
  <c r="AQ118" i="14"/>
  <c r="AR118" i="14"/>
  <c r="AS118" i="14"/>
  <c r="BL118" i="14"/>
  <c r="BK118" i="14"/>
  <c r="BJ118" i="14"/>
  <c r="B120" i="14"/>
  <c r="C120" i="14"/>
  <c r="D120" i="14"/>
  <c r="E120" i="14"/>
  <c r="F120" i="14"/>
  <c r="G120" i="14"/>
  <c r="H120" i="14"/>
  <c r="I120" i="14"/>
  <c r="J120" i="14"/>
  <c r="K120" i="14"/>
  <c r="L120" i="14"/>
  <c r="M120" i="14"/>
  <c r="N120" i="14"/>
  <c r="Q120" i="14"/>
  <c r="R120" i="14"/>
  <c r="S120" i="14"/>
  <c r="T120" i="14"/>
  <c r="U120" i="14"/>
  <c r="V120" i="14"/>
  <c r="W120" i="14"/>
  <c r="X120" i="14"/>
  <c r="Y120" i="14"/>
  <c r="Z120" i="14"/>
  <c r="AA120" i="14"/>
  <c r="AB120" i="14"/>
  <c r="AC120" i="14"/>
  <c r="AD120" i="14"/>
  <c r="AE120" i="14"/>
  <c r="AF120" i="14"/>
  <c r="AH120" i="14"/>
  <c r="AG120" i="14"/>
  <c r="AM120" i="14"/>
  <c r="AN120" i="14"/>
  <c r="AO120" i="14"/>
  <c r="AP120" i="14"/>
  <c r="AT120" i="14"/>
  <c r="AU120" i="14"/>
  <c r="AV120" i="14"/>
  <c r="AW120" i="14"/>
  <c r="AZ120" i="14"/>
  <c r="AX120" i="14"/>
  <c r="AY120" i="14"/>
  <c r="BA120" i="14"/>
  <c r="BB120" i="14"/>
  <c r="AQ120" i="14"/>
  <c r="AR120" i="14"/>
  <c r="AS120" i="14"/>
  <c r="BL120" i="14"/>
  <c r="BK120" i="14"/>
  <c r="BJ120" i="14"/>
  <c r="B121" i="14"/>
  <c r="C121" i="14"/>
  <c r="D121" i="14"/>
  <c r="E121" i="14"/>
  <c r="F121" i="14"/>
  <c r="G121" i="14"/>
  <c r="H121" i="14"/>
  <c r="I121" i="14"/>
  <c r="J121" i="14"/>
  <c r="K121" i="14"/>
  <c r="L121" i="14"/>
  <c r="M121" i="14"/>
  <c r="N121" i="14"/>
  <c r="Q121" i="14"/>
  <c r="R121" i="14"/>
  <c r="S121" i="14"/>
  <c r="T121" i="14"/>
  <c r="U121" i="14"/>
  <c r="V121" i="14"/>
  <c r="W121" i="14"/>
  <c r="X121" i="14"/>
  <c r="Y121" i="14"/>
  <c r="Z121" i="14"/>
  <c r="AA121" i="14"/>
  <c r="AB121" i="14"/>
  <c r="AC121" i="14"/>
  <c r="AD121" i="14"/>
  <c r="AE121" i="14"/>
  <c r="AF121" i="14"/>
  <c r="AH121" i="14"/>
  <c r="AG121" i="14"/>
  <c r="AM121" i="14"/>
  <c r="AN121" i="14"/>
  <c r="AO121" i="14"/>
  <c r="AP121" i="14"/>
  <c r="AT121" i="14"/>
  <c r="AU121" i="14"/>
  <c r="AV121" i="14"/>
  <c r="AW121" i="14"/>
  <c r="AZ121" i="14"/>
  <c r="AX121" i="14"/>
  <c r="AY121" i="14"/>
  <c r="BA121" i="14"/>
  <c r="BB121" i="14"/>
  <c r="AQ121" i="14"/>
  <c r="AR121" i="14"/>
  <c r="AS121" i="14"/>
  <c r="BL121" i="14"/>
  <c r="BK121" i="14"/>
  <c r="BJ121" i="14"/>
  <c r="B122" i="14"/>
  <c r="C122" i="14"/>
  <c r="D122" i="14"/>
  <c r="E122" i="14"/>
  <c r="F122" i="14"/>
  <c r="G122" i="14"/>
  <c r="H122" i="14"/>
  <c r="I122" i="14"/>
  <c r="J122" i="14"/>
  <c r="K122" i="14"/>
  <c r="L122" i="14"/>
  <c r="M122" i="14"/>
  <c r="N122" i="14"/>
  <c r="Q122" i="14"/>
  <c r="R122" i="14"/>
  <c r="S122" i="14"/>
  <c r="T122" i="14"/>
  <c r="U122" i="14"/>
  <c r="V122" i="14"/>
  <c r="W122" i="14"/>
  <c r="X122" i="14"/>
  <c r="Y122" i="14"/>
  <c r="Z122" i="14"/>
  <c r="AA122" i="14"/>
  <c r="AB122" i="14"/>
  <c r="AC122" i="14"/>
  <c r="AD122" i="14"/>
  <c r="AE122" i="14"/>
  <c r="AF122" i="14"/>
  <c r="AH122" i="14"/>
  <c r="AG122" i="14"/>
  <c r="AM122" i="14"/>
  <c r="AN122" i="14"/>
  <c r="AO122" i="14"/>
  <c r="AP122" i="14"/>
  <c r="AT122" i="14"/>
  <c r="AU122" i="14"/>
  <c r="AV122" i="14"/>
  <c r="AW122" i="14"/>
  <c r="AZ122" i="14"/>
  <c r="AX122" i="14"/>
  <c r="AY122" i="14"/>
  <c r="BA122" i="14"/>
  <c r="BB122" i="14"/>
  <c r="AQ122" i="14"/>
  <c r="AR122" i="14"/>
  <c r="AS122" i="14"/>
  <c r="BL122" i="14"/>
  <c r="BK122" i="14"/>
  <c r="BJ122" i="14"/>
  <c r="B123" i="14"/>
  <c r="C123" i="14"/>
  <c r="D123" i="14"/>
  <c r="E123" i="14"/>
  <c r="F123" i="14"/>
  <c r="G123" i="14"/>
  <c r="H123" i="14"/>
  <c r="I123" i="14"/>
  <c r="J123" i="14"/>
  <c r="K123" i="14"/>
  <c r="L123" i="14"/>
  <c r="M123" i="14"/>
  <c r="N123" i="14"/>
  <c r="Q123" i="14"/>
  <c r="R123" i="14"/>
  <c r="S123" i="14"/>
  <c r="T123" i="14"/>
  <c r="U123" i="14"/>
  <c r="V123" i="14"/>
  <c r="W123" i="14"/>
  <c r="X123" i="14"/>
  <c r="Y123" i="14"/>
  <c r="Z123" i="14"/>
  <c r="AA123" i="14"/>
  <c r="AB123" i="14"/>
  <c r="AC123" i="14"/>
  <c r="AD123" i="14"/>
  <c r="AE123" i="14"/>
  <c r="AF123" i="14"/>
  <c r="AH123" i="14"/>
  <c r="AG123" i="14"/>
  <c r="AM123" i="14"/>
  <c r="AN123" i="14"/>
  <c r="AO123" i="14"/>
  <c r="AP123" i="14"/>
  <c r="AT123" i="14"/>
  <c r="AU123" i="14"/>
  <c r="AV123" i="14"/>
  <c r="AW123" i="14"/>
  <c r="AZ123" i="14"/>
  <c r="AX123" i="14"/>
  <c r="AY123" i="14"/>
  <c r="BA123" i="14"/>
  <c r="BB123" i="14"/>
  <c r="AQ123" i="14"/>
  <c r="AR123" i="14"/>
  <c r="AS123" i="14"/>
  <c r="BL123" i="14"/>
  <c r="BK123" i="14"/>
  <c r="BJ123" i="14"/>
  <c r="B124" i="14"/>
  <c r="C124" i="14"/>
  <c r="D124" i="14"/>
  <c r="E124" i="14"/>
  <c r="F124" i="14"/>
  <c r="G124" i="14"/>
  <c r="H124" i="14"/>
  <c r="I124" i="14"/>
  <c r="J124" i="14"/>
  <c r="K124" i="14"/>
  <c r="L124" i="14"/>
  <c r="M124" i="14"/>
  <c r="N124" i="14"/>
  <c r="Q124" i="14"/>
  <c r="R124" i="14"/>
  <c r="S124" i="14"/>
  <c r="T124" i="14"/>
  <c r="U124" i="14"/>
  <c r="V124" i="14"/>
  <c r="W124" i="14"/>
  <c r="X124" i="14"/>
  <c r="Y124" i="14"/>
  <c r="Z124" i="14"/>
  <c r="AA124" i="14"/>
  <c r="AB124" i="14"/>
  <c r="AC124" i="14"/>
  <c r="AD124" i="14"/>
  <c r="AE124" i="14"/>
  <c r="AF124" i="14"/>
  <c r="AH124" i="14"/>
  <c r="AG124" i="14"/>
  <c r="AM124" i="14"/>
  <c r="AN124" i="14"/>
  <c r="AO124" i="14"/>
  <c r="AP124" i="14"/>
  <c r="AT124" i="14"/>
  <c r="AU124" i="14"/>
  <c r="AV124" i="14"/>
  <c r="AW124" i="14"/>
  <c r="AZ124" i="14"/>
  <c r="AX124" i="14"/>
  <c r="AY124" i="14"/>
  <c r="BA124" i="14"/>
  <c r="BB124" i="14"/>
  <c r="AQ124" i="14"/>
  <c r="AR124" i="14"/>
  <c r="AS124" i="14"/>
  <c r="BL124" i="14"/>
  <c r="BK124" i="14"/>
  <c r="BJ124" i="14"/>
  <c r="B125" i="14"/>
  <c r="C125" i="14"/>
  <c r="D125" i="14"/>
  <c r="E125" i="14"/>
  <c r="F125" i="14"/>
  <c r="G125" i="14"/>
  <c r="H125" i="14"/>
  <c r="I125" i="14"/>
  <c r="J125" i="14"/>
  <c r="K125" i="14"/>
  <c r="L125" i="14"/>
  <c r="M125" i="14"/>
  <c r="N125" i="14"/>
  <c r="Q125" i="14"/>
  <c r="R125" i="14"/>
  <c r="S125" i="14"/>
  <c r="T125" i="14"/>
  <c r="U125" i="14"/>
  <c r="V125" i="14"/>
  <c r="W125" i="14"/>
  <c r="X125" i="14"/>
  <c r="Y125" i="14"/>
  <c r="Z125" i="14"/>
  <c r="AA125" i="14"/>
  <c r="AB125" i="14"/>
  <c r="AC125" i="14"/>
  <c r="AD125" i="14"/>
  <c r="AE125" i="14"/>
  <c r="AF125" i="14"/>
  <c r="AH125" i="14"/>
  <c r="AG125" i="14"/>
  <c r="AM125" i="14"/>
  <c r="AN125" i="14"/>
  <c r="AO125" i="14"/>
  <c r="AP125" i="14"/>
  <c r="AT125" i="14"/>
  <c r="AU125" i="14"/>
  <c r="AV125" i="14"/>
  <c r="AW125" i="14"/>
  <c r="AZ125" i="14"/>
  <c r="AX125" i="14"/>
  <c r="AY125" i="14"/>
  <c r="BA125" i="14"/>
  <c r="BB125" i="14"/>
  <c r="AQ125" i="14"/>
  <c r="AR125" i="14"/>
  <c r="AS125" i="14"/>
  <c r="BL125" i="14"/>
  <c r="BK125" i="14"/>
  <c r="BJ125" i="14"/>
  <c r="B126" i="14"/>
  <c r="C126" i="14"/>
  <c r="D126" i="14"/>
  <c r="E126" i="14"/>
  <c r="F126" i="14"/>
  <c r="G126" i="14"/>
  <c r="H126" i="14"/>
  <c r="I126" i="14"/>
  <c r="J126" i="14"/>
  <c r="K126" i="14"/>
  <c r="L126" i="14"/>
  <c r="M126" i="14"/>
  <c r="N126" i="14"/>
  <c r="Q126" i="14"/>
  <c r="R126" i="14"/>
  <c r="S126" i="14"/>
  <c r="T126" i="14"/>
  <c r="U126" i="14"/>
  <c r="V126" i="14"/>
  <c r="W126" i="14"/>
  <c r="X126" i="14"/>
  <c r="Y126" i="14"/>
  <c r="Z126" i="14"/>
  <c r="AA126" i="14"/>
  <c r="AB126" i="14"/>
  <c r="AC126" i="14"/>
  <c r="AD126" i="14"/>
  <c r="AE126" i="14"/>
  <c r="AF126" i="14"/>
  <c r="AH126" i="14"/>
  <c r="AG126" i="14"/>
  <c r="AM126" i="14"/>
  <c r="AN126" i="14"/>
  <c r="AO126" i="14"/>
  <c r="AP126" i="14"/>
  <c r="AT126" i="14"/>
  <c r="AU126" i="14"/>
  <c r="AV126" i="14"/>
  <c r="AW126" i="14"/>
  <c r="AZ126" i="14"/>
  <c r="AX126" i="14"/>
  <c r="AY126" i="14"/>
  <c r="BA126" i="14"/>
  <c r="BB126" i="14"/>
  <c r="AQ126" i="14"/>
  <c r="AR126" i="14"/>
  <c r="AS126" i="14"/>
  <c r="BL126" i="14"/>
  <c r="BK126" i="14"/>
  <c r="BJ126" i="14"/>
  <c r="B127" i="14"/>
  <c r="C127" i="14"/>
  <c r="D127" i="14"/>
  <c r="E127" i="14"/>
  <c r="F127" i="14"/>
  <c r="G127" i="14"/>
  <c r="H127" i="14"/>
  <c r="I127" i="14"/>
  <c r="J127" i="14"/>
  <c r="K127" i="14"/>
  <c r="L127" i="14"/>
  <c r="M127" i="14"/>
  <c r="N127" i="14"/>
  <c r="Q127" i="14"/>
  <c r="R127" i="14"/>
  <c r="S127" i="14"/>
  <c r="T127" i="14"/>
  <c r="U127" i="14"/>
  <c r="V127" i="14"/>
  <c r="W127" i="14"/>
  <c r="X127" i="14"/>
  <c r="Y127" i="14"/>
  <c r="Z127" i="14"/>
  <c r="AA127" i="14"/>
  <c r="AB127" i="14"/>
  <c r="AC127" i="14"/>
  <c r="AD127" i="14"/>
  <c r="AE127" i="14"/>
  <c r="AF127" i="14"/>
  <c r="AH127" i="14"/>
  <c r="AG127" i="14"/>
  <c r="AM127" i="14"/>
  <c r="AN127" i="14"/>
  <c r="AO127" i="14"/>
  <c r="AP127" i="14"/>
  <c r="AT127" i="14"/>
  <c r="AU127" i="14"/>
  <c r="AV127" i="14"/>
  <c r="AW127" i="14"/>
  <c r="AZ127" i="14"/>
  <c r="AX127" i="14"/>
  <c r="AY127" i="14"/>
  <c r="BA127" i="14"/>
  <c r="BB127" i="14"/>
  <c r="AQ127" i="14"/>
  <c r="AR127" i="14"/>
  <c r="AS127" i="14"/>
  <c r="BL127" i="14"/>
  <c r="BK127" i="14"/>
  <c r="BJ127" i="14"/>
  <c r="B128" i="14"/>
  <c r="C128" i="14"/>
  <c r="D128" i="14"/>
  <c r="E128" i="14"/>
  <c r="F128" i="14"/>
  <c r="G128" i="14"/>
  <c r="H128" i="14"/>
  <c r="I128" i="14"/>
  <c r="J128" i="14"/>
  <c r="K128" i="14"/>
  <c r="L128" i="14"/>
  <c r="M128" i="14"/>
  <c r="N128" i="14"/>
  <c r="Q128" i="14"/>
  <c r="R128" i="14"/>
  <c r="S128" i="14"/>
  <c r="T128" i="14"/>
  <c r="U128" i="14"/>
  <c r="V128" i="14"/>
  <c r="W128" i="14"/>
  <c r="X128" i="14"/>
  <c r="Y128" i="14"/>
  <c r="Z128" i="14"/>
  <c r="AA128" i="14"/>
  <c r="AB128" i="14"/>
  <c r="AC128" i="14"/>
  <c r="AD128" i="14"/>
  <c r="AE128" i="14"/>
  <c r="AF128" i="14"/>
  <c r="AH128" i="14"/>
  <c r="AG128" i="14"/>
  <c r="AM128" i="14"/>
  <c r="AN128" i="14"/>
  <c r="AO128" i="14"/>
  <c r="AP128" i="14"/>
  <c r="AT128" i="14"/>
  <c r="AU128" i="14"/>
  <c r="AV128" i="14"/>
  <c r="AW128" i="14"/>
  <c r="AZ128" i="14"/>
  <c r="AX128" i="14"/>
  <c r="AY128" i="14"/>
  <c r="BA128" i="14"/>
  <c r="BB128" i="14"/>
  <c r="AQ128" i="14"/>
  <c r="AR128" i="14"/>
  <c r="AS128" i="14"/>
  <c r="BL128" i="14"/>
  <c r="BK128" i="14"/>
  <c r="BJ128" i="14"/>
  <c r="B129" i="14"/>
  <c r="C129" i="14"/>
  <c r="D129" i="14"/>
  <c r="E129" i="14"/>
  <c r="F129" i="14"/>
  <c r="G129" i="14"/>
  <c r="H129" i="14"/>
  <c r="I129" i="14"/>
  <c r="J129" i="14"/>
  <c r="K129" i="14"/>
  <c r="L129" i="14"/>
  <c r="M129" i="14"/>
  <c r="N129" i="14"/>
  <c r="Q129" i="14"/>
  <c r="R129" i="14"/>
  <c r="S129" i="14"/>
  <c r="T129" i="14"/>
  <c r="U129" i="14"/>
  <c r="V129" i="14"/>
  <c r="W129" i="14"/>
  <c r="X129" i="14"/>
  <c r="Y129" i="14"/>
  <c r="Z129" i="14"/>
  <c r="AA129" i="14"/>
  <c r="AB129" i="14"/>
  <c r="AC129" i="14"/>
  <c r="AD129" i="14"/>
  <c r="AE129" i="14"/>
  <c r="AF129" i="14"/>
  <c r="AH129" i="14"/>
  <c r="AG129" i="14"/>
  <c r="AM129" i="14"/>
  <c r="AN129" i="14"/>
  <c r="AO129" i="14"/>
  <c r="AP129" i="14"/>
  <c r="AT129" i="14"/>
  <c r="AU129" i="14"/>
  <c r="AV129" i="14"/>
  <c r="AW129" i="14"/>
  <c r="AZ129" i="14"/>
  <c r="AX129" i="14"/>
  <c r="AY129" i="14"/>
  <c r="BA129" i="14"/>
  <c r="BB129" i="14"/>
  <c r="AQ129" i="14"/>
  <c r="AR129" i="14"/>
  <c r="AS129" i="14"/>
  <c r="BL129" i="14"/>
  <c r="BK129" i="14"/>
  <c r="BJ129" i="14"/>
  <c r="B130" i="14"/>
  <c r="C130" i="14"/>
  <c r="D130" i="14"/>
  <c r="E130" i="14"/>
  <c r="F130" i="14"/>
  <c r="G130" i="14"/>
  <c r="H130" i="14"/>
  <c r="I130" i="14"/>
  <c r="J130" i="14"/>
  <c r="K130" i="14"/>
  <c r="L130" i="14"/>
  <c r="M130" i="14"/>
  <c r="N130" i="14"/>
  <c r="Q130" i="14"/>
  <c r="R130" i="14"/>
  <c r="S130" i="14"/>
  <c r="T130" i="14"/>
  <c r="U130" i="14"/>
  <c r="V130" i="14"/>
  <c r="W130" i="14"/>
  <c r="X130" i="14"/>
  <c r="Y130" i="14"/>
  <c r="Z130" i="14"/>
  <c r="AA130" i="14"/>
  <c r="AB130" i="14"/>
  <c r="AC130" i="14"/>
  <c r="AD130" i="14"/>
  <c r="AE130" i="14"/>
  <c r="AF130" i="14"/>
  <c r="AH130" i="14"/>
  <c r="AG130" i="14"/>
  <c r="AM130" i="14"/>
  <c r="AN130" i="14"/>
  <c r="AO130" i="14"/>
  <c r="AP130" i="14"/>
  <c r="AT130" i="14"/>
  <c r="AU130" i="14"/>
  <c r="AV130" i="14"/>
  <c r="AW130" i="14"/>
  <c r="AZ130" i="14"/>
  <c r="AX130" i="14"/>
  <c r="AY130" i="14"/>
  <c r="BA130" i="14"/>
  <c r="BB130" i="14"/>
  <c r="AQ130" i="14"/>
  <c r="AR130" i="14"/>
  <c r="AS130" i="14"/>
  <c r="BL130" i="14"/>
  <c r="BK130" i="14"/>
  <c r="BJ130" i="14"/>
  <c r="B131" i="14"/>
  <c r="C131" i="14"/>
  <c r="D131" i="14"/>
  <c r="E131" i="14"/>
  <c r="F131" i="14"/>
  <c r="G131" i="14"/>
  <c r="H131" i="14"/>
  <c r="I131" i="14"/>
  <c r="J131" i="14"/>
  <c r="K131" i="14"/>
  <c r="L131" i="14"/>
  <c r="M131" i="14"/>
  <c r="N131" i="14"/>
  <c r="Q131" i="14"/>
  <c r="R131" i="14"/>
  <c r="S131" i="14"/>
  <c r="T131" i="14"/>
  <c r="U131" i="14"/>
  <c r="V131" i="14"/>
  <c r="W131" i="14"/>
  <c r="X131" i="14"/>
  <c r="Y131" i="14"/>
  <c r="Z131" i="14"/>
  <c r="AA131" i="14"/>
  <c r="AB131" i="14"/>
  <c r="AC131" i="14"/>
  <c r="AD131" i="14"/>
  <c r="AE131" i="14"/>
  <c r="AF131" i="14"/>
  <c r="AH131" i="14"/>
  <c r="AG131" i="14"/>
  <c r="AM131" i="14"/>
  <c r="AN131" i="14"/>
  <c r="AO131" i="14"/>
  <c r="AP131" i="14"/>
  <c r="AT131" i="14"/>
  <c r="AU131" i="14"/>
  <c r="AV131" i="14"/>
  <c r="AW131" i="14"/>
  <c r="AZ131" i="14"/>
  <c r="AX131" i="14"/>
  <c r="AY131" i="14"/>
  <c r="BA131" i="14"/>
  <c r="BB131" i="14"/>
  <c r="AQ131" i="14"/>
  <c r="AR131" i="14"/>
  <c r="AS131" i="14"/>
  <c r="BL131" i="14"/>
  <c r="BK131" i="14"/>
  <c r="BJ131" i="14"/>
  <c r="B132" i="14"/>
  <c r="C132" i="14"/>
  <c r="D132" i="14"/>
  <c r="E132" i="14"/>
  <c r="F132" i="14"/>
  <c r="G132" i="14"/>
  <c r="H132" i="14"/>
  <c r="I132" i="14"/>
  <c r="J132" i="14"/>
  <c r="K132" i="14"/>
  <c r="L132" i="14"/>
  <c r="M132" i="14"/>
  <c r="N132" i="14"/>
  <c r="Q132" i="14"/>
  <c r="R132" i="14"/>
  <c r="S132" i="14"/>
  <c r="T132" i="14"/>
  <c r="U132" i="14"/>
  <c r="V132" i="14"/>
  <c r="W132" i="14"/>
  <c r="X132" i="14"/>
  <c r="Y132" i="14"/>
  <c r="Z132" i="14"/>
  <c r="AA132" i="14"/>
  <c r="AB132" i="14"/>
  <c r="AC132" i="14"/>
  <c r="AD132" i="14"/>
  <c r="AE132" i="14"/>
  <c r="AF132" i="14"/>
  <c r="AH132" i="14"/>
  <c r="AG132" i="14"/>
  <c r="AM132" i="14"/>
  <c r="AN132" i="14"/>
  <c r="AO132" i="14"/>
  <c r="AP132" i="14"/>
  <c r="AT132" i="14"/>
  <c r="AU132" i="14"/>
  <c r="AV132" i="14"/>
  <c r="AW132" i="14"/>
  <c r="AZ132" i="14"/>
  <c r="AX132" i="14"/>
  <c r="AY132" i="14"/>
  <c r="BA132" i="14"/>
  <c r="BB132" i="14"/>
  <c r="AQ132" i="14"/>
  <c r="AR132" i="14"/>
  <c r="AS132" i="14"/>
  <c r="BL132" i="14"/>
  <c r="BK132" i="14"/>
  <c r="BJ132" i="14"/>
  <c r="B133" i="14"/>
  <c r="C133" i="14"/>
  <c r="D133" i="14"/>
  <c r="E133" i="14"/>
  <c r="F133" i="14"/>
  <c r="G133" i="14"/>
  <c r="H133" i="14"/>
  <c r="I133" i="14"/>
  <c r="J133" i="14"/>
  <c r="K133" i="14"/>
  <c r="L133" i="14"/>
  <c r="M133" i="14"/>
  <c r="N133" i="14"/>
  <c r="Q133" i="14"/>
  <c r="R133" i="14"/>
  <c r="S133" i="14"/>
  <c r="T133" i="14"/>
  <c r="U133" i="14"/>
  <c r="V133" i="14"/>
  <c r="W133" i="14"/>
  <c r="X133" i="14"/>
  <c r="Y133" i="14"/>
  <c r="Z133" i="14"/>
  <c r="AA133" i="14"/>
  <c r="AB133" i="14"/>
  <c r="AC133" i="14"/>
  <c r="AD133" i="14"/>
  <c r="AE133" i="14"/>
  <c r="AF133" i="14"/>
  <c r="AH133" i="14"/>
  <c r="AG133" i="14"/>
  <c r="AM133" i="14"/>
  <c r="AN133" i="14"/>
  <c r="AO133" i="14"/>
  <c r="AP133" i="14"/>
  <c r="AT133" i="14"/>
  <c r="AU133" i="14"/>
  <c r="AV133" i="14"/>
  <c r="AW133" i="14"/>
  <c r="AZ133" i="14"/>
  <c r="AX133" i="14"/>
  <c r="AY133" i="14"/>
  <c r="BA133" i="14"/>
  <c r="BB133" i="14"/>
  <c r="AQ133" i="14"/>
  <c r="AR133" i="14"/>
  <c r="AS133" i="14"/>
  <c r="BL133" i="14"/>
  <c r="BK133" i="14"/>
  <c r="BJ133" i="14"/>
  <c r="B141" i="14"/>
  <c r="C141" i="14"/>
  <c r="D141" i="14"/>
  <c r="E141" i="14"/>
  <c r="F141" i="14"/>
  <c r="G141" i="14"/>
  <c r="H141" i="14"/>
  <c r="I141" i="14"/>
  <c r="J141" i="14"/>
  <c r="K141" i="14"/>
  <c r="L141" i="14"/>
  <c r="M141" i="14"/>
  <c r="N141" i="14"/>
  <c r="Q141" i="14"/>
  <c r="R141" i="14"/>
  <c r="S141" i="14"/>
  <c r="T141" i="14"/>
  <c r="U141" i="14"/>
  <c r="V141" i="14"/>
  <c r="W141" i="14"/>
  <c r="X141" i="14"/>
  <c r="Y141" i="14"/>
  <c r="Z141" i="14"/>
  <c r="AA141" i="14"/>
  <c r="AB141" i="14"/>
  <c r="AC141" i="14"/>
  <c r="AD141" i="14"/>
  <c r="AE141" i="14"/>
  <c r="AF141" i="14"/>
  <c r="AH141" i="14"/>
  <c r="AG141" i="14"/>
  <c r="AM141" i="14"/>
  <c r="AN141" i="14"/>
  <c r="AO141" i="14"/>
  <c r="AP141" i="14"/>
  <c r="AT141" i="14"/>
  <c r="AU141" i="14"/>
  <c r="AV141" i="14"/>
  <c r="AW141" i="14"/>
  <c r="AZ141" i="14"/>
  <c r="AX141" i="14"/>
  <c r="AY141" i="14"/>
  <c r="BA141" i="14"/>
  <c r="BB141" i="14"/>
  <c r="AQ141" i="14"/>
  <c r="AR141" i="14"/>
  <c r="AS141" i="14"/>
  <c r="BL141" i="14"/>
  <c r="BK141" i="14"/>
  <c r="BJ141" i="14"/>
  <c r="B142" i="14"/>
  <c r="C142" i="14"/>
  <c r="D142" i="14"/>
  <c r="E142" i="14"/>
  <c r="F142" i="14"/>
  <c r="G142" i="14"/>
  <c r="H142" i="14"/>
  <c r="I142" i="14"/>
  <c r="J142" i="14"/>
  <c r="K142" i="14"/>
  <c r="L142" i="14"/>
  <c r="M142" i="14"/>
  <c r="N142" i="14"/>
  <c r="Q142" i="14"/>
  <c r="R142" i="14"/>
  <c r="S142" i="14"/>
  <c r="T142" i="14"/>
  <c r="U142" i="14"/>
  <c r="V142" i="14"/>
  <c r="W142" i="14"/>
  <c r="X142" i="14"/>
  <c r="Y142" i="14"/>
  <c r="Z142" i="14"/>
  <c r="AA142" i="14"/>
  <c r="AB142" i="14"/>
  <c r="AC142" i="14"/>
  <c r="AD142" i="14"/>
  <c r="AE142" i="14"/>
  <c r="AF142" i="14"/>
  <c r="AH142" i="14"/>
  <c r="AG142" i="14"/>
  <c r="AM142" i="14"/>
  <c r="AN142" i="14"/>
  <c r="AO142" i="14"/>
  <c r="AP142" i="14"/>
  <c r="AT142" i="14"/>
  <c r="AU142" i="14"/>
  <c r="AV142" i="14"/>
  <c r="AW142" i="14"/>
  <c r="AZ142" i="14"/>
  <c r="AX142" i="14"/>
  <c r="AY142" i="14"/>
  <c r="BA142" i="14"/>
  <c r="BB142" i="14"/>
  <c r="AQ142" i="14"/>
  <c r="AR142" i="14"/>
  <c r="AS142" i="14"/>
  <c r="BL142" i="14"/>
  <c r="BK142" i="14"/>
  <c r="BJ142" i="14"/>
  <c r="B143" i="14"/>
  <c r="C143" i="14"/>
  <c r="D143" i="14"/>
  <c r="E143" i="14"/>
  <c r="F143" i="14"/>
  <c r="G143" i="14"/>
  <c r="H143" i="14"/>
  <c r="I143" i="14"/>
  <c r="J143" i="14"/>
  <c r="K143" i="14"/>
  <c r="L143" i="14"/>
  <c r="M143" i="14"/>
  <c r="N143" i="14"/>
  <c r="Q143" i="14"/>
  <c r="R143" i="14"/>
  <c r="S143" i="14"/>
  <c r="T143" i="14"/>
  <c r="U143" i="14"/>
  <c r="V143" i="14"/>
  <c r="W143" i="14"/>
  <c r="X143" i="14"/>
  <c r="Y143" i="14"/>
  <c r="Z143" i="14"/>
  <c r="AA143" i="14"/>
  <c r="AB143" i="14"/>
  <c r="AC143" i="14"/>
  <c r="AD143" i="14"/>
  <c r="AE143" i="14"/>
  <c r="AF143" i="14"/>
  <c r="AH143" i="14"/>
  <c r="AG143" i="14"/>
  <c r="AM143" i="14"/>
  <c r="AN143" i="14"/>
  <c r="AO143" i="14"/>
  <c r="AP143" i="14"/>
  <c r="AT143" i="14"/>
  <c r="AU143" i="14"/>
  <c r="AV143" i="14"/>
  <c r="AW143" i="14"/>
  <c r="AZ143" i="14"/>
  <c r="AX143" i="14"/>
  <c r="AY143" i="14"/>
  <c r="BA143" i="14"/>
  <c r="BB143" i="14"/>
  <c r="AQ143" i="14"/>
  <c r="AR143" i="14"/>
  <c r="AS143" i="14"/>
  <c r="BL143" i="14"/>
  <c r="BK143" i="14"/>
  <c r="BJ143" i="14"/>
  <c r="B144" i="14"/>
  <c r="C144" i="14"/>
  <c r="D144" i="14"/>
  <c r="E144" i="14"/>
  <c r="F144" i="14"/>
  <c r="G144" i="14"/>
  <c r="H144" i="14"/>
  <c r="I144" i="14"/>
  <c r="J144" i="14"/>
  <c r="K144" i="14"/>
  <c r="L144" i="14"/>
  <c r="M144" i="14"/>
  <c r="N144" i="14"/>
  <c r="Q144" i="14"/>
  <c r="R144" i="14"/>
  <c r="S144" i="14"/>
  <c r="T144" i="14"/>
  <c r="U144" i="14"/>
  <c r="V144" i="14"/>
  <c r="W144" i="14"/>
  <c r="X144" i="14"/>
  <c r="Y144" i="14"/>
  <c r="Z144" i="14"/>
  <c r="AA144" i="14"/>
  <c r="AB144" i="14"/>
  <c r="AC144" i="14"/>
  <c r="AD144" i="14"/>
  <c r="AE144" i="14"/>
  <c r="AF144" i="14"/>
  <c r="AH144" i="14"/>
  <c r="AG144" i="14"/>
  <c r="AM144" i="14"/>
  <c r="AN144" i="14"/>
  <c r="AO144" i="14"/>
  <c r="AP144" i="14"/>
  <c r="AT144" i="14"/>
  <c r="AU144" i="14"/>
  <c r="AV144" i="14"/>
  <c r="AW144" i="14"/>
  <c r="AZ144" i="14"/>
  <c r="AX144" i="14"/>
  <c r="AY144" i="14"/>
  <c r="BA144" i="14"/>
  <c r="BB144" i="14"/>
  <c r="AQ144" i="14"/>
  <c r="AR144" i="14"/>
  <c r="AS144" i="14"/>
  <c r="BL144" i="14"/>
  <c r="BK144" i="14"/>
  <c r="BJ144" i="14"/>
  <c r="BA16" i="14" l="1"/>
  <c r="AT6" i="14"/>
  <c r="AT7" i="14"/>
  <c r="AT8" i="14"/>
  <c r="BA6" i="14" l="1"/>
  <c r="BA63" i="14"/>
  <c r="BA55" i="14"/>
  <c r="BA47" i="14"/>
  <c r="BA39" i="14"/>
  <c r="BA31" i="14"/>
  <c r="BA23" i="14"/>
  <c r="BA15" i="14"/>
  <c r="BA62" i="14"/>
  <c r="BA54" i="14"/>
  <c r="BA46" i="14"/>
  <c r="BA38" i="14"/>
  <c r="BA30" i="14"/>
  <c r="BA22" i="14"/>
  <c r="BA14" i="14"/>
  <c r="BA61" i="14"/>
  <c r="BA53" i="14"/>
  <c r="BA45" i="14"/>
  <c r="BA37" i="14"/>
  <c r="BA29" i="14"/>
  <c r="BA21" i="14"/>
  <c r="BA13" i="14"/>
  <c r="BA60" i="14"/>
  <c r="BA52" i="14"/>
  <c r="BA44" i="14"/>
  <c r="BA36" i="14"/>
  <c r="BA28" i="14"/>
  <c r="BA20" i="14"/>
  <c r="BA12" i="14"/>
  <c r="BA59" i="14"/>
  <c r="BA51" i="14"/>
  <c r="BA43" i="14"/>
  <c r="BA35" i="14"/>
  <c r="BA27" i="14"/>
  <c r="BA19" i="14"/>
  <c r="BA11" i="14"/>
  <c r="BA9" i="14"/>
  <c r="BA58" i="14"/>
  <c r="BA50" i="14"/>
  <c r="BA42" i="14"/>
  <c r="BA34" i="14"/>
  <c r="BA26" i="14"/>
  <c r="BA18" i="14"/>
  <c r="BA10" i="14"/>
  <c r="BA8" i="14"/>
  <c r="BA65" i="14"/>
  <c r="BA57" i="14"/>
  <c r="BA49" i="14"/>
  <c r="BA41" i="14"/>
  <c r="BA33" i="14"/>
  <c r="BA25" i="14"/>
  <c r="BA17" i="14"/>
  <c r="BA7" i="14"/>
  <c r="BA64" i="14"/>
  <c r="BA56" i="14"/>
  <c r="BA48" i="14"/>
  <c r="BA40" i="14"/>
  <c r="BA32" i="14"/>
  <c r="BA24" i="14"/>
  <c r="BA3" i="14" l="1"/>
  <c r="U288" i="3" l="1"/>
  <c r="J200" i="11"/>
  <c r="F15" i="11"/>
  <c r="N200" i="11" l="1"/>
  <c r="K200" i="11"/>
  <c r="J15" i="11"/>
  <c r="I200" i="11"/>
  <c r="C15" i="11"/>
  <c r="C200" i="11"/>
  <c r="I15" i="11"/>
  <c r="E15" i="11"/>
  <c r="H15" i="11"/>
  <c r="M15" i="11"/>
  <c r="H19" i="11"/>
  <c r="I19" i="11"/>
  <c r="B19" i="11"/>
  <c r="J19" i="11"/>
  <c r="C19" i="11"/>
  <c r="K19" i="11"/>
  <c r="D19" i="11"/>
  <c r="L19" i="11"/>
  <c r="E19" i="11"/>
  <c r="M19" i="11"/>
  <c r="O19" i="11"/>
  <c r="F19" i="11"/>
  <c r="N19" i="11"/>
  <c r="G19" i="11"/>
  <c r="K15" i="11"/>
  <c r="C100" i="11"/>
  <c r="K100" i="11"/>
  <c r="D100" i="11"/>
  <c r="L100" i="11"/>
  <c r="E100" i="11"/>
  <c r="M100" i="11"/>
  <c r="F100" i="11"/>
  <c r="N100" i="11"/>
  <c r="B100" i="11"/>
  <c r="G100" i="11"/>
  <c r="O100" i="11"/>
  <c r="H100" i="11"/>
  <c r="I100" i="11"/>
  <c r="J100" i="11"/>
  <c r="E248" i="11"/>
  <c r="M248" i="11"/>
  <c r="F248" i="11"/>
  <c r="N248" i="11"/>
  <c r="G248" i="11"/>
  <c r="O248" i="11"/>
  <c r="B248" i="11"/>
  <c r="H248" i="11"/>
  <c r="I248" i="11"/>
  <c r="J248" i="11"/>
  <c r="D248" i="11"/>
  <c r="L248" i="11"/>
  <c r="C248" i="11"/>
  <c r="K248" i="11"/>
  <c r="F87" i="11"/>
  <c r="N87" i="11"/>
  <c r="G87" i="11"/>
  <c r="O87" i="11"/>
  <c r="H87" i="11"/>
  <c r="I87" i="11"/>
  <c r="J87" i="11"/>
  <c r="B87" i="11"/>
  <c r="C87" i="11"/>
  <c r="K87" i="11"/>
  <c r="M87" i="11"/>
  <c r="D87" i="11"/>
  <c r="L87" i="11"/>
  <c r="E87" i="11"/>
  <c r="H200" i="11"/>
  <c r="D200" i="11"/>
  <c r="E200" i="11"/>
  <c r="G200" i="11"/>
  <c r="L200" i="11"/>
  <c r="M200" i="11"/>
  <c r="O200" i="11"/>
  <c r="N15" i="11"/>
  <c r="B200" i="11"/>
  <c r="B15" i="11"/>
  <c r="G15" i="11"/>
  <c r="E16" i="11"/>
  <c r="M16" i="11"/>
  <c r="F16" i="11"/>
  <c r="N16" i="11"/>
  <c r="G16" i="11"/>
  <c r="O16" i="11"/>
  <c r="H16" i="11"/>
  <c r="I16" i="11"/>
  <c r="J16" i="11"/>
  <c r="L16" i="11"/>
  <c r="C16" i="11"/>
  <c r="K16" i="11"/>
  <c r="B16" i="11"/>
  <c r="D16" i="11"/>
  <c r="D15" i="11"/>
  <c r="O15" i="11"/>
  <c r="B8" i="11"/>
  <c r="F8" i="11"/>
  <c r="N8" i="11"/>
  <c r="G8" i="11"/>
  <c r="O8" i="11"/>
  <c r="H8" i="11"/>
  <c r="I8" i="11"/>
  <c r="J8" i="11"/>
  <c r="C8" i="11"/>
  <c r="K8" i="11"/>
  <c r="M8" i="11"/>
  <c r="D8" i="11"/>
  <c r="L8" i="11"/>
  <c r="E8" i="11"/>
  <c r="L15" i="11"/>
  <c r="F200" i="11"/>
  <c r="C198" i="11"/>
  <c r="K198" i="11"/>
  <c r="D198" i="11"/>
  <c r="L198" i="11"/>
  <c r="B198" i="11"/>
  <c r="E198" i="11"/>
  <c r="M198" i="11"/>
  <c r="F198" i="11"/>
  <c r="N198" i="11"/>
  <c r="G198" i="11"/>
  <c r="O198" i="11"/>
  <c r="H198" i="11"/>
  <c r="J198" i="11"/>
  <c r="I198" i="11"/>
  <c r="AY10" i="14" l="1"/>
  <c r="AY11" i="14"/>
  <c r="AY12" i="14"/>
  <c r="AY13" i="14"/>
  <c r="AY14" i="14"/>
  <c r="AY15" i="14"/>
  <c r="AY16" i="14"/>
  <c r="AY17" i="14"/>
  <c r="AY18" i="14"/>
  <c r="AY19" i="14"/>
  <c r="AY20" i="14"/>
  <c r="AY21" i="14"/>
  <c r="AY22" i="14"/>
  <c r="AY23" i="14"/>
  <c r="AY24" i="14"/>
  <c r="AY25" i="14"/>
  <c r="AY26" i="14"/>
  <c r="AY27" i="14"/>
  <c r="AY28" i="14"/>
  <c r="AY29" i="14"/>
  <c r="AY30" i="14"/>
  <c r="AY31" i="14"/>
  <c r="AY32" i="14"/>
  <c r="AY33" i="14"/>
  <c r="AY34" i="14"/>
  <c r="AY35" i="14"/>
  <c r="AY36" i="14"/>
  <c r="AY37" i="14"/>
  <c r="AY38" i="14"/>
  <c r="AY39" i="14"/>
  <c r="AY40" i="14"/>
  <c r="AY41" i="14"/>
  <c r="AY42" i="14"/>
  <c r="AY43" i="14"/>
  <c r="AY44" i="14"/>
  <c r="AY45" i="14"/>
  <c r="AY46" i="14"/>
  <c r="AY47" i="14"/>
  <c r="AY48" i="14"/>
  <c r="AY49" i="14"/>
  <c r="AY50" i="14"/>
  <c r="AY51" i="14"/>
  <c r="AY52" i="14"/>
  <c r="AY53" i="14"/>
  <c r="AY54" i="14"/>
  <c r="AY55" i="14"/>
  <c r="AY56" i="14"/>
  <c r="AY57" i="14"/>
  <c r="AY58" i="14"/>
  <c r="AY59" i="14"/>
  <c r="AY60" i="14"/>
  <c r="AY61" i="14"/>
  <c r="AY62" i="14"/>
  <c r="AY63" i="14"/>
  <c r="AY64" i="14"/>
  <c r="AY65" i="14"/>
  <c r="AY6" i="14"/>
  <c r="AY7" i="14"/>
  <c r="AY8" i="14"/>
  <c r="AY9" i="14"/>
  <c r="AY3" i="14" l="1"/>
  <c r="AZ7" i="14" l="1"/>
  <c r="AZ8" i="14"/>
  <c r="AZ9" i="14"/>
  <c r="AZ10" i="14"/>
  <c r="AZ11" i="14"/>
  <c r="AZ12" i="14"/>
  <c r="AZ13" i="14"/>
  <c r="AZ14" i="14"/>
  <c r="AZ15" i="14"/>
  <c r="AZ16" i="14"/>
  <c r="AZ17" i="14"/>
  <c r="AZ18" i="14"/>
  <c r="AZ19" i="14"/>
  <c r="AZ20" i="14"/>
  <c r="AZ21" i="14"/>
  <c r="AZ22" i="14"/>
  <c r="AZ23" i="14"/>
  <c r="AZ24" i="14"/>
  <c r="AZ25" i="14"/>
  <c r="AZ26" i="14"/>
  <c r="AZ27" i="14"/>
  <c r="AZ28" i="14"/>
  <c r="AZ29" i="14"/>
  <c r="AZ30" i="14"/>
  <c r="AZ31" i="14"/>
  <c r="AZ32" i="14"/>
  <c r="AZ33" i="14"/>
  <c r="AZ34" i="14"/>
  <c r="AZ35" i="14"/>
  <c r="AZ36" i="14"/>
  <c r="AZ37" i="14"/>
  <c r="AZ38" i="14"/>
  <c r="AZ39" i="14"/>
  <c r="AZ40" i="14"/>
  <c r="AZ41" i="14"/>
  <c r="AZ42" i="14"/>
  <c r="AZ43" i="14"/>
  <c r="AZ44" i="14"/>
  <c r="AZ45" i="14"/>
  <c r="AZ46" i="14"/>
  <c r="AZ47" i="14"/>
  <c r="AZ48" i="14"/>
  <c r="AZ49" i="14"/>
  <c r="AZ50" i="14"/>
  <c r="AZ51" i="14"/>
  <c r="AZ52" i="14"/>
  <c r="AZ53" i="14"/>
  <c r="AZ54" i="14"/>
  <c r="AZ55" i="14"/>
  <c r="AZ56" i="14"/>
  <c r="AZ57" i="14"/>
  <c r="AZ58" i="14"/>
  <c r="AZ59" i="14"/>
  <c r="AZ60" i="14"/>
  <c r="AZ61" i="14"/>
  <c r="AZ62" i="14"/>
  <c r="AZ63" i="14"/>
  <c r="AZ64" i="14"/>
  <c r="AZ65" i="14"/>
  <c r="AZ6" i="14"/>
  <c r="AX7" i="14"/>
  <c r="AX8" i="14"/>
  <c r="AX9" i="14"/>
  <c r="AX10" i="14"/>
  <c r="AX11" i="14"/>
  <c r="AX12" i="14"/>
  <c r="AX13" i="14"/>
  <c r="AX14" i="14"/>
  <c r="AX15" i="14"/>
  <c r="AX16" i="14"/>
  <c r="AX17" i="14"/>
  <c r="AX18" i="14"/>
  <c r="AX19" i="14"/>
  <c r="AX20" i="14"/>
  <c r="AX21" i="14"/>
  <c r="AX22" i="14"/>
  <c r="AX23" i="14"/>
  <c r="AX24" i="14"/>
  <c r="AX25" i="14"/>
  <c r="AX26" i="14"/>
  <c r="AX27" i="14"/>
  <c r="AX28" i="14"/>
  <c r="AX29" i="14"/>
  <c r="AX30" i="14"/>
  <c r="AX31" i="14"/>
  <c r="AX32" i="14"/>
  <c r="AX33" i="14"/>
  <c r="AX34" i="14"/>
  <c r="AX35" i="14"/>
  <c r="AX36" i="14"/>
  <c r="AX37" i="14"/>
  <c r="AX38" i="14"/>
  <c r="AX39" i="14"/>
  <c r="AX40" i="14"/>
  <c r="AX41" i="14"/>
  <c r="AX42" i="14"/>
  <c r="AX43" i="14"/>
  <c r="AX44" i="14"/>
  <c r="AX45" i="14"/>
  <c r="AX46" i="14"/>
  <c r="AX47" i="14"/>
  <c r="AX48" i="14"/>
  <c r="AX49" i="14"/>
  <c r="AX50" i="14"/>
  <c r="AX51" i="14"/>
  <c r="AX52" i="14"/>
  <c r="AX53" i="14"/>
  <c r="AX54" i="14"/>
  <c r="AX55" i="14"/>
  <c r="AX56" i="14"/>
  <c r="AX57" i="14"/>
  <c r="AX58" i="14"/>
  <c r="AX59" i="14"/>
  <c r="AX60" i="14"/>
  <c r="AX61" i="14"/>
  <c r="AX62" i="14"/>
  <c r="AX63" i="14"/>
  <c r="AX64" i="14"/>
  <c r="AX65" i="14"/>
  <c r="AX6" i="14"/>
  <c r="BB7" i="14"/>
  <c r="BB8" i="14"/>
  <c r="BB9" i="14"/>
  <c r="BB10" i="14"/>
  <c r="BB11" i="14"/>
  <c r="BB12" i="14"/>
  <c r="BB13" i="14"/>
  <c r="BB14" i="14"/>
  <c r="BB15" i="14"/>
  <c r="BB16" i="14"/>
  <c r="BB17" i="14"/>
  <c r="BB18" i="14"/>
  <c r="BB19" i="14"/>
  <c r="BB20" i="14"/>
  <c r="BB21" i="14"/>
  <c r="BB22" i="14"/>
  <c r="BB23" i="14"/>
  <c r="BB24" i="14"/>
  <c r="BB25" i="14"/>
  <c r="BB26" i="14"/>
  <c r="BB27" i="14"/>
  <c r="BB28" i="14"/>
  <c r="BB29" i="14"/>
  <c r="BB30" i="14"/>
  <c r="BB31" i="14"/>
  <c r="BB32" i="14"/>
  <c r="BB33" i="14"/>
  <c r="BB34" i="14"/>
  <c r="BB35" i="14"/>
  <c r="BB36" i="14"/>
  <c r="BB37" i="14"/>
  <c r="BB38" i="14"/>
  <c r="BB39" i="14"/>
  <c r="BB40" i="14"/>
  <c r="BB41" i="14"/>
  <c r="BB42" i="14"/>
  <c r="BB43" i="14"/>
  <c r="BB44" i="14"/>
  <c r="BB45" i="14"/>
  <c r="BB46" i="14"/>
  <c r="BB47" i="14"/>
  <c r="BB48" i="14"/>
  <c r="BB49" i="14"/>
  <c r="BB50" i="14"/>
  <c r="BB51" i="14"/>
  <c r="BB52" i="14"/>
  <c r="BB53" i="14"/>
  <c r="BB54" i="14"/>
  <c r="BB55" i="14"/>
  <c r="BB56" i="14"/>
  <c r="BB57" i="14"/>
  <c r="BB58" i="14"/>
  <c r="BB59" i="14"/>
  <c r="BB60" i="14"/>
  <c r="BB61" i="14"/>
  <c r="BB62" i="14"/>
  <c r="BB63" i="14"/>
  <c r="BB64" i="14"/>
  <c r="BB65" i="14"/>
  <c r="BB6" i="14"/>
  <c r="BB3" i="14" l="1"/>
  <c r="AX3" i="14"/>
  <c r="AZ3" i="14" l="1"/>
  <c r="AA65" i="14" l="1"/>
  <c r="AA64" i="14"/>
  <c r="AA63" i="14"/>
  <c r="AA62" i="14"/>
  <c r="AA61" i="14"/>
  <c r="AA60" i="14"/>
  <c r="AA59" i="14"/>
  <c r="AA58" i="14"/>
  <c r="AA57" i="14"/>
  <c r="AA56" i="14"/>
  <c r="AA55" i="14"/>
  <c r="AA54" i="14"/>
  <c r="AA53" i="14"/>
  <c r="AA52" i="14"/>
  <c r="AA51" i="14"/>
  <c r="AA50" i="14"/>
  <c r="AA49" i="14"/>
  <c r="AA48" i="14"/>
  <c r="AA47" i="14"/>
  <c r="AA46" i="14"/>
  <c r="AA45" i="14"/>
  <c r="AA44" i="14"/>
  <c r="AA43" i="14"/>
  <c r="AA42" i="14"/>
  <c r="AA41" i="14"/>
  <c r="AA40" i="14"/>
  <c r="AA39" i="14"/>
  <c r="AA38" i="14"/>
  <c r="AA37" i="14"/>
  <c r="AA36" i="14"/>
  <c r="AA35" i="14"/>
  <c r="AA34" i="14"/>
  <c r="AA33" i="14"/>
  <c r="AA32" i="14"/>
  <c r="AA31" i="14"/>
  <c r="AA30" i="14"/>
  <c r="AA29" i="14"/>
  <c r="AA28" i="14"/>
  <c r="AA27" i="14"/>
  <c r="AA26" i="14"/>
  <c r="AA25" i="14"/>
  <c r="AA24" i="14"/>
  <c r="AA23" i="14"/>
  <c r="AA22" i="14"/>
  <c r="AA21" i="14"/>
  <c r="AA20" i="14"/>
  <c r="AA19" i="14"/>
  <c r="AA18" i="14"/>
  <c r="AA17" i="14"/>
  <c r="AA16" i="14"/>
  <c r="AA15" i="14"/>
  <c r="AA14" i="14"/>
  <c r="AA13" i="14"/>
  <c r="AA12" i="14"/>
  <c r="AA11" i="14"/>
  <c r="AA10" i="14"/>
  <c r="AA9" i="14"/>
  <c r="AA8" i="14"/>
  <c r="AA7" i="14"/>
  <c r="AA6" i="14"/>
  <c r="AD65" i="14"/>
  <c r="AD64" i="14"/>
  <c r="AD63" i="14"/>
  <c r="AD62" i="14"/>
  <c r="AD61" i="14"/>
  <c r="AD60" i="14"/>
  <c r="AD59" i="14"/>
  <c r="AD58" i="14"/>
  <c r="AD57" i="14"/>
  <c r="AD56" i="14"/>
  <c r="AD55" i="14"/>
  <c r="AD54" i="14"/>
  <c r="AD53" i="14"/>
  <c r="AD52" i="14"/>
  <c r="AD51" i="14"/>
  <c r="AD50" i="14"/>
  <c r="AD49" i="14"/>
  <c r="AD48" i="14"/>
  <c r="AD47" i="14"/>
  <c r="AD46" i="14"/>
  <c r="AD45" i="14"/>
  <c r="AD44" i="14"/>
  <c r="AD43" i="14"/>
  <c r="AD42" i="14"/>
  <c r="AD41" i="14"/>
  <c r="AD40" i="14"/>
  <c r="AD39" i="14"/>
  <c r="AD38" i="14"/>
  <c r="AD37" i="14"/>
  <c r="AD36" i="14"/>
  <c r="AD35" i="14"/>
  <c r="AD34" i="14"/>
  <c r="AD33" i="14"/>
  <c r="AD32" i="14"/>
  <c r="AD31" i="14"/>
  <c r="AD30" i="14"/>
  <c r="AD29" i="14"/>
  <c r="AD28" i="14"/>
  <c r="AD27" i="14"/>
  <c r="AD26" i="14"/>
  <c r="AD25" i="14"/>
  <c r="AD24" i="14"/>
  <c r="AD23" i="14"/>
  <c r="AD22" i="14"/>
  <c r="AD21" i="14"/>
  <c r="AD20" i="14"/>
  <c r="AD19" i="14"/>
  <c r="AD18" i="14"/>
  <c r="AD17" i="14"/>
  <c r="AD16" i="14"/>
  <c r="AD15" i="14"/>
  <c r="AD14" i="14"/>
  <c r="AD13" i="14"/>
  <c r="AD12" i="14"/>
  <c r="AD11" i="14"/>
  <c r="AD10" i="14"/>
  <c r="AD9" i="14"/>
  <c r="AD8" i="14"/>
  <c r="AD7" i="14"/>
  <c r="AD6" i="14"/>
  <c r="E21" i="14"/>
  <c r="E22" i="14"/>
  <c r="E23" i="14"/>
  <c r="E24" i="14"/>
  <c r="E25" i="14"/>
  <c r="E26" i="14"/>
  <c r="E27" i="14"/>
  <c r="E28" i="14"/>
  <c r="E29" i="14"/>
  <c r="E30" i="14"/>
  <c r="E31" i="14"/>
  <c r="E32" i="14"/>
  <c r="E33" i="14"/>
  <c r="E34" i="14"/>
  <c r="E35" i="14"/>
  <c r="E36" i="14"/>
  <c r="E37" i="14"/>
  <c r="E38" i="14"/>
  <c r="E39" i="14"/>
  <c r="E40" i="14"/>
  <c r="E41" i="14"/>
  <c r="E42" i="14"/>
  <c r="E43" i="14"/>
  <c r="E44" i="14"/>
  <c r="E45" i="14"/>
  <c r="E46" i="14"/>
  <c r="E47" i="14"/>
  <c r="E48" i="14"/>
  <c r="E49" i="14"/>
  <c r="E50" i="14"/>
  <c r="E51" i="14"/>
  <c r="E52" i="14"/>
  <c r="E53" i="14"/>
  <c r="E54" i="14"/>
  <c r="E55" i="14"/>
  <c r="E56" i="14"/>
  <c r="E57" i="14"/>
  <c r="E58" i="14"/>
  <c r="E59" i="14"/>
  <c r="E60" i="14"/>
  <c r="E61" i="14"/>
  <c r="E62" i="14"/>
  <c r="E63" i="14"/>
  <c r="E64" i="14"/>
  <c r="E65" i="14"/>
  <c r="E15" i="14"/>
  <c r="E16" i="14"/>
  <c r="E17" i="14"/>
  <c r="E18" i="14"/>
  <c r="E19" i="14"/>
  <c r="E20" i="14"/>
  <c r="E10" i="14"/>
  <c r="E11" i="14"/>
  <c r="E12" i="14"/>
  <c r="E13" i="14"/>
  <c r="E14" i="14"/>
  <c r="AA3" i="14" l="1"/>
  <c r="AD3" i="14"/>
  <c r="E6" i="14"/>
  <c r="E7" i="14"/>
  <c r="E8" i="14"/>
  <c r="E9" i="14"/>
  <c r="E3" i="14" l="1"/>
  <c r="AV7" i="14"/>
  <c r="AU63" i="14" l="1"/>
  <c r="AU59" i="14"/>
  <c r="AU55" i="14"/>
  <c r="AU51" i="14"/>
  <c r="AU47" i="14"/>
  <c r="AU43" i="14"/>
  <c r="AU39" i="14"/>
  <c r="AU35" i="14"/>
  <c r="AU31" i="14"/>
  <c r="AU27" i="14"/>
  <c r="AU23" i="14"/>
  <c r="AU19" i="14"/>
  <c r="AU15" i="14"/>
  <c r="AU11" i="14"/>
  <c r="AU7" i="14"/>
  <c r="AW62" i="14"/>
  <c r="AW58" i="14"/>
  <c r="AW54" i="14"/>
  <c r="AW50" i="14"/>
  <c r="AW46" i="14"/>
  <c r="AW42" i="14"/>
  <c r="AW38" i="14"/>
  <c r="AW34" i="14"/>
  <c r="AW30" i="14"/>
  <c r="AW26" i="14"/>
  <c r="AW22" i="14"/>
  <c r="AW18" i="14"/>
  <c r="AW14" i="14"/>
  <c r="AW10" i="14"/>
  <c r="AT63" i="14"/>
  <c r="AT59" i="14"/>
  <c r="AT55" i="14"/>
  <c r="AT51" i="14"/>
  <c r="AT47" i="14"/>
  <c r="AT43" i="14"/>
  <c r="AT39" i="14"/>
  <c r="AT35" i="14"/>
  <c r="AT31" i="14"/>
  <c r="AT27" i="14"/>
  <c r="AT23" i="14"/>
  <c r="AT19" i="14"/>
  <c r="AT15" i="14"/>
  <c r="AT11" i="14"/>
  <c r="AV62" i="14"/>
  <c r="AV58" i="14"/>
  <c r="AV54" i="14"/>
  <c r="AV50" i="14"/>
  <c r="AV46" i="14"/>
  <c r="AV42" i="14"/>
  <c r="AV38" i="14"/>
  <c r="AV34" i="14"/>
  <c r="AV30" i="14"/>
  <c r="AV26" i="14"/>
  <c r="AV22" i="14"/>
  <c r="AV18" i="14"/>
  <c r="AV14" i="14"/>
  <c r="AV10" i="14"/>
  <c r="AU62" i="14"/>
  <c r="AU58" i="14"/>
  <c r="AU54" i="14"/>
  <c r="AU50" i="14"/>
  <c r="AU46" i="14"/>
  <c r="AU42" i="14"/>
  <c r="AU38" i="14"/>
  <c r="AU34" i="14"/>
  <c r="AU30" i="14"/>
  <c r="AU26" i="14"/>
  <c r="AU22" i="14"/>
  <c r="AU18" i="14"/>
  <c r="AU14" i="14"/>
  <c r="AU10" i="14"/>
  <c r="AV6" i="14"/>
  <c r="AW65" i="14"/>
  <c r="AW61" i="14"/>
  <c r="AW57" i="14"/>
  <c r="AW53" i="14"/>
  <c r="AW49" i="14"/>
  <c r="AW45" i="14"/>
  <c r="AW41" i="14"/>
  <c r="AW37" i="14"/>
  <c r="AW33" i="14"/>
  <c r="AW29" i="14"/>
  <c r="AW25" i="14"/>
  <c r="AW21" i="14"/>
  <c r="AW17" i="14"/>
  <c r="AW13" i="14"/>
  <c r="AW9" i="14"/>
  <c r="AT62" i="14"/>
  <c r="AT58" i="14"/>
  <c r="AT54" i="14"/>
  <c r="AT50" i="14"/>
  <c r="AT46" i="14"/>
  <c r="AT42" i="14"/>
  <c r="AT38" i="14"/>
  <c r="AT34" i="14"/>
  <c r="AT30" i="14"/>
  <c r="AT26" i="14"/>
  <c r="AT22" i="14"/>
  <c r="AT18" i="14"/>
  <c r="AT14" i="14"/>
  <c r="AT10" i="14"/>
  <c r="AW6" i="14"/>
  <c r="AV65" i="14"/>
  <c r="AV61" i="14"/>
  <c r="AV57" i="14"/>
  <c r="AV53" i="14"/>
  <c r="AV49" i="14"/>
  <c r="AV45" i="14"/>
  <c r="AV41" i="14"/>
  <c r="AV37" i="14"/>
  <c r="AV33" i="14"/>
  <c r="AV29" i="14"/>
  <c r="AV25" i="14"/>
  <c r="AV21" i="14"/>
  <c r="AV17" i="14"/>
  <c r="AV13" i="14"/>
  <c r="AV9" i="14"/>
  <c r="AU65" i="14"/>
  <c r="AU61" i="14"/>
  <c r="AU57" i="14"/>
  <c r="AU53" i="14"/>
  <c r="AU49" i="14"/>
  <c r="AU45" i="14"/>
  <c r="AU41" i="14"/>
  <c r="AU37" i="14"/>
  <c r="AU33" i="14"/>
  <c r="AU29" i="14"/>
  <c r="AU25" i="14"/>
  <c r="AU21" i="14"/>
  <c r="AU17" i="14"/>
  <c r="AU13" i="14"/>
  <c r="AU9" i="14"/>
  <c r="AW64" i="14"/>
  <c r="AW60" i="14"/>
  <c r="AW56" i="14"/>
  <c r="AW52" i="14"/>
  <c r="AW48" i="14"/>
  <c r="AW44" i="14"/>
  <c r="AW40" i="14"/>
  <c r="AW36" i="14"/>
  <c r="AW32" i="14"/>
  <c r="AW28" i="14"/>
  <c r="AW24" i="14"/>
  <c r="AW20" i="14"/>
  <c r="AW16" i="14"/>
  <c r="AW12" i="14"/>
  <c r="AW8" i="14"/>
  <c r="AU6" i="14"/>
  <c r="AT65" i="14"/>
  <c r="AT61" i="14"/>
  <c r="AT57" i="14"/>
  <c r="AT53" i="14"/>
  <c r="AT49" i="14"/>
  <c r="AT45" i="14"/>
  <c r="AT41" i="14"/>
  <c r="AT37" i="14"/>
  <c r="AT33" i="14"/>
  <c r="AT29" i="14"/>
  <c r="AT25" i="14"/>
  <c r="AT21" i="14"/>
  <c r="AT17" i="14"/>
  <c r="AT13" i="14"/>
  <c r="AT9" i="14"/>
  <c r="AV64" i="14"/>
  <c r="AV60" i="14"/>
  <c r="AV56" i="14"/>
  <c r="AV52" i="14"/>
  <c r="AV48" i="14"/>
  <c r="AV44" i="14"/>
  <c r="AV40" i="14"/>
  <c r="AV36" i="14"/>
  <c r="AV32" i="14"/>
  <c r="AV28" i="14"/>
  <c r="AV24" i="14"/>
  <c r="AV20" i="14"/>
  <c r="AV16" i="14"/>
  <c r="AV12" i="14"/>
  <c r="AV8" i="14"/>
  <c r="AU64" i="14"/>
  <c r="AU60" i="14"/>
  <c r="AU56" i="14"/>
  <c r="AU52" i="14"/>
  <c r="AU48" i="14"/>
  <c r="AU44" i="14"/>
  <c r="AU40" i="14"/>
  <c r="AU36" i="14"/>
  <c r="AU32" i="14"/>
  <c r="AU28" i="14"/>
  <c r="AU24" i="14"/>
  <c r="AU20" i="14"/>
  <c r="AU16" i="14"/>
  <c r="AU12" i="14"/>
  <c r="AU8" i="14"/>
  <c r="AW63" i="14"/>
  <c r="AW59" i="14"/>
  <c r="AW55" i="14"/>
  <c r="AW51" i="14"/>
  <c r="AW47" i="14"/>
  <c r="AW43" i="14"/>
  <c r="AW39" i="14"/>
  <c r="AW35" i="14"/>
  <c r="AW31" i="14"/>
  <c r="AW27" i="14"/>
  <c r="AW23" i="14"/>
  <c r="AW19" i="14"/>
  <c r="AW15" i="14"/>
  <c r="AW11" i="14"/>
  <c r="AW7" i="14"/>
  <c r="AT64" i="14"/>
  <c r="AT60" i="14"/>
  <c r="AT56" i="14"/>
  <c r="AT52" i="14"/>
  <c r="AT48" i="14"/>
  <c r="AT44" i="14"/>
  <c r="AT40" i="14"/>
  <c r="AT36" i="14"/>
  <c r="AT32" i="14"/>
  <c r="AT28" i="14"/>
  <c r="AT24" i="14"/>
  <c r="AT20" i="14"/>
  <c r="AT16" i="14"/>
  <c r="AT12" i="14"/>
  <c r="AV63" i="14"/>
  <c r="AV59" i="14"/>
  <c r="AV55" i="14"/>
  <c r="AV51" i="14"/>
  <c r="AV47" i="14"/>
  <c r="AV43" i="14"/>
  <c r="AV39" i="14"/>
  <c r="AV35" i="14"/>
  <c r="AV31" i="14"/>
  <c r="AV27" i="14"/>
  <c r="AV23" i="14"/>
  <c r="AV19" i="14"/>
  <c r="AV15" i="14"/>
  <c r="AV11" i="14"/>
  <c r="C8" i="14"/>
  <c r="D8" i="14"/>
  <c r="F8" i="14"/>
  <c r="G8" i="14"/>
  <c r="H8" i="14"/>
  <c r="I8" i="14"/>
  <c r="J8" i="14"/>
  <c r="K8" i="14"/>
  <c r="L8" i="14"/>
  <c r="M8" i="14"/>
  <c r="N8" i="14"/>
  <c r="Q8" i="14"/>
  <c r="R8" i="14"/>
  <c r="S8" i="14"/>
  <c r="T8" i="14"/>
  <c r="U8" i="14"/>
  <c r="V8" i="14"/>
  <c r="W8" i="14"/>
  <c r="X8" i="14"/>
  <c r="Y8" i="14"/>
  <c r="Z8" i="14"/>
  <c r="AB8" i="14"/>
  <c r="AC8" i="14"/>
  <c r="AE8" i="14"/>
  <c r="AF8" i="14"/>
  <c r="AH8" i="14"/>
  <c r="AG8" i="14"/>
  <c r="AM8" i="14"/>
  <c r="AN8" i="14"/>
  <c r="AO8" i="14"/>
  <c r="AP8" i="14"/>
  <c r="AQ8" i="14"/>
  <c r="AR8" i="14"/>
  <c r="AS8" i="14"/>
  <c r="BL8" i="14"/>
  <c r="BK8" i="14"/>
  <c r="BJ8" i="14"/>
  <c r="C39" i="14"/>
  <c r="D39" i="14"/>
  <c r="F39" i="14"/>
  <c r="G39" i="14"/>
  <c r="H39" i="14"/>
  <c r="I39" i="14"/>
  <c r="J39" i="14"/>
  <c r="K39" i="14"/>
  <c r="L39" i="14"/>
  <c r="M39" i="14"/>
  <c r="N39" i="14"/>
  <c r="Q39" i="14"/>
  <c r="R39" i="14"/>
  <c r="S39" i="14"/>
  <c r="T39" i="14"/>
  <c r="U39" i="14"/>
  <c r="V39" i="14"/>
  <c r="W39" i="14"/>
  <c r="X39" i="14"/>
  <c r="Y39" i="14"/>
  <c r="Z39" i="14"/>
  <c r="AB39" i="14"/>
  <c r="AC39" i="14"/>
  <c r="AE39" i="14"/>
  <c r="AF39" i="14"/>
  <c r="AH39" i="14"/>
  <c r="AG39" i="14"/>
  <c r="AM39" i="14"/>
  <c r="AN39" i="14"/>
  <c r="AO39" i="14"/>
  <c r="AP39" i="14"/>
  <c r="AQ39" i="14"/>
  <c r="AR39" i="14"/>
  <c r="AS39" i="14"/>
  <c r="BL39" i="14"/>
  <c r="BK39" i="14"/>
  <c r="BJ39" i="14"/>
  <c r="C63" i="14"/>
  <c r="D63" i="14"/>
  <c r="F63" i="14"/>
  <c r="G63" i="14"/>
  <c r="H63" i="14"/>
  <c r="I63" i="14"/>
  <c r="J63" i="14"/>
  <c r="K63" i="14"/>
  <c r="L63" i="14"/>
  <c r="M63" i="14"/>
  <c r="N63" i="14"/>
  <c r="Q63" i="14"/>
  <c r="R63" i="14"/>
  <c r="S63" i="14"/>
  <c r="T63" i="14"/>
  <c r="U63" i="14"/>
  <c r="V63" i="14"/>
  <c r="W63" i="14"/>
  <c r="X63" i="14"/>
  <c r="Y63" i="14"/>
  <c r="Z63" i="14"/>
  <c r="AB63" i="14"/>
  <c r="AC63" i="14"/>
  <c r="AE63" i="14"/>
  <c r="AF63" i="14"/>
  <c r="AH63" i="14"/>
  <c r="AG63" i="14"/>
  <c r="AM63" i="14"/>
  <c r="AN63" i="14"/>
  <c r="AO63" i="14"/>
  <c r="AP63" i="14"/>
  <c r="AQ63" i="14"/>
  <c r="AR63" i="14"/>
  <c r="AS63" i="14"/>
  <c r="BL63" i="14"/>
  <c r="BK63" i="14"/>
  <c r="BJ63" i="14"/>
  <c r="C64" i="14"/>
  <c r="D64" i="14"/>
  <c r="F64" i="14"/>
  <c r="G64" i="14"/>
  <c r="H64" i="14"/>
  <c r="I64" i="14"/>
  <c r="J64" i="14"/>
  <c r="K64" i="14"/>
  <c r="L64" i="14"/>
  <c r="M64" i="14"/>
  <c r="N64" i="14"/>
  <c r="Q64" i="14"/>
  <c r="R64" i="14"/>
  <c r="S64" i="14"/>
  <c r="T64" i="14"/>
  <c r="U64" i="14"/>
  <c r="V64" i="14"/>
  <c r="W64" i="14"/>
  <c r="X64" i="14"/>
  <c r="Y64" i="14"/>
  <c r="Z64" i="14"/>
  <c r="AB64" i="14"/>
  <c r="AC64" i="14"/>
  <c r="AE64" i="14"/>
  <c r="AF64" i="14"/>
  <c r="AH64" i="14"/>
  <c r="AG64" i="14"/>
  <c r="AM64" i="14"/>
  <c r="AN64" i="14"/>
  <c r="AO64" i="14"/>
  <c r="AP64" i="14"/>
  <c r="AQ64" i="14"/>
  <c r="AR64" i="14"/>
  <c r="AS64" i="14"/>
  <c r="BL64" i="14"/>
  <c r="BK64" i="14"/>
  <c r="BJ64" i="14"/>
  <c r="C65" i="14"/>
  <c r="D65" i="14"/>
  <c r="F65" i="14"/>
  <c r="G65" i="14"/>
  <c r="H65" i="14"/>
  <c r="I65" i="14"/>
  <c r="J65" i="14"/>
  <c r="K65" i="14"/>
  <c r="L65" i="14"/>
  <c r="M65" i="14"/>
  <c r="N65" i="14"/>
  <c r="Q65" i="14"/>
  <c r="R65" i="14"/>
  <c r="S65" i="14"/>
  <c r="T65" i="14"/>
  <c r="U65" i="14"/>
  <c r="V65" i="14"/>
  <c r="W65" i="14"/>
  <c r="X65" i="14"/>
  <c r="Y65" i="14"/>
  <c r="Z65" i="14"/>
  <c r="AB65" i="14"/>
  <c r="AC65" i="14"/>
  <c r="AE65" i="14"/>
  <c r="AF65" i="14"/>
  <c r="AH65" i="14"/>
  <c r="AG65" i="14"/>
  <c r="AM65" i="14"/>
  <c r="AN65" i="14"/>
  <c r="AO65" i="14"/>
  <c r="AP65" i="14"/>
  <c r="AQ65" i="14"/>
  <c r="AR65" i="14"/>
  <c r="AS65" i="14"/>
  <c r="BL65" i="14"/>
  <c r="BK65" i="14"/>
  <c r="BJ65" i="14"/>
  <c r="C58" i="14"/>
  <c r="D58" i="14"/>
  <c r="F58" i="14"/>
  <c r="G58" i="14"/>
  <c r="H58" i="14"/>
  <c r="I58" i="14"/>
  <c r="J58" i="14"/>
  <c r="K58" i="14"/>
  <c r="L58" i="14"/>
  <c r="M58" i="14"/>
  <c r="N58" i="14"/>
  <c r="Q58" i="14"/>
  <c r="R58" i="14"/>
  <c r="S58" i="14"/>
  <c r="T58" i="14"/>
  <c r="U58" i="14"/>
  <c r="V58" i="14"/>
  <c r="W58" i="14"/>
  <c r="X58" i="14"/>
  <c r="Y58" i="14"/>
  <c r="Z58" i="14"/>
  <c r="AB58" i="14"/>
  <c r="AC58" i="14"/>
  <c r="AE58" i="14"/>
  <c r="AF58" i="14"/>
  <c r="AH58" i="14"/>
  <c r="AG58" i="14"/>
  <c r="AM58" i="14"/>
  <c r="AN58" i="14"/>
  <c r="AO58" i="14"/>
  <c r="AP58" i="14"/>
  <c r="AQ58" i="14"/>
  <c r="AR58" i="14"/>
  <c r="AS58" i="14"/>
  <c r="BL58" i="14"/>
  <c r="BK58" i="14"/>
  <c r="BJ58" i="14"/>
  <c r="C59" i="14"/>
  <c r="D59" i="14"/>
  <c r="F59" i="14"/>
  <c r="G59" i="14"/>
  <c r="H59" i="14"/>
  <c r="I59" i="14"/>
  <c r="J59" i="14"/>
  <c r="K59" i="14"/>
  <c r="L59" i="14"/>
  <c r="M59" i="14"/>
  <c r="N59" i="14"/>
  <c r="Q59" i="14"/>
  <c r="R59" i="14"/>
  <c r="S59" i="14"/>
  <c r="T59" i="14"/>
  <c r="U59" i="14"/>
  <c r="V59" i="14"/>
  <c r="W59" i="14"/>
  <c r="X59" i="14"/>
  <c r="Y59" i="14"/>
  <c r="Z59" i="14"/>
  <c r="AB59" i="14"/>
  <c r="AC59" i="14"/>
  <c r="AE59" i="14"/>
  <c r="AF59" i="14"/>
  <c r="AH59" i="14"/>
  <c r="AG59" i="14"/>
  <c r="AM59" i="14"/>
  <c r="AN59" i="14"/>
  <c r="AO59" i="14"/>
  <c r="AP59" i="14"/>
  <c r="AQ59" i="14"/>
  <c r="AR59" i="14"/>
  <c r="AS59" i="14"/>
  <c r="BL59" i="14"/>
  <c r="BK59" i="14"/>
  <c r="BJ59" i="14"/>
  <c r="C60" i="14"/>
  <c r="D60" i="14"/>
  <c r="F60" i="14"/>
  <c r="G60" i="14"/>
  <c r="H60" i="14"/>
  <c r="I60" i="14"/>
  <c r="J60" i="14"/>
  <c r="K60" i="14"/>
  <c r="L60" i="14"/>
  <c r="M60" i="14"/>
  <c r="N60" i="14"/>
  <c r="Q60" i="14"/>
  <c r="R60" i="14"/>
  <c r="S60" i="14"/>
  <c r="T60" i="14"/>
  <c r="U60" i="14"/>
  <c r="V60" i="14"/>
  <c r="W60" i="14"/>
  <c r="X60" i="14"/>
  <c r="Y60" i="14"/>
  <c r="Z60" i="14"/>
  <c r="AB60" i="14"/>
  <c r="AC60" i="14"/>
  <c r="AE60" i="14"/>
  <c r="AF60" i="14"/>
  <c r="AH60" i="14"/>
  <c r="AG60" i="14"/>
  <c r="AM60" i="14"/>
  <c r="AN60" i="14"/>
  <c r="AO60" i="14"/>
  <c r="AP60" i="14"/>
  <c r="AQ60" i="14"/>
  <c r="AR60" i="14"/>
  <c r="AS60" i="14"/>
  <c r="BL60" i="14"/>
  <c r="BK60" i="14"/>
  <c r="BJ60" i="14"/>
  <c r="C61" i="14"/>
  <c r="D61" i="14"/>
  <c r="F61" i="14"/>
  <c r="G61" i="14"/>
  <c r="H61" i="14"/>
  <c r="I61" i="14"/>
  <c r="J61" i="14"/>
  <c r="K61" i="14"/>
  <c r="L61" i="14"/>
  <c r="M61" i="14"/>
  <c r="N61" i="14"/>
  <c r="Q61" i="14"/>
  <c r="R61" i="14"/>
  <c r="S61" i="14"/>
  <c r="T61" i="14"/>
  <c r="U61" i="14"/>
  <c r="V61" i="14"/>
  <c r="W61" i="14"/>
  <c r="X61" i="14"/>
  <c r="Y61" i="14"/>
  <c r="Z61" i="14"/>
  <c r="AB61" i="14"/>
  <c r="AC61" i="14"/>
  <c r="AE61" i="14"/>
  <c r="AF61" i="14"/>
  <c r="AH61" i="14"/>
  <c r="AG61" i="14"/>
  <c r="AM61" i="14"/>
  <c r="AN61" i="14"/>
  <c r="AO61" i="14"/>
  <c r="AP61" i="14"/>
  <c r="AQ61" i="14"/>
  <c r="AR61" i="14"/>
  <c r="AS61" i="14"/>
  <c r="BL61" i="14"/>
  <c r="BK61" i="14"/>
  <c r="BJ61" i="14"/>
  <c r="C62" i="14"/>
  <c r="D62" i="14"/>
  <c r="F62" i="14"/>
  <c r="G62" i="14"/>
  <c r="H62" i="14"/>
  <c r="I62" i="14"/>
  <c r="J62" i="14"/>
  <c r="K62" i="14"/>
  <c r="L62" i="14"/>
  <c r="M62" i="14"/>
  <c r="N62" i="14"/>
  <c r="Q62" i="14"/>
  <c r="R62" i="14"/>
  <c r="S62" i="14"/>
  <c r="T62" i="14"/>
  <c r="U62" i="14"/>
  <c r="V62" i="14"/>
  <c r="W62" i="14"/>
  <c r="X62" i="14"/>
  <c r="Y62" i="14"/>
  <c r="Z62" i="14"/>
  <c r="AB62" i="14"/>
  <c r="AC62" i="14"/>
  <c r="AE62" i="14"/>
  <c r="AF62" i="14"/>
  <c r="AH62" i="14"/>
  <c r="AG62" i="14"/>
  <c r="AM62" i="14"/>
  <c r="AN62" i="14"/>
  <c r="AO62" i="14"/>
  <c r="AP62" i="14"/>
  <c r="AQ62" i="14"/>
  <c r="AR62" i="14"/>
  <c r="AS62" i="14"/>
  <c r="BL62" i="14"/>
  <c r="BK62" i="14"/>
  <c r="BJ62" i="14"/>
  <c r="AV3" i="14" l="1"/>
  <c r="AU3" i="14"/>
  <c r="AT3" i="14"/>
  <c r="AW3" i="14"/>
  <c r="B39" i="14"/>
  <c r="B58" i="14"/>
  <c r="B59" i="14"/>
  <c r="B60" i="14"/>
  <c r="B61" i="14"/>
  <c r="B62" i="14"/>
  <c r="AU141" i="2" l="1"/>
  <c r="A3" i="14" s="1"/>
  <c r="BL7" i="14" l="1"/>
  <c r="BL56" i="14" l="1"/>
  <c r="BL48" i="14"/>
  <c r="BL40" i="14"/>
  <c r="BL31" i="14"/>
  <c r="BL23" i="14"/>
  <c r="BL15" i="14"/>
  <c r="BL55" i="14"/>
  <c r="BL47" i="14"/>
  <c r="BL38" i="14"/>
  <c r="BL30" i="14"/>
  <c r="BL22" i="14"/>
  <c r="BL14" i="14"/>
  <c r="BL54" i="14"/>
  <c r="BL46" i="14"/>
  <c r="BL37" i="14"/>
  <c r="BL29" i="14"/>
  <c r="BL21" i="14"/>
  <c r="BL13" i="14"/>
  <c r="BL53" i="14"/>
  <c r="BL45" i="14"/>
  <c r="BL36" i="14"/>
  <c r="BL28" i="14"/>
  <c r="BL20" i="14"/>
  <c r="BL12" i="14"/>
  <c r="BL52" i="14"/>
  <c r="BL44" i="14"/>
  <c r="BL35" i="14"/>
  <c r="BL27" i="14"/>
  <c r="BL19" i="14"/>
  <c r="BL11" i="14"/>
  <c r="BL51" i="14"/>
  <c r="BL43" i="14"/>
  <c r="BL34" i="14"/>
  <c r="BL26" i="14"/>
  <c r="BL18" i="14"/>
  <c r="BL10" i="14"/>
  <c r="BL6" i="14"/>
  <c r="BL50" i="14"/>
  <c r="BL42" i="14"/>
  <c r="BL33" i="14"/>
  <c r="BL25" i="14"/>
  <c r="BL17" i="14"/>
  <c r="BL9" i="14"/>
  <c r="BL57" i="14"/>
  <c r="BL49" i="14"/>
  <c r="BL41" i="14"/>
  <c r="BL32" i="14"/>
  <c r="BL24" i="14"/>
  <c r="BL16" i="14"/>
  <c r="BL3" i="14" l="1"/>
  <c r="S7" i="14"/>
  <c r="S56" i="14" l="1"/>
  <c r="S48" i="14"/>
  <c r="S40" i="14"/>
  <c r="S31" i="14"/>
  <c r="S23" i="14"/>
  <c r="S15" i="14"/>
  <c r="S55" i="14"/>
  <c r="S47" i="14"/>
  <c r="S38" i="14"/>
  <c r="S30" i="14"/>
  <c r="S22" i="14"/>
  <c r="S14" i="14"/>
  <c r="S54" i="14"/>
  <c r="S46" i="14"/>
  <c r="S37" i="14"/>
  <c r="S29" i="14"/>
  <c r="S21" i="14"/>
  <c r="S13" i="14"/>
  <c r="S53" i="14"/>
  <c r="S45" i="14"/>
  <c r="S36" i="14"/>
  <c r="S28" i="14"/>
  <c r="S20" i="14"/>
  <c r="S12" i="14"/>
  <c r="S52" i="14"/>
  <c r="S44" i="14"/>
  <c r="S35" i="14"/>
  <c r="S27" i="14"/>
  <c r="S19" i="14"/>
  <c r="S11" i="14"/>
  <c r="S51" i="14"/>
  <c r="S43" i="14"/>
  <c r="S34" i="14"/>
  <c r="S26" i="14"/>
  <c r="S18" i="14"/>
  <c r="S10" i="14"/>
  <c r="S50" i="14"/>
  <c r="S42" i="14"/>
  <c r="S33" i="14"/>
  <c r="S25" i="14"/>
  <c r="S17" i="14"/>
  <c r="S9" i="14"/>
  <c r="S57" i="14"/>
  <c r="S49" i="14"/>
  <c r="S41" i="14"/>
  <c r="S32" i="14"/>
  <c r="S24" i="14"/>
  <c r="S16" i="14"/>
  <c r="Z111" i="15"/>
  <c r="Z131" i="15"/>
  <c r="Z130" i="15"/>
  <c r="Z129" i="15"/>
  <c r="Z110" i="15"/>
  <c r="Z109" i="15"/>
  <c r="Z128" i="15"/>
  <c r="Z108" i="15"/>
  <c r="Z127" i="15"/>
  <c r="Z126" i="15"/>
  <c r="Z125" i="15"/>
  <c r="Z124" i="15"/>
  <c r="Z123" i="15"/>
  <c r="Z107" i="15"/>
  <c r="Z106" i="15"/>
  <c r="Z122" i="15"/>
  <c r="Z105" i="15"/>
  <c r="Z121" i="15"/>
  <c r="Z104" i="15"/>
  <c r="Z120" i="15"/>
  <c r="Z119" i="15"/>
  <c r="Z118" i="15"/>
  <c r="Z117" i="15"/>
  <c r="Z103" i="15"/>
  <c r="Z102" i="15"/>
  <c r="Z101" i="15"/>
  <c r="Z100" i="15"/>
  <c r="Z116" i="15"/>
  <c r="Z99" i="15"/>
  <c r="Z115" i="15"/>
  <c r="Z98" i="15"/>
  <c r="Z97" i="15"/>
  <c r="Z96" i="15"/>
  <c r="Z95" i="15"/>
  <c r="Z94" i="15"/>
  <c r="Z93" i="15"/>
  <c r="Z92" i="15"/>
  <c r="Z91" i="15"/>
  <c r="Z90" i="15"/>
  <c r="Z89" i="15"/>
  <c r="Z88" i="15"/>
  <c r="Z87" i="15"/>
  <c r="Z86" i="15"/>
  <c r="Z85" i="15"/>
  <c r="Z84" i="15"/>
  <c r="Z83" i="15"/>
  <c r="Z82" i="15"/>
  <c r="Z81" i="15"/>
  <c r="Z80" i="15"/>
  <c r="Z79" i="15"/>
  <c r="Z78" i="15"/>
  <c r="Z77" i="15"/>
  <c r="Z76" i="15"/>
  <c r="Z75" i="15"/>
  <c r="Z74" i="15"/>
  <c r="Z73" i="15"/>
  <c r="Z72" i="15"/>
  <c r="Z71" i="15"/>
  <c r="Z70" i="15"/>
  <c r="Z69" i="15"/>
  <c r="Z68" i="15"/>
  <c r="Z67" i="15"/>
  <c r="Z66" i="15"/>
  <c r="Z65" i="15"/>
  <c r="Z64" i="15"/>
  <c r="Z63" i="15"/>
  <c r="Z62" i="15"/>
  <c r="Z61" i="15"/>
  <c r="Z60" i="15"/>
  <c r="Z59" i="15"/>
  <c r="Z58" i="15"/>
  <c r="Z57" i="15"/>
  <c r="Z56" i="15"/>
  <c r="Z55" i="15"/>
  <c r="Z54" i="15"/>
  <c r="Z53" i="15"/>
  <c r="Z114" i="15"/>
  <c r="Z113" i="15"/>
  <c r="Z112" i="15"/>
  <c r="Z52" i="15"/>
  <c r="Z51" i="15"/>
  <c r="Z50" i="15"/>
  <c r="Z49" i="15"/>
  <c r="Z48" i="15"/>
  <c r="Z47" i="15"/>
  <c r="Z46" i="15"/>
  <c r="Z45" i="15"/>
  <c r="Z44" i="15"/>
  <c r="Z43" i="15"/>
  <c r="Z42" i="15"/>
  <c r="Z41" i="15"/>
  <c r="Z40" i="15"/>
  <c r="Z39" i="15"/>
  <c r="Z38" i="15"/>
  <c r="Z37" i="15"/>
  <c r="Z36" i="15"/>
  <c r="Z35" i="15"/>
  <c r="Z34" i="15"/>
  <c r="Z33" i="15"/>
  <c r="Z32" i="15"/>
  <c r="Z31" i="15"/>
  <c r="Z30" i="15"/>
  <c r="Z29" i="15"/>
  <c r="Z28" i="15"/>
  <c r="Z27" i="15"/>
  <c r="Z26" i="15"/>
  <c r="Z25" i="15"/>
  <c r="Z24" i="15"/>
  <c r="Z23" i="15"/>
  <c r="Z22" i="15"/>
  <c r="Z21" i="15"/>
  <c r="Z20" i="15"/>
  <c r="Z19" i="15"/>
  <c r="Z18" i="15"/>
  <c r="Z17" i="15"/>
  <c r="Z16" i="15"/>
  <c r="Z15" i="15"/>
  <c r="Z14" i="15"/>
  <c r="Z13" i="15"/>
  <c r="Z12" i="15"/>
  <c r="Z11" i="15"/>
  <c r="Z10" i="15"/>
  <c r="Z9" i="15"/>
  <c r="Z8" i="15"/>
  <c r="Z7" i="15"/>
  <c r="Z6" i="15"/>
  <c r="T57" i="14"/>
  <c r="T56" i="14"/>
  <c r="T55" i="14"/>
  <c r="T54" i="14"/>
  <c r="T53" i="14"/>
  <c r="T52" i="14"/>
  <c r="T51" i="14"/>
  <c r="T50" i="14"/>
  <c r="T49" i="14"/>
  <c r="T48" i="14"/>
  <c r="T47" i="14"/>
  <c r="T46" i="14"/>
  <c r="T45" i="14"/>
  <c r="T44" i="14"/>
  <c r="T43" i="14"/>
  <c r="T42" i="14"/>
  <c r="T41" i="14"/>
  <c r="T40" i="14"/>
  <c r="T38" i="14"/>
  <c r="T37" i="14"/>
  <c r="T36" i="14"/>
  <c r="T35" i="14"/>
  <c r="T34" i="14"/>
  <c r="T33" i="14"/>
  <c r="T32" i="14"/>
  <c r="T31" i="14"/>
  <c r="T30" i="14"/>
  <c r="T29" i="14"/>
  <c r="T28" i="14"/>
  <c r="T27" i="14"/>
  <c r="T26" i="14"/>
  <c r="T25" i="14"/>
  <c r="T24" i="14"/>
  <c r="T23" i="14"/>
  <c r="T22" i="14"/>
  <c r="T21" i="14"/>
  <c r="T20" i="14"/>
  <c r="T19" i="14"/>
  <c r="T18" i="14"/>
  <c r="T17" i="14"/>
  <c r="T16" i="14"/>
  <c r="T15" i="14"/>
  <c r="T14" i="14"/>
  <c r="T13" i="14"/>
  <c r="T12" i="14"/>
  <c r="T11" i="14"/>
  <c r="T10" i="14"/>
  <c r="T9" i="14"/>
  <c r="T7" i="14"/>
  <c r="W57" i="14"/>
  <c r="W56" i="14"/>
  <c r="W55" i="14"/>
  <c r="W54" i="14"/>
  <c r="W53" i="14"/>
  <c r="W52" i="14"/>
  <c r="W51" i="14"/>
  <c r="W50" i="14"/>
  <c r="W49" i="14"/>
  <c r="W48" i="14"/>
  <c r="W47" i="14"/>
  <c r="W46" i="14"/>
  <c r="W45" i="14"/>
  <c r="W44" i="14"/>
  <c r="W43" i="14"/>
  <c r="W42" i="14"/>
  <c r="W41" i="14"/>
  <c r="W40" i="14"/>
  <c r="W38" i="14"/>
  <c r="W37" i="14"/>
  <c r="W36" i="14"/>
  <c r="W35" i="14"/>
  <c r="W34" i="14"/>
  <c r="W33" i="14"/>
  <c r="W32" i="14"/>
  <c r="W31" i="14"/>
  <c r="W30" i="14"/>
  <c r="W29" i="14"/>
  <c r="W28" i="14"/>
  <c r="W27" i="14"/>
  <c r="W26" i="14"/>
  <c r="W25" i="14"/>
  <c r="W24" i="14"/>
  <c r="W23" i="14"/>
  <c r="W22" i="14"/>
  <c r="W21" i="14"/>
  <c r="W20" i="14"/>
  <c r="W19" i="14"/>
  <c r="W18" i="14"/>
  <c r="W17" i="14"/>
  <c r="W16" i="14"/>
  <c r="W15" i="14"/>
  <c r="W14" i="14"/>
  <c r="W13" i="14"/>
  <c r="W12" i="14"/>
  <c r="W11" i="14"/>
  <c r="W10" i="14"/>
  <c r="W9" i="14"/>
  <c r="W7" i="14"/>
  <c r="V7" i="14"/>
  <c r="V9" i="14"/>
  <c r="V10" i="14"/>
  <c r="V11" i="14"/>
  <c r="V12" i="14"/>
  <c r="V13" i="14"/>
  <c r="V14" i="14"/>
  <c r="V15" i="14"/>
  <c r="V16" i="14"/>
  <c r="V17" i="14"/>
  <c r="V18" i="14"/>
  <c r="V19" i="14"/>
  <c r="V20" i="14"/>
  <c r="V21" i="14"/>
  <c r="V22" i="14"/>
  <c r="V23" i="14"/>
  <c r="V24" i="14"/>
  <c r="V25" i="14"/>
  <c r="V26" i="14"/>
  <c r="V27" i="14"/>
  <c r="V28" i="14"/>
  <c r="V29" i="14"/>
  <c r="V30" i="14"/>
  <c r="V31" i="14"/>
  <c r="V32" i="14"/>
  <c r="V33" i="14"/>
  <c r="V34" i="14"/>
  <c r="V35" i="14"/>
  <c r="V36" i="14"/>
  <c r="V37" i="14"/>
  <c r="V38" i="14"/>
  <c r="V40" i="14"/>
  <c r="V41" i="14"/>
  <c r="V42" i="14"/>
  <c r="V43" i="14"/>
  <c r="V44" i="14"/>
  <c r="V45" i="14"/>
  <c r="V46" i="14"/>
  <c r="V47" i="14"/>
  <c r="V48" i="14"/>
  <c r="V49" i="14"/>
  <c r="V50" i="14"/>
  <c r="V51" i="14"/>
  <c r="V52" i="14"/>
  <c r="V53" i="14"/>
  <c r="V54" i="14"/>
  <c r="V55" i="14"/>
  <c r="V56" i="14"/>
  <c r="V57" i="14"/>
  <c r="T3" i="14" l="1"/>
  <c r="V3" i="14"/>
  <c r="S3" i="14"/>
  <c r="W3" i="14"/>
  <c r="AD129" i="15"/>
  <c r="AC15" i="15"/>
  <c r="AE33" i="15"/>
  <c r="AE49" i="15"/>
  <c r="AD59" i="15"/>
  <c r="AE91" i="15"/>
  <c r="AD101" i="15"/>
  <c r="AD7" i="15"/>
  <c r="AC10" i="15"/>
  <c r="AE12" i="15"/>
  <c r="AD15" i="15"/>
  <c r="AC18" i="15"/>
  <c r="AE20" i="15"/>
  <c r="AD23" i="15"/>
  <c r="AC26" i="15"/>
  <c r="AE28" i="15"/>
  <c r="AD31" i="15"/>
  <c r="AC34" i="15"/>
  <c r="AE36" i="15"/>
  <c r="AD39" i="15"/>
  <c r="AC42" i="15"/>
  <c r="AE44" i="15"/>
  <c r="AD47" i="15"/>
  <c r="AC50" i="15"/>
  <c r="AE52" i="15"/>
  <c r="AD114" i="15"/>
  <c r="AC57" i="15"/>
  <c r="AE59" i="15"/>
  <c r="AD62" i="15"/>
  <c r="AE64" i="15"/>
  <c r="AD67" i="15"/>
  <c r="AC70" i="15"/>
  <c r="AD73" i="15"/>
  <c r="AC76" i="15"/>
  <c r="AE78" i="15"/>
  <c r="AD81" i="15"/>
  <c r="AC84" i="15"/>
  <c r="AE86" i="15"/>
  <c r="AD89" i="15"/>
  <c r="AC92" i="15"/>
  <c r="AE94" i="15"/>
  <c r="AD97" i="15"/>
  <c r="AD99" i="15"/>
  <c r="AC116" i="15"/>
  <c r="AE101" i="15"/>
  <c r="AE104" i="15"/>
  <c r="AD105" i="15"/>
  <c r="AC107" i="15"/>
  <c r="AD125" i="15"/>
  <c r="AC108" i="15"/>
  <c r="AE129" i="15"/>
  <c r="AE111" i="15"/>
  <c r="AE9" i="15"/>
  <c r="AD28" i="15"/>
  <c r="AD44" i="15"/>
  <c r="AC62" i="15"/>
  <c r="AC73" i="15"/>
  <c r="AD86" i="15"/>
  <c r="AE118" i="15"/>
  <c r="AC105" i="15"/>
  <c r="AE7" i="15"/>
  <c r="AD10" i="15"/>
  <c r="AC13" i="15"/>
  <c r="AE15" i="15"/>
  <c r="AD18" i="15"/>
  <c r="AC21" i="15"/>
  <c r="AE23" i="15"/>
  <c r="AD26" i="15"/>
  <c r="AC29" i="15"/>
  <c r="AE31" i="15"/>
  <c r="AD34" i="15"/>
  <c r="AC37" i="15"/>
  <c r="AE39" i="15"/>
  <c r="AD42" i="15"/>
  <c r="AC45" i="15"/>
  <c r="AE47" i="15"/>
  <c r="AD50" i="15"/>
  <c r="AC112" i="15"/>
  <c r="AE114" i="15"/>
  <c r="AC53" i="15"/>
  <c r="AD57" i="15"/>
  <c r="AC60" i="15"/>
  <c r="AE62" i="15"/>
  <c r="AC65" i="15"/>
  <c r="AE67" i="15"/>
  <c r="AD70" i="15"/>
  <c r="AC71" i="15"/>
  <c r="AE73" i="15"/>
  <c r="AD76" i="15"/>
  <c r="AC79" i="15"/>
  <c r="AE81" i="15"/>
  <c r="AD84" i="15"/>
  <c r="AC87" i="15"/>
  <c r="AE89" i="15"/>
  <c r="AD92" i="15"/>
  <c r="AC95" i="15"/>
  <c r="AE97" i="15"/>
  <c r="AE99" i="15"/>
  <c r="AD116" i="15"/>
  <c r="AC102" i="15"/>
  <c r="AC121" i="15"/>
  <c r="AE105" i="15"/>
  <c r="AD107" i="15"/>
  <c r="AE125" i="15"/>
  <c r="AD108" i="15"/>
  <c r="AC130" i="15"/>
  <c r="AD20" i="15"/>
  <c r="AE41" i="15"/>
  <c r="AD64" i="15"/>
  <c r="AD78" i="15"/>
  <c r="AD94" i="15"/>
  <c r="AE119" i="15"/>
  <c r="AE127" i="15"/>
  <c r="AC8" i="15"/>
  <c r="AE10" i="15"/>
  <c r="AD13" i="15"/>
  <c r="AC16" i="15"/>
  <c r="AE18" i="15"/>
  <c r="AD21" i="15"/>
  <c r="AC24" i="15"/>
  <c r="AE26" i="15"/>
  <c r="AD29" i="15"/>
  <c r="AC32" i="15"/>
  <c r="AE34" i="15"/>
  <c r="AD37" i="15"/>
  <c r="AC40" i="15"/>
  <c r="AE42" i="15"/>
  <c r="AD45" i="15"/>
  <c r="AC48" i="15"/>
  <c r="AE50" i="15"/>
  <c r="AD112" i="15"/>
  <c r="AD53" i="15"/>
  <c r="AC55" i="15"/>
  <c r="AE57" i="15"/>
  <c r="AD60" i="15"/>
  <c r="AD65" i="15"/>
  <c r="AC68" i="15"/>
  <c r="AE70" i="15"/>
  <c r="AD71" i="15"/>
  <c r="AC74" i="15"/>
  <c r="AE76" i="15"/>
  <c r="AD79" i="15"/>
  <c r="AC82" i="15"/>
  <c r="AE84" i="15"/>
  <c r="AD87" i="15"/>
  <c r="AC90" i="15"/>
  <c r="AE92" i="15"/>
  <c r="AD95" i="15"/>
  <c r="AE116" i="15"/>
  <c r="AD102" i="15"/>
  <c r="AC117" i="15"/>
  <c r="AD121" i="15"/>
  <c r="AC122" i="15"/>
  <c r="AE107" i="15"/>
  <c r="AC126" i="15"/>
  <c r="AE108" i="15"/>
  <c r="AC109" i="15"/>
  <c r="AD130" i="15"/>
  <c r="AE17" i="15"/>
  <c r="AD36" i="15"/>
  <c r="AC67" i="15"/>
  <c r="AE83" i="15"/>
  <c r="AC97" i="15"/>
  <c r="AD111" i="15"/>
  <c r="AD8" i="15"/>
  <c r="AC11" i="15"/>
  <c r="AE13" i="15"/>
  <c r="AD16" i="15"/>
  <c r="AC19" i="15"/>
  <c r="AE21" i="15"/>
  <c r="AD24" i="15"/>
  <c r="AC27" i="15"/>
  <c r="AE29" i="15"/>
  <c r="AD32" i="15"/>
  <c r="AC35" i="15"/>
  <c r="AE37" i="15"/>
  <c r="AD40" i="15"/>
  <c r="AC43" i="15"/>
  <c r="AE45" i="15"/>
  <c r="AD48" i="15"/>
  <c r="AC51" i="15"/>
  <c r="AE112" i="15"/>
  <c r="AE53" i="15"/>
  <c r="AD55" i="15"/>
  <c r="AC58" i="15"/>
  <c r="AE60" i="15"/>
  <c r="AC63" i="15"/>
  <c r="AE65" i="15"/>
  <c r="AD68" i="15"/>
  <c r="AE71" i="15"/>
  <c r="AD74" i="15"/>
  <c r="AC77" i="15"/>
  <c r="AE79" i="15"/>
  <c r="AD82" i="15"/>
  <c r="AC85" i="15"/>
  <c r="AE87" i="15"/>
  <c r="AD90" i="15"/>
  <c r="AC93" i="15"/>
  <c r="AE95" i="15"/>
  <c r="AC98" i="15"/>
  <c r="AC100" i="15"/>
  <c r="AE102" i="15"/>
  <c r="AD117" i="15"/>
  <c r="AC120" i="15"/>
  <c r="AE121" i="15"/>
  <c r="AD122" i="15"/>
  <c r="AC123" i="15"/>
  <c r="AD126" i="15"/>
  <c r="AC128" i="15"/>
  <c r="AD109" i="15"/>
  <c r="AE130" i="15"/>
  <c r="AC131" i="15"/>
  <c r="AE25" i="15"/>
  <c r="AD52" i="15"/>
  <c r="AD104" i="15"/>
  <c r="AF117" i="15"/>
  <c r="AC6" i="15"/>
  <c r="AE8" i="15"/>
  <c r="AD11" i="15"/>
  <c r="AC14" i="15"/>
  <c r="AE16" i="15"/>
  <c r="AD19" i="15"/>
  <c r="AC22" i="15"/>
  <c r="AE24" i="15"/>
  <c r="AD27" i="15"/>
  <c r="AC30" i="15"/>
  <c r="AE32" i="15"/>
  <c r="AD35" i="15"/>
  <c r="AC38" i="15"/>
  <c r="AE40" i="15"/>
  <c r="AD43" i="15"/>
  <c r="AC46" i="15"/>
  <c r="AE48" i="15"/>
  <c r="AD51" i="15"/>
  <c r="AC113" i="15"/>
  <c r="AC54" i="15"/>
  <c r="AE55" i="15"/>
  <c r="AD58" i="15"/>
  <c r="AC61" i="15"/>
  <c r="AD63" i="15"/>
  <c r="AC66" i="15"/>
  <c r="AE68" i="15"/>
  <c r="AC72" i="15"/>
  <c r="AE74" i="15"/>
  <c r="AD77" i="15"/>
  <c r="AC80" i="15"/>
  <c r="AE82" i="15"/>
  <c r="AD85" i="15"/>
  <c r="AC88" i="15"/>
  <c r="AE90" i="15"/>
  <c r="AD93" i="15"/>
  <c r="AC96" i="15"/>
  <c r="AD98" i="15"/>
  <c r="AC115" i="15"/>
  <c r="AD100" i="15"/>
  <c r="AC103" i="15"/>
  <c r="AE117" i="15"/>
  <c r="AD120" i="15"/>
  <c r="AE122" i="15"/>
  <c r="AD123" i="15"/>
  <c r="AC124" i="15"/>
  <c r="AE126" i="15"/>
  <c r="AD128" i="15"/>
  <c r="AE109" i="15"/>
  <c r="AC110" i="15"/>
  <c r="AD131" i="15"/>
  <c r="AC7" i="15"/>
  <c r="AC23" i="15"/>
  <c r="AC39" i="15"/>
  <c r="AC114" i="15"/>
  <c r="AE56" i="15"/>
  <c r="AE69" i="15"/>
  <c r="AC81" i="15"/>
  <c r="AC125" i="15"/>
  <c r="AD6" i="15"/>
  <c r="AC9" i="15"/>
  <c r="AE11" i="15"/>
  <c r="AD14" i="15"/>
  <c r="AC17" i="15"/>
  <c r="AE19" i="15"/>
  <c r="AD22" i="15"/>
  <c r="AC25" i="15"/>
  <c r="AE27" i="15"/>
  <c r="AD30" i="15"/>
  <c r="AC33" i="15"/>
  <c r="AE35" i="15"/>
  <c r="AD38" i="15"/>
  <c r="AC41" i="15"/>
  <c r="AE43" i="15"/>
  <c r="AD46" i="15"/>
  <c r="AC49" i="15"/>
  <c r="AE51" i="15"/>
  <c r="AD113" i="15"/>
  <c r="AD54" i="15"/>
  <c r="AC56" i="15"/>
  <c r="AE58" i="15"/>
  <c r="AD61" i="15"/>
  <c r="AE63" i="15"/>
  <c r="AD66" i="15"/>
  <c r="AC69" i="15"/>
  <c r="AD72" i="15"/>
  <c r="AC75" i="15"/>
  <c r="AE77" i="15"/>
  <c r="AD80" i="15"/>
  <c r="AC83" i="15"/>
  <c r="AE85" i="15"/>
  <c r="AD88" i="15"/>
  <c r="AC91" i="15"/>
  <c r="AE93" i="15"/>
  <c r="AD96" i="15"/>
  <c r="AE98" i="15"/>
  <c r="AD115" i="15"/>
  <c r="AE100" i="15"/>
  <c r="AD103" i="15"/>
  <c r="AC118" i="15"/>
  <c r="AC119" i="15"/>
  <c r="AE120" i="15"/>
  <c r="AC106" i="15"/>
  <c r="AE123" i="15"/>
  <c r="AD124" i="15"/>
  <c r="AC127" i="15"/>
  <c r="AE128" i="15"/>
  <c r="AD110" i="15"/>
  <c r="AE131" i="15"/>
  <c r="AD12" i="15"/>
  <c r="AC31" i="15"/>
  <c r="AC47" i="15"/>
  <c r="AE75" i="15"/>
  <c r="AC89" i="15"/>
  <c r="AC99" i="15"/>
  <c r="AE106" i="15"/>
  <c r="AE6" i="15"/>
  <c r="AD9" i="15"/>
  <c r="AC12" i="15"/>
  <c r="AE14" i="15"/>
  <c r="AD17" i="15"/>
  <c r="AC20" i="15"/>
  <c r="AE22" i="15"/>
  <c r="AD25" i="15"/>
  <c r="AC28" i="15"/>
  <c r="AE30" i="15"/>
  <c r="AD33" i="15"/>
  <c r="AC36" i="15"/>
  <c r="AE38" i="15"/>
  <c r="AD41" i="15"/>
  <c r="AC44" i="15"/>
  <c r="AE46" i="15"/>
  <c r="AD49" i="15"/>
  <c r="AC52" i="15"/>
  <c r="AE113" i="15"/>
  <c r="AE54" i="15"/>
  <c r="AD56" i="15"/>
  <c r="AC59" i="15"/>
  <c r="AE61" i="15"/>
  <c r="AC64" i="15"/>
  <c r="AE66" i="15"/>
  <c r="AD69" i="15"/>
  <c r="AE72" i="15"/>
  <c r="AD75" i="15"/>
  <c r="AC78" i="15"/>
  <c r="AE80" i="15"/>
  <c r="AD83" i="15"/>
  <c r="AC86" i="15"/>
  <c r="AE88" i="15"/>
  <c r="AD91" i="15"/>
  <c r="AC94" i="15"/>
  <c r="AE96" i="15"/>
  <c r="AE115" i="15"/>
  <c r="AC101" i="15"/>
  <c r="AE103" i="15"/>
  <c r="AD118" i="15"/>
  <c r="AD119" i="15"/>
  <c r="AC104" i="15"/>
  <c r="AD106" i="15"/>
  <c r="AE124" i="15"/>
  <c r="AD127" i="15"/>
  <c r="AE110" i="15"/>
  <c r="AC129" i="15"/>
  <c r="AC111" i="15"/>
  <c r="AF23" i="15"/>
  <c r="AF62" i="15"/>
  <c r="AF99" i="15"/>
  <c r="AF125" i="15"/>
  <c r="AF8" i="15"/>
  <c r="AF16" i="15"/>
  <c r="AF24" i="15"/>
  <c r="AF32" i="15"/>
  <c r="AF40" i="15"/>
  <c r="AF48" i="15"/>
  <c r="AF55" i="15"/>
  <c r="AF68" i="15"/>
  <c r="AF74" i="15"/>
  <c r="AF82" i="15"/>
  <c r="AF90" i="15"/>
  <c r="AF122" i="15"/>
  <c r="AF126" i="15"/>
  <c r="AF109" i="15"/>
  <c r="AF89" i="15"/>
  <c r="AF9" i="15"/>
  <c r="AF17" i="15"/>
  <c r="AF25" i="15"/>
  <c r="AF33" i="15"/>
  <c r="AF41" i="15"/>
  <c r="AF49" i="15"/>
  <c r="AF56" i="15"/>
  <c r="AF69" i="15"/>
  <c r="AF75" i="15"/>
  <c r="AF83" i="15"/>
  <c r="AF91" i="15"/>
  <c r="AF118" i="15"/>
  <c r="AF119" i="15"/>
  <c r="AF106" i="15"/>
  <c r="AF127" i="15"/>
  <c r="AF39" i="15"/>
  <c r="AF67" i="15"/>
  <c r="AF10" i="15"/>
  <c r="AF18" i="15"/>
  <c r="AF26" i="15"/>
  <c r="AF34" i="15"/>
  <c r="AF42" i="15"/>
  <c r="AF50" i="15"/>
  <c r="AF57" i="15"/>
  <c r="AF70" i="15"/>
  <c r="AF76" i="15"/>
  <c r="AF84" i="15"/>
  <c r="AF92" i="15"/>
  <c r="AF116" i="15"/>
  <c r="AF107" i="15"/>
  <c r="AF108" i="15"/>
  <c r="AF31" i="15"/>
  <c r="AF11" i="15"/>
  <c r="AF19" i="15"/>
  <c r="AF27" i="15"/>
  <c r="AF35" i="15"/>
  <c r="AF43" i="15"/>
  <c r="AF51" i="15"/>
  <c r="AF58" i="15"/>
  <c r="AF63" i="15"/>
  <c r="AF77" i="15"/>
  <c r="AF85" i="15"/>
  <c r="AF93" i="15"/>
  <c r="AF98" i="15"/>
  <c r="AF100" i="15"/>
  <c r="AF120" i="15"/>
  <c r="AF123" i="15"/>
  <c r="AF128" i="15"/>
  <c r="AF131" i="15"/>
  <c r="AF7" i="15"/>
  <c r="AF97" i="15"/>
  <c r="AF105" i="15"/>
  <c r="AF12" i="15"/>
  <c r="AF20" i="15"/>
  <c r="AF28" i="15"/>
  <c r="AF36" i="15"/>
  <c r="AF44" i="15"/>
  <c r="AF52" i="15"/>
  <c r="AF59" i="15"/>
  <c r="AF64" i="15"/>
  <c r="AF78" i="15"/>
  <c r="AF86" i="15"/>
  <c r="AF94" i="15"/>
  <c r="AF101" i="15"/>
  <c r="AF104" i="15"/>
  <c r="AF129" i="15"/>
  <c r="AF111" i="15"/>
  <c r="AF15" i="15"/>
  <c r="AF114" i="15"/>
  <c r="AF81" i="15"/>
  <c r="AF13" i="15"/>
  <c r="AF21" i="15"/>
  <c r="AF29" i="15"/>
  <c r="AF37" i="15"/>
  <c r="AF45" i="15"/>
  <c r="AF112" i="15"/>
  <c r="AF53" i="15"/>
  <c r="AF60" i="15"/>
  <c r="AF65" i="15"/>
  <c r="AF71" i="15"/>
  <c r="AF79" i="15"/>
  <c r="AF87" i="15"/>
  <c r="AF95" i="15"/>
  <c r="AF102" i="15"/>
  <c r="AF121" i="15"/>
  <c r="AF130" i="15"/>
  <c r="AF47" i="15"/>
  <c r="AF73" i="15"/>
  <c r="AF6" i="15"/>
  <c r="AF14" i="15"/>
  <c r="AF22" i="15"/>
  <c r="AF30" i="15"/>
  <c r="AF38" i="15"/>
  <c r="AF46" i="15"/>
  <c r="AF113" i="15"/>
  <c r="AF54" i="15"/>
  <c r="AF61" i="15"/>
  <c r="AF66" i="15"/>
  <c r="AF72" i="15"/>
  <c r="AF80" i="15"/>
  <c r="AF88" i="15"/>
  <c r="AF96" i="15"/>
  <c r="AF115" i="15"/>
  <c r="AF103" i="15"/>
  <c r="AF124" i="15"/>
  <c r="AF110" i="15"/>
  <c r="AB56" i="15"/>
  <c r="AB7" i="15"/>
  <c r="AB15" i="15"/>
  <c r="AB23" i="15"/>
  <c r="AB31" i="15"/>
  <c r="AB39" i="15"/>
  <c r="AB47" i="15"/>
  <c r="AB114" i="15"/>
  <c r="AB62" i="15"/>
  <c r="AB67" i="15"/>
  <c r="AB73" i="15"/>
  <c r="AB81" i="15"/>
  <c r="AB89" i="15"/>
  <c r="AB97" i="15"/>
  <c r="AB99" i="15"/>
  <c r="AB105" i="15"/>
  <c r="AB125" i="15"/>
  <c r="AB8" i="15"/>
  <c r="AB16" i="15"/>
  <c r="AB24" i="15"/>
  <c r="AB32" i="15"/>
  <c r="AB40" i="15"/>
  <c r="AB48" i="15"/>
  <c r="AB55" i="15"/>
  <c r="AB68" i="15"/>
  <c r="AB74" i="15"/>
  <c r="AB82" i="15"/>
  <c r="AB90" i="15"/>
  <c r="AB117" i="15"/>
  <c r="AB122" i="15"/>
  <c r="AB126" i="15"/>
  <c r="AB109" i="15"/>
  <c r="AB9" i="15"/>
  <c r="AB33" i="15"/>
  <c r="AB69" i="15"/>
  <c r="AB75" i="15"/>
  <c r="AB83" i="15"/>
  <c r="AB119" i="15"/>
  <c r="AB106" i="15"/>
  <c r="AB127" i="15"/>
  <c r="AB10" i="15"/>
  <c r="AB18" i="15"/>
  <c r="AB26" i="15"/>
  <c r="AB34" i="15"/>
  <c r="AB42" i="15"/>
  <c r="AB50" i="15"/>
  <c r="AB57" i="15"/>
  <c r="AB70" i="15"/>
  <c r="AB76" i="15"/>
  <c r="AB84" i="15"/>
  <c r="AB92" i="15"/>
  <c r="AB116" i="15"/>
  <c r="AB107" i="15"/>
  <c r="AB108" i="15"/>
  <c r="AB49" i="15"/>
  <c r="AB91" i="15"/>
  <c r="AB11" i="15"/>
  <c r="AB19" i="15"/>
  <c r="AB27" i="15"/>
  <c r="AB35" i="15"/>
  <c r="AB43" i="15"/>
  <c r="AB51" i="15"/>
  <c r="AB58" i="15"/>
  <c r="AB63" i="15"/>
  <c r="AB77" i="15"/>
  <c r="AB85" i="15"/>
  <c r="AB93" i="15"/>
  <c r="AB98" i="15"/>
  <c r="AB100" i="15"/>
  <c r="AB120" i="15"/>
  <c r="AB123" i="15"/>
  <c r="AB128" i="15"/>
  <c r="AB131" i="15"/>
  <c r="AB41" i="15"/>
  <c r="AB12" i="15"/>
  <c r="AB20" i="15"/>
  <c r="AB28" i="15"/>
  <c r="AB36" i="15"/>
  <c r="AB44" i="15"/>
  <c r="AB52" i="15"/>
  <c r="AB59" i="15"/>
  <c r="AB64" i="15"/>
  <c r="AB78" i="15"/>
  <c r="AB86" i="15"/>
  <c r="AB94" i="15"/>
  <c r="AB101" i="15"/>
  <c r="AB104" i="15"/>
  <c r="AB129" i="15"/>
  <c r="AB111" i="15"/>
  <c r="AB17" i="15"/>
  <c r="AB13" i="15"/>
  <c r="AB21" i="15"/>
  <c r="AB29" i="15"/>
  <c r="AB37" i="15"/>
  <c r="AB45" i="15"/>
  <c r="AB112" i="15"/>
  <c r="AB53" i="15"/>
  <c r="AB60" i="15"/>
  <c r="AB65" i="15"/>
  <c r="AB71" i="15"/>
  <c r="AB79" i="15"/>
  <c r="AB87" i="15"/>
  <c r="AB95" i="15"/>
  <c r="AB102" i="15"/>
  <c r="AB121" i="15"/>
  <c r="AB130" i="15"/>
  <c r="AB25" i="15"/>
  <c r="AB118" i="15"/>
  <c r="AB6" i="15"/>
  <c r="AB14" i="15"/>
  <c r="AB22" i="15"/>
  <c r="AB30" i="15"/>
  <c r="AB38" i="15"/>
  <c r="AB46" i="15"/>
  <c r="AB113" i="15"/>
  <c r="AB54" i="15"/>
  <c r="AB61" i="15"/>
  <c r="AB66" i="15"/>
  <c r="AB72" i="15"/>
  <c r="AB80" i="15"/>
  <c r="AB88" i="15"/>
  <c r="AB96" i="15"/>
  <c r="AB115" i="15"/>
  <c r="AB103" i="15"/>
  <c r="AB124" i="15"/>
  <c r="AB110" i="15"/>
  <c r="AE56" i="14"/>
  <c r="AE3" i="15" l="1"/>
  <c r="AD3" i="15"/>
  <c r="AC3" i="15"/>
  <c r="AF3" i="15"/>
  <c r="AC54" i="14"/>
  <c r="AC46" i="14"/>
  <c r="AC37" i="14"/>
  <c r="AC29" i="14"/>
  <c r="AC21" i="14"/>
  <c r="AC57" i="14"/>
  <c r="AF52" i="14"/>
  <c r="AF48" i="14"/>
  <c r="AF44" i="14"/>
  <c r="AF40" i="14"/>
  <c r="AF35" i="14"/>
  <c r="AF31" i="14"/>
  <c r="AF27" i="14"/>
  <c r="AF23" i="14"/>
  <c r="AF19" i="14"/>
  <c r="AF15" i="14"/>
  <c r="AF11" i="14"/>
  <c r="AF6" i="14"/>
  <c r="AC53" i="14"/>
  <c r="AC45" i="14"/>
  <c r="AC36" i="14"/>
  <c r="AC28" i="14"/>
  <c r="AC20" i="14"/>
  <c r="AC56" i="14"/>
  <c r="AE52" i="14"/>
  <c r="AE48" i="14"/>
  <c r="AE44" i="14"/>
  <c r="AE40" i="14"/>
  <c r="AE35" i="14"/>
  <c r="AE31" i="14"/>
  <c r="AE27" i="14"/>
  <c r="AE23" i="14"/>
  <c r="AE19" i="14"/>
  <c r="AE15" i="14"/>
  <c r="AE11" i="14"/>
  <c r="AE6" i="14"/>
  <c r="AC52" i="14"/>
  <c r="AC44" i="14"/>
  <c r="AC35" i="14"/>
  <c r="AC27" i="14"/>
  <c r="AC19" i="14"/>
  <c r="AC11" i="14"/>
  <c r="AE55" i="14"/>
  <c r="AF51" i="14"/>
  <c r="AF47" i="14"/>
  <c r="AF43" i="14"/>
  <c r="AF38" i="14"/>
  <c r="AF34" i="14"/>
  <c r="AF30" i="14"/>
  <c r="AF26" i="14"/>
  <c r="AF22" i="14"/>
  <c r="AF18" i="14"/>
  <c r="AF14" i="14"/>
  <c r="AF10" i="14"/>
  <c r="AC51" i="14"/>
  <c r="AC43" i="14"/>
  <c r="AC34" i="14"/>
  <c r="AC26" i="14"/>
  <c r="AC18" i="14"/>
  <c r="AC10" i="14"/>
  <c r="AF55" i="14"/>
  <c r="AE51" i="14"/>
  <c r="AE47" i="14"/>
  <c r="AE43" i="14"/>
  <c r="AE38" i="14"/>
  <c r="AE34" i="14"/>
  <c r="AE30" i="14"/>
  <c r="AE26" i="14"/>
  <c r="AE22" i="14"/>
  <c r="AE18" i="14"/>
  <c r="AE14" i="14"/>
  <c r="AE10" i="14"/>
  <c r="AF57" i="14"/>
  <c r="AC50" i="14"/>
  <c r="AC25" i="14"/>
  <c r="AF54" i="14"/>
  <c r="AF46" i="14"/>
  <c r="AF42" i="14"/>
  <c r="AF37" i="14"/>
  <c r="AF33" i="14"/>
  <c r="AF29" i="14"/>
  <c r="AF21" i="14"/>
  <c r="AF17" i="14"/>
  <c r="AF9" i="14"/>
  <c r="AC49" i="14"/>
  <c r="AC41" i="14"/>
  <c r="AC32" i="14"/>
  <c r="AC24" i="14"/>
  <c r="AC16" i="14"/>
  <c r="AC7" i="14"/>
  <c r="AE54" i="14"/>
  <c r="AE50" i="14"/>
  <c r="AE46" i="14"/>
  <c r="AE42" i="14"/>
  <c r="AE37" i="14"/>
  <c r="AE33" i="14"/>
  <c r="AE29" i="14"/>
  <c r="AE25" i="14"/>
  <c r="AE21" i="14"/>
  <c r="AE17" i="14"/>
  <c r="AE13" i="14"/>
  <c r="AE9" i="14"/>
  <c r="AE57" i="14"/>
  <c r="AC42" i="14"/>
  <c r="AC17" i="14"/>
  <c r="AF50" i="14"/>
  <c r="AF13" i="14"/>
  <c r="AC48" i="14"/>
  <c r="AC40" i="14"/>
  <c r="AC31" i="14"/>
  <c r="AC23" i="14"/>
  <c r="AC15" i="14"/>
  <c r="AC6" i="14"/>
  <c r="AF53" i="14"/>
  <c r="AF49" i="14"/>
  <c r="AF45" i="14"/>
  <c r="AF41" i="14"/>
  <c r="AF36" i="14"/>
  <c r="AF32" i="14"/>
  <c r="AF28" i="14"/>
  <c r="AF24" i="14"/>
  <c r="AF20" i="14"/>
  <c r="AF16" i="14"/>
  <c r="AF12" i="14"/>
  <c r="AF7" i="14"/>
  <c r="AF56" i="14"/>
  <c r="AC33" i="14"/>
  <c r="AC9" i="14"/>
  <c r="AF25" i="14"/>
  <c r="AC55" i="14"/>
  <c r="AC47" i="14"/>
  <c r="AC38" i="14"/>
  <c r="AC30" i="14"/>
  <c r="AC22" i="14"/>
  <c r="AC14" i="14"/>
  <c r="AE53" i="14"/>
  <c r="AE49" i="14"/>
  <c r="AE45" i="14"/>
  <c r="AE41" i="14"/>
  <c r="AE36" i="14"/>
  <c r="AE32" i="14"/>
  <c r="AE28" i="14"/>
  <c r="AE24" i="14"/>
  <c r="AE20" i="14"/>
  <c r="AE16" i="14"/>
  <c r="AE12" i="14"/>
  <c r="AE7" i="14"/>
  <c r="BJ7" i="14"/>
  <c r="BJ9" i="14"/>
  <c r="BJ10" i="14"/>
  <c r="BJ11" i="14"/>
  <c r="BJ12" i="14"/>
  <c r="BJ13" i="14"/>
  <c r="BJ14" i="14"/>
  <c r="BJ15" i="14"/>
  <c r="BJ16" i="14"/>
  <c r="BJ17" i="14"/>
  <c r="BJ18" i="14"/>
  <c r="BJ19" i="14"/>
  <c r="BJ20" i="14"/>
  <c r="BJ21" i="14"/>
  <c r="BJ22" i="14"/>
  <c r="BJ23" i="14"/>
  <c r="BJ24" i="14"/>
  <c r="BJ25" i="14"/>
  <c r="BJ26" i="14"/>
  <c r="BJ27" i="14"/>
  <c r="BJ28" i="14"/>
  <c r="BJ29" i="14"/>
  <c r="BJ30" i="14"/>
  <c r="BJ31" i="14"/>
  <c r="BJ32" i="14"/>
  <c r="BJ33" i="14"/>
  <c r="BJ34" i="14"/>
  <c r="BJ35" i="14"/>
  <c r="BJ36" i="14"/>
  <c r="BJ37" i="14"/>
  <c r="BJ38" i="14"/>
  <c r="BJ40" i="14"/>
  <c r="BJ41" i="14"/>
  <c r="BJ42" i="14"/>
  <c r="BJ43" i="14"/>
  <c r="BJ44" i="14"/>
  <c r="BJ45" i="14"/>
  <c r="BJ46" i="14"/>
  <c r="BJ47" i="14"/>
  <c r="BJ48" i="14"/>
  <c r="BJ49" i="14"/>
  <c r="BJ50" i="14"/>
  <c r="BJ51" i="14"/>
  <c r="BJ52" i="14"/>
  <c r="BJ53" i="14"/>
  <c r="BJ54" i="14"/>
  <c r="BJ55" i="14"/>
  <c r="BJ56" i="14"/>
  <c r="BJ57" i="14"/>
  <c r="BJ6" i="14"/>
  <c r="AS7" i="14"/>
  <c r="AS9" i="14"/>
  <c r="AS10" i="14"/>
  <c r="AS11" i="14"/>
  <c r="AS12" i="14"/>
  <c r="AS13" i="14"/>
  <c r="AS14" i="14"/>
  <c r="AS15" i="14"/>
  <c r="AS16" i="14"/>
  <c r="AS17" i="14"/>
  <c r="AS18" i="14"/>
  <c r="AS19" i="14"/>
  <c r="AS20" i="14"/>
  <c r="AS21" i="14"/>
  <c r="AS22" i="14"/>
  <c r="AS23" i="14"/>
  <c r="AS24" i="14"/>
  <c r="AS25" i="14"/>
  <c r="AS26" i="14"/>
  <c r="AS27" i="14"/>
  <c r="AS28" i="14"/>
  <c r="AS29" i="14"/>
  <c r="AS30" i="14"/>
  <c r="AS31" i="14"/>
  <c r="AS32" i="14"/>
  <c r="AS33" i="14"/>
  <c r="AS34" i="14"/>
  <c r="AS35" i="14"/>
  <c r="AS36" i="14"/>
  <c r="AS37" i="14"/>
  <c r="AS38" i="14"/>
  <c r="AS40" i="14"/>
  <c r="AS41" i="14"/>
  <c r="AS42" i="14"/>
  <c r="AS43" i="14"/>
  <c r="AS44" i="14"/>
  <c r="AS45" i="14"/>
  <c r="AS46" i="14"/>
  <c r="AS47" i="14"/>
  <c r="AS48" i="14"/>
  <c r="AS49" i="14"/>
  <c r="AS50" i="14"/>
  <c r="AS51" i="14"/>
  <c r="AS52" i="14"/>
  <c r="AS53" i="14"/>
  <c r="AS54" i="14"/>
  <c r="AS55" i="14"/>
  <c r="AS56" i="14"/>
  <c r="AS57" i="14"/>
  <c r="AS6" i="14"/>
  <c r="BJ3" i="14" l="1"/>
  <c r="AC3" i="14"/>
  <c r="AF3" i="14"/>
  <c r="AE3" i="14"/>
  <c r="AS3" i="14"/>
  <c r="B6" i="14"/>
  <c r="B9" i="14"/>
  <c r="B10" i="14"/>
  <c r="B11" i="14"/>
  <c r="B12" i="14"/>
  <c r="B13" i="14"/>
  <c r="B14" i="14"/>
  <c r="B15" i="14"/>
  <c r="B16" i="14"/>
  <c r="B17" i="14"/>
  <c r="B18" i="14"/>
  <c r="B19" i="14"/>
  <c r="B20" i="14"/>
  <c r="B21" i="14"/>
  <c r="B22" i="14"/>
  <c r="B23" i="14"/>
  <c r="B24" i="14"/>
  <c r="B25" i="14"/>
  <c r="B26" i="14"/>
  <c r="B27" i="14"/>
  <c r="B28" i="14"/>
  <c r="B29" i="14"/>
  <c r="B30" i="14"/>
  <c r="B31" i="14"/>
  <c r="B32" i="14"/>
  <c r="B38" i="14"/>
  <c r="B40" i="14"/>
  <c r="B41" i="14"/>
  <c r="B42" i="14"/>
  <c r="B43" i="14"/>
  <c r="B44" i="14"/>
  <c r="B45" i="14"/>
  <c r="B46" i="14"/>
  <c r="B47" i="14"/>
  <c r="B48" i="14"/>
  <c r="B49" i="14"/>
  <c r="B50" i="14"/>
  <c r="B51" i="14"/>
  <c r="B52" i="14"/>
  <c r="B53" i="14"/>
  <c r="B54" i="14"/>
  <c r="B55" i="14"/>
  <c r="B56" i="14"/>
  <c r="B57" i="14"/>
  <c r="C6" i="15"/>
  <c r="D6" i="15"/>
  <c r="E6" i="15"/>
  <c r="F6" i="15"/>
  <c r="G6" i="15"/>
  <c r="H6" i="15"/>
  <c r="I6" i="15"/>
  <c r="J6" i="15"/>
  <c r="K6" i="15"/>
  <c r="L6" i="15"/>
  <c r="M6" i="15"/>
  <c r="N6" i="15"/>
  <c r="O6" i="15"/>
  <c r="P6" i="15"/>
  <c r="Q6" i="15"/>
  <c r="R6" i="15"/>
  <c r="S6" i="15"/>
  <c r="T6" i="15"/>
  <c r="U6" i="15"/>
  <c r="V6" i="15"/>
  <c r="W6" i="15"/>
  <c r="X6" i="15"/>
  <c r="Y6" i="15"/>
  <c r="C7" i="15"/>
  <c r="D7" i="15"/>
  <c r="E7" i="15"/>
  <c r="F7" i="15"/>
  <c r="G7" i="15"/>
  <c r="H7" i="15"/>
  <c r="I7" i="15"/>
  <c r="J7" i="15"/>
  <c r="K7" i="15"/>
  <c r="L7" i="15"/>
  <c r="M7" i="15"/>
  <c r="N7" i="15"/>
  <c r="O7" i="15"/>
  <c r="P7" i="15"/>
  <c r="Q7" i="15"/>
  <c r="R7" i="15"/>
  <c r="S7" i="15"/>
  <c r="T7" i="15"/>
  <c r="U7" i="15"/>
  <c r="V7" i="15"/>
  <c r="W7" i="15"/>
  <c r="X7" i="15"/>
  <c r="Y7" i="15"/>
  <c r="C8" i="15"/>
  <c r="D8" i="15"/>
  <c r="E8" i="15"/>
  <c r="F8" i="15"/>
  <c r="G8" i="15"/>
  <c r="H8" i="15"/>
  <c r="I8" i="15"/>
  <c r="J8" i="15"/>
  <c r="K8" i="15"/>
  <c r="L8" i="15"/>
  <c r="M8" i="15"/>
  <c r="N8" i="15"/>
  <c r="O8" i="15"/>
  <c r="P8" i="15"/>
  <c r="Q8" i="15"/>
  <c r="R8" i="15"/>
  <c r="S8" i="15"/>
  <c r="T8" i="15"/>
  <c r="U8" i="15"/>
  <c r="V8" i="15"/>
  <c r="W8" i="15"/>
  <c r="X8" i="15"/>
  <c r="Y8" i="15"/>
  <c r="C9" i="15"/>
  <c r="D9" i="15"/>
  <c r="E9" i="15"/>
  <c r="F9" i="15"/>
  <c r="G9" i="15"/>
  <c r="H9" i="15"/>
  <c r="I9" i="15"/>
  <c r="J9" i="15"/>
  <c r="K9" i="15"/>
  <c r="L9" i="15"/>
  <c r="M9" i="15"/>
  <c r="N9" i="15"/>
  <c r="O9" i="15"/>
  <c r="P9" i="15"/>
  <c r="Q9" i="15"/>
  <c r="R9" i="15"/>
  <c r="S9" i="15"/>
  <c r="T9" i="15"/>
  <c r="U9" i="15"/>
  <c r="V9" i="15"/>
  <c r="W9" i="15"/>
  <c r="X9" i="15"/>
  <c r="Y9" i="15"/>
  <c r="C10" i="15"/>
  <c r="D10" i="15"/>
  <c r="E10" i="15"/>
  <c r="F10" i="15"/>
  <c r="G10" i="15"/>
  <c r="H10" i="15"/>
  <c r="I10" i="15"/>
  <c r="J10" i="15"/>
  <c r="K10" i="15"/>
  <c r="L10" i="15"/>
  <c r="M10" i="15"/>
  <c r="N10" i="15"/>
  <c r="O10" i="15"/>
  <c r="P10" i="15"/>
  <c r="Q10" i="15"/>
  <c r="R10" i="15"/>
  <c r="S10" i="15"/>
  <c r="T10" i="15"/>
  <c r="U10" i="15"/>
  <c r="V10" i="15"/>
  <c r="W10" i="15"/>
  <c r="X10" i="15"/>
  <c r="Y10" i="15"/>
  <c r="C11" i="15"/>
  <c r="D11" i="15"/>
  <c r="E11" i="15"/>
  <c r="F11" i="15"/>
  <c r="G11" i="15"/>
  <c r="H11" i="15"/>
  <c r="I11" i="15"/>
  <c r="J11" i="15"/>
  <c r="K11" i="15"/>
  <c r="L11" i="15"/>
  <c r="M11" i="15"/>
  <c r="N11" i="15"/>
  <c r="O11" i="15"/>
  <c r="P11" i="15"/>
  <c r="Q11" i="15"/>
  <c r="R11" i="15"/>
  <c r="S11" i="15"/>
  <c r="T11" i="15"/>
  <c r="U11" i="15"/>
  <c r="V11" i="15"/>
  <c r="W11" i="15"/>
  <c r="X11" i="15"/>
  <c r="Y11" i="15"/>
  <c r="C12" i="15"/>
  <c r="D12" i="15"/>
  <c r="E12" i="15"/>
  <c r="F12" i="15"/>
  <c r="G12" i="15"/>
  <c r="H12" i="15"/>
  <c r="I12" i="15"/>
  <c r="J12" i="15"/>
  <c r="K12" i="15"/>
  <c r="L12" i="15"/>
  <c r="M12" i="15"/>
  <c r="N12" i="15"/>
  <c r="O12" i="15"/>
  <c r="P12" i="15"/>
  <c r="Q12" i="15"/>
  <c r="R12" i="15"/>
  <c r="S12" i="15"/>
  <c r="T12" i="15"/>
  <c r="U12" i="15"/>
  <c r="V12" i="15"/>
  <c r="W12" i="15"/>
  <c r="X12" i="15"/>
  <c r="Y12" i="15"/>
  <c r="C13" i="15"/>
  <c r="D13" i="15"/>
  <c r="E13" i="15"/>
  <c r="F13" i="15"/>
  <c r="G13" i="15"/>
  <c r="H13" i="15"/>
  <c r="I13" i="15"/>
  <c r="J13" i="15"/>
  <c r="K13" i="15"/>
  <c r="L13" i="15"/>
  <c r="M13" i="15"/>
  <c r="N13" i="15"/>
  <c r="O13" i="15"/>
  <c r="P13" i="15"/>
  <c r="Q13" i="15"/>
  <c r="R13" i="15"/>
  <c r="S13" i="15"/>
  <c r="T13" i="15"/>
  <c r="U13" i="15"/>
  <c r="V13" i="15"/>
  <c r="W13" i="15"/>
  <c r="X13" i="15"/>
  <c r="Y13" i="15"/>
  <c r="C14" i="15"/>
  <c r="D14" i="15"/>
  <c r="E14" i="15"/>
  <c r="F14" i="15"/>
  <c r="G14" i="15"/>
  <c r="H14" i="15"/>
  <c r="I14" i="15"/>
  <c r="J14" i="15"/>
  <c r="K14" i="15"/>
  <c r="L14" i="15"/>
  <c r="M14" i="15"/>
  <c r="N14" i="15"/>
  <c r="O14" i="15"/>
  <c r="P14" i="15"/>
  <c r="Q14" i="15"/>
  <c r="R14" i="15"/>
  <c r="S14" i="15"/>
  <c r="T14" i="15"/>
  <c r="U14" i="15"/>
  <c r="V14" i="15"/>
  <c r="W14" i="15"/>
  <c r="X14" i="15"/>
  <c r="Y14" i="15"/>
  <c r="C15" i="15"/>
  <c r="D15" i="15"/>
  <c r="E15" i="15"/>
  <c r="F15" i="15"/>
  <c r="G15" i="15"/>
  <c r="H15" i="15"/>
  <c r="I15" i="15"/>
  <c r="J15" i="15"/>
  <c r="K15" i="15"/>
  <c r="L15" i="15"/>
  <c r="M15" i="15"/>
  <c r="N15" i="15"/>
  <c r="O15" i="15"/>
  <c r="P15" i="15"/>
  <c r="Q15" i="15"/>
  <c r="R15" i="15"/>
  <c r="S15" i="15"/>
  <c r="T15" i="15"/>
  <c r="U15" i="15"/>
  <c r="V15" i="15"/>
  <c r="W15" i="15"/>
  <c r="X15" i="15"/>
  <c r="Y15" i="15"/>
  <c r="C16" i="15"/>
  <c r="D16" i="15"/>
  <c r="E16" i="15"/>
  <c r="F16" i="15"/>
  <c r="G16" i="15"/>
  <c r="H16" i="15"/>
  <c r="I16" i="15"/>
  <c r="J16" i="15"/>
  <c r="K16" i="15"/>
  <c r="L16" i="15"/>
  <c r="M16" i="15"/>
  <c r="N16" i="15"/>
  <c r="O16" i="15"/>
  <c r="P16" i="15"/>
  <c r="Q16" i="15"/>
  <c r="R16" i="15"/>
  <c r="S16" i="15"/>
  <c r="T16" i="15"/>
  <c r="U16" i="15"/>
  <c r="V16" i="15"/>
  <c r="W16" i="15"/>
  <c r="X16" i="15"/>
  <c r="Y16" i="15"/>
  <c r="C17" i="15"/>
  <c r="D17" i="15"/>
  <c r="E17" i="15"/>
  <c r="F17" i="15"/>
  <c r="G17" i="15"/>
  <c r="H17" i="15"/>
  <c r="I17" i="15"/>
  <c r="J17" i="15"/>
  <c r="K17" i="15"/>
  <c r="L17" i="15"/>
  <c r="M17" i="15"/>
  <c r="N17" i="15"/>
  <c r="O17" i="15"/>
  <c r="P17" i="15"/>
  <c r="Q17" i="15"/>
  <c r="R17" i="15"/>
  <c r="S17" i="15"/>
  <c r="T17" i="15"/>
  <c r="U17" i="15"/>
  <c r="V17" i="15"/>
  <c r="W17" i="15"/>
  <c r="X17" i="15"/>
  <c r="Y17" i="15"/>
  <c r="C18" i="15"/>
  <c r="D18" i="15"/>
  <c r="E18" i="15"/>
  <c r="F18" i="15"/>
  <c r="G18" i="15"/>
  <c r="H18" i="15"/>
  <c r="I18" i="15"/>
  <c r="J18" i="15"/>
  <c r="K18" i="15"/>
  <c r="L18" i="15"/>
  <c r="M18" i="15"/>
  <c r="N18" i="15"/>
  <c r="O18" i="15"/>
  <c r="P18" i="15"/>
  <c r="Q18" i="15"/>
  <c r="R18" i="15"/>
  <c r="S18" i="15"/>
  <c r="T18" i="15"/>
  <c r="U18" i="15"/>
  <c r="V18" i="15"/>
  <c r="W18" i="15"/>
  <c r="X18" i="15"/>
  <c r="Y18" i="15"/>
  <c r="C19" i="15"/>
  <c r="D19" i="15"/>
  <c r="E19" i="15"/>
  <c r="F19" i="15"/>
  <c r="G19" i="15"/>
  <c r="H19" i="15"/>
  <c r="I19" i="15"/>
  <c r="J19" i="15"/>
  <c r="K19" i="15"/>
  <c r="L19" i="15"/>
  <c r="M19" i="15"/>
  <c r="N19" i="15"/>
  <c r="O19" i="15"/>
  <c r="P19" i="15"/>
  <c r="Q19" i="15"/>
  <c r="R19" i="15"/>
  <c r="S19" i="15"/>
  <c r="T19" i="15"/>
  <c r="U19" i="15"/>
  <c r="V19" i="15"/>
  <c r="W19" i="15"/>
  <c r="X19" i="15"/>
  <c r="Y19" i="15"/>
  <c r="C20" i="15"/>
  <c r="D20" i="15"/>
  <c r="E20" i="15"/>
  <c r="F20" i="15"/>
  <c r="G20" i="15"/>
  <c r="H20" i="15"/>
  <c r="I20" i="15"/>
  <c r="J20" i="15"/>
  <c r="K20" i="15"/>
  <c r="L20" i="15"/>
  <c r="M20" i="15"/>
  <c r="N20" i="15"/>
  <c r="O20" i="15"/>
  <c r="P20" i="15"/>
  <c r="Q20" i="15"/>
  <c r="R20" i="15"/>
  <c r="S20" i="15"/>
  <c r="T20" i="15"/>
  <c r="U20" i="15"/>
  <c r="V20" i="15"/>
  <c r="W20" i="15"/>
  <c r="X20" i="15"/>
  <c r="Y20" i="15"/>
  <c r="C21" i="15"/>
  <c r="D21" i="15"/>
  <c r="E21" i="15"/>
  <c r="F21" i="15"/>
  <c r="G21" i="15"/>
  <c r="H21" i="15"/>
  <c r="I21" i="15"/>
  <c r="J21" i="15"/>
  <c r="K21" i="15"/>
  <c r="L21" i="15"/>
  <c r="M21" i="15"/>
  <c r="N21" i="15"/>
  <c r="O21" i="15"/>
  <c r="P21" i="15"/>
  <c r="Q21" i="15"/>
  <c r="R21" i="15"/>
  <c r="S21" i="15"/>
  <c r="T21" i="15"/>
  <c r="U21" i="15"/>
  <c r="V21" i="15"/>
  <c r="W21" i="15"/>
  <c r="X21" i="15"/>
  <c r="Y21" i="15"/>
  <c r="C22" i="15"/>
  <c r="D22" i="15"/>
  <c r="E22" i="15"/>
  <c r="F22" i="15"/>
  <c r="G22" i="15"/>
  <c r="H22" i="15"/>
  <c r="I22" i="15"/>
  <c r="J22" i="15"/>
  <c r="K22" i="15"/>
  <c r="L22" i="15"/>
  <c r="M22" i="15"/>
  <c r="N22" i="15"/>
  <c r="O22" i="15"/>
  <c r="P22" i="15"/>
  <c r="Q22" i="15"/>
  <c r="R22" i="15"/>
  <c r="S22" i="15"/>
  <c r="T22" i="15"/>
  <c r="U22" i="15"/>
  <c r="V22" i="15"/>
  <c r="W22" i="15"/>
  <c r="X22" i="15"/>
  <c r="Y22" i="15"/>
  <c r="C23" i="15"/>
  <c r="D23" i="15"/>
  <c r="E23" i="15"/>
  <c r="F23" i="15"/>
  <c r="G23" i="15"/>
  <c r="H23" i="15"/>
  <c r="I23" i="15"/>
  <c r="J23" i="15"/>
  <c r="K23" i="15"/>
  <c r="L23" i="15"/>
  <c r="M23" i="15"/>
  <c r="N23" i="15"/>
  <c r="O23" i="15"/>
  <c r="P23" i="15"/>
  <c r="Q23" i="15"/>
  <c r="R23" i="15"/>
  <c r="S23" i="15"/>
  <c r="T23" i="15"/>
  <c r="U23" i="15"/>
  <c r="V23" i="15"/>
  <c r="W23" i="15"/>
  <c r="X23" i="15"/>
  <c r="Y23" i="15"/>
  <c r="C24" i="15"/>
  <c r="D24" i="15"/>
  <c r="E24" i="15"/>
  <c r="F24" i="15"/>
  <c r="G24" i="15"/>
  <c r="H24" i="15"/>
  <c r="I24" i="15"/>
  <c r="J24" i="15"/>
  <c r="K24" i="15"/>
  <c r="L24" i="15"/>
  <c r="M24" i="15"/>
  <c r="N24" i="15"/>
  <c r="O24" i="15"/>
  <c r="P24" i="15"/>
  <c r="Q24" i="15"/>
  <c r="R24" i="15"/>
  <c r="S24" i="15"/>
  <c r="T24" i="15"/>
  <c r="U24" i="15"/>
  <c r="V24" i="15"/>
  <c r="W24" i="15"/>
  <c r="X24" i="15"/>
  <c r="Y24" i="15"/>
  <c r="C25" i="15"/>
  <c r="D25" i="15"/>
  <c r="E25" i="15"/>
  <c r="F25" i="15"/>
  <c r="G25" i="15"/>
  <c r="H25" i="15"/>
  <c r="I25" i="15"/>
  <c r="J25" i="15"/>
  <c r="K25" i="15"/>
  <c r="L25" i="15"/>
  <c r="M25" i="15"/>
  <c r="N25" i="15"/>
  <c r="O25" i="15"/>
  <c r="P25" i="15"/>
  <c r="Q25" i="15"/>
  <c r="R25" i="15"/>
  <c r="S25" i="15"/>
  <c r="T25" i="15"/>
  <c r="U25" i="15"/>
  <c r="V25" i="15"/>
  <c r="W25" i="15"/>
  <c r="X25" i="15"/>
  <c r="Y25" i="15"/>
  <c r="C26" i="15"/>
  <c r="D26" i="15"/>
  <c r="E26" i="15"/>
  <c r="F26" i="15"/>
  <c r="G26" i="15"/>
  <c r="H26" i="15"/>
  <c r="I26" i="15"/>
  <c r="J26" i="15"/>
  <c r="K26" i="15"/>
  <c r="L26" i="15"/>
  <c r="M26" i="15"/>
  <c r="N26" i="15"/>
  <c r="O26" i="15"/>
  <c r="P26" i="15"/>
  <c r="Q26" i="15"/>
  <c r="R26" i="15"/>
  <c r="S26" i="15"/>
  <c r="T26" i="15"/>
  <c r="U26" i="15"/>
  <c r="V26" i="15"/>
  <c r="W26" i="15"/>
  <c r="X26" i="15"/>
  <c r="Y26" i="15"/>
  <c r="C27" i="15"/>
  <c r="D27" i="15"/>
  <c r="E27" i="15"/>
  <c r="F27" i="15"/>
  <c r="G27" i="15"/>
  <c r="H27" i="15"/>
  <c r="I27" i="15"/>
  <c r="J27" i="15"/>
  <c r="K27" i="15"/>
  <c r="L27" i="15"/>
  <c r="M27" i="15"/>
  <c r="N27" i="15"/>
  <c r="O27" i="15"/>
  <c r="P27" i="15"/>
  <c r="Q27" i="15"/>
  <c r="R27" i="15"/>
  <c r="S27" i="15"/>
  <c r="T27" i="15"/>
  <c r="U27" i="15"/>
  <c r="V27" i="15"/>
  <c r="W27" i="15"/>
  <c r="X27" i="15"/>
  <c r="Y27" i="15"/>
  <c r="C28" i="15"/>
  <c r="D28" i="15"/>
  <c r="E28" i="15"/>
  <c r="F28" i="15"/>
  <c r="G28" i="15"/>
  <c r="H28" i="15"/>
  <c r="I28" i="15"/>
  <c r="J28" i="15"/>
  <c r="K28" i="15"/>
  <c r="L28" i="15"/>
  <c r="M28" i="15"/>
  <c r="N28" i="15"/>
  <c r="O28" i="15"/>
  <c r="P28" i="15"/>
  <c r="Q28" i="15"/>
  <c r="R28" i="15"/>
  <c r="S28" i="15"/>
  <c r="T28" i="15"/>
  <c r="U28" i="15"/>
  <c r="V28" i="15"/>
  <c r="W28" i="15"/>
  <c r="X28" i="15"/>
  <c r="Y28" i="15"/>
  <c r="C29" i="15"/>
  <c r="D29" i="15"/>
  <c r="E29" i="15"/>
  <c r="F29" i="15"/>
  <c r="G29" i="15"/>
  <c r="H29" i="15"/>
  <c r="I29" i="15"/>
  <c r="J29" i="15"/>
  <c r="K29" i="15"/>
  <c r="L29" i="15"/>
  <c r="M29" i="15"/>
  <c r="N29" i="15"/>
  <c r="O29" i="15"/>
  <c r="P29" i="15"/>
  <c r="Q29" i="15"/>
  <c r="R29" i="15"/>
  <c r="S29" i="15"/>
  <c r="T29" i="15"/>
  <c r="U29" i="15"/>
  <c r="V29" i="15"/>
  <c r="W29" i="15"/>
  <c r="X29" i="15"/>
  <c r="Y29" i="15"/>
  <c r="C30" i="15"/>
  <c r="D30" i="15"/>
  <c r="E30" i="15"/>
  <c r="F30" i="15"/>
  <c r="G30" i="15"/>
  <c r="H30" i="15"/>
  <c r="I30" i="15"/>
  <c r="J30" i="15"/>
  <c r="K30" i="15"/>
  <c r="L30" i="15"/>
  <c r="M30" i="15"/>
  <c r="N30" i="15"/>
  <c r="O30" i="15"/>
  <c r="P30" i="15"/>
  <c r="Q30" i="15"/>
  <c r="R30" i="15"/>
  <c r="S30" i="15"/>
  <c r="T30" i="15"/>
  <c r="U30" i="15"/>
  <c r="V30" i="15"/>
  <c r="W30" i="15"/>
  <c r="X30" i="15"/>
  <c r="Y30" i="15"/>
  <c r="C31" i="15"/>
  <c r="D31" i="15"/>
  <c r="E31" i="15"/>
  <c r="F31" i="15"/>
  <c r="G31" i="15"/>
  <c r="H31" i="15"/>
  <c r="I31" i="15"/>
  <c r="J31" i="15"/>
  <c r="K31" i="15"/>
  <c r="L31" i="15"/>
  <c r="M31" i="15"/>
  <c r="N31" i="15"/>
  <c r="O31" i="15"/>
  <c r="P31" i="15"/>
  <c r="Q31" i="15"/>
  <c r="R31" i="15"/>
  <c r="S31" i="15"/>
  <c r="T31" i="15"/>
  <c r="U31" i="15"/>
  <c r="V31" i="15"/>
  <c r="W31" i="15"/>
  <c r="X31" i="15"/>
  <c r="Y31" i="15"/>
  <c r="C32" i="15"/>
  <c r="D32" i="15"/>
  <c r="E32" i="15"/>
  <c r="F32" i="15"/>
  <c r="G32" i="15"/>
  <c r="H32" i="15"/>
  <c r="I32" i="15"/>
  <c r="J32" i="15"/>
  <c r="K32" i="15"/>
  <c r="L32" i="15"/>
  <c r="M32" i="15"/>
  <c r="N32" i="15"/>
  <c r="O32" i="15"/>
  <c r="P32" i="15"/>
  <c r="Q32" i="15"/>
  <c r="R32" i="15"/>
  <c r="S32" i="15"/>
  <c r="T32" i="15"/>
  <c r="U32" i="15"/>
  <c r="V32" i="15"/>
  <c r="W32" i="15"/>
  <c r="X32" i="15"/>
  <c r="Y32" i="15"/>
  <c r="C33" i="15"/>
  <c r="D33" i="15"/>
  <c r="E33" i="15"/>
  <c r="F33" i="15"/>
  <c r="G33" i="15"/>
  <c r="H33" i="15"/>
  <c r="I33" i="15"/>
  <c r="J33" i="15"/>
  <c r="K33" i="15"/>
  <c r="L33" i="15"/>
  <c r="M33" i="15"/>
  <c r="N33" i="15"/>
  <c r="O33" i="15"/>
  <c r="P33" i="15"/>
  <c r="Q33" i="15"/>
  <c r="R33" i="15"/>
  <c r="S33" i="15"/>
  <c r="T33" i="15"/>
  <c r="U33" i="15"/>
  <c r="V33" i="15"/>
  <c r="W33" i="15"/>
  <c r="X33" i="15"/>
  <c r="Y33" i="15"/>
  <c r="C34" i="15"/>
  <c r="D34" i="15"/>
  <c r="E34" i="15"/>
  <c r="F34" i="15"/>
  <c r="G34" i="15"/>
  <c r="H34" i="15"/>
  <c r="I34" i="15"/>
  <c r="J34" i="15"/>
  <c r="K34" i="15"/>
  <c r="L34" i="15"/>
  <c r="M34" i="15"/>
  <c r="N34" i="15"/>
  <c r="O34" i="15"/>
  <c r="P34" i="15"/>
  <c r="Q34" i="15"/>
  <c r="R34" i="15"/>
  <c r="S34" i="15"/>
  <c r="T34" i="15"/>
  <c r="U34" i="15"/>
  <c r="V34" i="15"/>
  <c r="W34" i="15"/>
  <c r="X34" i="15"/>
  <c r="Y34" i="15"/>
  <c r="C35" i="15"/>
  <c r="D35" i="15"/>
  <c r="E35" i="15"/>
  <c r="F35" i="15"/>
  <c r="G35" i="15"/>
  <c r="H35" i="15"/>
  <c r="I35" i="15"/>
  <c r="J35" i="15"/>
  <c r="K35" i="15"/>
  <c r="L35" i="15"/>
  <c r="M35" i="15"/>
  <c r="N35" i="15"/>
  <c r="O35" i="15"/>
  <c r="P35" i="15"/>
  <c r="Q35" i="15"/>
  <c r="R35" i="15"/>
  <c r="S35" i="15"/>
  <c r="T35" i="15"/>
  <c r="U35" i="15"/>
  <c r="V35" i="15"/>
  <c r="W35" i="15"/>
  <c r="X35" i="15"/>
  <c r="Y35" i="15"/>
  <c r="C36" i="15"/>
  <c r="D36" i="15"/>
  <c r="E36" i="15"/>
  <c r="F36" i="15"/>
  <c r="G36" i="15"/>
  <c r="H36" i="15"/>
  <c r="I36" i="15"/>
  <c r="J36" i="15"/>
  <c r="K36" i="15"/>
  <c r="L36" i="15"/>
  <c r="M36" i="15"/>
  <c r="N36" i="15"/>
  <c r="O36" i="15"/>
  <c r="P36" i="15"/>
  <c r="Q36" i="15"/>
  <c r="R36" i="15"/>
  <c r="S36" i="15"/>
  <c r="T36" i="15"/>
  <c r="U36" i="15"/>
  <c r="V36" i="15"/>
  <c r="W36" i="15"/>
  <c r="X36" i="15"/>
  <c r="Y36" i="15"/>
  <c r="C37" i="15"/>
  <c r="D37" i="15"/>
  <c r="E37" i="15"/>
  <c r="F37" i="15"/>
  <c r="G37" i="15"/>
  <c r="H37" i="15"/>
  <c r="I37" i="15"/>
  <c r="J37" i="15"/>
  <c r="K37" i="15"/>
  <c r="L37" i="15"/>
  <c r="M37" i="15"/>
  <c r="N37" i="15"/>
  <c r="O37" i="15"/>
  <c r="P37" i="15"/>
  <c r="Q37" i="15"/>
  <c r="R37" i="15"/>
  <c r="S37" i="15"/>
  <c r="T37" i="15"/>
  <c r="U37" i="15"/>
  <c r="V37" i="15"/>
  <c r="W37" i="15"/>
  <c r="X37" i="15"/>
  <c r="Y37" i="15"/>
  <c r="C38" i="15"/>
  <c r="D38" i="15"/>
  <c r="E38" i="15"/>
  <c r="F38" i="15"/>
  <c r="G38" i="15"/>
  <c r="H38" i="15"/>
  <c r="I38" i="15"/>
  <c r="J38" i="15"/>
  <c r="K38" i="15"/>
  <c r="L38" i="15"/>
  <c r="M38" i="15"/>
  <c r="N38" i="15"/>
  <c r="O38" i="15"/>
  <c r="P38" i="15"/>
  <c r="Q38" i="15"/>
  <c r="R38" i="15"/>
  <c r="S38" i="15"/>
  <c r="T38" i="15"/>
  <c r="U38" i="15"/>
  <c r="V38" i="15"/>
  <c r="W38" i="15"/>
  <c r="X38" i="15"/>
  <c r="Y38" i="15"/>
  <c r="C39" i="15"/>
  <c r="D39" i="15"/>
  <c r="E39" i="15"/>
  <c r="F39" i="15"/>
  <c r="G39" i="15"/>
  <c r="H39" i="15"/>
  <c r="I39" i="15"/>
  <c r="J39" i="15"/>
  <c r="K39" i="15"/>
  <c r="L39" i="15"/>
  <c r="M39" i="15"/>
  <c r="N39" i="15"/>
  <c r="O39" i="15"/>
  <c r="P39" i="15"/>
  <c r="Q39" i="15"/>
  <c r="R39" i="15"/>
  <c r="S39" i="15"/>
  <c r="T39" i="15"/>
  <c r="U39" i="15"/>
  <c r="V39" i="15"/>
  <c r="W39" i="15"/>
  <c r="X39" i="15"/>
  <c r="Y39" i="15"/>
  <c r="C40" i="15"/>
  <c r="D40" i="15"/>
  <c r="E40" i="15"/>
  <c r="F40" i="15"/>
  <c r="G40" i="15"/>
  <c r="H40" i="15"/>
  <c r="I40" i="15"/>
  <c r="J40" i="15"/>
  <c r="K40" i="15"/>
  <c r="L40" i="15"/>
  <c r="M40" i="15"/>
  <c r="N40" i="15"/>
  <c r="O40" i="15"/>
  <c r="P40" i="15"/>
  <c r="Q40" i="15"/>
  <c r="R40" i="15"/>
  <c r="S40" i="15"/>
  <c r="T40" i="15"/>
  <c r="U40" i="15"/>
  <c r="V40" i="15"/>
  <c r="W40" i="15"/>
  <c r="X40" i="15"/>
  <c r="Y40" i="15"/>
  <c r="C41" i="15"/>
  <c r="D41" i="15"/>
  <c r="E41" i="15"/>
  <c r="F41" i="15"/>
  <c r="G41" i="15"/>
  <c r="H41" i="15"/>
  <c r="I41" i="15"/>
  <c r="J41" i="15"/>
  <c r="K41" i="15"/>
  <c r="L41" i="15"/>
  <c r="M41" i="15"/>
  <c r="N41" i="15"/>
  <c r="O41" i="15"/>
  <c r="P41" i="15"/>
  <c r="Q41" i="15"/>
  <c r="R41" i="15"/>
  <c r="S41" i="15"/>
  <c r="T41" i="15"/>
  <c r="U41" i="15"/>
  <c r="V41" i="15"/>
  <c r="W41" i="15"/>
  <c r="X41" i="15"/>
  <c r="Y41" i="15"/>
  <c r="C42" i="15"/>
  <c r="D42" i="15"/>
  <c r="E42" i="15"/>
  <c r="F42" i="15"/>
  <c r="G42" i="15"/>
  <c r="H42" i="15"/>
  <c r="I42" i="15"/>
  <c r="J42" i="15"/>
  <c r="K42" i="15"/>
  <c r="L42" i="15"/>
  <c r="M42" i="15"/>
  <c r="N42" i="15"/>
  <c r="O42" i="15"/>
  <c r="P42" i="15"/>
  <c r="Q42" i="15"/>
  <c r="R42" i="15"/>
  <c r="S42" i="15"/>
  <c r="T42" i="15"/>
  <c r="U42" i="15"/>
  <c r="V42" i="15"/>
  <c r="W42" i="15"/>
  <c r="X42" i="15"/>
  <c r="Y42" i="15"/>
  <c r="C43" i="15"/>
  <c r="D43" i="15"/>
  <c r="E43" i="15"/>
  <c r="F43" i="15"/>
  <c r="G43" i="15"/>
  <c r="H43" i="15"/>
  <c r="I43" i="15"/>
  <c r="J43" i="15"/>
  <c r="K43" i="15"/>
  <c r="L43" i="15"/>
  <c r="M43" i="15"/>
  <c r="N43" i="15"/>
  <c r="O43" i="15"/>
  <c r="P43" i="15"/>
  <c r="Q43" i="15"/>
  <c r="R43" i="15"/>
  <c r="S43" i="15"/>
  <c r="T43" i="15"/>
  <c r="U43" i="15"/>
  <c r="V43" i="15"/>
  <c r="W43" i="15"/>
  <c r="X43" i="15"/>
  <c r="Y43" i="15"/>
  <c r="C44" i="15"/>
  <c r="D44" i="15"/>
  <c r="E44" i="15"/>
  <c r="F44" i="15"/>
  <c r="G44" i="15"/>
  <c r="H44" i="15"/>
  <c r="I44" i="15"/>
  <c r="J44" i="15"/>
  <c r="K44" i="15"/>
  <c r="L44" i="15"/>
  <c r="M44" i="15"/>
  <c r="N44" i="15"/>
  <c r="O44" i="15"/>
  <c r="P44" i="15"/>
  <c r="Q44" i="15"/>
  <c r="R44" i="15"/>
  <c r="S44" i="15"/>
  <c r="T44" i="15"/>
  <c r="U44" i="15"/>
  <c r="V44" i="15"/>
  <c r="W44" i="15"/>
  <c r="X44" i="15"/>
  <c r="Y44" i="15"/>
  <c r="C45" i="15"/>
  <c r="D45" i="15"/>
  <c r="E45" i="15"/>
  <c r="F45" i="15"/>
  <c r="G45" i="15"/>
  <c r="H45" i="15"/>
  <c r="I45" i="15"/>
  <c r="J45" i="15"/>
  <c r="K45" i="15"/>
  <c r="L45" i="15"/>
  <c r="M45" i="15"/>
  <c r="N45" i="15"/>
  <c r="O45" i="15"/>
  <c r="P45" i="15"/>
  <c r="Q45" i="15"/>
  <c r="R45" i="15"/>
  <c r="S45" i="15"/>
  <c r="T45" i="15"/>
  <c r="U45" i="15"/>
  <c r="V45" i="15"/>
  <c r="W45" i="15"/>
  <c r="X45" i="15"/>
  <c r="Y45" i="15"/>
  <c r="C46" i="15"/>
  <c r="D46" i="15"/>
  <c r="E46" i="15"/>
  <c r="F46" i="15"/>
  <c r="G46" i="15"/>
  <c r="H46" i="15"/>
  <c r="I46" i="15"/>
  <c r="J46" i="15"/>
  <c r="K46" i="15"/>
  <c r="L46" i="15"/>
  <c r="M46" i="15"/>
  <c r="N46" i="15"/>
  <c r="O46" i="15"/>
  <c r="P46" i="15"/>
  <c r="Q46" i="15"/>
  <c r="R46" i="15"/>
  <c r="S46" i="15"/>
  <c r="T46" i="15"/>
  <c r="U46" i="15"/>
  <c r="V46" i="15"/>
  <c r="W46" i="15"/>
  <c r="X46" i="15"/>
  <c r="Y46" i="15"/>
  <c r="C47" i="15"/>
  <c r="D47" i="15"/>
  <c r="E47" i="15"/>
  <c r="F47" i="15"/>
  <c r="G47" i="15"/>
  <c r="H47" i="15"/>
  <c r="I47" i="15"/>
  <c r="J47" i="15"/>
  <c r="K47" i="15"/>
  <c r="L47" i="15"/>
  <c r="M47" i="15"/>
  <c r="N47" i="15"/>
  <c r="O47" i="15"/>
  <c r="P47" i="15"/>
  <c r="Q47" i="15"/>
  <c r="R47" i="15"/>
  <c r="S47" i="15"/>
  <c r="T47" i="15"/>
  <c r="U47" i="15"/>
  <c r="V47" i="15"/>
  <c r="W47" i="15"/>
  <c r="X47" i="15"/>
  <c r="Y47" i="15"/>
  <c r="C48" i="15"/>
  <c r="D48" i="15"/>
  <c r="E48" i="15"/>
  <c r="F48" i="15"/>
  <c r="G48" i="15"/>
  <c r="H48" i="15"/>
  <c r="I48" i="15"/>
  <c r="J48" i="15"/>
  <c r="K48" i="15"/>
  <c r="L48" i="15"/>
  <c r="M48" i="15"/>
  <c r="N48" i="15"/>
  <c r="O48" i="15"/>
  <c r="P48" i="15"/>
  <c r="Q48" i="15"/>
  <c r="R48" i="15"/>
  <c r="S48" i="15"/>
  <c r="T48" i="15"/>
  <c r="U48" i="15"/>
  <c r="V48" i="15"/>
  <c r="W48" i="15"/>
  <c r="X48" i="15"/>
  <c r="Y48" i="15"/>
  <c r="C49" i="15"/>
  <c r="D49" i="15"/>
  <c r="E49" i="15"/>
  <c r="F49" i="15"/>
  <c r="G49" i="15"/>
  <c r="H49" i="15"/>
  <c r="I49" i="15"/>
  <c r="J49" i="15"/>
  <c r="K49" i="15"/>
  <c r="L49" i="15"/>
  <c r="M49" i="15"/>
  <c r="N49" i="15"/>
  <c r="O49" i="15"/>
  <c r="P49" i="15"/>
  <c r="Q49" i="15"/>
  <c r="R49" i="15"/>
  <c r="S49" i="15"/>
  <c r="T49" i="15"/>
  <c r="U49" i="15"/>
  <c r="V49" i="15"/>
  <c r="W49" i="15"/>
  <c r="X49" i="15"/>
  <c r="Y49" i="15"/>
  <c r="C50" i="15"/>
  <c r="D50" i="15"/>
  <c r="E50" i="15"/>
  <c r="F50" i="15"/>
  <c r="G50" i="15"/>
  <c r="H50" i="15"/>
  <c r="I50" i="15"/>
  <c r="J50" i="15"/>
  <c r="K50" i="15"/>
  <c r="L50" i="15"/>
  <c r="M50" i="15"/>
  <c r="N50" i="15"/>
  <c r="O50" i="15"/>
  <c r="P50" i="15"/>
  <c r="Q50" i="15"/>
  <c r="R50" i="15"/>
  <c r="S50" i="15"/>
  <c r="T50" i="15"/>
  <c r="U50" i="15"/>
  <c r="V50" i="15"/>
  <c r="W50" i="15"/>
  <c r="X50" i="15"/>
  <c r="Y50" i="15"/>
  <c r="C51" i="15"/>
  <c r="D51" i="15"/>
  <c r="E51" i="15"/>
  <c r="F51" i="15"/>
  <c r="G51" i="15"/>
  <c r="H51" i="15"/>
  <c r="I51" i="15"/>
  <c r="J51" i="15"/>
  <c r="K51" i="15"/>
  <c r="L51" i="15"/>
  <c r="M51" i="15"/>
  <c r="N51" i="15"/>
  <c r="O51" i="15"/>
  <c r="P51" i="15"/>
  <c r="Q51" i="15"/>
  <c r="R51" i="15"/>
  <c r="S51" i="15"/>
  <c r="T51" i="15"/>
  <c r="U51" i="15"/>
  <c r="V51" i="15"/>
  <c r="W51" i="15"/>
  <c r="X51" i="15"/>
  <c r="Y51" i="15"/>
  <c r="C52" i="15"/>
  <c r="D52" i="15"/>
  <c r="E52" i="15"/>
  <c r="F52" i="15"/>
  <c r="G52" i="15"/>
  <c r="H52" i="15"/>
  <c r="I52" i="15"/>
  <c r="J52" i="15"/>
  <c r="K52" i="15"/>
  <c r="L52" i="15"/>
  <c r="M52" i="15"/>
  <c r="N52" i="15"/>
  <c r="O52" i="15"/>
  <c r="P52" i="15"/>
  <c r="Q52" i="15"/>
  <c r="R52" i="15"/>
  <c r="S52" i="15"/>
  <c r="T52" i="15"/>
  <c r="U52" i="15"/>
  <c r="V52" i="15"/>
  <c r="W52" i="15"/>
  <c r="X52" i="15"/>
  <c r="Y52" i="15"/>
  <c r="C112" i="15"/>
  <c r="D112" i="15"/>
  <c r="E112" i="15"/>
  <c r="F112" i="15"/>
  <c r="G112" i="15"/>
  <c r="H112" i="15"/>
  <c r="I112" i="15"/>
  <c r="J112" i="15"/>
  <c r="K112" i="15"/>
  <c r="L112" i="15"/>
  <c r="M112" i="15"/>
  <c r="N112" i="15"/>
  <c r="O112" i="15"/>
  <c r="P112" i="15"/>
  <c r="Q112" i="15"/>
  <c r="R112" i="15"/>
  <c r="S112" i="15"/>
  <c r="T112" i="15"/>
  <c r="U112" i="15"/>
  <c r="V112" i="15"/>
  <c r="W112" i="15"/>
  <c r="X112" i="15"/>
  <c r="Y112" i="15"/>
  <c r="C113" i="15"/>
  <c r="D113" i="15"/>
  <c r="E113" i="15"/>
  <c r="F113" i="15"/>
  <c r="G113" i="15"/>
  <c r="H113" i="15"/>
  <c r="I113" i="15"/>
  <c r="J113" i="15"/>
  <c r="K113" i="15"/>
  <c r="L113" i="15"/>
  <c r="M113" i="15"/>
  <c r="N113" i="15"/>
  <c r="O113" i="15"/>
  <c r="P113" i="15"/>
  <c r="Q113" i="15"/>
  <c r="R113" i="15"/>
  <c r="S113" i="15"/>
  <c r="T113" i="15"/>
  <c r="U113" i="15"/>
  <c r="V113" i="15"/>
  <c r="W113" i="15"/>
  <c r="X113" i="15"/>
  <c r="Y113" i="15"/>
  <c r="C114" i="15"/>
  <c r="D114" i="15"/>
  <c r="E114" i="15"/>
  <c r="F114" i="15"/>
  <c r="G114" i="15"/>
  <c r="H114" i="15"/>
  <c r="I114" i="15"/>
  <c r="J114" i="15"/>
  <c r="K114" i="15"/>
  <c r="L114" i="15"/>
  <c r="M114" i="15"/>
  <c r="N114" i="15"/>
  <c r="O114" i="15"/>
  <c r="P114" i="15"/>
  <c r="Q114" i="15"/>
  <c r="R114" i="15"/>
  <c r="S114" i="15"/>
  <c r="T114" i="15"/>
  <c r="U114" i="15"/>
  <c r="V114" i="15"/>
  <c r="W114" i="15"/>
  <c r="X114" i="15"/>
  <c r="Y114" i="15"/>
  <c r="C53" i="15"/>
  <c r="D53" i="15"/>
  <c r="E53" i="15"/>
  <c r="F53" i="15"/>
  <c r="G53" i="15"/>
  <c r="H53" i="15"/>
  <c r="I53" i="15"/>
  <c r="J53" i="15"/>
  <c r="K53" i="15"/>
  <c r="L53" i="15"/>
  <c r="M53" i="15"/>
  <c r="N53" i="15"/>
  <c r="O53" i="15"/>
  <c r="P53" i="15"/>
  <c r="Q53" i="15"/>
  <c r="R53" i="15"/>
  <c r="S53" i="15"/>
  <c r="T53" i="15"/>
  <c r="U53" i="15"/>
  <c r="V53" i="15"/>
  <c r="W53" i="15"/>
  <c r="X53" i="15"/>
  <c r="Y53" i="15"/>
  <c r="C54" i="15"/>
  <c r="D54" i="15"/>
  <c r="E54" i="15"/>
  <c r="F54" i="15"/>
  <c r="G54" i="15"/>
  <c r="H54" i="15"/>
  <c r="I54" i="15"/>
  <c r="J54" i="15"/>
  <c r="K54" i="15"/>
  <c r="L54" i="15"/>
  <c r="M54" i="15"/>
  <c r="N54" i="15"/>
  <c r="O54" i="15"/>
  <c r="P54" i="15"/>
  <c r="Q54" i="15"/>
  <c r="R54" i="15"/>
  <c r="S54" i="15"/>
  <c r="T54" i="15"/>
  <c r="U54" i="15"/>
  <c r="V54" i="15"/>
  <c r="W54" i="15"/>
  <c r="X54" i="15"/>
  <c r="Y54" i="15"/>
  <c r="C55" i="15"/>
  <c r="D55" i="15"/>
  <c r="E55" i="15"/>
  <c r="F55" i="15"/>
  <c r="G55" i="15"/>
  <c r="H55" i="15"/>
  <c r="I55" i="15"/>
  <c r="J55" i="15"/>
  <c r="K55" i="15"/>
  <c r="L55" i="15"/>
  <c r="M55" i="15"/>
  <c r="N55" i="15"/>
  <c r="O55" i="15"/>
  <c r="P55" i="15"/>
  <c r="Q55" i="15"/>
  <c r="R55" i="15"/>
  <c r="S55" i="15"/>
  <c r="T55" i="15"/>
  <c r="U55" i="15"/>
  <c r="V55" i="15"/>
  <c r="W55" i="15"/>
  <c r="X55" i="15"/>
  <c r="Y55" i="15"/>
  <c r="C56" i="15"/>
  <c r="D56" i="15"/>
  <c r="E56" i="15"/>
  <c r="F56" i="15"/>
  <c r="G56" i="15"/>
  <c r="H56" i="15"/>
  <c r="I56" i="15"/>
  <c r="J56" i="15"/>
  <c r="K56" i="15"/>
  <c r="L56" i="15"/>
  <c r="M56" i="15"/>
  <c r="N56" i="15"/>
  <c r="O56" i="15"/>
  <c r="P56" i="15"/>
  <c r="Q56" i="15"/>
  <c r="R56" i="15"/>
  <c r="S56" i="15"/>
  <c r="T56" i="15"/>
  <c r="U56" i="15"/>
  <c r="V56" i="15"/>
  <c r="W56" i="15"/>
  <c r="X56" i="15"/>
  <c r="Y56" i="15"/>
  <c r="C57" i="15"/>
  <c r="D57" i="15"/>
  <c r="E57" i="15"/>
  <c r="F57" i="15"/>
  <c r="G57" i="15"/>
  <c r="H57" i="15"/>
  <c r="I57" i="15"/>
  <c r="J57" i="15"/>
  <c r="K57" i="15"/>
  <c r="L57" i="15"/>
  <c r="M57" i="15"/>
  <c r="N57" i="15"/>
  <c r="O57" i="15"/>
  <c r="P57" i="15"/>
  <c r="Q57" i="15"/>
  <c r="R57" i="15"/>
  <c r="S57" i="15"/>
  <c r="T57" i="15"/>
  <c r="U57" i="15"/>
  <c r="V57" i="15"/>
  <c r="W57" i="15"/>
  <c r="X57" i="15"/>
  <c r="Y57" i="15"/>
  <c r="C58" i="15"/>
  <c r="D58" i="15"/>
  <c r="E58" i="15"/>
  <c r="F58" i="15"/>
  <c r="G58" i="15"/>
  <c r="H58" i="15"/>
  <c r="I58" i="15"/>
  <c r="J58" i="15"/>
  <c r="K58" i="15"/>
  <c r="L58" i="15"/>
  <c r="M58" i="15"/>
  <c r="N58" i="15"/>
  <c r="O58" i="15"/>
  <c r="P58" i="15"/>
  <c r="Q58" i="15"/>
  <c r="R58" i="15"/>
  <c r="S58" i="15"/>
  <c r="T58" i="15"/>
  <c r="U58" i="15"/>
  <c r="V58" i="15"/>
  <c r="W58" i="15"/>
  <c r="X58" i="15"/>
  <c r="Y58" i="15"/>
  <c r="C59" i="15"/>
  <c r="D59" i="15"/>
  <c r="E59" i="15"/>
  <c r="F59" i="15"/>
  <c r="G59" i="15"/>
  <c r="H59" i="15"/>
  <c r="I59" i="15"/>
  <c r="J59" i="15"/>
  <c r="K59" i="15"/>
  <c r="L59" i="15"/>
  <c r="M59" i="15"/>
  <c r="N59" i="15"/>
  <c r="O59" i="15"/>
  <c r="P59" i="15"/>
  <c r="Q59" i="15"/>
  <c r="R59" i="15"/>
  <c r="S59" i="15"/>
  <c r="T59" i="15"/>
  <c r="U59" i="15"/>
  <c r="V59" i="15"/>
  <c r="W59" i="15"/>
  <c r="X59" i="15"/>
  <c r="Y59" i="15"/>
  <c r="C60" i="15"/>
  <c r="D60" i="15"/>
  <c r="E60" i="15"/>
  <c r="F60" i="15"/>
  <c r="G60" i="15"/>
  <c r="H60" i="15"/>
  <c r="I60" i="15"/>
  <c r="J60" i="15"/>
  <c r="K60" i="15"/>
  <c r="L60" i="15"/>
  <c r="M60" i="15"/>
  <c r="N60" i="15"/>
  <c r="O60" i="15"/>
  <c r="P60" i="15"/>
  <c r="Q60" i="15"/>
  <c r="R60" i="15"/>
  <c r="S60" i="15"/>
  <c r="T60" i="15"/>
  <c r="U60" i="15"/>
  <c r="V60" i="15"/>
  <c r="W60" i="15"/>
  <c r="X60" i="15"/>
  <c r="Y60" i="15"/>
  <c r="C61" i="15"/>
  <c r="D61" i="15"/>
  <c r="E61" i="15"/>
  <c r="F61" i="15"/>
  <c r="G61" i="15"/>
  <c r="H61" i="15"/>
  <c r="I61" i="15"/>
  <c r="J61" i="15"/>
  <c r="K61" i="15"/>
  <c r="L61" i="15"/>
  <c r="M61" i="15"/>
  <c r="N61" i="15"/>
  <c r="O61" i="15"/>
  <c r="P61" i="15"/>
  <c r="Q61" i="15"/>
  <c r="R61" i="15"/>
  <c r="S61" i="15"/>
  <c r="T61" i="15"/>
  <c r="U61" i="15"/>
  <c r="V61" i="15"/>
  <c r="W61" i="15"/>
  <c r="X61" i="15"/>
  <c r="Y61" i="15"/>
  <c r="C62" i="15"/>
  <c r="D62" i="15"/>
  <c r="E62" i="15"/>
  <c r="F62" i="15"/>
  <c r="G62" i="15"/>
  <c r="H62" i="15"/>
  <c r="I62" i="15"/>
  <c r="J62" i="15"/>
  <c r="K62" i="15"/>
  <c r="L62" i="15"/>
  <c r="M62" i="15"/>
  <c r="N62" i="15"/>
  <c r="O62" i="15"/>
  <c r="P62" i="15"/>
  <c r="Q62" i="15"/>
  <c r="R62" i="15"/>
  <c r="S62" i="15"/>
  <c r="T62" i="15"/>
  <c r="U62" i="15"/>
  <c r="V62" i="15"/>
  <c r="W62" i="15"/>
  <c r="X62" i="15"/>
  <c r="Y62" i="15"/>
  <c r="C63" i="15"/>
  <c r="D63" i="15"/>
  <c r="E63" i="15"/>
  <c r="F63" i="15"/>
  <c r="G63" i="15"/>
  <c r="H63" i="15"/>
  <c r="I63" i="15"/>
  <c r="J63" i="15"/>
  <c r="K63" i="15"/>
  <c r="L63" i="15"/>
  <c r="M63" i="15"/>
  <c r="N63" i="15"/>
  <c r="O63" i="15"/>
  <c r="P63" i="15"/>
  <c r="Q63" i="15"/>
  <c r="R63" i="15"/>
  <c r="S63" i="15"/>
  <c r="T63" i="15"/>
  <c r="U63" i="15"/>
  <c r="V63" i="15"/>
  <c r="W63" i="15"/>
  <c r="X63" i="15"/>
  <c r="Y63" i="15"/>
  <c r="C64" i="15"/>
  <c r="D64" i="15"/>
  <c r="E64" i="15"/>
  <c r="F64" i="15"/>
  <c r="G64" i="15"/>
  <c r="H64" i="15"/>
  <c r="I64" i="15"/>
  <c r="J64" i="15"/>
  <c r="K64" i="15"/>
  <c r="L64" i="15"/>
  <c r="M64" i="15"/>
  <c r="N64" i="15"/>
  <c r="O64" i="15"/>
  <c r="P64" i="15"/>
  <c r="Q64" i="15"/>
  <c r="R64" i="15"/>
  <c r="S64" i="15"/>
  <c r="T64" i="15"/>
  <c r="U64" i="15"/>
  <c r="V64" i="15"/>
  <c r="W64" i="15"/>
  <c r="X64" i="15"/>
  <c r="Y64" i="15"/>
  <c r="C65" i="15"/>
  <c r="D65" i="15"/>
  <c r="E65" i="15"/>
  <c r="F65" i="15"/>
  <c r="G65" i="15"/>
  <c r="H65" i="15"/>
  <c r="I65" i="15"/>
  <c r="J65" i="15"/>
  <c r="K65" i="15"/>
  <c r="L65" i="15"/>
  <c r="M65" i="15"/>
  <c r="N65" i="15"/>
  <c r="O65" i="15"/>
  <c r="P65" i="15"/>
  <c r="Q65" i="15"/>
  <c r="R65" i="15"/>
  <c r="S65" i="15"/>
  <c r="T65" i="15"/>
  <c r="U65" i="15"/>
  <c r="V65" i="15"/>
  <c r="W65" i="15"/>
  <c r="X65" i="15"/>
  <c r="Y65" i="15"/>
  <c r="C66" i="15"/>
  <c r="D66" i="15"/>
  <c r="E66" i="15"/>
  <c r="F66" i="15"/>
  <c r="G66" i="15"/>
  <c r="H66" i="15"/>
  <c r="I66" i="15"/>
  <c r="J66" i="15"/>
  <c r="K66" i="15"/>
  <c r="L66" i="15"/>
  <c r="M66" i="15"/>
  <c r="N66" i="15"/>
  <c r="O66" i="15"/>
  <c r="P66" i="15"/>
  <c r="Q66" i="15"/>
  <c r="R66" i="15"/>
  <c r="S66" i="15"/>
  <c r="T66" i="15"/>
  <c r="U66" i="15"/>
  <c r="V66" i="15"/>
  <c r="W66" i="15"/>
  <c r="X66" i="15"/>
  <c r="Y66" i="15"/>
  <c r="C67" i="15"/>
  <c r="D67" i="15"/>
  <c r="E67" i="15"/>
  <c r="F67" i="15"/>
  <c r="G67" i="15"/>
  <c r="H67" i="15"/>
  <c r="I67" i="15"/>
  <c r="J67" i="15"/>
  <c r="K67" i="15"/>
  <c r="L67" i="15"/>
  <c r="M67" i="15"/>
  <c r="N67" i="15"/>
  <c r="O67" i="15"/>
  <c r="P67" i="15"/>
  <c r="Q67" i="15"/>
  <c r="R67" i="15"/>
  <c r="S67" i="15"/>
  <c r="T67" i="15"/>
  <c r="U67" i="15"/>
  <c r="V67" i="15"/>
  <c r="W67" i="15"/>
  <c r="X67" i="15"/>
  <c r="Y67" i="15"/>
  <c r="C68" i="15"/>
  <c r="D68" i="15"/>
  <c r="E68" i="15"/>
  <c r="F68" i="15"/>
  <c r="G68" i="15"/>
  <c r="H68" i="15"/>
  <c r="I68" i="15"/>
  <c r="J68" i="15"/>
  <c r="K68" i="15"/>
  <c r="L68" i="15"/>
  <c r="M68" i="15"/>
  <c r="N68" i="15"/>
  <c r="O68" i="15"/>
  <c r="P68" i="15"/>
  <c r="Q68" i="15"/>
  <c r="R68" i="15"/>
  <c r="S68" i="15"/>
  <c r="T68" i="15"/>
  <c r="U68" i="15"/>
  <c r="V68" i="15"/>
  <c r="W68" i="15"/>
  <c r="X68" i="15"/>
  <c r="Y68" i="15"/>
  <c r="C69" i="15"/>
  <c r="D69" i="15"/>
  <c r="E69" i="15"/>
  <c r="F69" i="15"/>
  <c r="G69" i="15"/>
  <c r="H69" i="15"/>
  <c r="I69" i="15"/>
  <c r="J69" i="15"/>
  <c r="K69" i="15"/>
  <c r="L69" i="15"/>
  <c r="M69" i="15"/>
  <c r="N69" i="15"/>
  <c r="O69" i="15"/>
  <c r="P69" i="15"/>
  <c r="Q69" i="15"/>
  <c r="R69" i="15"/>
  <c r="S69" i="15"/>
  <c r="T69" i="15"/>
  <c r="U69" i="15"/>
  <c r="V69" i="15"/>
  <c r="W69" i="15"/>
  <c r="X69" i="15"/>
  <c r="Y69" i="15"/>
  <c r="C70" i="15"/>
  <c r="D70" i="15"/>
  <c r="E70" i="15"/>
  <c r="F70" i="15"/>
  <c r="G70" i="15"/>
  <c r="H70" i="15"/>
  <c r="I70" i="15"/>
  <c r="J70" i="15"/>
  <c r="K70" i="15"/>
  <c r="L70" i="15"/>
  <c r="M70" i="15"/>
  <c r="N70" i="15"/>
  <c r="O70" i="15"/>
  <c r="P70" i="15"/>
  <c r="Q70" i="15"/>
  <c r="R70" i="15"/>
  <c r="S70" i="15"/>
  <c r="T70" i="15"/>
  <c r="U70" i="15"/>
  <c r="V70" i="15"/>
  <c r="W70" i="15"/>
  <c r="X70" i="15"/>
  <c r="Y70" i="15"/>
  <c r="C71" i="15"/>
  <c r="D71" i="15"/>
  <c r="E71" i="15"/>
  <c r="F71" i="15"/>
  <c r="G71" i="15"/>
  <c r="H71" i="15"/>
  <c r="I71" i="15"/>
  <c r="J71" i="15"/>
  <c r="K71" i="15"/>
  <c r="L71" i="15"/>
  <c r="M71" i="15"/>
  <c r="N71" i="15"/>
  <c r="O71" i="15"/>
  <c r="P71" i="15"/>
  <c r="Q71" i="15"/>
  <c r="R71" i="15"/>
  <c r="S71" i="15"/>
  <c r="T71" i="15"/>
  <c r="U71" i="15"/>
  <c r="V71" i="15"/>
  <c r="W71" i="15"/>
  <c r="X71" i="15"/>
  <c r="Y71" i="15"/>
  <c r="C72" i="15"/>
  <c r="D72" i="15"/>
  <c r="E72" i="15"/>
  <c r="F72" i="15"/>
  <c r="G72" i="15"/>
  <c r="H72" i="15"/>
  <c r="I72" i="15"/>
  <c r="J72" i="15"/>
  <c r="K72" i="15"/>
  <c r="L72" i="15"/>
  <c r="M72" i="15"/>
  <c r="N72" i="15"/>
  <c r="O72" i="15"/>
  <c r="P72" i="15"/>
  <c r="Q72" i="15"/>
  <c r="R72" i="15"/>
  <c r="S72" i="15"/>
  <c r="T72" i="15"/>
  <c r="U72" i="15"/>
  <c r="V72" i="15"/>
  <c r="W72" i="15"/>
  <c r="X72" i="15"/>
  <c r="Y72" i="15"/>
  <c r="C73" i="15"/>
  <c r="D73" i="15"/>
  <c r="E73" i="15"/>
  <c r="F73" i="15"/>
  <c r="G73" i="15"/>
  <c r="H73" i="15"/>
  <c r="I73" i="15"/>
  <c r="J73" i="15"/>
  <c r="K73" i="15"/>
  <c r="L73" i="15"/>
  <c r="M73" i="15"/>
  <c r="N73" i="15"/>
  <c r="O73" i="15"/>
  <c r="P73" i="15"/>
  <c r="Q73" i="15"/>
  <c r="R73" i="15"/>
  <c r="S73" i="15"/>
  <c r="T73" i="15"/>
  <c r="U73" i="15"/>
  <c r="V73" i="15"/>
  <c r="W73" i="15"/>
  <c r="X73" i="15"/>
  <c r="Y73" i="15"/>
  <c r="C74" i="15"/>
  <c r="D74" i="15"/>
  <c r="E74" i="15"/>
  <c r="F74" i="15"/>
  <c r="G74" i="15"/>
  <c r="H74" i="15"/>
  <c r="I74" i="15"/>
  <c r="J74" i="15"/>
  <c r="K74" i="15"/>
  <c r="L74" i="15"/>
  <c r="M74" i="15"/>
  <c r="N74" i="15"/>
  <c r="O74" i="15"/>
  <c r="P74" i="15"/>
  <c r="Q74" i="15"/>
  <c r="R74" i="15"/>
  <c r="S74" i="15"/>
  <c r="T74" i="15"/>
  <c r="U74" i="15"/>
  <c r="V74" i="15"/>
  <c r="W74" i="15"/>
  <c r="X74" i="15"/>
  <c r="Y74" i="15"/>
  <c r="C75" i="15"/>
  <c r="D75" i="15"/>
  <c r="E75" i="15"/>
  <c r="F75" i="15"/>
  <c r="G75" i="15"/>
  <c r="H75" i="15"/>
  <c r="I75" i="15"/>
  <c r="J75" i="15"/>
  <c r="K75" i="15"/>
  <c r="L75" i="15"/>
  <c r="M75" i="15"/>
  <c r="N75" i="15"/>
  <c r="O75" i="15"/>
  <c r="P75" i="15"/>
  <c r="Q75" i="15"/>
  <c r="R75" i="15"/>
  <c r="S75" i="15"/>
  <c r="T75" i="15"/>
  <c r="U75" i="15"/>
  <c r="V75" i="15"/>
  <c r="W75" i="15"/>
  <c r="X75" i="15"/>
  <c r="Y75" i="15"/>
  <c r="C76" i="15"/>
  <c r="D76" i="15"/>
  <c r="E76" i="15"/>
  <c r="F76" i="15"/>
  <c r="G76" i="15"/>
  <c r="H76" i="15"/>
  <c r="I76" i="15"/>
  <c r="J76" i="15"/>
  <c r="K76" i="15"/>
  <c r="L76" i="15"/>
  <c r="M76" i="15"/>
  <c r="N76" i="15"/>
  <c r="O76" i="15"/>
  <c r="P76" i="15"/>
  <c r="Q76" i="15"/>
  <c r="R76" i="15"/>
  <c r="S76" i="15"/>
  <c r="T76" i="15"/>
  <c r="U76" i="15"/>
  <c r="V76" i="15"/>
  <c r="W76" i="15"/>
  <c r="X76" i="15"/>
  <c r="Y76" i="15"/>
  <c r="C77" i="15"/>
  <c r="D77" i="15"/>
  <c r="E77" i="15"/>
  <c r="F77" i="15"/>
  <c r="G77" i="15"/>
  <c r="H77" i="15"/>
  <c r="I77" i="15"/>
  <c r="J77" i="15"/>
  <c r="K77" i="15"/>
  <c r="L77" i="15"/>
  <c r="M77" i="15"/>
  <c r="N77" i="15"/>
  <c r="O77" i="15"/>
  <c r="P77" i="15"/>
  <c r="Q77" i="15"/>
  <c r="R77" i="15"/>
  <c r="S77" i="15"/>
  <c r="T77" i="15"/>
  <c r="U77" i="15"/>
  <c r="V77" i="15"/>
  <c r="W77" i="15"/>
  <c r="X77" i="15"/>
  <c r="Y77" i="15"/>
  <c r="C78" i="15"/>
  <c r="D78" i="15"/>
  <c r="E78" i="15"/>
  <c r="F78" i="15"/>
  <c r="G78" i="15"/>
  <c r="H78" i="15"/>
  <c r="I78" i="15"/>
  <c r="J78" i="15"/>
  <c r="K78" i="15"/>
  <c r="L78" i="15"/>
  <c r="M78" i="15"/>
  <c r="N78" i="15"/>
  <c r="O78" i="15"/>
  <c r="P78" i="15"/>
  <c r="Q78" i="15"/>
  <c r="R78" i="15"/>
  <c r="S78" i="15"/>
  <c r="T78" i="15"/>
  <c r="U78" i="15"/>
  <c r="V78" i="15"/>
  <c r="W78" i="15"/>
  <c r="X78" i="15"/>
  <c r="Y78" i="15"/>
  <c r="C79" i="15"/>
  <c r="D79" i="15"/>
  <c r="E79" i="15"/>
  <c r="F79" i="15"/>
  <c r="G79" i="15"/>
  <c r="H79" i="15"/>
  <c r="I79" i="15"/>
  <c r="J79" i="15"/>
  <c r="K79" i="15"/>
  <c r="L79" i="15"/>
  <c r="M79" i="15"/>
  <c r="N79" i="15"/>
  <c r="O79" i="15"/>
  <c r="P79" i="15"/>
  <c r="Q79" i="15"/>
  <c r="R79" i="15"/>
  <c r="S79" i="15"/>
  <c r="T79" i="15"/>
  <c r="U79" i="15"/>
  <c r="V79" i="15"/>
  <c r="W79" i="15"/>
  <c r="X79" i="15"/>
  <c r="Y79" i="15"/>
  <c r="C80" i="15"/>
  <c r="D80" i="15"/>
  <c r="E80" i="15"/>
  <c r="F80" i="15"/>
  <c r="G80" i="15"/>
  <c r="H80" i="15"/>
  <c r="I80" i="15"/>
  <c r="J80" i="15"/>
  <c r="K80" i="15"/>
  <c r="L80" i="15"/>
  <c r="M80" i="15"/>
  <c r="N80" i="15"/>
  <c r="O80" i="15"/>
  <c r="P80" i="15"/>
  <c r="Q80" i="15"/>
  <c r="R80" i="15"/>
  <c r="S80" i="15"/>
  <c r="T80" i="15"/>
  <c r="U80" i="15"/>
  <c r="V80" i="15"/>
  <c r="W80" i="15"/>
  <c r="X80" i="15"/>
  <c r="Y80" i="15"/>
  <c r="C81" i="15"/>
  <c r="D81" i="15"/>
  <c r="E81" i="15"/>
  <c r="F81" i="15"/>
  <c r="G81" i="15"/>
  <c r="H81" i="15"/>
  <c r="I81" i="15"/>
  <c r="J81" i="15"/>
  <c r="K81" i="15"/>
  <c r="L81" i="15"/>
  <c r="M81" i="15"/>
  <c r="N81" i="15"/>
  <c r="O81" i="15"/>
  <c r="P81" i="15"/>
  <c r="Q81" i="15"/>
  <c r="R81" i="15"/>
  <c r="S81" i="15"/>
  <c r="T81" i="15"/>
  <c r="U81" i="15"/>
  <c r="V81" i="15"/>
  <c r="W81" i="15"/>
  <c r="X81" i="15"/>
  <c r="Y81" i="15"/>
  <c r="C82" i="15"/>
  <c r="D82" i="15"/>
  <c r="E82" i="15"/>
  <c r="F82" i="15"/>
  <c r="G82" i="15"/>
  <c r="H82" i="15"/>
  <c r="I82" i="15"/>
  <c r="J82" i="15"/>
  <c r="K82" i="15"/>
  <c r="L82" i="15"/>
  <c r="M82" i="15"/>
  <c r="N82" i="15"/>
  <c r="O82" i="15"/>
  <c r="P82" i="15"/>
  <c r="Q82" i="15"/>
  <c r="R82" i="15"/>
  <c r="S82" i="15"/>
  <c r="T82" i="15"/>
  <c r="U82" i="15"/>
  <c r="V82" i="15"/>
  <c r="W82" i="15"/>
  <c r="X82" i="15"/>
  <c r="Y82" i="15"/>
  <c r="C83" i="15"/>
  <c r="D83" i="15"/>
  <c r="E83" i="15"/>
  <c r="F83" i="15"/>
  <c r="G83" i="15"/>
  <c r="H83" i="15"/>
  <c r="I83" i="15"/>
  <c r="J83" i="15"/>
  <c r="K83" i="15"/>
  <c r="L83" i="15"/>
  <c r="M83" i="15"/>
  <c r="N83" i="15"/>
  <c r="O83" i="15"/>
  <c r="P83" i="15"/>
  <c r="Q83" i="15"/>
  <c r="R83" i="15"/>
  <c r="S83" i="15"/>
  <c r="T83" i="15"/>
  <c r="U83" i="15"/>
  <c r="V83" i="15"/>
  <c r="W83" i="15"/>
  <c r="X83" i="15"/>
  <c r="Y83" i="15"/>
  <c r="C84" i="15"/>
  <c r="D84" i="15"/>
  <c r="E84" i="15"/>
  <c r="F84" i="15"/>
  <c r="G84" i="15"/>
  <c r="H84" i="15"/>
  <c r="I84" i="15"/>
  <c r="J84" i="15"/>
  <c r="K84" i="15"/>
  <c r="L84" i="15"/>
  <c r="M84" i="15"/>
  <c r="N84" i="15"/>
  <c r="O84" i="15"/>
  <c r="P84" i="15"/>
  <c r="Q84" i="15"/>
  <c r="R84" i="15"/>
  <c r="S84" i="15"/>
  <c r="T84" i="15"/>
  <c r="U84" i="15"/>
  <c r="V84" i="15"/>
  <c r="W84" i="15"/>
  <c r="X84" i="15"/>
  <c r="Y84" i="15"/>
  <c r="C85" i="15"/>
  <c r="D85" i="15"/>
  <c r="E85" i="15"/>
  <c r="F85" i="15"/>
  <c r="G85" i="15"/>
  <c r="H85" i="15"/>
  <c r="I85" i="15"/>
  <c r="J85" i="15"/>
  <c r="K85" i="15"/>
  <c r="L85" i="15"/>
  <c r="M85" i="15"/>
  <c r="N85" i="15"/>
  <c r="O85" i="15"/>
  <c r="P85" i="15"/>
  <c r="Q85" i="15"/>
  <c r="R85" i="15"/>
  <c r="S85" i="15"/>
  <c r="T85" i="15"/>
  <c r="U85" i="15"/>
  <c r="V85" i="15"/>
  <c r="W85" i="15"/>
  <c r="X85" i="15"/>
  <c r="Y85" i="15"/>
  <c r="C86" i="15"/>
  <c r="D86" i="15"/>
  <c r="E86" i="15"/>
  <c r="F86" i="15"/>
  <c r="G86" i="15"/>
  <c r="H86" i="15"/>
  <c r="I86" i="15"/>
  <c r="J86" i="15"/>
  <c r="K86" i="15"/>
  <c r="L86" i="15"/>
  <c r="M86" i="15"/>
  <c r="N86" i="15"/>
  <c r="O86" i="15"/>
  <c r="P86" i="15"/>
  <c r="Q86" i="15"/>
  <c r="R86" i="15"/>
  <c r="S86" i="15"/>
  <c r="T86" i="15"/>
  <c r="U86" i="15"/>
  <c r="V86" i="15"/>
  <c r="W86" i="15"/>
  <c r="X86" i="15"/>
  <c r="Y86" i="15"/>
  <c r="C87" i="15"/>
  <c r="D87" i="15"/>
  <c r="E87" i="15"/>
  <c r="F87" i="15"/>
  <c r="G87" i="15"/>
  <c r="H87" i="15"/>
  <c r="I87" i="15"/>
  <c r="J87" i="15"/>
  <c r="K87" i="15"/>
  <c r="L87" i="15"/>
  <c r="M87" i="15"/>
  <c r="N87" i="15"/>
  <c r="O87" i="15"/>
  <c r="P87" i="15"/>
  <c r="Q87" i="15"/>
  <c r="R87" i="15"/>
  <c r="S87" i="15"/>
  <c r="T87" i="15"/>
  <c r="U87" i="15"/>
  <c r="V87" i="15"/>
  <c r="W87" i="15"/>
  <c r="X87" i="15"/>
  <c r="Y87" i="15"/>
  <c r="C88" i="15"/>
  <c r="D88" i="15"/>
  <c r="E88" i="15"/>
  <c r="F88" i="15"/>
  <c r="G88" i="15"/>
  <c r="H88" i="15"/>
  <c r="I88" i="15"/>
  <c r="J88" i="15"/>
  <c r="K88" i="15"/>
  <c r="L88" i="15"/>
  <c r="M88" i="15"/>
  <c r="N88" i="15"/>
  <c r="O88" i="15"/>
  <c r="P88" i="15"/>
  <c r="Q88" i="15"/>
  <c r="R88" i="15"/>
  <c r="S88" i="15"/>
  <c r="T88" i="15"/>
  <c r="U88" i="15"/>
  <c r="V88" i="15"/>
  <c r="W88" i="15"/>
  <c r="X88" i="15"/>
  <c r="Y88" i="15"/>
  <c r="C89" i="15"/>
  <c r="D89" i="15"/>
  <c r="E89" i="15"/>
  <c r="F89" i="15"/>
  <c r="G89" i="15"/>
  <c r="H89" i="15"/>
  <c r="I89" i="15"/>
  <c r="J89" i="15"/>
  <c r="K89" i="15"/>
  <c r="L89" i="15"/>
  <c r="M89" i="15"/>
  <c r="N89" i="15"/>
  <c r="O89" i="15"/>
  <c r="P89" i="15"/>
  <c r="Q89" i="15"/>
  <c r="R89" i="15"/>
  <c r="S89" i="15"/>
  <c r="T89" i="15"/>
  <c r="U89" i="15"/>
  <c r="V89" i="15"/>
  <c r="W89" i="15"/>
  <c r="X89" i="15"/>
  <c r="Y89" i="15"/>
  <c r="C90" i="15"/>
  <c r="D90" i="15"/>
  <c r="E90" i="15"/>
  <c r="F90" i="15"/>
  <c r="G90" i="15"/>
  <c r="H90" i="15"/>
  <c r="I90" i="15"/>
  <c r="J90" i="15"/>
  <c r="K90" i="15"/>
  <c r="L90" i="15"/>
  <c r="M90" i="15"/>
  <c r="N90" i="15"/>
  <c r="O90" i="15"/>
  <c r="P90" i="15"/>
  <c r="Q90" i="15"/>
  <c r="R90" i="15"/>
  <c r="S90" i="15"/>
  <c r="T90" i="15"/>
  <c r="U90" i="15"/>
  <c r="V90" i="15"/>
  <c r="W90" i="15"/>
  <c r="X90" i="15"/>
  <c r="Y90" i="15"/>
  <c r="C91" i="15"/>
  <c r="D91" i="15"/>
  <c r="E91" i="15"/>
  <c r="F91" i="15"/>
  <c r="G91" i="15"/>
  <c r="H91" i="15"/>
  <c r="I91" i="15"/>
  <c r="J91" i="15"/>
  <c r="K91" i="15"/>
  <c r="L91" i="15"/>
  <c r="M91" i="15"/>
  <c r="N91" i="15"/>
  <c r="O91" i="15"/>
  <c r="P91" i="15"/>
  <c r="Q91" i="15"/>
  <c r="R91" i="15"/>
  <c r="S91" i="15"/>
  <c r="T91" i="15"/>
  <c r="U91" i="15"/>
  <c r="V91" i="15"/>
  <c r="W91" i="15"/>
  <c r="X91" i="15"/>
  <c r="Y91" i="15"/>
  <c r="C92" i="15"/>
  <c r="D92" i="15"/>
  <c r="E92" i="15"/>
  <c r="F92" i="15"/>
  <c r="G92" i="15"/>
  <c r="H92" i="15"/>
  <c r="I92" i="15"/>
  <c r="J92" i="15"/>
  <c r="K92" i="15"/>
  <c r="L92" i="15"/>
  <c r="M92" i="15"/>
  <c r="N92" i="15"/>
  <c r="O92" i="15"/>
  <c r="P92" i="15"/>
  <c r="Q92" i="15"/>
  <c r="R92" i="15"/>
  <c r="S92" i="15"/>
  <c r="T92" i="15"/>
  <c r="U92" i="15"/>
  <c r="V92" i="15"/>
  <c r="W92" i="15"/>
  <c r="X92" i="15"/>
  <c r="Y92" i="15"/>
  <c r="C93" i="15"/>
  <c r="D93" i="15"/>
  <c r="E93" i="15"/>
  <c r="F93" i="15"/>
  <c r="G93" i="15"/>
  <c r="H93" i="15"/>
  <c r="I93" i="15"/>
  <c r="J93" i="15"/>
  <c r="K93" i="15"/>
  <c r="L93" i="15"/>
  <c r="M93" i="15"/>
  <c r="N93" i="15"/>
  <c r="O93" i="15"/>
  <c r="P93" i="15"/>
  <c r="Q93" i="15"/>
  <c r="R93" i="15"/>
  <c r="S93" i="15"/>
  <c r="T93" i="15"/>
  <c r="U93" i="15"/>
  <c r="V93" i="15"/>
  <c r="W93" i="15"/>
  <c r="X93" i="15"/>
  <c r="Y93" i="15"/>
  <c r="C94" i="15"/>
  <c r="D94" i="15"/>
  <c r="E94" i="15"/>
  <c r="F94" i="15"/>
  <c r="G94" i="15"/>
  <c r="H94" i="15"/>
  <c r="I94" i="15"/>
  <c r="J94" i="15"/>
  <c r="K94" i="15"/>
  <c r="L94" i="15"/>
  <c r="M94" i="15"/>
  <c r="N94" i="15"/>
  <c r="O94" i="15"/>
  <c r="P94" i="15"/>
  <c r="Q94" i="15"/>
  <c r="R94" i="15"/>
  <c r="S94" i="15"/>
  <c r="T94" i="15"/>
  <c r="U94" i="15"/>
  <c r="V94" i="15"/>
  <c r="W94" i="15"/>
  <c r="X94" i="15"/>
  <c r="Y94" i="15"/>
  <c r="C95" i="15"/>
  <c r="D95" i="15"/>
  <c r="E95" i="15"/>
  <c r="F95" i="15"/>
  <c r="G95" i="15"/>
  <c r="H95" i="15"/>
  <c r="I95" i="15"/>
  <c r="J95" i="15"/>
  <c r="K95" i="15"/>
  <c r="L95" i="15"/>
  <c r="M95" i="15"/>
  <c r="N95" i="15"/>
  <c r="O95" i="15"/>
  <c r="P95" i="15"/>
  <c r="Q95" i="15"/>
  <c r="R95" i="15"/>
  <c r="S95" i="15"/>
  <c r="T95" i="15"/>
  <c r="U95" i="15"/>
  <c r="V95" i="15"/>
  <c r="W95" i="15"/>
  <c r="X95" i="15"/>
  <c r="Y95" i="15"/>
  <c r="C96" i="15"/>
  <c r="D96" i="15"/>
  <c r="E96" i="15"/>
  <c r="F96" i="15"/>
  <c r="G96" i="15"/>
  <c r="H96" i="15"/>
  <c r="I96" i="15"/>
  <c r="J96" i="15"/>
  <c r="K96" i="15"/>
  <c r="L96" i="15"/>
  <c r="M96" i="15"/>
  <c r="N96" i="15"/>
  <c r="O96" i="15"/>
  <c r="P96" i="15"/>
  <c r="Q96" i="15"/>
  <c r="R96" i="15"/>
  <c r="S96" i="15"/>
  <c r="T96" i="15"/>
  <c r="U96" i="15"/>
  <c r="V96" i="15"/>
  <c r="W96" i="15"/>
  <c r="X96" i="15"/>
  <c r="Y96" i="15"/>
  <c r="C97" i="15"/>
  <c r="D97" i="15"/>
  <c r="E97" i="15"/>
  <c r="F97" i="15"/>
  <c r="G97" i="15"/>
  <c r="H97" i="15"/>
  <c r="I97" i="15"/>
  <c r="J97" i="15"/>
  <c r="K97" i="15"/>
  <c r="L97" i="15"/>
  <c r="M97" i="15"/>
  <c r="N97" i="15"/>
  <c r="O97" i="15"/>
  <c r="P97" i="15"/>
  <c r="Q97" i="15"/>
  <c r="R97" i="15"/>
  <c r="S97" i="15"/>
  <c r="T97" i="15"/>
  <c r="U97" i="15"/>
  <c r="V97" i="15"/>
  <c r="W97" i="15"/>
  <c r="X97" i="15"/>
  <c r="Y97" i="15"/>
  <c r="C98" i="15"/>
  <c r="D98" i="15"/>
  <c r="E98" i="15"/>
  <c r="F98" i="15"/>
  <c r="G98" i="15"/>
  <c r="H98" i="15"/>
  <c r="I98" i="15"/>
  <c r="J98" i="15"/>
  <c r="K98" i="15"/>
  <c r="L98" i="15"/>
  <c r="M98" i="15"/>
  <c r="N98" i="15"/>
  <c r="O98" i="15"/>
  <c r="P98" i="15"/>
  <c r="Q98" i="15"/>
  <c r="R98" i="15"/>
  <c r="S98" i="15"/>
  <c r="T98" i="15"/>
  <c r="U98" i="15"/>
  <c r="V98" i="15"/>
  <c r="W98" i="15"/>
  <c r="X98" i="15"/>
  <c r="Y98" i="15"/>
  <c r="C115" i="15"/>
  <c r="D115" i="15"/>
  <c r="E115" i="15"/>
  <c r="F115" i="15"/>
  <c r="G115" i="15"/>
  <c r="H115" i="15"/>
  <c r="I115" i="15"/>
  <c r="J115" i="15"/>
  <c r="K115" i="15"/>
  <c r="L115" i="15"/>
  <c r="M115" i="15"/>
  <c r="N115" i="15"/>
  <c r="O115" i="15"/>
  <c r="P115" i="15"/>
  <c r="Q115" i="15"/>
  <c r="R115" i="15"/>
  <c r="S115" i="15"/>
  <c r="T115" i="15"/>
  <c r="U115" i="15"/>
  <c r="V115" i="15"/>
  <c r="W115" i="15"/>
  <c r="X115" i="15"/>
  <c r="Y115" i="15"/>
  <c r="C99" i="15"/>
  <c r="D99" i="15"/>
  <c r="E99" i="15"/>
  <c r="F99" i="15"/>
  <c r="G99" i="15"/>
  <c r="H99" i="15"/>
  <c r="I99" i="15"/>
  <c r="J99" i="15"/>
  <c r="K99" i="15"/>
  <c r="L99" i="15"/>
  <c r="M99" i="15"/>
  <c r="N99" i="15"/>
  <c r="O99" i="15"/>
  <c r="P99" i="15"/>
  <c r="Q99" i="15"/>
  <c r="R99" i="15"/>
  <c r="S99" i="15"/>
  <c r="T99" i="15"/>
  <c r="U99" i="15"/>
  <c r="V99" i="15"/>
  <c r="W99" i="15"/>
  <c r="X99" i="15"/>
  <c r="Y99" i="15"/>
  <c r="C116" i="15"/>
  <c r="D116" i="15"/>
  <c r="E116" i="15"/>
  <c r="F116" i="15"/>
  <c r="G116" i="15"/>
  <c r="H116" i="15"/>
  <c r="I116" i="15"/>
  <c r="J116" i="15"/>
  <c r="K116" i="15"/>
  <c r="L116" i="15"/>
  <c r="M116" i="15"/>
  <c r="N116" i="15"/>
  <c r="O116" i="15"/>
  <c r="P116" i="15"/>
  <c r="Q116" i="15"/>
  <c r="R116" i="15"/>
  <c r="S116" i="15"/>
  <c r="T116" i="15"/>
  <c r="U116" i="15"/>
  <c r="V116" i="15"/>
  <c r="W116" i="15"/>
  <c r="X116" i="15"/>
  <c r="Y116" i="15"/>
  <c r="C100" i="15"/>
  <c r="D100" i="15"/>
  <c r="E100" i="15"/>
  <c r="F100" i="15"/>
  <c r="G100" i="15"/>
  <c r="H100" i="15"/>
  <c r="I100" i="15"/>
  <c r="J100" i="15"/>
  <c r="K100" i="15"/>
  <c r="L100" i="15"/>
  <c r="M100" i="15"/>
  <c r="N100" i="15"/>
  <c r="O100" i="15"/>
  <c r="P100" i="15"/>
  <c r="Q100" i="15"/>
  <c r="R100" i="15"/>
  <c r="S100" i="15"/>
  <c r="T100" i="15"/>
  <c r="U100" i="15"/>
  <c r="V100" i="15"/>
  <c r="W100" i="15"/>
  <c r="X100" i="15"/>
  <c r="Y100" i="15"/>
  <c r="C101" i="15"/>
  <c r="D101" i="15"/>
  <c r="E101" i="15"/>
  <c r="F101" i="15"/>
  <c r="G101" i="15"/>
  <c r="H101" i="15"/>
  <c r="I101" i="15"/>
  <c r="J101" i="15"/>
  <c r="K101" i="15"/>
  <c r="L101" i="15"/>
  <c r="M101" i="15"/>
  <c r="N101" i="15"/>
  <c r="O101" i="15"/>
  <c r="P101" i="15"/>
  <c r="Q101" i="15"/>
  <c r="R101" i="15"/>
  <c r="S101" i="15"/>
  <c r="T101" i="15"/>
  <c r="U101" i="15"/>
  <c r="V101" i="15"/>
  <c r="W101" i="15"/>
  <c r="X101" i="15"/>
  <c r="Y101" i="15"/>
  <c r="C102" i="15"/>
  <c r="D102" i="15"/>
  <c r="E102" i="15"/>
  <c r="F102" i="15"/>
  <c r="G102" i="15"/>
  <c r="H102" i="15"/>
  <c r="I102" i="15"/>
  <c r="J102" i="15"/>
  <c r="K102" i="15"/>
  <c r="L102" i="15"/>
  <c r="M102" i="15"/>
  <c r="N102" i="15"/>
  <c r="O102" i="15"/>
  <c r="P102" i="15"/>
  <c r="Q102" i="15"/>
  <c r="R102" i="15"/>
  <c r="S102" i="15"/>
  <c r="T102" i="15"/>
  <c r="U102" i="15"/>
  <c r="V102" i="15"/>
  <c r="W102" i="15"/>
  <c r="X102" i="15"/>
  <c r="Y102" i="15"/>
  <c r="C103" i="15"/>
  <c r="D103" i="15"/>
  <c r="E103" i="15"/>
  <c r="F103" i="15"/>
  <c r="G103" i="15"/>
  <c r="H103" i="15"/>
  <c r="I103" i="15"/>
  <c r="J103" i="15"/>
  <c r="K103" i="15"/>
  <c r="L103" i="15"/>
  <c r="M103" i="15"/>
  <c r="N103" i="15"/>
  <c r="O103" i="15"/>
  <c r="P103" i="15"/>
  <c r="Q103" i="15"/>
  <c r="R103" i="15"/>
  <c r="S103" i="15"/>
  <c r="T103" i="15"/>
  <c r="U103" i="15"/>
  <c r="V103" i="15"/>
  <c r="W103" i="15"/>
  <c r="X103" i="15"/>
  <c r="Y103" i="15"/>
  <c r="C117" i="15"/>
  <c r="D117" i="15"/>
  <c r="E117" i="15"/>
  <c r="F117" i="15"/>
  <c r="G117" i="15"/>
  <c r="H117" i="15"/>
  <c r="I117" i="15"/>
  <c r="J117" i="15"/>
  <c r="K117" i="15"/>
  <c r="L117" i="15"/>
  <c r="M117" i="15"/>
  <c r="N117" i="15"/>
  <c r="O117" i="15"/>
  <c r="P117" i="15"/>
  <c r="Q117" i="15"/>
  <c r="R117" i="15"/>
  <c r="S117" i="15"/>
  <c r="T117" i="15"/>
  <c r="U117" i="15"/>
  <c r="V117" i="15"/>
  <c r="W117" i="15"/>
  <c r="X117" i="15"/>
  <c r="Y117" i="15"/>
  <c r="C118" i="15"/>
  <c r="D118" i="15"/>
  <c r="E118" i="15"/>
  <c r="F118" i="15"/>
  <c r="G118" i="15"/>
  <c r="H118" i="15"/>
  <c r="I118" i="15"/>
  <c r="J118" i="15"/>
  <c r="K118" i="15"/>
  <c r="L118" i="15"/>
  <c r="M118" i="15"/>
  <c r="N118" i="15"/>
  <c r="O118" i="15"/>
  <c r="P118" i="15"/>
  <c r="Q118" i="15"/>
  <c r="R118" i="15"/>
  <c r="S118" i="15"/>
  <c r="T118" i="15"/>
  <c r="U118" i="15"/>
  <c r="V118" i="15"/>
  <c r="W118" i="15"/>
  <c r="X118" i="15"/>
  <c r="Y118" i="15"/>
  <c r="C119" i="15"/>
  <c r="D119" i="15"/>
  <c r="E119" i="15"/>
  <c r="F119" i="15"/>
  <c r="G119" i="15"/>
  <c r="H119" i="15"/>
  <c r="I119" i="15"/>
  <c r="J119" i="15"/>
  <c r="K119" i="15"/>
  <c r="L119" i="15"/>
  <c r="M119" i="15"/>
  <c r="N119" i="15"/>
  <c r="O119" i="15"/>
  <c r="P119" i="15"/>
  <c r="Q119" i="15"/>
  <c r="R119" i="15"/>
  <c r="S119" i="15"/>
  <c r="T119" i="15"/>
  <c r="U119" i="15"/>
  <c r="V119" i="15"/>
  <c r="W119" i="15"/>
  <c r="X119" i="15"/>
  <c r="Y119" i="15"/>
  <c r="C120" i="15"/>
  <c r="D120" i="15"/>
  <c r="E120" i="15"/>
  <c r="F120" i="15"/>
  <c r="G120" i="15"/>
  <c r="H120" i="15"/>
  <c r="I120" i="15"/>
  <c r="J120" i="15"/>
  <c r="K120" i="15"/>
  <c r="L120" i="15"/>
  <c r="M120" i="15"/>
  <c r="N120" i="15"/>
  <c r="O120" i="15"/>
  <c r="P120" i="15"/>
  <c r="Q120" i="15"/>
  <c r="R120" i="15"/>
  <c r="S120" i="15"/>
  <c r="T120" i="15"/>
  <c r="U120" i="15"/>
  <c r="V120" i="15"/>
  <c r="W120" i="15"/>
  <c r="X120" i="15"/>
  <c r="Y120" i="15"/>
  <c r="C104" i="15"/>
  <c r="D104" i="15"/>
  <c r="E104" i="15"/>
  <c r="F104" i="15"/>
  <c r="G104" i="15"/>
  <c r="H104" i="15"/>
  <c r="I104" i="15"/>
  <c r="J104" i="15"/>
  <c r="K104" i="15"/>
  <c r="L104" i="15"/>
  <c r="M104" i="15"/>
  <c r="N104" i="15"/>
  <c r="O104" i="15"/>
  <c r="P104" i="15"/>
  <c r="Q104" i="15"/>
  <c r="R104" i="15"/>
  <c r="S104" i="15"/>
  <c r="T104" i="15"/>
  <c r="U104" i="15"/>
  <c r="V104" i="15"/>
  <c r="W104" i="15"/>
  <c r="X104" i="15"/>
  <c r="Y104" i="15"/>
  <c r="C121" i="15"/>
  <c r="D121" i="15"/>
  <c r="E121" i="15"/>
  <c r="F121" i="15"/>
  <c r="G121" i="15"/>
  <c r="H121" i="15"/>
  <c r="I121" i="15"/>
  <c r="J121" i="15"/>
  <c r="K121" i="15"/>
  <c r="L121" i="15"/>
  <c r="M121" i="15"/>
  <c r="N121" i="15"/>
  <c r="O121" i="15"/>
  <c r="P121" i="15"/>
  <c r="Q121" i="15"/>
  <c r="R121" i="15"/>
  <c r="S121" i="15"/>
  <c r="T121" i="15"/>
  <c r="U121" i="15"/>
  <c r="V121" i="15"/>
  <c r="W121" i="15"/>
  <c r="X121" i="15"/>
  <c r="Y121" i="15"/>
  <c r="C105" i="15"/>
  <c r="D105" i="15"/>
  <c r="E105" i="15"/>
  <c r="F105" i="15"/>
  <c r="G105" i="15"/>
  <c r="H105" i="15"/>
  <c r="I105" i="15"/>
  <c r="J105" i="15"/>
  <c r="K105" i="15"/>
  <c r="L105" i="15"/>
  <c r="M105" i="15"/>
  <c r="N105" i="15"/>
  <c r="O105" i="15"/>
  <c r="P105" i="15"/>
  <c r="Q105" i="15"/>
  <c r="R105" i="15"/>
  <c r="S105" i="15"/>
  <c r="T105" i="15"/>
  <c r="U105" i="15"/>
  <c r="V105" i="15"/>
  <c r="W105" i="15"/>
  <c r="X105" i="15"/>
  <c r="Y105" i="15"/>
  <c r="C122" i="15"/>
  <c r="D122" i="15"/>
  <c r="E122" i="15"/>
  <c r="F122" i="15"/>
  <c r="G122" i="15"/>
  <c r="H122" i="15"/>
  <c r="I122" i="15"/>
  <c r="J122" i="15"/>
  <c r="K122" i="15"/>
  <c r="L122" i="15"/>
  <c r="M122" i="15"/>
  <c r="N122" i="15"/>
  <c r="O122" i="15"/>
  <c r="P122" i="15"/>
  <c r="Q122" i="15"/>
  <c r="R122" i="15"/>
  <c r="S122" i="15"/>
  <c r="T122" i="15"/>
  <c r="U122" i="15"/>
  <c r="V122" i="15"/>
  <c r="W122" i="15"/>
  <c r="X122" i="15"/>
  <c r="Y122" i="15"/>
  <c r="C106" i="15"/>
  <c r="D106" i="15"/>
  <c r="E106" i="15"/>
  <c r="F106" i="15"/>
  <c r="G106" i="15"/>
  <c r="H106" i="15"/>
  <c r="I106" i="15"/>
  <c r="J106" i="15"/>
  <c r="K106" i="15"/>
  <c r="L106" i="15"/>
  <c r="M106" i="15"/>
  <c r="N106" i="15"/>
  <c r="O106" i="15"/>
  <c r="P106" i="15"/>
  <c r="Q106" i="15"/>
  <c r="R106" i="15"/>
  <c r="S106" i="15"/>
  <c r="T106" i="15"/>
  <c r="U106" i="15"/>
  <c r="V106" i="15"/>
  <c r="W106" i="15"/>
  <c r="X106" i="15"/>
  <c r="Y106" i="15"/>
  <c r="C107" i="15"/>
  <c r="D107" i="15"/>
  <c r="E107" i="15"/>
  <c r="F107" i="15"/>
  <c r="G107" i="15"/>
  <c r="H107" i="15"/>
  <c r="I107" i="15"/>
  <c r="J107" i="15"/>
  <c r="K107" i="15"/>
  <c r="L107" i="15"/>
  <c r="M107" i="15"/>
  <c r="N107" i="15"/>
  <c r="O107" i="15"/>
  <c r="P107" i="15"/>
  <c r="Q107" i="15"/>
  <c r="R107" i="15"/>
  <c r="S107" i="15"/>
  <c r="T107" i="15"/>
  <c r="U107" i="15"/>
  <c r="V107" i="15"/>
  <c r="W107" i="15"/>
  <c r="X107" i="15"/>
  <c r="Y107" i="15"/>
  <c r="C123" i="15"/>
  <c r="D123" i="15"/>
  <c r="E123" i="15"/>
  <c r="F123" i="15"/>
  <c r="G123" i="15"/>
  <c r="H123" i="15"/>
  <c r="I123" i="15"/>
  <c r="J123" i="15"/>
  <c r="K123" i="15"/>
  <c r="L123" i="15"/>
  <c r="M123" i="15"/>
  <c r="N123" i="15"/>
  <c r="O123" i="15"/>
  <c r="P123" i="15"/>
  <c r="Q123" i="15"/>
  <c r="R123" i="15"/>
  <c r="S123" i="15"/>
  <c r="T123" i="15"/>
  <c r="U123" i="15"/>
  <c r="V123" i="15"/>
  <c r="W123" i="15"/>
  <c r="X123" i="15"/>
  <c r="Y123" i="15"/>
  <c r="C124" i="15"/>
  <c r="D124" i="15"/>
  <c r="E124" i="15"/>
  <c r="F124" i="15"/>
  <c r="G124" i="15"/>
  <c r="H124" i="15"/>
  <c r="I124" i="15"/>
  <c r="J124" i="15"/>
  <c r="K124" i="15"/>
  <c r="L124" i="15"/>
  <c r="M124" i="15"/>
  <c r="N124" i="15"/>
  <c r="O124" i="15"/>
  <c r="P124" i="15"/>
  <c r="Q124" i="15"/>
  <c r="R124" i="15"/>
  <c r="S124" i="15"/>
  <c r="T124" i="15"/>
  <c r="U124" i="15"/>
  <c r="V124" i="15"/>
  <c r="W124" i="15"/>
  <c r="X124" i="15"/>
  <c r="Y124" i="15"/>
  <c r="C125" i="15"/>
  <c r="D125" i="15"/>
  <c r="E125" i="15"/>
  <c r="F125" i="15"/>
  <c r="G125" i="15"/>
  <c r="H125" i="15"/>
  <c r="I125" i="15"/>
  <c r="J125" i="15"/>
  <c r="K125" i="15"/>
  <c r="L125" i="15"/>
  <c r="M125" i="15"/>
  <c r="N125" i="15"/>
  <c r="O125" i="15"/>
  <c r="P125" i="15"/>
  <c r="Q125" i="15"/>
  <c r="R125" i="15"/>
  <c r="S125" i="15"/>
  <c r="T125" i="15"/>
  <c r="U125" i="15"/>
  <c r="V125" i="15"/>
  <c r="W125" i="15"/>
  <c r="X125" i="15"/>
  <c r="Y125" i="15"/>
  <c r="C126" i="15"/>
  <c r="D126" i="15"/>
  <c r="E126" i="15"/>
  <c r="F126" i="15"/>
  <c r="G126" i="15"/>
  <c r="H126" i="15"/>
  <c r="I126" i="15"/>
  <c r="J126" i="15"/>
  <c r="K126" i="15"/>
  <c r="L126" i="15"/>
  <c r="M126" i="15"/>
  <c r="N126" i="15"/>
  <c r="O126" i="15"/>
  <c r="P126" i="15"/>
  <c r="Q126" i="15"/>
  <c r="R126" i="15"/>
  <c r="S126" i="15"/>
  <c r="T126" i="15"/>
  <c r="U126" i="15"/>
  <c r="V126" i="15"/>
  <c r="W126" i="15"/>
  <c r="X126" i="15"/>
  <c r="Y126" i="15"/>
  <c r="C127" i="15"/>
  <c r="D127" i="15"/>
  <c r="E127" i="15"/>
  <c r="F127" i="15"/>
  <c r="G127" i="15"/>
  <c r="H127" i="15"/>
  <c r="I127" i="15"/>
  <c r="J127" i="15"/>
  <c r="K127" i="15"/>
  <c r="L127" i="15"/>
  <c r="M127" i="15"/>
  <c r="N127" i="15"/>
  <c r="O127" i="15"/>
  <c r="P127" i="15"/>
  <c r="Q127" i="15"/>
  <c r="R127" i="15"/>
  <c r="S127" i="15"/>
  <c r="T127" i="15"/>
  <c r="U127" i="15"/>
  <c r="V127" i="15"/>
  <c r="W127" i="15"/>
  <c r="X127" i="15"/>
  <c r="Y127" i="15"/>
  <c r="C108" i="15"/>
  <c r="D108" i="15"/>
  <c r="E108" i="15"/>
  <c r="F108" i="15"/>
  <c r="G108" i="15"/>
  <c r="H108" i="15"/>
  <c r="I108" i="15"/>
  <c r="J108" i="15"/>
  <c r="K108" i="15"/>
  <c r="L108" i="15"/>
  <c r="M108" i="15"/>
  <c r="N108" i="15"/>
  <c r="O108" i="15"/>
  <c r="P108" i="15"/>
  <c r="Q108" i="15"/>
  <c r="R108" i="15"/>
  <c r="S108" i="15"/>
  <c r="T108" i="15"/>
  <c r="U108" i="15"/>
  <c r="V108" i="15"/>
  <c r="W108" i="15"/>
  <c r="X108" i="15"/>
  <c r="Y108" i="15"/>
  <c r="C128" i="15"/>
  <c r="D128" i="15"/>
  <c r="E128" i="15"/>
  <c r="F128" i="15"/>
  <c r="G128" i="15"/>
  <c r="H128" i="15"/>
  <c r="I128" i="15"/>
  <c r="J128" i="15"/>
  <c r="K128" i="15"/>
  <c r="L128" i="15"/>
  <c r="M128" i="15"/>
  <c r="N128" i="15"/>
  <c r="O128" i="15"/>
  <c r="P128" i="15"/>
  <c r="Q128" i="15"/>
  <c r="R128" i="15"/>
  <c r="S128" i="15"/>
  <c r="T128" i="15"/>
  <c r="U128" i="15"/>
  <c r="V128" i="15"/>
  <c r="W128" i="15"/>
  <c r="X128" i="15"/>
  <c r="Y128" i="15"/>
  <c r="C109" i="15"/>
  <c r="D109" i="15"/>
  <c r="E109" i="15"/>
  <c r="F109" i="15"/>
  <c r="G109" i="15"/>
  <c r="H109" i="15"/>
  <c r="I109" i="15"/>
  <c r="J109" i="15"/>
  <c r="K109" i="15"/>
  <c r="L109" i="15"/>
  <c r="M109" i="15"/>
  <c r="N109" i="15"/>
  <c r="O109" i="15"/>
  <c r="P109" i="15"/>
  <c r="Q109" i="15"/>
  <c r="R109" i="15"/>
  <c r="S109" i="15"/>
  <c r="T109" i="15"/>
  <c r="U109" i="15"/>
  <c r="V109" i="15"/>
  <c r="W109" i="15"/>
  <c r="X109" i="15"/>
  <c r="Y109" i="15"/>
  <c r="C110" i="15"/>
  <c r="D110" i="15"/>
  <c r="E110" i="15"/>
  <c r="F110" i="15"/>
  <c r="G110" i="15"/>
  <c r="H110" i="15"/>
  <c r="I110" i="15"/>
  <c r="J110" i="15"/>
  <c r="K110" i="15"/>
  <c r="L110" i="15"/>
  <c r="M110" i="15"/>
  <c r="N110" i="15"/>
  <c r="O110" i="15"/>
  <c r="P110" i="15"/>
  <c r="Q110" i="15"/>
  <c r="R110" i="15"/>
  <c r="S110" i="15"/>
  <c r="T110" i="15"/>
  <c r="U110" i="15"/>
  <c r="V110" i="15"/>
  <c r="W110" i="15"/>
  <c r="X110" i="15"/>
  <c r="Y110" i="15"/>
  <c r="C129" i="15"/>
  <c r="D129" i="15"/>
  <c r="E129" i="15"/>
  <c r="F129" i="15"/>
  <c r="G129" i="15"/>
  <c r="H129" i="15"/>
  <c r="I129" i="15"/>
  <c r="J129" i="15"/>
  <c r="K129" i="15"/>
  <c r="L129" i="15"/>
  <c r="M129" i="15"/>
  <c r="N129" i="15"/>
  <c r="O129" i="15"/>
  <c r="P129" i="15"/>
  <c r="Q129" i="15"/>
  <c r="R129" i="15"/>
  <c r="S129" i="15"/>
  <c r="T129" i="15"/>
  <c r="U129" i="15"/>
  <c r="V129" i="15"/>
  <c r="W129" i="15"/>
  <c r="X129" i="15"/>
  <c r="Y129" i="15"/>
  <c r="C130" i="15"/>
  <c r="D130" i="15"/>
  <c r="E130" i="15"/>
  <c r="F130" i="15"/>
  <c r="G130" i="15"/>
  <c r="H130" i="15"/>
  <c r="I130" i="15"/>
  <c r="J130" i="15"/>
  <c r="K130" i="15"/>
  <c r="L130" i="15"/>
  <c r="M130" i="15"/>
  <c r="N130" i="15"/>
  <c r="O130" i="15"/>
  <c r="P130" i="15"/>
  <c r="Q130" i="15"/>
  <c r="R130" i="15"/>
  <c r="S130" i="15"/>
  <c r="T130" i="15"/>
  <c r="U130" i="15"/>
  <c r="V130" i="15"/>
  <c r="W130" i="15"/>
  <c r="X130" i="15"/>
  <c r="Y130" i="15"/>
  <c r="C131" i="15"/>
  <c r="D131" i="15"/>
  <c r="E131" i="15"/>
  <c r="F131" i="15"/>
  <c r="G131" i="15"/>
  <c r="H131" i="15"/>
  <c r="I131" i="15"/>
  <c r="J131" i="15"/>
  <c r="K131" i="15"/>
  <c r="L131" i="15"/>
  <c r="M131" i="15"/>
  <c r="N131" i="15"/>
  <c r="O131" i="15"/>
  <c r="P131" i="15"/>
  <c r="Q131" i="15"/>
  <c r="R131" i="15"/>
  <c r="S131" i="15"/>
  <c r="T131" i="15"/>
  <c r="U131" i="15"/>
  <c r="V131" i="15"/>
  <c r="W131" i="15"/>
  <c r="X131" i="15"/>
  <c r="Y131" i="15"/>
  <c r="C111" i="15"/>
  <c r="D111" i="15"/>
  <c r="E111" i="15"/>
  <c r="F111" i="15"/>
  <c r="G111" i="15"/>
  <c r="H111" i="15"/>
  <c r="I111" i="15"/>
  <c r="J111" i="15"/>
  <c r="K111" i="15"/>
  <c r="L111" i="15"/>
  <c r="M111" i="15"/>
  <c r="N111" i="15"/>
  <c r="O111" i="15"/>
  <c r="P111" i="15"/>
  <c r="Q111" i="15"/>
  <c r="R111" i="15"/>
  <c r="S111" i="15"/>
  <c r="T111" i="15"/>
  <c r="U111" i="15"/>
  <c r="V111" i="15"/>
  <c r="W111" i="15"/>
  <c r="X111" i="15"/>
  <c r="Y111" i="15"/>
  <c r="B111" i="15"/>
  <c r="B131" i="15"/>
  <c r="B130" i="15"/>
  <c r="B129" i="15"/>
  <c r="B110" i="15"/>
  <c r="B109" i="15"/>
  <c r="B128" i="15"/>
  <c r="B108" i="15"/>
  <c r="B127" i="15"/>
  <c r="B126" i="15"/>
  <c r="B125" i="15"/>
  <c r="B124" i="15"/>
  <c r="B123" i="15"/>
  <c r="B107" i="15"/>
  <c r="B106" i="15"/>
  <c r="B122" i="15"/>
  <c r="B105" i="15"/>
  <c r="B121" i="15"/>
  <c r="B104" i="15"/>
  <c r="B120" i="15"/>
  <c r="B119" i="15"/>
  <c r="B118" i="15"/>
  <c r="B117" i="15"/>
  <c r="B103" i="15"/>
  <c r="B102" i="15"/>
  <c r="B101" i="15"/>
  <c r="B100" i="15"/>
  <c r="B116" i="15"/>
  <c r="B99" i="15"/>
  <c r="B115" i="15"/>
  <c r="B98" i="15"/>
  <c r="B97" i="15"/>
  <c r="B96" i="15"/>
  <c r="B95" i="15"/>
  <c r="B94" i="15"/>
  <c r="B93" i="15"/>
  <c r="B92" i="15"/>
  <c r="B91" i="15"/>
  <c r="B90" i="15"/>
  <c r="B89" i="15"/>
  <c r="B88" i="15"/>
  <c r="B87" i="15"/>
  <c r="B86" i="15"/>
  <c r="B85" i="15"/>
  <c r="B84" i="15"/>
  <c r="B83" i="15"/>
  <c r="B82" i="15"/>
  <c r="B81" i="15"/>
  <c r="B80" i="15"/>
  <c r="B79" i="15"/>
  <c r="B78" i="15"/>
  <c r="B77" i="15"/>
  <c r="B76" i="15"/>
  <c r="B75" i="15"/>
  <c r="B74" i="15"/>
  <c r="B73" i="15"/>
  <c r="B72" i="15"/>
  <c r="B71" i="15"/>
  <c r="B70" i="15"/>
  <c r="B69" i="15"/>
  <c r="B68" i="15"/>
  <c r="B67" i="15"/>
  <c r="B66" i="15"/>
  <c r="B65" i="15"/>
  <c r="B64" i="15"/>
  <c r="B63" i="15"/>
  <c r="B62" i="15"/>
  <c r="B61" i="15"/>
  <c r="B60" i="15"/>
  <c r="B59" i="15"/>
  <c r="B58" i="15"/>
  <c r="B57" i="15"/>
  <c r="B56" i="15"/>
  <c r="B55" i="15"/>
  <c r="B54" i="15"/>
  <c r="B53" i="15"/>
  <c r="B114" i="15"/>
  <c r="B113" i="15"/>
  <c r="B112" i="15"/>
  <c r="B52" i="15"/>
  <c r="B51" i="15"/>
  <c r="B50" i="15"/>
  <c r="B49" i="15"/>
  <c r="B48" i="15"/>
  <c r="B47" i="15"/>
  <c r="B46" i="15"/>
  <c r="B45" i="15"/>
  <c r="B44" i="15"/>
  <c r="B43" i="15"/>
  <c r="B42" i="15"/>
  <c r="B41" i="15"/>
  <c r="B40" i="15"/>
  <c r="B39" i="15"/>
  <c r="B38" i="15"/>
  <c r="B37" i="15"/>
  <c r="B36" i="15"/>
  <c r="B35" i="15"/>
  <c r="B34" i="15"/>
  <c r="B33" i="15"/>
  <c r="B32" i="15"/>
  <c r="B31" i="15"/>
  <c r="B30" i="15"/>
  <c r="B29" i="15"/>
  <c r="B28" i="15"/>
  <c r="B27" i="15"/>
  <c r="B26" i="15"/>
  <c r="B25" i="15"/>
  <c r="B24" i="15"/>
  <c r="B23" i="15"/>
  <c r="B22" i="15"/>
  <c r="B21" i="15"/>
  <c r="B20" i="15"/>
  <c r="B19" i="15"/>
  <c r="B18" i="15"/>
  <c r="B17" i="15"/>
  <c r="B16" i="15"/>
  <c r="B15" i="15"/>
  <c r="B14" i="15"/>
  <c r="B13" i="15"/>
  <c r="B12" i="15"/>
  <c r="B11" i="15"/>
  <c r="B10" i="15"/>
  <c r="B9" i="15"/>
  <c r="B8" i="15"/>
  <c r="B7" i="15"/>
  <c r="B6" i="15"/>
  <c r="B3" i="14" l="1"/>
  <c r="C30" i="8"/>
  <c r="C29" i="8"/>
  <c r="C25" i="8"/>
  <c r="C26" i="8"/>
  <c r="C28" i="8"/>
  <c r="C6" i="8"/>
  <c r="C23" i="8"/>
  <c r="B3" i="15" l="1"/>
  <c r="C11" i="8"/>
  <c r="Z10" i="14" l="1"/>
  <c r="D10" i="14"/>
  <c r="Y10" i="14"/>
  <c r="M10" i="14"/>
  <c r="C10" i="14"/>
  <c r="AN10" i="14"/>
  <c r="I10" i="14"/>
  <c r="AM10" i="14"/>
  <c r="N10" i="14"/>
  <c r="G10" i="14"/>
  <c r="L10" i="14"/>
  <c r="AP10" i="14"/>
  <c r="K10" i="14"/>
  <c r="F10" i="14"/>
  <c r="AO10" i="14"/>
  <c r="J10" i="14"/>
  <c r="X10" i="14"/>
  <c r="Q10" i="14"/>
  <c r="AO52" i="14"/>
  <c r="J52" i="14"/>
  <c r="AN52" i="14"/>
  <c r="I52" i="14"/>
  <c r="AM52" i="14"/>
  <c r="N52" i="14"/>
  <c r="G52" i="14"/>
  <c r="F52" i="14"/>
  <c r="Z52" i="14"/>
  <c r="D52" i="14"/>
  <c r="Y52" i="14"/>
  <c r="M52" i="14"/>
  <c r="C52" i="14"/>
  <c r="X52" i="14"/>
  <c r="Q52" i="14"/>
  <c r="L52" i="14"/>
  <c r="AP52" i="14"/>
  <c r="K52" i="14"/>
  <c r="AO25" i="14"/>
  <c r="J25" i="14"/>
  <c r="AN25" i="14"/>
  <c r="I25" i="14"/>
  <c r="AM25" i="14"/>
  <c r="N25" i="14"/>
  <c r="G25" i="14"/>
  <c r="F25" i="14"/>
  <c r="Z25" i="14"/>
  <c r="D25" i="14"/>
  <c r="Y25" i="14"/>
  <c r="M25" i="14"/>
  <c r="C25" i="14"/>
  <c r="X25" i="14"/>
  <c r="Q25" i="14"/>
  <c r="K25" i="14"/>
  <c r="AP25" i="14"/>
  <c r="L25" i="14"/>
  <c r="Z17" i="14"/>
  <c r="D17" i="14"/>
  <c r="Y17" i="14"/>
  <c r="M17" i="14"/>
  <c r="C17" i="14"/>
  <c r="AO17" i="14"/>
  <c r="J17" i="14"/>
  <c r="AN17" i="14"/>
  <c r="I17" i="14"/>
  <c r="AM17" i="14"/>
  <c r="N17" i="14"/>
  <c r="G17" i="14"/>
  <c r="L17" i="14"/>
  <c r="K17" i="14"/>
  <c r="F17" i="14"/>
  <c r="AP17" i="14"/>
  <c r="X17" i="14"/>
  <c r="Q17" i="14"/>
  <c r="Z7" i="14"/>
  <c r="D7" i="14"/>
  <c r="Y7" i="14"/>
  <c r="M7" i="14"/>
  <c r="C7" i="14"/>
  <c r="AN7" i="14"/>
  <c r="I7" i="14"/>
  <c r="N7" i="14"/>
  <c r="AP7" i="14"/>
  <c r="AM7" i="14"/>
  <c r="AO7" i="14"/>
  <c r="L7" i="14"/>
  <c r="K7" i="14"/>
  <c r="J7" i="14"/>
  <c r="X7" i="14"/>
  <c r="G7" i="14"/>
  <c r="Q7" i="14"/>
  <c r="F7" i="14"/>
  <c r="AO47" i="14"/>
  <c r="J47" i="14"/>
  <c r="AN47" i="14"/>
  <c r="I47" i="14"/>
  <c r="AM47" i="14"/>
  <c r="N47" i="14"/>
  <c r="G47" i="14"/>
  <c r="F47" i="14"/>
  <c r="Z47" i="14"/>
  <c r="D47" i="14"/>
  <c r="Y47" i="14"/>
  <c r="M47" i="14"/>
  <c r="C47" i="14"/>
  <c r="X47" i="14"/>
  <c r="Q47" i="14"/>
  <c r="L47" i="14"/>
  <c r="AP47" i="14"/>
  <c r="K47" i="14"/>
  <c r="Z20" i="14"/>
  <c r="D20" i="14"/>
  <c r="Y20" i="14"/>
  <c r="M20" i="14"/>
  <c r="C20" i="14"/>
  <c r="AO20" i="14"/>
  <c r="J20" i="14"/>
  <c r="AN20" i="14"/>
  <c r="I20" i="14"/>
  <c r="AM20" i="14"/>
  <c r="N20" i="14"/>
  <c r="G20" i="14"/>
  <c r="Q20" i="14"/>
  <c r="AP20" i="14"/>
  <c r="L20" i="14"/>
  <c r="K20" i="14"/>
  <c r="F20" i="14"/>
  <c r="X20" i="14"/>
  <c r="AO44" i="14"/>
  <c r="J44" i="14"/>
  <c r="AN44" i="14"/>
  <c r="I44" i="14"/>
  <c r="AM44" i="14"/>
  <c r="N44" i="14"/>
  <c r="G44" i="14"/>
  <c r="F44" i="14"/>
  <c r="Z44" i="14"/>
  <c r="D44" i="14"/>
  <c r="Y44" i="14"/>
  <c r="M44" i="14"/>
  <c r="C44" i="14"/>
  <c r="X44" i="14"/>
  <c r="Q44" i="14"/>
  <c r="L44" i="14"/>
  <c r="AP44" i="14"/>
  <c r="K44" i="14"/>
  <c r="Z13" i="14"/>
  <c r="D13" i="14"/>
  <c r="Y13" i="14"/>
  <c r="M13" i="14"/>
  <c r="C13" i="14"/>
  <c r="AO13" i="14"/>
  <c r="J13" i="14"/>
  <c r="AN13" i="14"/>
  <c r="I13" i="14"/>
  <c r="AM13" i="14"/>
  <c r="N13" i="14"/>
  <c r="G13" i="14"/>
  <c r="L13" i="14"/>
  <c r="K13" i="14"/>
  <c r="F13" i="14"/>
  <c r="AP13" i="14"/>
  <c r="X13" i="14"/>
  <c r="Q13" i="14"/>
  <c r="AO56" i="14"/>
  <c r="J56" i="14"/>
  <c r="AN56" i="14"/>
  <c r="I56" i="14"/>
  <c r="AM56" i="14"/>
  <c r="N56" i="14"/>
  <c r="G56" i="14"/>
  <c r="F56" i="14"/>
  <c r="Z56" i="14"/>
  <c r="D56" i="14"/>
  <c r="Y56" i="14"/>
  <c r="M56" i="14"/>
  <c r="C56" i="14"/>
  <c r="X56" i="14"/>
  <c r="Q56" i="14"/>
  <c r="L56" i="14"/>
  <c r="AP56" i="14"/>
  <c r="K56" i="14"/>
  <c r="Z21" i="14"/>
  <c r="D21" i="14"/>
  <c r="Y21" i="14"/>
  <c r="M21" i="14"/>
  <c r="C21" i="14"/>
  <c r="AO21" i="14"/>
  <c r="J21" i="14"/>
  <c r="AN21" i="14"/>
  <c r="I21" i="14"/>
  <c r="AM21" i="14"/>
  <c r="N21" i="14"/>
  <c r="G21" i="14"/>
  <c r="L21" i="14"/>
  <c r="K21" i="14"/>
  <c r="X21" i="14"/>
  <c r="F21" i="14"/>
  <c r="AP21" i="14"/>
  <c r="Q21" i="14"/>
  <c r="AO32" i="14"/>
  <c r="J32" i="14"/>
  <c r="AN32" i="14"/>
  <c r="I32" i="14"/>
  <c r="AM32" i="14"/>
  <c r="N32" i="14"/>
  <c r="G32" i="14"/>
  <c r="F32" i="14"/>
  <c r="Z32" i="14"/>
  <c r="D32" i="14"/>
  <c r="Y32" i="14"/>
  <c r="M32" i="14"/>
  <c r="C32" i="14"/>
  <c r="X32" i="14"/>
  <c r="Q32" i="14"/>
  <c r="L32" i="14"/>
  <c r="K32" i="14"/>
  <c r="AP32" i="14"/>
  <c r="AO29" i="14"/>
  <c r="J29" i="14"/>
  <c r="AN29" i="14"/>
  <c r="I29" i="14"/>
  <c r="AM29" i="14"/>
  <c r="N29" i="14"/>
  <c r="G29" i="14"/>
  <c r="F29" i="14"/>
  <c r="Z29" i="14"/>
  <c r="D29" i="14"/>
  <c r="Y29" i="14"/>
  <c r="M29" i="14"/>
  <c r="C29" i="14"/>
  <c r="X29" i="14"/>
  <c r="Q29" i="14"/>
  <c r="L29" i="14"/>
  <c r="AP29" i="14"/>
  <c r="K29" i="14"/>
  <c r="AO45" i="14"/>
  <c r="J45" i="14"/>
  <c r="AN45" i="14"/>
  <c r="I45" i="14"/>
  <c r="AM45" i="14"/>
  <c r="N45" i="14"/>
  <c r="G45" i="14"/>
  <c r="F45" i="14"/>
  <c r="Z45" i="14"/>
  <c r="D45" i="14"/>
  <c r="Y45" i="14"/>
  <c r="M45" i="14"/>
  <c r="C45" i="14"/>
  <c r="X45" i="14"/>
  <c r="Q45" i="14"/>
  <c r="L45" i="14"/>
  <c r="AP45" i="14"/>
  <c r="K45" i="14"/>
  <c r="AO57" i="14"/>
  <c r="J57" i="14"/>
  <c r="AN57" i="14"/>
  <c r="I57" i="14"/>
  <c r="AM57" i="14"/>
  <c r="N57" i="14"/>
  <c r="G57" i="14"/>
  <c r="F57" i="14"/>
  <c r="Z57" i="14"/>
  <c r="D57" i="14"/>
  <c r="Y57" i="14"/>
  <c r="M57" i="14"/>
  <c r="C57" i="14"/>
  <c r="X57" i="14"/>
  <c r="Q57" i="14"/>
  <c r="L57" i="14"/>
  <c r="AP57" i="14"/>
  <c r="K57" i="14"/>
  <c r="Z18" i="14"/>
  <c r="D18" i="14"/>
  <c r="Y18" i="14"/>
  <c r="M18" i="14"/>
  <c r="C18" i="14"/>
  <c r="AO18" i="14"/>
  <c r="J18" i="14"/>
  <c r="AN18" i="14"/>
  <c r="I18" i="14"/>
  <c r="AM18" i="14"/>
  <c r="N18" i="14"/>
  <c r="G18" i="14"/>
  <c r="F18" i="14"/>
  <c r="AP18" i="14"/>
  <c r="X18" i="14"/>
  <c r="Q18" i="14"/>
  <c r="L18" i="14"/>
  <c r="K18" i="14"/>
  <c r="AO28" i="14"/>
  <c r="J28" i="14"/>
  <c r="AN28" i="14"/>
  <c r="I28" i="14"/>
  <c r="AM28" i="14"/>
  <c r="N28" i="14"/>
  <c r="G28" i="14"/>
  <c r="F28" i="14"/>
  <c r="Z28" i="14"/>
  <c r="D28" i="14"/>
  <c r="Y28" i="14"/>
  <c r="M28" i="14"/>
  <c r="C28" i="14"/>
  <c r="X28" i="14"/>
  <c r="Q28" i="14"/>
  <c r="L28" i="14"/>
  <c r="AP28" i="14"/>
  <c r="K28" i="14"/>
  <c r="AO41" i="14"/>
  <c r="J41" i="14"/>
  <c r="AN41" i="14"/>
  <c r="I41" i="14"/>
  <c r="AM41" i="14"/>
  <c r="N41" i="14"/>
  <c r="G41" i="14"/>
  <c r="F41" i="14"/>
  <c r="Z41" i="14"/>
  <c r="D41" i="14"/>
  <c r="Y41" i="14"/>
  <c r="M41" i="14"/>
  <c r="C41" i="14"/>
  <c r="X41" i="14"/>
  <c r="Q41" i="14"/>
  <c r="L41" i="14"/>
  <c r="AP41" i="14"/>
  <c r="K41" i="14"/>
  <c r="AO36" i="14"/>
  <c r="J36" i="14"/>
  <c r="AN36" i="14"/>
  <c r="I36" i="14"/>
  <c r="AM36" i="14"/>
  <c r="N36" i="14"/>
  <c r="G36" i="14"/>
  <c r="F36" i="14"/>
  <c r="Z36" i="14"/>
  <c r="D36" i="14"/>
  <c r="Y36" i="14"/>
  <c r="M36" i="14"/>
  <c r="C36" i="14"/>
  <c r="X36" i="14"/>
  <c r="Q36" i="14"/>
  <c r="L36" i="14"/>
  <c r="AP36" i="14"/>
  <c r="K36" i="14"/>
  <c r="AO49" i="14"/>
  <c r="J49" i="14"/>
  <c r="AN49" i="14"/>
  <c r="I49" i="14"/>
  <c r="AM49" i="14"/>
  <c r="N49" i="14"/>
  <c r="G49" i="14"/>
  <c r="F49" i="14"/>
  <c r="Z49" i="14"/>
  <c r="D49" i="14"/>
  <c r="Y49" i="14"/>
  <c r="M49" i="14"/>
  <c r="C49" i="14"/>
  <c r="X49" i="14"/>
  <c r="Q49" i="14"/>
  <c r="L49" i="14"/>
  <c r="AP49" i="14"/>
  <c r="K49" i="14"/>
  <c r="AO50" i="14"/>
  <c r="J50" i="14"/>
  <c r="AN50" i="14"/>
  <c r="I50" i="14"/>
  <c r="AM50" i="14"/>
  <c r="N50" i="14"/>
  <c r="G50" i="14"/>
  <c r="F50" i="14"/>
  <c r="Z50" i="14"/>
  <c r="D50" i="14"/>
  <c r="Y50" i="14"/>
  <c r="M50" i="14"/>
  <c r="C50" i="14"/>
  <c r="X50" i="14"/>
  <c r="Q50" i="14"/>
  <c r="L50" i="14"/>
  <c r="AP50" i="14"/>
  <c r="K50" i="14"/>
  <c r="AO26" i="14"/>
  <c r="J26" i="14"/>
  <c r="AN26" i="14"/>
  <c r="I26" i="14"/>
  <c r="AM26" i="14"/>
  <c r="N26" i="14"/>
  <c r="G26" i="14"/>
  <c r="F26" i="14"/>
  <c r="Z26" i="14"/>
  <c r="D26" i="14"/>
  <c r="Y26" i="14"/>
  <c r="M26" i="14"/>
  <c r="C26" i="14"/>
  <c r="X26" i="14"/>
  <c r="Q26" i="14"/>
  <c r="L26" i="14"/>
  <c r="AP26" i="14"/>
  <c r="K26" i="14"/>
  <c r="AO38" i="14"/>
  <c r="J38" i="14"/>
  <c r="AN38" i="14"/>
  <c r="I38" i="14"/>
  <c r="AM38" i="14"/>
  <c r="N38" i="14"/>
  <c r="G38" i="14"/>
  <c r="F38" i="14"/>
  <c r="Z38" i="14"/>
  <c r="D38" i="14"/>
  <c r="Y38" i="14"/>
  <c r="M38" i="14"/>
  <c r="C38" i="14"/>
  <c r="X38" i="14"/>
  <c r="Q38" i="14"/>
  <c r="L38" i="14"/>
  <c r="AP38" i="14"/>
  <c r="K38" i="14"/>
  <c r="AO46" i="14"/>
  <c r="J46" i="14"/>
  <c r="AN46" i="14"/>
  <c r="I46" i="14"/>
  <c r="AM46" i="14"/>
  <c r="N46" i="14"/>
  <c r="G46" i="14"/>
  <c r="F46" i="14"/>
  <c r="Z46" i="14"/>
  <c r="D46" i="14"/>
  <c r="Y46" i="14"/>
  <c r="M46" i="14"/>
  <c r="C46" i="14"/>
  <c r="X46" i="14"/>
  <c r="Q46" i="14"/>
  <c r="L46" i="14"/>
  <c r="AP46" i="14"/>
  <c r="K46" i="14"/>
  <c r="Z22" i="14"/>
  <c r="D22" i="14"/>
  <c r="Y22" i="14"/>
  <c r="M22" i="14"/>
  <c r="C22" i="14"/>
  <c r="AO22" i="14"/>
  <c r="J22" i="14"/>
  <c r="AN22" i="14"/>
  <c r="I22" i="14"/>
  <c r="AM22" i="14"/>
  <c r="N22" i="14"/>
  <c r="G22" i="14"/>
  <c r="F22" i="14"/>
  <c r="AP22" i="14"/>
  <c r="X22" i="14"/>
  <c r="Q22" i="14"/>
  <c r="L22" i="14"/>
  <c r="K22" i="14"/>
  <c r="Z15" i="14"/>
  <c r="D15" i="14"/>
  <c r="Y15" i="14"/>
  <c r="M15" i="14"/>
  <c r="C15" i="14"/>
  <c r="AO15" i="14"/>
  <c r="J15" i="14"/>
  <c r="AN15" i="14"/>
  <c r="I15" i="14"/>
  <c r="AM15" i="14"/>
  <c r="N15" i="14"/>
  <c r="G15" i="14"/>
  <c r="X15" i="14"/>
  <c r="Q15" i="14"/>
  <c r="L15" i="14"/>
  <c r="K15" i="14"/>
  <c r="F15" i="14"/>
  <c r="AP15" i="14"/>
  <c r="AO40" i="14"/>
  <c r="J40" i="14"/>
  <c r="AN40" i="14"/>
  <c r="I40" i="14"/>
  <c r="AM40" i="14"/>
  <c r="N40" i="14"/>
  <c r="G40" i="14"/>
  <c r="F40" i="14"/>
  <c r="Z40" i="14"/>
  <c r="D40" i="14"/>
  <c r="Y40" i="14"/>
  <c r="M40" i="14"/>
  <c r="C40" i="14"/>
  <c r="X40" i="14"/>
  <c r="Q40" i="14"/>
  <c r="L40" i="14"/>
  <c r="AP40" i="14"/>
  <c r="K40" i="14"/>
  <c r="AO33" i="14"/>
  <c r="J33" i="14"/>
  <c r="AN33" i="14"/>
  <c r="I33" i="14"/>
  <c r="AM33" i="14"/>
  <c r="N33" i="14"/>
  <c r="G33" i="14"/>
  <c r="F33" i="14"/>
  <c r="Z33" i="14"/>
  <c r="D33" i="14"/>
  <c r="Y33" i="14"/>
  <c r="M33" i="14"/>
  <c r="C33" i="14"/>
  <c r="X33" i="14"/>
  <c r="Q33" i="14"/>
  <c r="AP33" i="14"/>
  <c r="L33" i="14"/>
  <c r="K33" i="14"/>
  <c r="AO51" i="14"/>
  <c r="J51" i="14"/>
  <c r="AN51" i="14"/>
  <c r="I51" i="14"/>
  <c r="AM51" i="14"/>
  <c r="N51" i="14"/>
  <c r="G51" i="14"/>
  <c r="F51" i="14"/>
  <c r="Z51" i="14"/>
  <c r="D51" i="14"/>
  <c r="Y51" i="14"/>
  <c r="M51" i="14"/>
  <c r="C51" i="14"/>
  <c r="X51" i="14"/>
  <c r="Q51" i="14"/>
  <c r="L51" i="14"/>
  <c r="K51" i="14"/>
  <c r="AP51" i="14"/>
  <c r="AO31" i="14"/>
  <c r="J31" i="14"/>
  <c r="AN31" i="14"/>
  <c r="I31" i="14"/>
  <c r="AM31" i="14"/>
  <c r="N31" i="14"/>
  <c r="G31" i="14"/>
  <c r="F31" i="14"/>
  <c r="Z31" i="14"/>
  <c r="D31" i="14"/>
  <c r="Y31" i="14"/>
  <c r="M31" i="14"/>
  <c r="C31" i="14"/>
  <c r="X31" i="14"/>
  <c r="Q31" i="14"/>
  <c r="K31" i="14"/>
  <c r="AP31" i="14"/>
  <c r="L31" i="14"/>
  <c r="Z11" i="14"/>
  <c r="D11" i="14"/>
  <c r="Y11" i="14"/>
  <c r="M11" i="14"/>
  <c r="C11" i="14"/>
  <c r="AO11" i="14"/>
  <c r="J11" i="14"/>
  <c r="AN11" i="14"/>
  <c r="I11" i="14"/>
  <c r="AM11" i="14"/>
  <c r="N11" i="14"/>
  <c r="G11" i="14"/>
  <c r="X11" i="14"/>
  <c r="Q11" i="14"/>
  <c r="K11" i="14"/>
  <c r="L11" i="14"/>
  <c r="F11" i="14"/>
  <c r="AP11" i="14"/>
  <c r="AO27" i="14"/>
  <c r="J27" i="14"/>
  <c r="AN27" i="14"/>
  <c r="I27" i="14"/>
  <c r="AM27" i="14"/>
  <c r="N27" i="14"/>
  <c r="G27" i="14"/>
  <c r="F27" i="14"/>
  <c r="Z27" i="14"/>
  <c r="D27" i="14"/>
  <c r="Y27" i="14"/>
  <c r="M27" i="14"/>
  <c r="C27" i="14"/>
  <c r="X27" i="14"/>
  <c r="Q27" i="14"/>
  <c r="AP27" i="14"/>
  <c r="L27" i="14"/>
  <c r="K27" i="14"/>
  <c r="AO55" i="14"/>
  <c r="J55" i="14"/>
  <c r="AN55" i="14"/>
  <c r="I55" i="14"/>
  <c r="AM55" i="14"/>
  <c r="N55" i="14"/>
  <c r="G55" i="14"/>
  <c r="F55" i="14"/>
  <c r="Z55" i="14"/>
  <c r="D55" i="14"/>
  <c r="Y55" i="14"/>
  <c r="M55" i="14"/>
  <c r="C55" i="14"/>
  <c r="X55" i="14"/>
  <c r="Q55" i="14"/>
  <c r="L55" i="14"/>
  <c r="AP55" i="14"/>
  <c r="K55" i="14"/>
  <c r="Z23" i="14"/>
  <c r="D23" i="14"/>
  <c r="Y23" i="14"/>
  <c r="M23" i="14"/>
  <c r="C23" i="14"/>
  <c r="AO23" i="14"/>
  <c r="J23" i="14"/>
  <c r="AN23" i="14"/>
  <c r="I23" i="14"/>
  <c r="AM23" i="14"/>
  <c r="N23" i="14"/>
  <c r="G23" i="14"/>
  <c r="X23" i="14"/>
  <c r="K23" i="14"/>
  <c r="Q23" i="14"/>
  <c r="L23" i="14"/>
  <c r="F23" i="14"/>
  <c r="AP23" i="14"/>
  <c r="Z12" i="14"/>
  <c r="D12" i="14"/>
  <c r="Y12" i="14"/>
  <c r="M12" i="14"/>
  <c r="C12" i="14"/>
  <c r="AO12" i="14"/>
  <c r="J12" i="14"/>
  <c r="AN12" i="14"/>
  <c r="I12" i="14"/>
  <c r="AM12" i="14"/>
  <c r="N12" i="14"/>
  <c r="G12" i="14"/>
  <c r="Q12" i="14"/>
  <c r="L12" i="14"/>
  <c r="AP12" i="14"/>
  <c r="K12" i="14"/>
  <c r="F12" i="14"/>
  <c r="X12" i="14"/>
  <c r="AO24" i="14"/>
  <c r="J24" i="14"/>
  <c r="AN24" i="14"/>
  <c r="I24" i="14"/>
  <c r="AM24" i="14"/>
  <c r="N24" i="14"/>
  <c r="G24" i="14"/>
  <c r="F24" i="14"/>
  <c r="Z24" i="14"/>
  <c r="Y24" i="14"/>
  <c r="M24" i="14"/>
  <c r="D24" i="14"/>
  <c r="C24" i="14"/>
  <c r="X24" i="14"/>
  <c r="Q24" i="14"/>
  <c r="L24" i="14"/>
  <c r="AP24" i="14"/>
  <c r="K24" i="14"/>
  <c r="Z6" i="14"/>
  <c r="D6" i="14"/>
  <c r="Y6" i="14"/>
  <c r="M6" i="14"/>
  <c r="AN6" i="14"/>
  <c r="I6" i="14"/>
  <c r="AP6" i="14"/>
  <c r="AO6" i="14"/>
  <c r="L6" i="14"/>
  <c r="AM6" i="14"/>
  <c r="K6" i="14"/>
  <c r="G6" i="14"/>
  <c r="F6" i="14"/>
  <c r="AL6" i="14"/>
  <c r="J6" i="14"/>
  <c r="X6" i="14"/>
  <c r="N6" i="14"/>
  <c r="AO34" i="14"/>
  <c r="J34" i="14"/>
  <c r="AN34" i="14"/>
  <c r="I34" i="14"/>
  <c r="AM34" i="14"/>
  <c r="N34" i="14"/>
  <c r="G34" i="14"/>
  <c r="F34" i="14"/>
  <c r="Z34" i="14"/>
  <c r="D34" i="14"/>
  <c r="Y34" i="14"/>
  <c r="M34" i="14"/>
  <c r="C34" i="14"/>
  <c r="X34" i="14"/>
  <c r="Q34" i="14"/>
  <c r="L34" i="14"/>
  <c r="K34" i="14"/>
  <c r="AP34" i="14"/>
  <c r="Z14" i="14"/>
  <c r="D14" i="14"/>
  <c r="Y14" i="14"/>
  <c r="M14" i="14"/>
  <c r="C14" i="14"/>
  <c r="AO14" i="14"/>
  <c r="J14" i="14"/>
  <c r="AN14" i="14"/>
  <c r="I14" i="14"/>
  <c r="AM14" i="14"/>
  <c r="N14" i="14"/>
  <c r="G14" i="14"/>
  <c r="F14" i="14"/>
  <c r="AP14" i="14"/>
  <c r="Q14" i="14"/>
  <c r="X14" i="14"/>
  <c r="L14" i="14"/>
  <c r="K14" i="14"/>
  <c r="AO54" i="14"/>
  <c r="J54" i="14"/>
  <c r="AN54" i="14"/>
  <c r="I54" i="14"/>
  <c r="AM54" i="14"/>
  <c r="N54" i="14"/>
  <c r="G54" i="14"/>
  <c r="F54" i="14"/>
  <c r="Z54" i="14"/>
  <c r="D54" i="14"/>
  <c r="Y54" i="14"/>
  <c r="M54" i="14"/>
  <c r="C54" i="14"/>
  <c r="X54" i="14"/>
  <c r="Q54" i="14"/>
  <c r="L54" i="14"/>
  <c r="AP54" i="14"/>
  <c r="K54" i="14"/>
  <c r="Z19" i="14"/>
  <c r="D19" i="14"/>
  <c r="Y19" i="14"/>
  <c r="M19" i="14"/>
  <c r="C19" i="14"/>
  <c r="AO19" i="14"/>
  <c r="J19" i="14"/>
  <c r="AN19" i="14"/>
  <c r="I19" i="14"/>
  <c r="AM19" i="14"/>
  <c r="N19" i="14"/>
  <c r="G19" i="14"/>
  <c r="X19" i="14"/>
  <c r="Q19" i="14"/>
  <c r="K19" i="14"/>
  <c r="L19" i="14"/>
  <c r="F19" i="14"/>
  <c r="AP19" i="14"/>
  <c r="AO48" i="14"/>
  <c r="J48" i="14"/>
  <c r="AN48" i="14"/>
  <c r="I48" i="14"/>
  <c r="AM48" i="14"/>
  <c r="N48" i="14"/>
  <c r="G48" i="14"/>
  <c r="F48" i="14"/>
  <c r="Z48" i="14"/>
  <c r="D48" i="14"/>
  <c r="Y48" i="14"/>
  <c r="M48" i="14"/>
  <c r="C48" i="14"/>
  <c r="X48" i="14"/>
  <c r="Q48" i="14"/>
  <c r="L48" i="14"/>
  <c r="AP48" i="14"/>
  <c r="K48" i="14"/>
  <c r="AO42" i="14"/>
  <c r="J42" i="14"/>
  <c r="AN42" i="14"/>
  <c r="I42" i="14"/>
  <c r="AM42" i="14"/>
  <c r="N42" i="14"/>
  <c r="G42" i="14"/>
  <c r="F42" i="14"/>
  <c r="Z42" i="14"/>
  <c r="D42" i="14"/>
  <c r="Y42" i="14"/>
  <c r="M42" i="14"/>
  <c r="C42" i="14"/>
  <c r="X42" i="14"/>
  <c r="Q42" i="14"/>
  <c r="L42" i="14"/>
  <c r="AP42" i="14"/>
  <c r="K42" i="14"/>
  <c r="AO30" i="14"/>
  <c r="J30" i="14"/>
  <c r="AN30" i="14"/>
  <c r="I30" i="14"/>
  <c r="AM30" i="14"/>
  <c r="N30" i="14"/>
  <c r="G30" i="14"/>
  <c r="F30" i="14"/>
  <c r="Z30" i="14"/>
  <c r="D30" i="14"/>
  <c r="Y30" i="14"/>
  <c r="M30" i="14"/>
  <c r="C30" i="14"/>
  <c r="X30" i="14"/>
  <c r="Q30" i="14"/>
  <c r="L30" i="14"/>
  <c r="AP30" i="14"/>
  <c r="K30" i="14"/>
  <c r="AO37" i="14"/>
  <c r="J37" i="14"/>
  <c r="AN37" i="14"/>
  <c r="I37" i="14"/>
  <c r="AM37" i="14"/>
  <c r="N37" i="14"/>
  <c r="G37" i="14"/>
  <c r="F37" i="14"/>
  <c r="Z37" i="14"/>
  <c r="D37" i="14"/>
  <c r="Y37" i="14"/>
  <c r="M37" i="14"/>
  <c r="C37" i="14"/>
  <c r="X37" i="14"/>
  <c r="Q37" i="14"/>
  <c r="L37" i="14"/>
  <c r="AP37" i="14"/>
  <c r="K37" i="14"/>
  <c r="AO53" i="14"/>
  <c r="J53" i="14"/>
  <c r="AN53" i="14"/>
  <c r="I53" i="14"/>
  <c r="AM53" i="14"/>
  <c r="N53" i="14"/>
  <c r="G53" i="14"/>
  <c r="F53" i="14"/>
  <c r="Z53" i="14"/>
  <c r="D53" i="14"/>
  <c r="Y53" i="14"/>
  <c r="M53" i="14"/>
  <c r="C53" i="14"/>
  <c r="X53" i="14"/>
  <c r="Q53" i="14"/>
  <c r="L53" i="14"/>
  <c r="AP53" i="14"/>
  <c r="K53" i="14"/>
  <c r="AO35" i="14"/>
  <c r="J35" i="14"/>
  <c r="AN35" i="14"/>
  <c r="I35" i="14"/>
  <c r="AM35" i="14"/>
  <c r="N35" i="14"/>
  <c r="G35" i="14"/>
  <c r="F35" i="14"/>
  <c r="Z35" i="14"/>
  <c r="D35" i="14"/>
  <c r="Y35" i="14"/>
  <c r="M35" i="14"/>
  <c r="C35" i="14"/>
  <c r="X35" i="14"/>
  <c r="Q35" i="14"/>
  <c r="L35" i="14"/>
  <c r="K35" i="14"/>
  <c r="AP35" i="14"/>
  <c r="Z16" i="14"/>
  <c r="D16" i="14"/>
  <c r="Y16" i="14"/>
  <c r="M16" i="14"/>
  <c r="C16" i="14"/>
  <c r="AO16" i="14"/>
  <c r="J16" i="14"/>
  <c r="AN16" i="14"/>
  <c r="I16" i="14"/>
  <c r="AM16" i="14"/>
  <c r="N16" i="14"/>
  <c r="G16" i="14"/>
  <c r="Q16" i="14"/>
  <c r="L16" i="14"/>
  <c r="K16" i="14"/>
  <c r="F16" i="14"/>
  <c r="AP16" i="14"/>
  <c r="X16" i="14"/>
  <c r="AO43" i="14"/>
  <c r="J43" i="14"/>
  <c r="AN43" i="14"/>
  <c r="I43" i="14"/>
  <c r="AM43" i="14"/>
  <c r="N43" i="14"/>
  <c r="G43" i="14"/>
  <c r="F43" i="14"/>
  <c r="Z43" i="14"/>
  <c r="D43" i="14"/>
  <c r="Y43" i="14"/>
  <c r="M43" i="14"/>
  <c r="C43" i="14"/>
  <c r="X43" i="14"/>
  <c r="Q43" i="14"/>
  <c r="L43" i="14"/>
  <c r="K43" i="14"/>
  <c r="AP43" i="14"/>
  <c r="Z9" i="14"/>
  <c r="D9" i="14"/>
  <c r="Y9" i="14"/>
  <c r="M9" i="14"/>
  <c r="C9" i="14"/>
  <c r="AN9" i="14"/>
  <c r="I9" i="14"/>
  <c r="X9" i="14"/>
  <c r="G9" i="14"/>
  <c r="Q9" i="14"/>
  <c r="F9" i="14"/>
  <c r="L9" i="14"/>
  <c r="AO9" i="14"/>
  <c r="N9" i="14"/>
  <c r="AP9" i="14"/>
  <c r="AM9" i="14"/>
  <c r="K9" i="14"/>
  <c r="J9" i="14"/>
  <c r="Y3" i="14" l="1"/>
  <c r="X3" i="14"/>
  <c r="Z3" i="14"/>
  <c r="AP3" i="14"/>
  <c r="K3" i="14"/>
  <c r="AL3" i="14"/>
  <c r="AM3" i="14"/>
  <c r="I3" i="14"/>
  <c r="D3" i="14"/>
  <c r="Q3" i="14"/>
  <c r="J3" i="14"/>
  <c r="N3" i="14"/>
  <c r="F3" i="14"/>
  <c r="L3" i="14"/>
  <c r="AN3" i="14"/>
  <c r="G3" i="14"/>
  <c r="AO3" i="14"/>
  <c r="M3" i="14"/>
  <c r="C3" i="14"/>
  <c r="D210" i="11"/>
  <c r="D236" i="11"/>
  <c r="F150" i="11"/>
  <c r="B174" i="11"/>
  <c r="J280" i="11"/>
  <c r="J254" i="11"/>
  <c r="D194" i="11"/>
  <c r="L196" i="11"/>
  <c r="D47" i="11"/>
  <c r="D33" i="11"/>
  <c r="D50" i="11"/>
  <c r="D289" i="11"/>
  <c r="D113" i="11"/>
  <c r="D223" i="11"/>
  <c r="D18" i="11"/>
  <c r="H214" i="11"/>
  <c r="B212" i="11"/>
  <c r="D106" i="11"/>
  <c r="F120" i="11"/>
  <c r="H35" i="11"/>
  <c r="D193" i="11"/>
  <c r="D264" i="11"/>
  <c r="D277" i="11"/>
  <c r="D156" i="11"/>
  <c r="D40" i="11"/>
  <c r="K192" i="11"/>
  <c r="F180" i="11"/>
  <c r="D199" i="11"/>
  <c r="L241" i="11"/>
  <c r="D279" i="11"/>
  <c r="D168" i="11"/>
  <c r="D97" i="11"/>
  <c r="I274" i="11"/>
  <c r="D222" i="11"/>
  <c r="D246" i="11"/>
  <c r="D80" i="11"/>
  <c r="D101" i="11"/>
  <c r="D121" i="11"/>
  <c r="D163" i="11"/>
  <c r="D235" i="11"/>
  <c r="D288" i="11"/>
  <c r="D131" i="11"/>
  <c r="D139" i="11"/>
  <c r="D142" i="11"/>
  <c r="L263" i="11"/>
  <c r="H91" i="11"/>
  <c r="F197" i="11"/>
  <c r="N88" i="11"/>
  <c r="B157" i="11"/>
  <c r="C181" i="11"/>
  <c r="O182" i="11"/>
  <c r="D45" i="11"/>
  <c r="L107" i="11"/>
  <c r="C23" i="11"/>
  <c r="D62" i="11"/>
  <c r="B98" i="11"/>
  <c r="D260" i="11"/>
  <c r="D30" i="11"/>
  <c r="D213" i="11"/>
  <c r="D99" i="11"/>
  <c r="D232" i="11"/>
  <c r="D151" i="11"/>
  <c r="N112" i="11"/>
  <c r="B221" i="11"/>
  <c r="B242" i="11"/>
  <c r="D230" i="11"/>
  <c r="D105" i="11"/>
  <c r="D220" i="11"/>
  <c r="D34" i="11"/>
  <c r="D143" i="11"/>
  <c r="D43" i="11"/>
  <c r="D102" i="11"/>
  <c r="D122" i="11"/>
  <c r="D273" i="11"/>
  <c r="K68" i="11"/>
  <c r="D285" i="11"/>
  <c r="D21" i="11"/>
  <c r="B36" i="11"/>
  <c r="D224" i="11"/>
  <c r="D96" i="11"/>
  <c r="D240" i="11"/>
  <c r="D216" i="11"/>
  <c r="D245" i="11"/>
  <c r="D231" i="11"/>
  <c r="D284" i="11"/>
  <c r="D109" i="11"/>
  <c r="D186" i="11"/>
  <c r="D86" i="11"/>
  <c r="D287" i="11"/>
  <c r="D123" i="11"/>
  <c r="D130" i="11"/>
  <c r="D146" i="11"/>
  <c r="D9" i="11"/>
  <c r="D144" i="11"/>
  <c r="O239" i="11"/>
  <c r="D104" i="11"/>
  <c r="D215" i="11"/>
  <c r="D32" i="11"/>
  <c r="M42" i="11"/>
  <c r="D234" i="11"/>
  <c r="E255" i="11"/>
  <c r="D148" i="11"/>
  <c r="D154" i="11"/>
  <c r="D250" i="11"/>
  <c r="D272" i="11"/>
  <c r="D67" i="11"/>
  <c r="F26" i="11"/>
  <c r="D20" i="11"/>
  <c r="D140" i="11"/>
  <c r="D249" i="11"/>
  <c r="D73" i="11"/>
  <c r="D225" i="11"/>
  <c r="D27" i="11"/>
  <c r="D173" i="11"/>
  <c r="D76" i="11"/>
  <c r="D177" i="11"/>
  <c r="D65" i="11"/>
  <c r="D169" i="11"/>
  <c r="D207" i="11"/>
  <c r="D185" i="11"/>
  <c r="D167" i="11"/>
  <c r="D269" i="11"/>
  <c r="D145" i="11"/>
  <c r="D261" i="11"/>
  <c r="D161" i="11"/>
  <c r="D24" i="11"/>
  <c r="D238" i="11"/>
  <c r="D266" i="11"/>
  <c r="D63" i="11"/>
  <c r="D257" i="11"/>
  <c r="D93" i="11"/>
  <c r="D256" i="11"/>
  <c r="D95" i="11"/>
  <c r="D153" i="11"/>
  <c r="D111" i="11"/>
  <c r="D57" i="11"/>
  <c r="D125" i="11"/>
  <c r="D7" i="11"/>
  <c r="D211" i="11"/>
  <c r="D164" i="11"/>
  <c r="D165" i="11"/>
  <c r="D72" i="11"/>
  <c r="D119" i="11"/>
  <c r="D25" i="11"/>
  <c r="D175" i="11"/>
  <c r="D187" i="11"/>
  <c r="D172" i="11"/>
  <c r="D244" i="11"/>
  <c r="D259" i="11"/>
  <c r="D208" i="11"/>
  <c r="D46" i="11"/>
  <c r="D84" i="11"/>
  <c r="D171" i="11"/>
  <c r="D141" i="11"/>
  <c r="D184" i="11"/>
  <c r="D270" i="11"/>
  <c r="D160" i="11"/>
  <c r="D41" i="11"/>
  <c r="D48" i="11"/>
  <c r="D56" i="11"/>
  <c r="O136" i="11"/>
  <c r="D149" i="11"/>
  <c r="D218" i="11"/>
  <c r="D203" i="11"/>
  <c r="D94" i="11"/>
  <c r="D229" i="11"/>
  <c r="D108" i="11"/>
  <c r="D252" i="11"/>
  <c r="D138" i="11"/>
  <c r="D71" i="11"/>
  <c r="D28" i="11"/>
  <c r="O188" i="11"/>
  <c r="D54" i="11"/>
  <c r="D118" i="11"/>
  <c r="D228" i="11"/>
  <c r="D247" i="11"/>
  <c r="D227" i="11"/>
  <c r="D190" i="11"/>
  <c r="D52" i="11"/>
  <c r="D147" i="11"/>
  <c r="D129" i="11"/>
  <c r="D49" i="11"/>
  <c r="D133" i="11"/>
  <c r="D178" i="11"/>
  <c r="D6" i="11"/>
  <c r="D183" i="11"/>
  <c r="D191" i="11"/>
  <c r="D159" i="11"/>
  <c r="D209" i="11"/>
  <c r="D75" i="11"/>
  <c r="D89" i="11"/>
  <c r="D135" i="11"/>
  <c r="D170" i="11"/>
  <c r="D134" i="11"/>
  <c r="D258" i="11"/>
  <c r="M85" i="11"/>
  <c r="D79" i="11"/>
  <c r="D195" i="11"/>
  <c r="D114" i="11"/>
  <c r="D251" i="11"/>
  <c r="F219" i="11"/>
  <c r="D126" i="11"/>
  <c r="D115" i="11"/>
  <c r="D117" i="11"/>
  <c r="D90" i="11"/>
  <c r="D81" i="11"/>
  <c r="D226" i="11"/>
  <c r="D127" i="11"/>
  <c r="D243" i="11"/>
  <c r="D278" i="11"/>
  <c r="D268" i="11"/>
  <c r="D22" i="11"/>
  <c r="D132" i="11"/>
  <c r="D38" i="11"/>
  <c r="D17" i="11"/>
  <c r="D237" i="11"/>
  <c r="D286" i="11"/>
  <c r="D283" i="11"/>
  <c r="D92" i="11"/>
  <c r="D64" i="11"/>
  <c r="D59" i="11"/>
  <c r="D189" i="11"/>
  <c r="D58" i="11"/>
  <c r="D265" i="11"/>
  <c r="D74" i="11"/>
  <c r="D29" i="11"/>
  <c r="D128" i="11"/>
  <c r="D281" i="11"/>
  <c r="D275" i="11"/>
  <c r="D262" i="11"/>
  <c r="D137" i="11"/>
  <c r="I69" i="11"/>
  <c r="D204" i="11"/>
  <c r="D53" i="11"/>
  <c r="D55" i="11"/>
  <c r="D179" i="11"/>
  <c r="D77" i="11"/>
  <c r="D31" i="11"/>
  <c r="D103" i="11"/>
  <c r="D282" i="11"/>
  <c r="D51" i="11"/>
  <c r="D66" i="11"/>
  <c r="D290" i="11"/>
  <c r="D176" i="11"/>
  <c r="D233" i="11"/>
  <c r="D61" i="11"/>
  <c r="E199" i="11"/>
  <c r="K241" i="11"/>
  <c r="J236" i="11"/>
  <c r="L236" i="11"/>
  <c r="B241" i="11"/>
  <c r="M241" i="11"/>
  <c r="O241" i="11"/>
  <c r="G241" i="11"/>
  <c r="I241" i="11"/>
  <c r="J241" i="11"/>
  <c r="H236" i="11"/>
  <c r="F78" i="11"/>
  <c r="J10" i="11"/>
  <c r="I236" i="11"/>
  <c r="G236" i="11"/>
  <c r="L78" i="11"/>
  <c r="O236" i="11"/>
  <c r="F236" i="11"/>
  <c r="H78" i="11"/>
  <c r="N10" i="11"/>
  <c r="N236" i="11"/>
  <c r="E236" i="11"/>
  <c r="I10" i="11"/>
  <c r="M236" i="11"/>
  <c r="B236" i="11"/>
  <c r="L45" i="11"/>
  <c r="H45" i="11"/>
  <c r="N45" i="11"/>
  <c r="E122" i="11"/>
  <c r="F122" i="11"/>
  <c r="M122" i="11"/>
  <c r="M150" i="11"/>
  <c r="C236" i="11"/>
  <c r="K236" i="11"/>
  <c r="F18" i="11"/>
  <c r="K150" i="11"/>
  <c r="H144" i="11"/>
  <c r="E105" i="11"/>
  <c r="C105" i="11"/>
  <c r="G105" i="11"/>
  <c r="K105" i="11"/>
  <c r="M105" i="11"/>
  <c r="M78" i="11"/>
  <c r="C78" i="11"/>
  <c r="K78" i="11"/>
  <c r="J78" i="11"/>
  <c r="I78" i="11"/>
  <c r="B150" i="11"/>
  <c r="E150" i="11"/>
  <c r="B78" i="11"/>
  <c r="G78" i="11"/>
  <c r="O78" i="11"/>
  <c r="E78" i="11"/>
  <c r="O18" i="11"/>
  <c r="L144" i="11"/>
  <c r="G144" i="11"/>
  <c r="K263" i="11"/>
  <c r="O106" i="11"/>
  <c r="I34" i="11"/>
  <c r="B105" i="11"/>
  <c r="L105" i="11"/>
  <c r="J105" i="11"/>
  <c r="F105" i="11"/>
  <c r="O105" i="11"/>
  <c r="B220" i="11"/>
  <c r="N277" i="11"/>
  <c r="B264" i="11"/>
  <c r="E264" i="11"/>
  <c r="N264" i="11"/>
  <c r="H264" i="11"/>
  <c r="J277" i="11"/>
  <c r="O148" i="11"/>
  <c r="C122" i="11"/>
  <c r="K122" i="11"/>
  <c r="H122" i="11"/>
  <c r="L122" i="11"/>
  <c r="K148" i="11"/>
  <c r="L148" i="11"/>
  <c r="J122" i="11"/>
  <c r="I148" i="11"/>
  <c r="I122" i="11"/>
  <c r="I45" i="11"/>
  <c r="J45" i="11"/>
  <c r="E45" i="11"/>
  <c r="O45" i="11"/>
  <c r="G45" i="11"/>
  <c r="K45" i="11"/>
  <c r="C45" i="11"/>
  <c r="M45" i="11"/>
  <c r="K107" i="11"/>
  <c r="O7" i="11"/>
  <c r="F107" i="11"/>
  <c r="E7" i="11"/>
  <c r="J140" i="11"/>
  <c r="G140" i="11"/>
  <c r="I140" i="11"/>
  <c r="K140" i="11"/>
  <c r="C96" i="11"/>
  <c r="K96" i="11"/>
  <c r="B96" i="11"/>
  <c r="L96" i="11"/>
  <c r="E96" i="11"/>
  <c r="M96" i="11"/>
  <c r="G96" i="11"/>
  <c r="O96" i="11"/>
  <c r="H96" i="11"/>
  <c r="F96" i="11"/>
  <c r="I96" i="11"/>
  <c r="N96" i="11"/>
  <c r="I225" i="11"/>
  <c r="C10" i="11"/>
  <c r="K10" i="11"/>
  <c r="B10" i="11"/>
  <c r="L10" i="11"/>
  <c r="E10" i="11"/>
  <c r="M10" i="11"/>
  <c r="G10" i="11"/>
  <c r="O10" i="11"/>
  <c r="H10" i="11"/>
  <c r="N240" i="11"/>
  <c r="H97" i="11"/>
  <c r="B240" i="11"/>
  <c r="N225" i="11" l="1"/>
  <c r="B215" i="11"/>
  <c r="H225" i="11"/>
  <c r="H62" i="11"/>
  <c r="J225" i="11"/>
  <c r="O215" i="11"/>
  <c r="C225" i="11"/>
  <c r="I40" i="11"/>
  <c r="N106" i="11"/>
  <c r="O97" i="11"/>
  <c r="G97" i="11"/>
  <c r="F40" i="11"/>
  <c r="B97" i="11"/>
  <c r="C249" i="11"/>
  <c r="H153" i="11"/>
  <c r="C197" i="11"/>
  <c r="N62" i="11"/>
  <c r="L280" i="11"/>
  <c r="N40" i="11"/>
  <c r="B197" i="11"/>
  <c r="E215" i="11"/>
  <c r="E136" i="11"/>
  <c r="H239" i="11"/>
  <c r="O153" i="11"/>
  <c r="L197" i="11"/>
  <c r="G62" i="11"/>
  <c r="E225" i="11"/>
  <c r="G106" i="11"/>
  <c r="I280" i="11"/>
  <c r="I106" i="11"/>
  <c r="K40" i="11"/>
  <c r="J106" i="11"/>
  <c r="L225" i="11"/>
  <c r="C40" i="11"/>
  <c r="B225" i="11"/>
  <c r="K153" i="11"/>
  <c r="H106" i="11"/>
  <c r="K97" i="11"/>
  <c r="C97" i="11"/>
  <c r="L272" i="11"/>
  <c r="M280" i="11"/>
  <c r="H215" i="11"/>
  <c r="K225" i="11"/>
  <c r="O62" i="11"/>
  <c r="N272" i="11"/>
  <c r="E280" i="11"/>
  <c r="N215" i="11"/>
  <c r="G280" i="11"/>
  <c r="M144" i="11"/>
  <c r="O240" i="11"/>
  <c r="I240" i="11"/>
  <c r="E249" i="11"/>
  <c r="M277" i="11"/>
  <c r="N150" i="11"/>
  <c r="O150" i="11"/>
  <c r="I279" i="11"/>
  <c r="I107" i="11"/>
  <c r="L277" i="11"/>
  <c r="M240" i="11"/>
  <c r="N279" i="11"/>
  <c r="I249" i="11"/>
  <c r="O107" i="11"/>
  <c r="O277" i="11"/>
  <c r="B277" i="11"/>
  <c r="J150" i="11"/>
  <c r="G150" i="11"/>
  <c r="C150" i="11"/>
  <c r="L240" i="11"/>
  <c r="E279" i="11"/>
  <c r="F277" i="11"/>
  <c r="K277" i="11"/>
  <c r="O214" i="11"/>
  <c r="H150" i="11"/>
  <c r="L150" i="11"/>
  <c r="F214" i="11"/>
  <c r="O279" i="11"/>
  <c r="B140" i="11"/>
  <c r="E140" i="11"/>
  <c r="J148" i="11"/>
  <c r="I105" i="11"/>
  <c r="B45" i="11"/>
  <c r="G203" i="11"/>
  <c r="I136" i="11"/>
  <c r="J249" i="11"/>
  <c r="K7" i="11"/>
  <c r="L140" i="11"/>
  <c r="N140" i="11"/>
  <c r="K115" i="11"/>
  <c r="N7" i="11"/>
  <c r="H7" i="11"/>
  <c r="H79" i="11"/>
  <c r="B144" i="11"/>
  <c r="K144" i="11"/>
  <c r="L211" i="11"/>
  <c r="K154" i="11"/>
  <c r="G239" i="11"/>
  <c r="E214" i="11"/>
  <c r="C279" i="11"/>
  <c r="C220" i="11"/>
  <c r="N249" i="11"/>
  <c r="F249" i="11"/>
  <c r="E240" i="11"/>
  <c r="H279" i="11"/>
  <c r="M249" i="11"/>
  <c r="O249" i="11"/>
  <c r="J107" i="11"/>
  <c r="G107" i="11"/>
  <c r="H277" i="11"/>
  <c r="E277" i="11"/>
  <c r="C277" i="11"/>
  <c r="K214" i="11"/>
  <c r="I214" i="11"/>
  <c r="M107" i="11"/>
  <c r="B203" i="11"/>
  <c r="J211" i="11"/>
  <c r="M211" i="11"/>
  <c r="I252" i="11"/>
  <c r="O161" i="11"/>
  <c r="G149" i="11"/>
  <c r="N149" i="11"/>
  <c r="N115" i="11"/>
  <c r="C53" i="11"/>
  <c r="O115" i="11"/>
  <c r="L115" i="11"/>
  <c r="C203" i="11"/>
  <c r="C71" i="11"/>
  <c r="K71" i="11"/>
  <c r="L71" i="11"/>
  <c r="I203" i="11"/>
  <c r="L165" i="11"/>
  <c r="B71" i="11"/>
  <c r="B153" i="11"/>
  <c r="B274" i="11"/>
  <c r="C238" i="11"/>
  <c r="C108" i="11"/>
  <c r="F79" i="11"/>
  <c r="B136" i="11"/>
  <c r="F144" i="11"/>
  <c r="I144" i="11"/>
  <c r="E204" i="11"/>
  <c r="E251" i="11"/>
  <c r="M115" i="11"/>
  <c r="O79" i="11"/>
  <c r="E79" i="11"/>
  <c r="G79" i="11"/>
  <c r="M53" i="11"/>
  <c r="C29" i="11"/>
  <c r="O74" i="11"/>
  <c r="O211" i="11"/>
  <c r="H251" i="11"/>
  <c r="M239" i="11"/>
  <c r="M263" i="11"/>
  <c r="G251" i="11"/>
  <c r="I79" i="11"/>
  <c r="B53" i="11"/>
  <c r="C79" i="11"/>
  <c r="J144" i="11"/>
  <c r="B204" i="11"/>
  <c r="G170" i="11"/>
  <c r="H59" i="11"/>
  <c r="I272" i="11"/>
  <c r="M62" i="11"/>
  <c r="K197" i="11"/>
  <c r="B281" i="11"/>
  <c r="M251" i="11"/>
  <c r="M203" i="11"/>
  <c r="I89" i="11"/>
  <c r="J53" i="11"/>
  <c r="N281" i="11"/>
  <c r="F251" i="11"/>
  <c r="O251" i="11"/>
  <c r="M170" i="11"/>
  <c r="H170" i="11"/>
  <c r="G168" i="11"/>
  <c r="L73" i="11"/>
  <c r="E68" i="11"/>
  <c r="C156" i="11"/>
  <c r="L174" i="11"/>
  <c r="G240" i="11"/>
  <c r="N53" i="11"/>
  <c r="K53" i="11"/>
  <c r="G249" i="11"/>
  <c r="H211" i="11"/>
  <c r="J252" i="11"/>
  <c r="K256" i="11"/>
  <c r="L220" i="11"/>
  <c r="E263" i="11"/>
  <c r="F239" i="11"/>
  <c r="G263" i="11"/>
  <c r="H53" i="11"/>
  <c r="B211" i="11"/>
  <c r="G252" i="11"/>
  <c r="G53" i="11"/>
  <c r="I211" i="11"/>
  <c r="L195" i="11"/>
  <c r="J154" i="11"/>
  <c r="H149" i="11"/>
  <c r="K161" i="11"/>
  <c r="G154" i="11"/>
  <c r="K273" i="11"/>
  <c r="H249" i="11"/>
  <c r="L249" i="11"/>
  <c r="L273" i="11"/>
  <c r="M161" i="11"/>
  <c r="K240" i="11"/>
  <c r="E53" i="11"/>
  <c r="C154" i="11"/>
  <c r="G220" i="11"/>
  <c r="H240" i="11"/>
  <c r="C240" i="11"/>
  <c r="L53" i="11"/>
  <c r="F115" i="11"/>
  <c r="K249" i="11"/>
  <c r="B249" i="11"/>
  <c r="B273" i="11"/>
  <c r="C252" i="11"/>
  <c r="I251" i="11"/>
  <c r="H154" i="11"/>
  <c r="H136" i="11"/>
  <c r="O220" i="11"/>
  <c r="I239" i="11"/>
  <c r="E220" i="11"/>
  <c r="H161" i="11"/>
  <c r="G92" i="11"/>
  <c r="E165" i="11"/>
  <c r="F140" i="11"/>
  <c r="E218" i="11"/>
  <c r="B164" i="11"/>
  <c r="H168" i="11"/>
  <c r="H250" i="11"/>
  <c r="F34" i="11"/>
  <c r="H156" i="11"/>
  <c r="N250" i="11"/>
  <c r="I91" i="11"/>
  <c r="K212" i="11"/>
  <c r="F73" i="11"/>
  <c r="L168" i="11"/>
  <c r="O73" i="11"/>
  <c r="O23" i="11"/>
  <c r="B156" i="11"/>
  <c r="J174" i="11"/>
  <c r="I261" i="11"/>
  <c r="J74" i="11"/>
  <c r="N161" i="11"/>
  <c r="C74" i="11"/>
  <c r="G136" i="11"/>
  <c r="E144" i="11"/>
  <c r="G122" i="11"/>
  <c r="J96" i="11"/>
  <c r="J93" i="11"/>
  <c r="K283" i="11"/>
  <c r="G261" i="11"/>
  <c r="O53" i="11"/>
  <c r="F204" i="11"/>
  <c r="H140" i="11"/>
  <c r="J29" i="11"/>
  <c r="C148" i="11"/>
  <c r="N122" i="11"/>
  <c r="O170" i="11"/>
  <c r="B75" i="11"/>
  <c r="O144" i="11"/>
  <c r="O122" i="11"/>
  <c r="H74" i="11"/>
  <c r="H89" i="11"/>
  <c r="F170" i="11"/>
  <c r="L203" i="11"/>
  <c r="M215" i="11"/>
  <c r="G266" i="11"/>
  <c r="B160" i="11"/>
  <c r="J40" i="11"/>
  <c r="F134" i="11"/>
  <c r="F254" i="11"/>
  <c r="M97" i="11"/>
  <c r="F62" i="11"/>
  <c r="C153" i="11"/>
  <c r="E97" i="11"/>
  <c r="K98" i="11"/>
  <c r="G225" i="11"/>
  <c r="L62" i="11"/>
  <c r="K251" i="11"/>
  <c r="N203" i="11"/>
  <c r="O197" i="11"/>
  <c r="O280" i="11"/>
  <c r="C215" i="11"/>
  <c r="L106" i="11"/>
  <c r="E106" i="11"/>
  <c r="L40" i="11"/>
  <c r="L112" i="11"/>
  <c r="N192" i="11"/>
  <c r="C72" i="11"/>
  <c r="O225" i="11"/>
  <c r="I71" i="11"/>
  <c r="B272" i="11"/>
  <c r="C251" i="11"/>
  <c r="H203" i="11"/>
  <c r="H197" i="11"/>
  <c r="L170" i="11"/>
  <c r="L97" i="11"/>
  <c r="B165" i="11"/>
  <c r="M225" i="11"/>
  <c r="C62" i="11"/>
  <c r="N251" i="11"/>
  <c r="O40" i="11"/>
  <c r="E203" i="11"/>
  <c r="G197" i="11"/>
  <c r="F280" i="11"/>
  <c r="L215" i="11"/>
  <c r="H238" i="11"/>
  <c r="C106" i="11"/>
  <c r="M112" i="11"/>
  <c r="E274" i="11"/>
  <c r="C280" i="11"/>
  <c r="H112" i="11"/>
  <c r="N74" i="11"/>
  <c r="B170" i="11"/>
  <c r="G160" i="11"/>
  <c r="F261" i="11"/>
  <c r="O261" i="11"/>
  <c r="O140" i="11"/>
  <c r="M140" i="11"/>
  <c r="C140" i="11"/>
  <c r="J75" i="11"/>
  <c r="N136" i="11"/>
  <c r="O204" i="11"/>
  <c r="I204" i="11"/>
  <c r="I115" i="11"/>
  <c r="G115" i="11"/>
  <c r="B115" i="11"/>
  <c r="L108" i="11"/>
  <c r="L7" i="11"/>
  <c r="F7" i="11"/>
  <c r="K79" i="11"/>
  <c r="F74" i="11"/>
  <c r="B74" i="11"/>
  <c r="K136" i="11"/>
  <c r="L136" i="11"/>
  <c r="L75" i="11"/>
  <c r="L204" i="11"/>
  <c r="J115" i="11"/>
  <c r="H115" i="11"/>
  <c r="E115" i="11"/>
  <c r="C115" i="11"/>
  <c r="J7" i="11"/>
  <c r="I108" i="11"/>
  <c r="I7" i="11"/>
  <c r="J79" i="11"/>
  <c r="E74" i="11"/>
  <c r="K74" i="11"/>
  <c r="J136" i="11"/>
  <c r="F136" i="11"/>
  <c r="M136" i="11"/>
  <c r="O75" i="11"/>
  <c r="O283" i="11"/>
  <c r="N283" i="11"/>
  <c r="K89" i="11"/>
  <c r="L89" i="11"/>
  <c r="J92" i="11"/>
  <c r="B239" i="11"/>
  <c r="E154" i="11"/>
  <c r="H107" i="11"/>
  <c r="K279" i="11"/>
  <c r="L24" i="11"/>
  <c r="B95" i="11"/>
  <c r="L95" i="11"/>
  <c r="B92" i="11"/>
  <c r="N261" i="11"/>
  <c r="M148" i="11"/>
  <c r="F149" i="11"/>
  <c r="E283" i="11"/>
  <c r="B261" i="11"/>
  <c r="E261" i="11"/>
  <c r="H261" i="11"/>
  <c r="M92" i="11"/>
  <c r="K149" i="11"/>
  <c r="I75" i="11"/>
  <c r="H148" i="11"/>
  <c r="B93" i="11"/>
  <c r="N73" i="11"/>
  <c r="G73" i="11"/>
  <c r="B73" i="11"/>
  <c r="K164" i="11"/>
  <c r="I164" i="11"/>
  <c r="N168" i="11"/>
  <c r="F168" i="11"/>
  <c r="B168" i="11"/>
  <c r="I68" i="11"/>
  <c r="N114" i="11"/>
  <c r="G156" i="11"/>
  <c r="O156" i="11"/>
  <c r="K95" i="11"/>
  <c r="G250" i="11"/>
  <c r="J250" i="11"/>
  <c r="E104" i="11"/>
  <c r="O91" i="11"/>
  <c r="K174" i="11"/>
  <c r="L34" i="11"/>
  <c r="M34" i="11"/>
  <c r="M73" i="11"/>
  <c r="J164" i="11"/>
  <c r="M168" i="11"/>
  <c r="I168" i="11"/>
  <c r="J156" i="11"/>
  <c r="E156" i="11"/>
  <c r="F156" i="11"/>
  <c r="H95" i="11"/>
  <c r="O250" i="11"/>
  <c r="K250" i="11"/>
  <c r="M250" i="11"/>
  <c r="C104" i="11"/>
  <c r="F91" i="11"/>
  <c r="C174" i="11"/>
  <c r="H34" i="11"/>
  <c r="K104" i="11"/>
  <c r="J212" i="11"/>
  <c r="F174" i="11"/>
  <c r="J73" i="11"/>
  <c r="K73" i="11"/>
  <c r="O168" i="11"/>
  <c r="I73" i="11"/>
  <c r="H73" i="11"/>
  <c r="E73" i="11"/>
  <c r="C73" i="11"/>
  <c r="L164" i="11"/>
  <c r="J168" i="11"/>
  <c r="E168" i="11"/>
  <c r="F23" i="11"/>
  <c r="I23" i="11"/>
  <c r="N68" i="11"/>
  <c r="O68" i="11"/>
  <c r="I156" i="11"/>
  <c r="N156" i="11"/>
  <c r="K156" i="11"/>
  <c r="G95" i="11"/>
  <c r="I250" i="11"/>
  <c r="E250" i="11"/>
  <c r="C250" i="11"/>
  <c r="N91" i="11"/>
  <c r="M174" i="11"/>
  <c r="M91" i="11"/>
  <c r="L91" i="11"/>
  <c r="G174" i="11"/>
  <c r="B34" i="11"/>
  <c r="E174" i="11"/>
  <c r="G212" i="11"/>
  <c r="K23" i="11"/>
  <c r="N104" i="11"/>
  <c r="L104" i="11"/>
  <c r="N34" i="11"/>
  <c r="K34" i="11"/>
  <c r="O34" i="11"/>
  <c r="E34" i="11"/>
  <c r="G68" i="11"/>
  <c r="F212" i="11"/>
  <c r="G55" i="11"/>
  <c r="F95" i="11"/>
  <c r="C95" i="11"/>
  <c r="C135" i="11"/>
  <c r="H104" i="11"/>
  <c r="B104" i="11"/>
  <c r="J104" i="11"/>
  <c r="L23" i="11"/>
  <c r="N212" i="11"/>
  <c r="M128" i="11"/>
  <c r="J95" i="11"/>
  <c r="M95" i="11"/>
  <c r="F250" i="11"/>
  <c r="B250" i="11"/>
  <c r="I95" i="11"/>
  <c r="N95" i="11"/>
  <c r="K91" i="11"/>
  <c r="M104" i="11"/>
  <c r="I174" i="11"/>
  <c r="G104" i="11"/>
  <c r="J91" i="11"/>
  <c r="B91" i="11"/>
  <c r="O174" i="11"/>
  <c r="C34" i="11"/>
  <c r="G34" i="11"/>
  <c r="J34" i="11"/>
  <c r="E91" i="11"/>
  <c r="C212" i="11"/>
  <c r="H24" i="11"/>
  <c r="G91" i="11"/>
  <c r="M283" i="11"/>
  <c r="M23" i="11"/>
  <c r="J261" i="11"/>
  <c r="E195" i="11"/>
  <c r="L93" i="11"/>
  <c r="C283" i="11"/>
  <c r="M261" i="11"/>
  <c r="H93" i="11"/>
  <c r="E24" i="11"/>
  <c r="B24" i="11"/>
  <c r="N270" i="11"/>
  <c r="H23" i="11"/>
  <c r="J23" i="11"/>
  <c r="M68" i="11"/>
  <c r="J68" i="11"/>
  <c r="N174" i="11"/>
  <c r="E212" i="11"/>
  <c r="M212" i="11"/>
  <c r="J64" i="11"/>
  <c r="K24" i="11"/>
  <c r="O24" i="11"/>
  <c r="F270" i="11"/>
  <c r="I24" i="11"/>
  <c r="N23" i="11"/>
  <c r="E23" i="11"/>
  <c r="G23" i="11"/>
  <c r="B68" i="11"/>
  <c r="F68" i="11"/>
  <c r="L68" i="11"/>
  <c r="O212" i="11"/>
  <c r="L212" i="11"/>
  <c r="J24" i="11"/>
  <c r="G24" i="11"/>
  <c r="C270" i="11"/>
  <c r="M24" i="11"/>
  <c r="H68" i="11"/>
  <c r="H212" i="11"/>
  <c r="O59" i="11"/>
  <c r="C211" i="11"/>
  <c r="N29" i="11"/>
  <c r="G29" i="11"/>
  <c r="B154" i="11"/>
  <c r="E75" i="11"/>
  <c r="K75" i="11"/>
  <c r="O254" i="11"/>
  <c r="E134" i="11"/>
  <c r="L274" i="11"/>
  <c r="O98" i="11"/>
  <c r="G192" i="11"/>
  <c r="B134" i="11"/>
  <c r="B189" i="11"/>
  <c r="K94" i="11"/>
  <c r="N221" i="11"/>
  <c r="L120" i="11"/>
  <c r="H28" i="11"/>
  <c r="F21" i="11"/>
  <c r="N28" i="11"/>
  <c r="M219" i="11"/>
  <c r="G275" i="11"/>
  <c r="B21" i="11"/>
  <c r="H72" i="11"/>
  <c r="H43" i="11"/>
  <c r="G72" i="11"/>
  <c r="I28" i="11"/>
  <c r="G21" i="11"/>
  <c r="O111" i="11"/>
  <c r="I43" i="11"/>
  <c r="F153" i="11"/>
  <c r="I195" i="11"/>
  <c r="N148" i="11"/>
  <c r="N165" i="11"/>
  <c r="M75" i="11"/>
  <c r="M195" i="11"/>
  <c r="H165" i="11"/>
  <c r="N170" i="11"/>
  <c r="J89" i="11"/>
  <c r="G75" i="11"/>
  <c r="B283" i="11"/>
  <c r="N75" i="11"/>
  <c r="G7" i="11"/>
  <c r="N93" i="11"/>
  <c r="E93" i="11"/>
  <c r="C165" i="11"/>
  <c r="G194" i="11"/>
  <c r="H193" i="11"/>
  <c r="L199" i="11"/>
  <c r="I126" i="11"/>
  <c r="I137" i="11"/>
  <c r="G199" i="11"/>
  <c r="F102" i="11"/>
  <c r="J283" i="11"/>
  <c r="L283" i="11"/>
  <c r="M254" i="11"/>
  <c r="G191" i="11"/>
  <c r="H219" i="11"/>
  <c r="M221" i="11"/>
  <c r="C191" i="11"/>
  <c r="C134" i="11"/>
  <c r="F75" i="11"/>
  <c r="J266" i="11"/>
  <c r="J41" i="11"/>
  <c r="C75" i="11"/>
  <c r="F283" i="11"/>
  <c r="H41" i="11"/>
  <c r="F160" i="11"/>
  <c r="G211" i="11"/>
  <c r="C7" i="11"/>
  <c r="G93" i="11"/>
  <c r="E148" i="11"/>
  <c r="B122" i="11"/>
  <c r="F45" i="11"/>
  <c r="N241" i="11"/>
  <c r="G189" i="11"/>
  <c r="C266" i="11"/>
  <c r="C120" i="11"/>
  <c r="J120" i="11"/>
  <c r="E41" i="11"/>
  <c r="F41" i="11"/>
  <c r="J221" i="11"/>
  <c r="E88" i="11"/>
  <c r="G88" i="11"/>
  <c r="N189" i="11"/>
  <c r="O72" i="11"/>
  <c r="H98" i="11"/>
  <c r="C98" i="11"/>
  <c r="G28" i="11"/>
  <c r="E21" i="11"/>
  <c r="C94" i="11"/>
  <c r="J192" i="11"/>
  <c r="H111" i="11"/>
  <c r="J111" i="11"/>
  <c r="K134" i="11"/>
  <c r="N134" i="11"/>
  <c r="H254" i="11"/>
  <c r="L189" i="11"/>
  <c r="M266" i="11"/>
  <c r="O120" i="11"/>
  <c r="H120" i="11"/>
  <c r="L160" i="11"/>
  <c r="M43" i="11"/>
  <c r="K41" i="11"/>
  <c r="K191" i="11"/>
  <c r="E160" i="11"/>
  <c r="H272" i="11"/>
  <c r="L251" i="11"/>
  <c r="J203" i="11"/>
  <c r="J62" i="11"/>
  <c r="M165" i="11"/>
  <c r="I165" i="11"/>
  <c r="G59" i="11"/>
  <c r="F88" i="11"/>
  <c r="J98" i="11"/>
  <c r="N197" i="11"/>
  <c r="M106" i="11"/>
  <c r="E112" i="11"/>
  <c r="K274" i="11"/>
  <c r="G254" i="11"/>
  <c r="I254" i="11"/>
  <c r="I275" i="11"/>
  <c r="N21" i="11"/>
  <c r="F111" i="11"/>
  <c r="E189" i="11"/>
  <c r="O266" i="11"/>
  <c r="O28" i="11"/>
  <c r="K88" i="11"/>
  <c r="E192" i="11"/>
  <c r="I111" i="11"/>
  <c r="L134" i="11"/>
  <c r="G43" i="11"/>
  <c r="L254" i="11"/>
  <c r="M189" i="11"/>
  <c r="F266" i="11"/>
  <c r="I266" i="11"/>
  <c r="K266" i="11"/>
  <c r="O41" i="11"/>
  <c r="N120" i="11"/>
  <c r="O221" i="11"/>
  <c r="F221" i="11"/>
  <c r="F274" i="11"/>
  <c r="F71" i="11"/>
  <c r="G71" i="11"/>
  <c r="K62" i="11"/>
  <c r="K165" i="11"/>
  <c r="E197" i="11"/>
  <c r="F98" i="11"/>
  <c r="J197" i="11"/>
  <c r="I88" i="11"/>
  <c r="H88" i="11"/>
  <c r="N280" i="11"/>
  <c r="H274" i="11"/>
  <c r="C274" i="11"/>
  <c r="C21" i="11"/>
  <c r="M111" i="11"/>
  <c r="O274" i="11"/>
  <c r="L72" i="11"/>
  <c r="E98" i="11"/>
  <c r="L21" i="11"/>
  <c r="K21" i="11"/>
  <c r="B111" i="11"/>
  <c r="C88" i="11"/>
  <c r="I192" i="11"/>
  <c r="J134" i="11"/>
  <c r="L43" i="11"/>
  <c r="B254" i="11"/>
  <c r="E170" i="11"/>
  <c r="F189" i="11"/>
  <c r="I189" i="11"/>
  <c r="L59" i="11"/>
  <c r="L266" i="11"/>
  <c r="K120" i="11"/>
  <c r="G41" i="11"/>
  <c r="G221" i="11"/>
  <c r="N183" i="11"/>
  <c r="O71" i="11"/>
  <c r="I62" i="11"/>
  <c r="J165" i="11"/>
  <c r="H280" i="11"/>
  <c r="M88" i="11"/>
  <c r="K280" i="11"/>
  <c r="I197" i="11"/>
  <c r="C112" i="11"/>
  <c r="F28" i="11"/>
  <c r="O192" i="11"/>
  <c r="H134" i="11"/>
  <c r="O43" i="11"/>
  <c r="B120" i="11"/>
  <c r="E72" i="11"/>
  <c r="M98" i="11"/>
  <c r="G274" i="11"/>
  <c r="N275" i="11"/>
  <c r="J21" i="11"/>
  <c r="I21" i="11"/>
  <c r="L192" i="11"/>
  <c r="G134" i="11"/>
  <c r="B43" i="11"/>
  <c r="J43" i="11"/>
  <c r="C59" i="11"/>
  <c r="B266" i="11"/>
  <c r="I120" i="11"/>
  <c r="L41" i="11"/>
  <c r="J160" i="11"/>
  <c r="F43" i="11"/>
  <c r="N43" i="11"/>
  <c r="I59" i="11"/>
  <c r="L221" i="11"/>
  <c r="N160" i="11"/>
  <c r="F183" i="11"/>
  <c r="J71" i="11"/>
  <c r="E62" i="11"/>
  <c r="G165" i="11"/>
  <c r="E254" i="11"/>
  <c r="I98" i="11"/>
  <c r="F192" i="11"/>
  <c r="M72" i="11"/>
  <c r="G98" i="11"/>
  <c r="H221" i="11"/>
  <c r="N274" i="11"/>
  <c r="N94" i="11"/>
  <c r="M28" i="11"/>
  <c r="E28" i="11"/>
  <c r="B72" i="11"/>
  <c r="L98" i="11"/>
  <c r="K28" i="11"/>
  <c r="L28" i="11"/>
  <c r="K111" i="11"/>
  <c r="O94" i="11"/>
  <c r="H189" i="11"/>
  <c r="M274" i="11"/>
  <c r="K72" i="11"/>
  <c r="J28" i="11"/>
  <c r="B28" i="11"/>
  <c r="B219" i="11"/>
  <c r="N71" i="11"/>
  <c r="L281" i="11"/>
  <c r="H21" i="11"/>
  <c r="O21" i="11"/>
  <c r="B251" i="11"/>
  <c r="C111" i="11"/>
  <c r="M153" i="11"/>
  <c r="G111" i="11"/>
  <c r="F94" i="11"/>
  <c r="B192" i="11"/>
  <c r="O134" i="11"/>
  <c r="M134" i="11"/>
  <c r="K203" i="11"/>
  <c r="K254" i="11"/>
  <c r="K43" i="11"/>
  <c r="J170" i="11"/>
  <c r="O189" i="11"/>
  <c r="E59" i="11"/>
  <c r="K238" i="11"/>
  <c r="M120" i="11"/>
  <c r="K106" i="11"/>
  <c r="B41" i="11"/>
  <c r="O160" i="11"/>
  <c r="N254" i="11"/>
  <c r="J215" i="11"/>
  <c r="I283" i="11"/>
  <c r="K221" i="11"/>
  <c r="J97" i="11"/>
  <c r="K160" i="11"/>
  <c r="K281" i="11"/>
  <c r="J272" i="11"/>
  <c r="M71" i="11"/>
  <c r="M7" i="11"/>
  <c r="O93" i="11"/>
  <c r="B62" i="11"/>
  <c r="O203" i="11"/>
  <c r="O165" i="11"/>
  <c r="J219" i="11"/>
  <c r="C41" i="11"/>
  <c r="I41" i="11"/>
  <c r="M41" i="11"/>
  <c r="C219" i="11"/>
  <c r="M21" i="11"/>
  <c r="C43" i="11"/>
  <c r="E43" i="11"/>
  <c r="M192" i="11"/>
  <c r="N219" i="11"/>
  <c r="L219" i="11"/>
  <c r="H191" i="11"/>
  <c r="H283" i="11"/>
  <c r="O191" i="11"/>
  <c r="N41" i="11"/>
  <c r="K219" i="11"/>
  <c r="H75" i="11"/>
  <c r="K128" i="11"/>
  <c r="C64" i="11"/>
  <c r="N55" i="11"/>
  <c r="B55" i="11"/>
  <c r="B195" i="11"/>
  <c r="H114" i="11"/>
  <c r="C128" i="11"/>
  <c r="C256" i="11"/>
  <c r="O218" i="11"/>
  <c r="C218" i="11"/>
  <c r="J218" i="11"/>
  <c r="I149" i="11"/>
  <c r="O149" i="11"/>
  <c r="L135" i="11"/>
  <c r="O89" i="11"/>
  <c r="O64" i="11"/>
  <c r="B64" i="11"/>
  <c r="E92" i="11"/>
  <c r="G214" i="11"/>
  <c r="K239" i="11"/>
  <c r="G161" i="11"/>
  <c r="J149" i="11"/>
  <c r="G89" i="11"/>
  <c r="M220" i="11"/>
  <c r="N92" i="11"/>
  <c r="F161" i="11"/>
  <c r="F263" i="11"/>
  <c r="N184" i="11"/>
  <c r="F24" i="11"/>
  <c r="J240" i="11"/>
  <c r="K252" i="11"/>
  <c r="K211" i="11"/>
  <c r="E29" i="11"/>
  <c r="C107" i="11"/>
  <c r="L138" i="11"/>
  <c r="H195" i="11"/>
  <c r="B263" i="11"/>
  <c r="C161" i="11"/>
  <c r="E89" i="11"/>
  <c r="K92" i="11"/>
  <c r="L214" i="11"/>
  <c r="C239" i="11"/>
  <c r="L161" i="11"/>
  <c r="K220" i="11"/>
  <c r="I64" i="11"/>
  <c r="H92" i="11"/>
  <c r="M214" i="11"/>
  <c r="F240" i="11"/>
  <c r="H273" i="11"/>
  <c r="N107" i="11"/>
  <c r="G195" i="11"/>
  <c r="I277" i="11"/>
  <c r="L154" i="11"/>
  <c r="N220" i="11"/>
  <c r="E273" i="11"/>
  <c r="L55" i="11"/>
  <c r="H135" i="11"/>
  <c r="J55" i="11"/>
  <c r="K55" i="11"/>
  <c r="F114" i="11"/>
  <c r="G218" i="11"/>
  <c r="B135" i="11"/>
  <c r="H55" i="11"/>
  <c r="C55" i="11"/>
  <c r="M114" i="11"/>
  <c r="J114" i="11"/>
  <c r="H218" i="11"/>
  <c r="L149" i="11"/>
  <c r="J220" i="11"/>
  <c r="N89" i="11"/>
  <c r="F64" i="11"/>
  <c r="C92" i="11"/>
  <c r="H263" i="11"/>
  <c r="B214" i="11"/>
  <c r="E239" i="11"/>
  <c r="B161" i="11"/>
  <c r="E149" i="11"/>
  <c r="I220" i="11"/>
  <c r="I92" i="11"/>
  <c r="L184" i="11"/>
  <c r="M164" i="11"/>
  <c r="J214" i="11"/>
  <c r="N214" i="11"/>
  <c r="M252" i="11"/>
  <c r="J279" i="11"/>
  <c r="E107" i="11"/>
  <c r="F195" i="11"/>
  <c r="G277" i="11"/>
  <c r="I154" i="11"/>
  <c r="O263" i="11"/>
  <c r="N273" i="11"/>
  <c r="I263" i="11"/>
  <c r="K114" i="11"/>
  <c r="K218" i="11"/>
  <c r="O55" i="11"/>
  <c r="I55" i="11"/>
  <c r="C114" i="11"/>
  <c r="F128" i="11"/>
  <c r="N218" i="11"/>
  <c r="B149" i="11"/>
  <c r="J135" i="11"/>
  <c r="C89" i="11"/>
  <c r="N64" i="11"/>
  <c r="F92" i="11"/>
  <c r="O92" i="11"/>
  <c r="N263" i="11"/>
  <c r="J239" i="11"/>
  <c r="H220" i="11"/>
  <c r="L239" i="11"/>
  <c r="B184" i="11"/>
  <c r="H270" i="11"/>
  <c r="O273" i="11"/>
  <c r="M256" i="11"/>
  <c r="F29" i="11"/>
  <c r="F279" i="11"/>
  <c r="J273" i="11"/>
  <c r="E252" i="11"/>
  <c r="N195" i="11"/>
  <c r="F154" i="11"/>
  <c r="C273" i="11"/>
  <c r="M55" i="11"/>
  <c r="B128" i="11"/>
  <c r="I218" i="11"/>
  <c r="E114" i="11"/>
  <c r="M218" i="11"/>
  <c r="O135" i="11"/>
  <c r="H64" i="11"/>
  <c r="E55" i="11"/>
  <c r="L252" i="11"/>
  <c r="I114" i="11"/>
  <c r="O128" i="11"/>
  <c r="J128" i="11"/>
  <c r="K29" i="11"/>
  <c r="B218" i="11"/>
  <c r="M149" i="11"/>
  <c r="E135" i="11"/>
  <c r="B89" i="11"/>
  <c r="M64" i="11"/>
  <c r="L92" i="11"/>
  <c r="C263" i="11"/>
  <c r="E161" i="11"/>
  <c r="F220" i="11"/>
  <c r="I161" i="11"/>
  <c r="K270" i="11"/>
  <c r="J161" i="11"/>
  <c r="N24" i="11"/>
  <c r="I138" i="11"/>
  <c r="M279" i="11"/>
  <c r="G273" i="11"/>
  <c r="N252" i="11"/>
  <c r="N211" i="11"/>
  <c r="J195" i="11"/>
  <c r="C195" i="11"/>
  <c r="O154" i="11"/>
  <c r="I273" i="11"/>
  <c r="C149" i="11"/>
  <c r="C138" i="11"/>
  <c r="L250" i="11"/>
  <c r="N138" i="11"/>
  <c r="H138" i="11"/>
  <c r="C24" i="11"/>
  <c r="E138" i="11"/>
  <c r="I265" i="11"/>
  <c r="H54" i="11"/>
  <c r="E137" i="11"/>
  <c r="B125" i="11"/>
  <c r="C229" i="11"/>
  <c r="B257" i="11"/>
  <c r="H56" i="11"/>
  <c r="C56" i="11"/>
  <c r="O54" i="11"/>
  <c r="M224" i="11"/>
  <c r="I125" i="11"/>
  <c r="J265" i="11"/>
  <c r="M194" i="11"/>
  <c r="O224" i="11"/>
  <c r="O199" i="11"/>
  <c r="G229" i="11"/>
  <c r="L181" i="11"/>
  <c r="N265" i="11"/>
  <c r="H137" i="11"/>
  <c r="B54" i="11"/>
  <c r="E54" i="11"/>
  <c r="E224" i="11"/>
  <c r="I181" i="11"/>
  <c r="K54" i="11"/>
  <c r="O20" i="11"/>
  <c r="C194" i="11"/>
  <c r="H181" i="11"/>
  <c r="K193" i="11"/>
  <c r="N181" i="11"/>
  <c r="C199" i="11"/>
  <c r="M257" i="11"/>
  <c r="C54" i="11"/>
  <c r="N126" i="11"/>
  <c r="G20" i="11"/>
  <c r="B199" i="11"/>
  <c r="I194" i="11"/>
  <c r="K181" i="11"/>
  <c r="M193" i="11"/>
  <c r="F286" i="11"/>
  <c r="F225" i="11"/>
  <c r="I286" i="11"/>
  <c r="J281" i="11"/>
  <c r="O29" i="11"/>
  <c r="H29" i="11"/>
  <c r="H252" i="11"/>
  <c r="O195" i="11"/>
  <c r="I93" i="11"/>
  <c r="F165" i="11"/>
  <c r="K195" i="11"/>
  <c r="E241" i="11"/>
  <c r="G219" i="11"/>
  <c r="C28" i="11"/>
  <c r="J26" i="11"/>
  <c r="F36" i="11"/>
  <c r="L64" i="11"/>
  <c r="E64" i="11"/>
  <c r="K138" i="11"/>
  <c r="E219" i="11"/>
  <c r="B114" i="11"/>
  <c r="F55" i="11"/>
  <c r="L126" i="11"/>
  <c r="F125" i="11"/>
  <c r="K64" i="11"/>
  <c r="J138" i="11"/>
  <c r="I134" i="11"/>
  <c r="O229" i="11"/>
  <c r="B265" i="11"/>
  <c r="C180" i="11"/>
  <c r="K59" i="11"/>
  <c r="G42" i="11"/>
  <c r="L36" i="11"/>
  <c r="N36" i="11"/>
  <c r="O26" i="11"/>
  <c r="M180" i="11"/>
  <c r="I29" i="11"/>
  <c r="F203" i="11"/>
  <c r="J59" i="11"/>
  <c r="G283" i="11"/>
  <c r="B7" i="11"/>
  <c r="N59" i="11"/>
  <c r="J251" i="11"/>
  <c r="G54" i="11"/>
  <c r="M126" i="11"/>
  <c r="I224" i="11"/>
  <c r="O137" i="11"/>
  <c r="I199" i="11"/>
  <c r="J199" i="11"/>
  <c r="L125" i="11"/>
  <c r="L194" i="11"/>
  <c r="G181" i="11"/>
  <c r="G265" i="11"/>
  <c r="N102" i="11"/>
  <c r="O265" i="11"/>
  <c r="H265" i="11"/>
  <c r="O193" i="11"/>
  <c r="L56" i="11"/>
  <c r="O286" i="11"/>
  <c r="N137" i="11"/>
  <c r="J194" i="11"/>
  <c r="E181" i="11"/>
  <c r="M54" i="11"/>
  <c r="F126" i="11"/>
  <c r="H224" i="11"/>
  <c r="F137" i="11"/>
  <c r="H199" i="11"/>
  <c r="M199" i="11"/>
  <c r="B194" i="11"/>
  <c r="E229" i="11"/>
  <c r="H258" i="11"/>
  <c r="F181" i="11"/>
  <c r="B102" i="11"/>
  <c r="K265" i="11"/>
  <c r="G193" i="11"/>
  <c r="G286" i="11"/>
  <c r="M286" i="11"/>
  <c r="O194" i="11"/>
  <c r="H223" i="11"/>
  <c r="O126" i="11"/>
  <c r="K126" i="11"/>
  <c r="B224" i="11"/>
  <c r="M137" i="11"/>
  <c r="F199" i="11"/>
  <c r="G125" i="11"/>
  <c r="I258" i="11"/>
  <c r="J229" i="11"/>
  <c r="C258" i="11"/>
  <c r="M181" i="11"/>
  <c r="H102" i="11"/>
  <c r="C265" i="11"/>
  <c r="L193" i="11"/>
  <c r="O209" i="11"/>
  <c r="F194" i="11"/>
  <c r="K223" i="11"/>
  <c r="L54" i="11"/>
  <c r="J126" i="11"/>
  <c r="C224" i="11"/>
  <c r="B137" i="11"/>
  <c r="N199" i="11"/>
  <c r="H125" i="11"/>
  <c r="N194" i="11"/>
  <c r="I229" i="11"/>
  <c r="B181" i="11"/>
  <c r="K102" i="11"/>
  <c r="F257" i="11"/>
  <c r="N193" i="11"/>
  <c r="B193" i="11"/>
  <c r="E230" i="11"/>
  <c r="H286" i="11"/>
  <c r="J193" i="11"/>
  <c r="E194" i="11"/>
  <c r="E234" i="11"/>
  <c r="I193" i="11"/>
  <c r="H194" i="11"/>
  <c r="E193" i="11"/>
  <c r="B223" i="11"/>
  <c r="C193" i="11"/>
  <c r="B126" i="11"/>
  <c r="J224" i="11"/>
  <c r="I20" i="11"/>
  <c r="K199" i="11"/>
  <c r="N125" i="11"/>
  <c r="K194" i="11"/>
  <c r="J181" i="11"/>
  <c r="M265" i="11"/>
  <c r="E257" i="11"/>
  <c r="F193" i="11"/>
  <c r="L223" i="11"/>
  <c r="F85" i="11"/>
  <c r="N128" i="11"/>
  <c r="K137" i="11"/>
  <c r="O114" i="11"/>
  <c r="G64" i="11"/>
  <c r="C137" i="11"/>
  <c r="L128" i="11"/>
  <c r="L114" i="11"/>
  <c r="G114" i="11"/>
  <c r="F69" i="11"/>
  <c r="D69" i="11"/>
  <c r="F166" i="11"/>
  <c r="D166" i="11"/>
  <c r="B158" i="11"/>
  <c r="D158" i="11"/>
  <c r="L124" i="11"/>
  <c r="D124" i="11"/>
  <c r="C85" i="11"/>
  <c r="D85" i="11"/>
  <c r="F116" i="11"/>
  <c r="D116" i="11"/>
  <c r="J276" i="11"/>
  <c r="D276" i="11"/>
  <c r="M60" i="11"/>
  <c r="D60" i="11"/>
  <c r="F253" i="11"/>
  <c r="D253" i="11"/>
  <c r="L39" i="11"/>
  <c r="D39" i="11"/>
  <c r="H82" i="11"/>
  <c r="D82" i="11"/>
  <c r="F37" i="11"/>
  <c r="D37" i="11"/>
  <c r="H255" i="11"/>
  <c r="D255" i="11"/>
  <c r="F162" i="11"/>
  <c r="D162" i="11"/>
  <c r="N267" i="11"/>
  <c r="D267" i="11"/>
  <c r="H155" i="11"/>
  <c r="D155" i="11"/>
  <c r="J206" i="11"/>
  <c r="D206" i="11"/>
  <c r="K182" i="11"/>
  <c r="D182" i="11"/>
  <c r="E205" i="11"/>
  <c r="D205" i="11"/>
  <c r="N44" i="11"/>
  <c r="D44" i="11"/>
  <c r="H217" i="11"/>
  <c r="D217" i="11"/>
  <c r="F196" i="11"/>
  <c r="D196" i="11"/>
  <c r="O181" i="11"/>
  <c r="D181" i="11"/>
  <c r="L70" i="11"/>
  <c r="D70" i="11"/>
  <c r="J201" i="11"/>
  <c r="D201" i="11"/>
  <c r="M188" i="11"/>
  <c r="D188" i="11"/>
  <c r="O152" i="11"/>
  <c r="D152" i="11"/>
  <c r="B26" i="11"/>
  <c r="D26" i="11"/>
  <c r="C42" i="11"/>
  <c r="D42" i="11"/>
  <c r="H83" i="11"/>
  <c r="D83" i="11"/>
  <c r="E36" i="11"/>
  <c r="D36" i="11"/>
  <c r="L110" i="11"/>
  <c r="D110" i="11"/>
  <c r="K242" i="11"/>
  <c r="D242" i="11"/>
  <c r="F157" i="11"/>
  <c r="D157" i="11"/>
  <c r="N180" i="11"/>
  <c r="D180" i="11"/>
  <c r="J35" i="11"/>
  <c r="D35" i="11"/>
  <c r="L202" i="11"/>
  <c r="D202" i="11"/>
  <c r="O219" i="11"/>
  <c r="D219" i="11"/>
  <c r="C221" i="11"/>
  <c r="D221" i="11"/>
  <c r="N98" i="11"/>
  <c r="D98" i="11"/>
  <c r="L88" i="11"/>
  <c r="D88" i="11"/>
  <c r="J274" i="11"/>
  <c r="D274" i="11"/>
  <c r="C192" i="11"/>
  <c r="D192" i="11"/>
  <c r="G120" i="11"/>
  <c r="D120" i="11"/>
  <c r="C254" i="11"/>
  <c r="D254" i="11"/>
  <c r="B112" i="11"/>
  <c r="D112" i="11"/>
  <c r="M197" i="11"/>
  <c r="D197" i="11"/>
  <c r="B280" i="11"/>
  <c r="D280" i="11"/>
  <c r="C68" i="11"/>
  <c r="D68" i="11"/>
  <c r="B23" i="11"/>
  <c r="D23" i="11"/>
  <c r="C91" i="11"/>
  <c r="D91" i="11"/>
  <c r="I212" i="11"/>
  <c r="D212" i="11"/>
  <c r="H174" i="11"/>
  <c r="D174" i="11"/>
  <c r="N239" i="11"/>
  <c r="D239" i="11"/>
  <c r="B107" i="11"/>
  <c r="D107" i="11"/>
  <c r="J263" i="11"/>
  <c r="D263" i="11"/>
  <c r="C214" i="11"/>
  <c r="D214" i="11"/>
  <c r="I150" i="11"/>
  <c r="D150" i="11"/>
  <c r="C136" i="11"/>
  <c r="D136" i="11"/>
  <c r="N78" i="11"/>
  <c r="D78" i="11"/>
  <c r="H241" i="11"/>
  <c r="D241" i="11"/>
  <c r="F10" i="11"/>
  <c r="D10" i="11"/>
  <c r="I219" i="11"/>
  <c r="B180" i="11"/>
  <c r="N157" i="11"/>
  <c r="O88" i="11"/>
  <c r="B88" i="11"/>
  <c r="I110" i="11"/>
  <c r="H110" i="11"/>
  <c r="H192" i="11"/>
  <c r="K110" i="11"/>
  <c r="H42" i="11"/>
  <c r="J42" i="11"/>
  <c r="L35" i="11"/>
  <c r="O35" i="11"/>
  <c r="G242" i="11"/>
  <c r="H242" i="11"/>
  <c r="N110" i="11"/>
  <c r="J180" i="11"/>
  <c r="H26" i="11"/>
  <c r="L180" i="11"/>
  <c r="L157" i="11"/>
  <c r="M157" i="11"/>
  <c r="C110" i="11"/>
  <c r="O42" i="11"/>
  <c r="C35" i="11"/>
  <c r="L242" i="11"/>
  <c r="I242" i="11"/>
  <c r="E180" i="11"/>
  <c r="F241" i="11"/>
  <c r="C241" i="11"/>
  <c r="K112" i="11"/>
  <c r="B35" i="11"/>
  <c r="E26" i="11"/>
  <c r="I180" i="11"/>
  <c r="K157" i="11"/>
  <c r="L42" i="11"/>
  <c r="N35" i="11"/>
  <c r="M35" i="11"/>
  <c r="K42" i="11"/>
  <c r="E110" i="11"/>
  <c r="G157" i="11"/>
  <c r="M26" i="11"/>
  <c r="L26" i="11"/>
  <c r="N26" i="11"/>
  <c r="C157" i="11"/>
  <c r="J110" i="11"/>
  <c r="I42" i="11"/>
  <c r="B42" i="11"/>
  <c r="K35" i="11"/>
  <c r="E35" i="11"/>
  <c r="M242" i="11"/>
  <c r="J36" i="11"/>
  <c r="K36" i="11"/>
  <c r="C26" i="11"/>
  <c r="H157" i="11"/>
  <c r="I157" i="11"/>
  <c r="K202" i="11"/>
  <c r="O157" i="11"/>
  <c r="G110" i="11"/>
  <c r="E42" i="11"/>
  <c r="I35" i="11"/>
  <c r="H202" i="11"/>
  <c r="C36" i="11"/>
  <c r="G26" i="11"/>
  <c r="K180" i="11"/>
  <c r="J157" i="11"/>
  <c r="C202" i="11"/>
  <c r="O110" i="11"/>
  <c r="N42" i="11"/>
  <c r="G35" i="11"/>
  <c r="E242" i="11"/>
  <c r="F242" i="11"/>
  <c r="O180" i="11"/>
  <c r="M202" i="11"/>
  <c r="G202" i="11"/>
  <c r="B202" i="11"/>
  <c r="I36" i="11"/>
  <c r="O36" i="11"/>
  <c r="K26" i="11"/>
  <c r="I26" i="11"/>
  <c r="H180" i="11"/>
  <c r="G180" i="11"/>
  <c r="F110" i="11"/>
  <c r="F42" i="11"/>
  <c r="F35" i="11"/>
  <c r="O242" i="11"/>
  <c r="J242" i="11"/>
  <c r="C242" i="11"/>
  <c r="N242" i="11"/>
  <c r="I202" i="11"/>
  <c r="I124" i="11"/>
  <c r="B196" i="11"/>
  <c r="K205" i="11"/>
  <c r="O44" i="11"/>
  <c r="M116" i="11"/>
  <c r="O267" i="11"/>
  <c r="E157" i="11"/>
  <c r="G124" i="11"/>
  <c r="K267" i="11"/>
  <c r="G276" i="11"/>
  <c r="F276" i="11"/>
  <c r="I205" i="11"/>
  <c r="K39" i="11"/>
  <c r="O253" i="11"/>
  <c r="E60" i="11"/>
  <c r="M124" i="11"/>
  <c r="I267" i="11"/>
  <c r="K155" i="11"/>
  <c r="B39" i="11"/>
  <c r="L85" i="11"/>
  <c r="E124" i="11"/>
  <c r="O37" i="11"/>
  <c r="K255" i="11"/>
  <c r="B206" i="11"/>
  <c r="H206" i="11"/>
  <c r="J88" i="11"/>
  <c r="B124" i="11"/>
  <c r="N182" i="11"/>
  <c r="C182" i="11"/>
  <c r="O69" i="11"/>
  <c r="G196" i="11"/>
  <c r="H37" i="11"/>
  <c r="H69" i="11"/>
  <c r="N253" i="11"/>
  <c r="I166" i="11"/>
  <c r="E202" i="11"/>
  <c r="F202" i="11"/>
  <c r="K82" i="11"/>
  <c r="F267" i="11"/>
  <c r="J196" i="11"/>
  <c r="E69" i="11"/>
  <c r="J253" i="11"/>
  <c r="J60" i="11"/>
  <c r="N202" i="11"/>
  <c r="O202" i="11"/>
  <c r="O217" i="11"/>
  <c r="F124" i="11"/>
  <c r="K124" i="11"/>
  <c r="J267" i="11"/>
  <c r="E196" i="11"/>
  <c r="N69" i="11"/>
  <c r="L276" i="11"/>
  <c r="O276" i="11"/>
  <c r="E182" i="11"/>
  <c r="J205" i="11"/>
  <c r="O205" i="11"/>
  <c r="C155" i="11"/>
  <c r="H166" i="11"/>
  <c r="C255" i="11"/>
  <c r="O85" i="11"/>
  <c r="O255" i="11"/>
  <c r="G44" i="11"/>
  <c r="J39" i="11"/>
  <c r="I60" i="11"/>
  <c r="J162" i="11"/>
  <c r="H162" i="11"/>
  <c r="G60" i="11"/>
  <c r="L116" i="11"/>
  <c r="H267" i="11"/>
  <c r="C253" i="11"/>
  <c r="B155" i="11"/>
  <c r="E166" i="11"/>
  <c r="L255" i="11"/>
  <c r="L217" i="11"/>
  <c r="G217" i="11"/>
  <c r="E82" i="11"/>
  <c r="J202" i="11"/>
  <c r="H124" i="11"/>
  <c r="C124" i="11"/>
  <c r="L267" i="11"/>
  <c r="C196" i="11"/>
  <c r="J37" i="11"/>
  <c r="M69" i="11"/>
  <c r="C69" i="11"/>
  <c r="B276" i="11"/>
  <c r="L182" i="11"/>
  <c r="H205" i="11"/>
  <c r="G205" i="11"/>
  <c r="K166" i="11"/>
  <c r="E85" i="11"/>
  <c r="I44" i="11"/>
  <c r="L44" i="11"/>
  <c r="E39" i="11"/>
  <c r="O60" i="11"/>
  <c r="H60" i="11"/>
  <c r="J116" i="11"/>
  <c r="I206" i="11"/>
  <c r="O162" i="11"/>
  <c r="I162" i="11"/>
  <c r="H116" i="11"/>
  <c r="C267" i="11"/>
  <c r="N37" i="11"/>
  <c r="B253" i="11"/>
  <c r="N155" i="11"/>
  <c r="F155" i="11"/>
  <c r="F206" i="11"/>
  <c r="B217" i="11"/>
  <c r="M82" i="11"/>
  <c r="N196" i="11"/>
  <c r="O124" i="11"/>
  <c r="B267" i="11"/>
  <c r="K196" i="11"/>
  <c r="K69" i="11"/>
  <c r="L69" i="11"/>
  <c r="B182" i="11"/>
  <c r="F205" i="11"/>
  <c r="C166" i="11"/>
  <c r="N85" i="11"/>
  <c r="B44" i="11"/>
  <c r="C39" i="11"/>
  <c r="L60" i="11"/>
  <c r="K116" i="11"/>
  <c r="O158" i="11"/>
  <c r="G162" i="11"/>
  <c r="F60" i="11"/>
  <c r="H158" i="11"/>
  <c r="I116" i="11"/>
  <c r="E267" i="11"/>
  <c r="L253" i="11"/>
  <c r="M253" i="11"/>
  <c r="E37" i="11"/>
  <c r="O166" i="11"/>
  <c r="E155" i="11"/>
  <c r="M196" i="11"/>
  <c r="J124" i="11"/>
  <c r="B116" i="11"/>
  <c r="C44" i="11"/>
  <c r="K217" i="11"/>
  <c r="B82" i="11"/>
  <c r="O196" i="11"/>
  <c r="G37" i="11"/>
  <c r="J69" i="11"/>
  <c r="B69" i="11"/>
  <c r="B205" i="11"/>
  <c r="M255" i="11"/>
  <c r="B85" i="11"/>
  <c r="H39" i="11"/>
  <c r="B60" i="11"/>
  <c r="C116" i="11"/>
  <c r="K206" i="11"/>
  <c r="M206" i="11"/>
  <c r="G158" i="11"/>
  <c r="M162" i="11"/>
  <c r="L162" i="11"/>
  <c r="K253" i="11"/>
  <c r="M267" i="11"/>
  <c r="F182" i="11"/>
  <c r="L166" i="11"/>
  <c r="G166" i="11"/>
  <c r="N206" i="11"/>
  <c r="O155" i="11"/>
  <c r="G267" i="11"/>
  <c r="C217" i="11"/>
  <c r="L82" i="11"/>
  <c r="M205" i="11"/>
  <c r="N205" i="11"/>
  <c r="F255" i="11"/>
  <c r="B255" i="11"/>
  <c r="J85" i="11"/>
  <c r="H85" i="11"/>
  <c r="K44" i="11"/>
  <c r="M44" i="11"/>
  <c r="N39" i="11"/>
  <c r="O39" i="11"/>
  <c r="I39" i="11"/>
  <c r="O116" i="11"/>
  <c r="C206" i="11"/>
  <c r="J158" i="11"/>
  <c r="L158" i="11"/>
  <c r="B162" i="11"/>
  <c r="K60" i="11"/>
  <c r="N116" i="11"/>
  <c r="E206" i="11"/>
  <c r="N166" i="11"/>
  <c r="G206" i="11"/>
  <c r="O206" i="11"/>
  <c r="I155" i="11"/>
  <c r="J217" i="11"/>
  <c r="G69" i="11"/>
  <c r="I253" i="11"/>
  <c r="M182" i="11"/>
  <c r="I182" i="11"/>
  <c r="C205" i="11"/>
  <c r="H182" i="11"/>
  <c r="M166" i="11"/>
  <c r="G255" i="11"/>
  <c r="J255" i="11"/>
  <c r="I255" i="11"/>
  <c r="I85" i="11"/>
  <c r="K85" i="11"/>
  <c r="N255" i="11"/>
  <c r="G39" i="11"/>
  <c r="N60" i="11"/>
  <c r="G116" i="11"/>
  <c r="J44" i="11"/>
  <c r="L206" i="11"/>
  <c r="J166" i="11"/>
  <c r="I217" i="11"/>
  <c r="E44" i="11"/>
  <c r="L37" i="11"/>
  <c r="N124" i="11"/>
  <c r="H196" i="11"/>
  <c r="I196" i="11"/>
  <c r="B37" i="11"/>
  <c r="I37" i="11"/>
  <c r="I276" i="11"/>
  <c r="G182" i="11"/>
  <c r="L205" i="11"/>
  <c r="B166" i="11"/>
  <c r="G85" i="11"/>
  <c r="H44" i="11"/>
  <c r="C60" i="11"/>
  <c r="E116" i="11"/>
  <c r="M37" i="11"/>
  <c r="J182" i="11"/>
  <c r="C126" i="11"/>
  <c r="G126" i="11"/>
  <c r="E258" i="11"/>
  <c r="J258" i="11"/>
  <c r="F258" i="11"/>
  <c r="K258" i="11"/>
  <c r="G258" i="11"/>
  <c r="M209" i="11"/>
  <c r="E209" i="11"/>
  <c r="F209" i="11"/>
  <c r="B209" i="11"/>
  <c r="H209" i="11"/>
  <c r="L209" i="11"/>
  <c r="J209" i="11"/>
  <c r="I209" i="11"/>
  <c r="G209" i="11"/>
  <c r="K209" i="11"/>
  <c r="C209" i="11"/>
  <c r="N209" i="11"/>
  <c r="L229" i="11"/>
  <c r="K229" i="11"/>
  <c r="M229" i="11"/>
  <c r="F229" i="11"/>
  <c r="N229" i="11"/>
  <c r="H229" i="11"/>
  <c r="B229" i="11"/>
  <c r="I56" i="11"/>
  <c r="B56" i="11"/>
  <c r="M56" i="11"/>
  <c r="M125" i="11"/>
  <c r="J125" i="11"/>
  <c r="O125" i="11"/>
  <c r="L257" i="11"/>
  <c r="I257" i="11"/>
  <c r="O257" i="11"/>
  <c r="G257" i="11"/>
  <c r="J257" i="11"/>
  <c r="N257" i="11"/>
  <c r="K257" i="11"/>
  <c r="C257" i="11"/>
  <c r="H257" i="11"/>
  <c r="K20" i="11"/>
  <c r="H20" i="11"/>
  <c r="E20" i="11"/>
  <c r="F234" i="11"/>
  <c r="N234" i="11"/>
  <c r="O234" i="11"/>
  <c r="M234" i="11"/>
  <c r="G234" i="11"/>
  <c r="K9" i="11"/>
  <c r="H9" i="11"/>
  <c r="C9" i="11"/>
  <c r="C18" i="11"/>
  <c r="I18" i="11"/>
  <c r="M18" i="11"/>
  <c r="K18" i="11"/>
  <c r="B18" i="11"/>
  <c r="L18" i="11"/>
  <c r="E18" i="11"/>
  <c r="G18" i="11"/>
  <c r="N18" i="11"/>
  <c r="H18" i="11"/>
  <c r="J18" i="11"/>
  <c r="F224" i="11"/>
  <c r="L224" i="11"/>
  <c r="G224" i="11"/>
  <c r="E102" i="11"/>
  <c r="O102" i="11"/>
  <c r="C102" i="11"/>
  <c r="I102" i="11"/>
  <c r="C230" i="11"/>
  <c r="F230" i="11"/>
  <c r="B230" i="11"/>
  <c r="N230" i="11"/>
  <c r="K230" i="11"/>
  <c r="I230" i="11"/>
  <c r="L230" i="11"/>
  <c r="G230" i="11"/>
  <c r="O230" i="11"/>
  <c r="H230" i="11"/>
  <c r="M230" i="11"/>
  <c r="J230" i="11"/>
  <c r="C168" i="11"/>
  <c r="K168" i="11"/>
  <c r="O264" i="11"/>
  <c r="C264" i="11"/>
  <c r="K264" i="11"/>
  <c r="F264" i="11"/>
  <c r="M264" i="11"/>
  <c r="L264" i="11"/>
  <c r="J264" i="11"/>
  <c r="I264" i="11"/>
  <c r="G264" i="11"/>
  <c r="K83" i="11"/>
  <c r="E83" i="11"/>
  <c r="B40" i="11"/>
  <c r="G40" i="11"/>
  <c r="H40" i="11"/>
  <c r="M40" i="11"/>
  <c r="E40" i="11"/>
  <c r="F44" i="11"/>
  <c r="M83" i="11"/>
  <c r="J112" i="11"/>
  <c r="C82" i="11"/>
  <c r="F82" i="11"/>
  <c r="G82" i="11"/>
  <c r="I82" i="11"/>
  <c r="J82" i="11"/>
  <c r="N82" i="11"/>
  <c r="O82" i="11"/>
  <c r="N97" i="11"/>
  <c r="F97" i="11"/>
  <c r="I97" i="11"/>
  <c r="M156" i="11"/>
  <c r="L156" i="11"/>
  <c r="C83" i="11"/>
  <c r="F83" i="11"/>
  <c r="G83" i="11"/>
  <c r="I83" i="11"/>
  <c r="J83" i="11"/>
  <c r="N83" i="11"/>
  <c r="O83" i="11"/>
  <c r="C223" i="11"/>
  <c r="F223" i="11"/>
  <c r="G223" i="11"/>
  <c r="I223" i="11"/>
  <c r="J223" i="11"/>
  <c r="N223" i="11"/>
  <c r="O223" i="11"/>
  <c r="L279" i="11"/>
  <c r="M36" i="11"/>
  <c r="E120" i="11"/>
  <c r="E223" i="11"/>
  <c r="H36" i="11"/>
  <c r="G36" i="11"/>
  <c r="M223" i="11"/>
  <c r="G112" i="11"/>
  <c r="F112" i="11"/>
  <c r="B106" i="11"/>
  <c r="F106" i="11"/>
  <c r="B110" i="11"/>
  <c r="M110" i="11"/>
  <c r="G279" i="11"/>
  <c r="B83" i="11"/>
  <c r="O112" i="11"/>
  <c r="B279" i="11"/>
  <c r="L83" i="11"/>
  <c r="I112" i="11"/>
  <c r="E217" i="11"/>
  <c r="F217" i="11"/>
  <c r="M217" i="11"/>
  <c r="N217" i="11"/>
  <c r="C57" i="11"/>
  <c r="I57" i="11"/>
  <c r="K57" i="11"/>
  <c r="M57" i="11"/>
  <c r="O57" i="11"/>
  <c r="F57" i="11"/>
  <c r="L57" i="11"/>
  <c r="E57" i="11"/>
  <c r="J57" i="11"/>
  <c r="N57" i="11"/>
  <c r="G57" i="11"/>
  <c r="H57" i="11"/>
  <c r="F262" i="11"/>
  <c r="J262" i="11"/>
  <c r="L262" i="11"/>
  <c r="M262" i="11"/>
  <c r="N262" i="11"/>
  <c r="C262" i="11"/>
  <c r="B262" i="11"/>
  <c r="O262" i="11"/>
  <c r="I262" i="11"/>
  <c r="E262" i="11"/>
  <c r="K58" i="11"/>
  <c r="C58" i="11"/>
  <c r="E58" i="11"/>
  <c r="F58" i="11"/>
  <c r="I58" i="11"/>
  <c r="N58" i="11"/>
  <c r="M58" i="11"/>
  <c r="J58" i="11"/>
  <c r="H58" i="11"/>
  <c r="B58" i="11"/>
  <c r="L58" i="11"/>
  <c r="G58" i="11"/>
  <c r="E237" i="11"/>
  <c r="J237" i="11"/>
  <c r="M237" i="11"/>
  <c r="C237" i="11"/>
  <c r="B237" i="11"/>
  <c r="H237" i="11"/>
  <c r="N237" i="11"/>
  <c r="K237" i="11"/>
  <c r="F237" i="11"/>
  <c r="L237" i="11"/>
  <c r="O237" i="11"/>
  <c r="G237" i="11"/>
  <c r="I237" i="11"/>
  <c r="E70" i="11"/>
  <c r="C70" i="11"/>
  <c r="F70" i="11"/>
  <c r="G70" i="11"/>
  <c r="J70" i="11"/>
  <c r="M70" i="11"/>
  <c r="N70" i="11"/>
  <c r="O70" i="11"/>
  <c r="H70" i="11"/>
  <c r="I70" i="11"/>
  <c r="K70" i="11"/>
  <c r="B201" i="11"/>
  <c r="H201" i="11"/>
  <c r="E201" i="11"/>
  <c r="N201" i="11"/>
  <c r="M201" i="11"/>
  <c r="L201" i="11"/>
  <c r="I201" i="11"/>
  <c r="C201" i="11"/>
  <c r="K201" i="11"/>
  <c r="F201" i="11"/>
  <c r="O201" i="11"/>
  <c r="G201" i="11"/>
  <c r="I159" i="11"/>
  <c r="B159" i="11"/>
  <c r="J159" i="11"/>
  <c r="L159" i="11"/>
  <c r="M159" i="11"/>
  <c r="K159" i="11"/>
  <c r="G159" i="11"/>
  <c r="C159" i="11"/>
  <c r="O159" i="11"/>
  <c r="N159" i="11"/>
  <c r="E159" i="11"/>
  <c r="H159" i="11"/>
  <c r="F159" i="11"/>
  <c r="F188" i="11"/>
  <c r="E188" i="11"/>
  <c r="G188" i="11"/>
  <c r="I188" i="11"/>
  <c r="N188" i="11"/>
  <c r="L188" i="11"/>
  <c r="J188" i="11"/>
  <c r="H188" i="11"/>
  <c r="K188" i="11"/>
  <c r="H152" i="11"/>
  <c r="B152" i="11"/>
  <c r="M152" i="11"/>
  <c r="E152" i="11"/>
  <c r="L152" i="11"/>
  <c r="G152" i="11"/>
  <c r="I152" i="11"/>
  <c r="C152" i="11"/>
  <c r="K152" i="11"/>
  <c r="F152" i="11"/>
  <c r="J152" i="11"/>
  <c r="H48" i="11"/>
  <c r="F48" i="11"/>
  <c r="M48" i="11"/>
  <c r="I48" i="11"/>
  <c r="G48" i="11"/>
  <c r="J48" i="11"/>
  <c r="L48" i="11"/>
  <c r="C48" i="11"/>
  <c r="B48" i="11"/>
  <c r="K48" i="11"/>
  <c r="E48" i="11"/>
  <c r="N48" i="11"/>
  <c r="O48" i="11"/>
  <c r="F63" i="11"/>
  <c r="K63" i="11"/>
  <c r="M63" i="11"/>
  <c r="G63" i="11"/>
  <c r="I63" i="11"/>
  <c r="B63" i="11"/>
  <c r="H63" i="11"/>
  <c r="C63" i="11"/>
  <c r="N63" i="11"/>
  <c r="J63" i="11"/>
  <c r="E63" i="11"/>
  <c r="L63" i="11"/>
  <c r="B67" i="11"/>
  <c r="L67" i="11"/>
  <c r="O67" i="11"/>
  <c r="N67" i="11"/>
  <c r="I67" i="11"/>
  <c r="G67" i="11"/>
  <c r="H67" i="11"/>
  <c r="K67" i="11"/>
  <c r="J67" i="11"/>
  <c r="C67" i="11"/>
  <c r="E67" i="11"/>
  <c r="M67" i="11"/>
  <c r="F67" i="11"/>
  <c r="I32" i="11"/>
  <c r="O32" i="11"/>
  <c r="C32" i="11"/>
  <c r="N32" i="11"/>
  <c r="L32" i="11"/>
  <c r="B32" i="11"/>
  <c r="F32" i="11"/>
  <c r="G32" i="11"/>
  <c r="E32" i="11"/>
  <c r="J32" i="11"/>
  <c r="M32" i="11"/>
  <c r="H32" i="11"/>
  <c r="K32" i="11"/>
  <c r="C285" i="11"/>
  <c r="H285" i="11"/>
  <c r="F285" i="11"/>
  <c r="K285" i="11"/>
  <c r="J285" i="11"/>
  <c r="O285" i="11"/>
  <c r="M285" i="11"/>
  <c r="B285" i="11"/>
  <c r="L285" i="11"/>
  <c r="I285" i="11"/>
  <c r="E285" i="11"/>
  <c r="N285" i="11"/>
  <c r="G285" i="11"/>
  <c r="C143" i="11"/>
  <c r="I143" i="11"/>
  <c r="E143" i="11"/>
  <c r="N143" i="11"/>
  <c r="B143" i="11"/>
  <c r="L143" i="11"/>
  <c r="F143" i="11"/>
  <c r="G143" i="11"/>
  <c r="O143" i="11"/>
  <c r="H143" i="11"/>
  <c r="J143" i="11"/>
  <c r="K143" i="11"/>
  <c r="B188" i="11"/>
  <c r="C188" i="11"/>
  <c r="B70" i="11"/>
  <c r="O58" i="11"/>
  <c r="M143" i="11"/>
  <c r="G262" i="11"/>
  <c r="B57" i="11"/>
  <c r="N152" i="11"/>
  <c r="H262" i="11"/>
  <c r="K262" i="11"/>
  <c r="O63" i="11"/>
  <c r="E275" i="11"/>
  <c r="F275" i="11"/>
  <c r="H275" i="11"/>
  <c r="J275" i="11"/>
  <c r="K275" i="11"/>
  <c r="L275" i="11"/>
  <c r="C275" i="11"/>
  <c r="B275" i="11"/>
  <c r="M275" i="11"/>
  <c r="O275" i="11"/>
  <c r="K189" i="11"/>
  <c r="C189" i="11"/>
  <c r="J189" i="11"/>
  <c r="F191" i="11"/>
  <c r="I191" i="11"/>
  <c r="J191" i="11"/>
  <c r="L191" i="11"/>
  <c r="M191" i="11"/>
  <c r="N191" i="11"/>
  <c r="E191" i="11"/>
  <c r="B191" i="11"/>
  <c r="B94" i="11"/>
  <c r="M94" i="11"/>
  <c r="E94" i="11"/>
  <c r="G94" i="11"/>
  <c r="H94" i="11"/>
  <c r="I94" i="11"/>
  <c r="J94" i="11"/>
  <c r="L94" i="11"/>
  <c r="I72" i="11"/>
  <c r="F72" i="11"/>
  <c r="J72" i="11"/>
  <c r="N72" i="11"/>
  <c r="E111" i="11"/>
  <c r="L111" i="11"/>
  <c r="N111" i="11"/>
  <c r="H266" i="11"/>
  <c r="N266" i="11"/>
  <c r="E266" i="11"/>
  <c r="G272" i="11"/>
  <c r="K272" i="11"/>
  <c r="M272" i="11"/>
  <c r="O272" i="11"/>
  <c r="E272" i="11"/>
  <c r="C272" i="11"/>
  <c r="F272" i="11"/>
  <c r="F215" i="11"/>
  <c r="G215" i="11"/>
  <c r="I215" i="11"/>
  <c r="K215" i="11"/>
  <c r="E281" i="11"/>
  <c r="C281" i="11"/>
  <c r="F281" i="11"/>
  <c r="G281" i="11"/>
  <c r="H281" i="11"/>
  <c r="I281" i="11"/>
  <c r="O281" i="11"/>
  <c r="M281" i="11"/>
  <c r="B59" i="11"/>
  <c r="M59" i="11"/>
  <c r="F59" i="11"/>
  <c r="I170" i="11"/>
  <c r="K170" i="11"/>
  <c r="C170" i="11"/>
  <c r="I183" i="11"/>
  <c r="J183" i="11"/>
  <c r="K183" i="11"/>
  <c r="C183" i="11"/>
  <c r="L183" i="11"/>
  <c r="B183" i="11"/>
  <c r="M183" i="11"/>
  <c r="E183" i="11"/>
  <c r="O183" i="11"/>
  <c r="H183" i="11"/>
  <c r="G183" i="11"/>
  <c r="E71" i="11"/>
  <c r="H71" i="11"/>
  <c r="C160" i="11"/>
  <c r="H160" i="11"/>
  <c r="I160" i="11"/>
  <c r="M160" i="11"/>
  <c r="N153" i="11"/>
  <c r="E153" i="11"/>
  <c r="G153" i="11"/>
  <c r="I153" i="11"/>
  <c r="J153" i="11"/>
  <c r="L153" i="11"/>
  <c r="B238" i="11"/>
  <c r="N238" i="11"/>
  <c r="E238" i="11"/>
  <c r="O238" i="11"/>
  <c r="F238" i="11"/>
  <c r="G238" i="11"/>
  <c r="I238" i="11"/>
  <c r="J238" i="11"/>
  <c r="M238" i="11"/>
  <c r="L238" i="11"/>
  <c r="F104" i="11"/>
  <c r="I104" i="11"/>
  <c r="O104" i="11"/>
  <c r="M273" i="11"/>
  <c r="F273" i="11"/>
  <c r="E128" i="11"/>
  <c r="G128" i="11"/>
  <c r="I128" i="11"/>
  <c r="H128" i="11"/>
  <c r="M135" i="11"/>
  <c r="N135" i="11"/>
  <c r="K135" i="11"/>
  <c r="F135" i="11"/>
  <c r="G135" i="11"/>
  <c r="I135" i="11"/>
  <c r="F138" i="11"/>
  <c r="G138" i="11"/>
  <c r="M138" i="11"/>
  <c r="O138" i="11"/>
  <c r="B138" i="11"/>
  <c r="F218" i="11"/>
  <c r="L218" i="11"/>
  <c r="G270" i="11"/>
  <c r="I270" i="11"/>
  <c r="J270" i="11"/>
  <c r="L270" i="11"/>
  <c r="M270" i="11"/>
  <c r="O270" i="11"/>
  <c r="E270" i="11"/>
  <c r="B270" i="11"/>
  <c r="N164" i="11"/>
  <c r="O164" i="11"/>
  <c r="G164" i="11"/>
  <c r="C164" i="11"/>
  <c r="E164" i="11"/>
  <c r="F164" i="11"/>
  <c r="H164" i="11"/>
  <c r="E95" i="11"/>
  <c r="O95" i="11"/>
  <c r="M154" i="11"/>
  <c r="N154" i="11"/>
  <c r="N105" i="11"/>
  <c r="H105" i="11"/>
  <c r="F53" i="11"/>
  <c r="I53" i="11"/>
  <c r="B29" i="11"/>
  <c r="L29" i="11"/>
  <c r="M29" i="11"/>
  <c r="F89" i="11"/>
  <c r="M89" i="11"/>
  <c r="O252" i="11"/>
  <c r="B252" i="11"/>
  <c r="F252" i="11"/>
  <c r="C184" i="11"/>
  <c r="O184" i="11"/>
  <c r="F184" i="11"/>
  <c r="G184" i="11"/>
  <c r="H184" i="11"/>
  <c r="I184" i="11"/>
  <c r="J184" i="11"/>
  <c r="K184" i="11"/>
  <c r="E184" i="11"/>
  <c r="M184" i="11"/>
  <c r="E211" i="11"/>
  <c r="F211" i="11"/>
  <c r="E256" i="11"/>
  <c r="O256" i="11"/>
  <c r="B256" i="11"/>
  <c r="N256" i="11"/>
  <c r="F256" i="11"/>
  <c r="G256" i="11"/>
  <c r="I256" i="11"/>
  <c r="H256" i="11"/>
  <c r="J256" i="11"/>
  <c r="L256" i="11"/>
  <c r="G148" i="11"/>
  <c r="B148" i="11"/>
  <c r="F148" i="11"/>
  <c r="C144" i="11"/>
  <c r="N144" i="11"/>
  <c r="M155" i="11"/>
  <c r="G155" i="11"/>
  <c r="J155" i="11"/>
  <c r="L155" i="11"/>
  <c r="C204" i="11"/>
  <c r="G204" i="11"/>
  <c r="H204" i="11"/>
  <c r="J204" i="11"/>
  <c r="K204" i="11"/>
  <c r="M204" i="11"/>
  <c r="N204" i="11"/>
  <c r="G74" i="11"/>
  <c r="I74" i="11"/>
  <c r="L74" i="11"/>
  <c r="M74" i="11"/>
  <c r="B79" i="11"/>
  <c r="L79" i="11"/>
  <c r="M79" i="11"/>
  <c r="N79" i="11"/>
  <c r="B108" i="11"/>
  <c r="N108" i="11"/>
  <c r="E108" i="11"/>
  <c r="O108" i="11"/>
  <c r="F108" i="11"/>
  <c r="G108" i="11"/>
  <c r="H108" i="11"/>
  <c r="J108" i="11"/>
  <c r="K108" i="11"/>
  <c r="M108" i="11"/>
  <c r="M93" i="11"/>
  <c r="K93" i="11"/>
  <c r="C93" i="11"/>
  <c r="F93" i="11"/>
  <c r="L261" i="11"/>
  <c r="K261" i="11"/>
  <c r="C261" i="11"/>
  <c r="C37" i="11"/>
  <c r="K37" i="11"/>
  <c r="C162" i="11"/>
  <c r="E162" i="11"/>
  <c r="K162" i="11"/>
  <c r="N162" i="11"/>
  <c r="N224" i="11"/>
  <c r="K224" i="11"/>
  <c r="G102" i="11"/>
  <c r="J102" i="11"/>
  <c r="M102" i="11"/>
  <c r="L102" i="11"/>
  <c r="M158" i="11"/>
  <c r="N158" i="11"/>
  <c r="C158" i="11"/>
  <c r="E158" i="11"/>
  <c r="F158" i="11"/>
  <c r="I158" i="11"/>
  <c r="K158" i="11"/>
  <c r="C276" i="11"/>
  <c r="E276" i="11"/>
  <c r="H276" i="11"/>
  <c r="K276" i="11"/>
  <c r="M276" i="11"/>
  <c r="N276" i="11"/>
  <c r="E253" i="11"/>
  <c r="G253" i="11"/>
  <c r="H253" i="11"/>
  <c r="F39" i="11"/>
  <c r="M39" i="11"/>
  <c r="J20" i="11"/>
  <c r="L20" i="11"/>
  <c r="M20" i="11"/>
  <c r="N20" i="11"/>
  <c r="B20" i="11"/>
  <c r="C20" i="11"/>
  <c r="F20" i="11"/>
  <c r="I234" i="11"/>
  <c r="B234" i="11"/>
  <c r="L234" i="11"/>
  <c r="C234" i="11"/>
  <c r="H234" i="11"/>
  <c r="J234" i="11"/>
  <c r="K234" i="11"/>
  <c r="M9" i="11"/>
  <c r="B9" i="11"/>
  <c r="N9" i="11"/>
  <c r="E9" i="11"/>
  <c r="O9" i="11"/>
  <c r="F9" i="11"/>
  <c r="G9" i="11"/>
  <c r="I9" i="11"/>
  <c r="J9" i="11"/>
  <c r="L9" i="11"/>
  <c r="G137" i="11"/>
  <c r="J137" i="11"/>
  <c r="L137" i="11"/>
  <c r="F265" i="11"/>
  <c r="E265" i="11"/>
  <c r="L265" i="11"/>
  <c r="C286" i="11"/>
  <c r="E286" i="11"/>
  <c r="J286" i="11"/>
  <c r="K286" i="11"/>
  <c r="L286" i="11"/>
  <c r="N286" i="11"/>
  <c r="B286" i="11"/>
  <c r="E126" i="11"/>
  <c r="H126" i="11"/>
  <c r="O258" i="11"/>
  <c r="B258" i="11"/>
  <c r="M258" i="11"/>
  <c r="L258" i="11"/>
  <c r="N258" i="11"/>
  <c r="J54" i="11"/>
  <c r="N54" i="11"/>
  <c r="I54" i="11"/>
  <c r="F54" i="11"/>
  <c r="E56" i="11"/>
  <c r="F56" i="11"/>
  <c r="G56" i="11"/>
  <c r="J56" i="11"/>
  <c r="K56" i="11"/>
  <c r="N56" i="11"/>
  <c r="O56" i="11"/>
  <c r="C125" i="11"/>
  <c r="E125" i="11"/>
  <c r="K125" i="11"/>
  <c r="I221" i="11"/>
  <c r="E221" i="11"/>
  <c r="D3" i="11" l="1"/>
  <c r="C12" i="8"/>
  <c r="C13" i="8"/>
  <c r="C210" i="11"/>
  <c r="C260" i="11" l="1"/>
  <c r="C47" i="11"/>
  <c r="C30" i="11"/>
  <c r="C33" i="11"/>
  <c r="C213" i="11"/>
  <c r="C50" i="11"/>
  <c r="C99" i="11"/>
  <c r="C289" i="11"/>
  <c r="C232" i="11"/>
  <c r="C151" i="11"/>
  <c r="C113" i="11"/>
  <c r="C222" i="11"/>
  <c r="C246" i="11"/>
  <c r="C80" i="11"/>
  <c r="C101" i="11"/>
  <c r="C121" i="11"/>
  <c r="C163" i="11"/>
  <c r="C235" i="11"/>
  <c r="C288" i="11"/>
  <c r="C131" i="11"/>
  <c r="C139" i="11"/>
  <c r="C142" i="11"/>
  <c r="C216" i="11"/>
  <c r="C231" i="11"/>
  <c r="C109" i="11"/>
  <c r="C287" i="11"/>
  <c r="C146" i="11"/>
  <c r="C27" i="11"/>
  <c r="C173" i="11"/>
  <c r="C76" i="11"/>
  <c r="C177" i="11"/>
  <c r="C65" i="11"/>
  <c r="C169" i="11"/>
  <c r="C207" i="11"/>
  <c r="C185" i="11"/>
  <c r="C167" i="11"/>
  <c r="C269" i="11"/>
  <c r="C145" i="11"/>
  <c r="C130" i="11"/>
  <c r="C119" i="11"/>
  <c r="C25" i="11"/>
  <c r="C175" i="11"/>
  <c r="C187" i="11"/>
  <c r="C172" i="11"/>
  <c r="C244" i="11"/>
  <c r="C259" i="11"/>
  <c r="C208" i="11"/>
  <c r="C46" i="11"/>
  <c r="C84" i="11"/>
  <c r="C171" i="11"/>
  <c r="C141" i="11"/>
  <c r="C245" i="11"/>
  <c r="C284" i="11"/>
  <c r="C186" i="11"/>
  <c r="C86" i="11"/>
  <c r="C123" i="11"/>
  <c r="C118" i="11"/>
  <c r="C228" i="11"/>
  <c r="C247" i="11"/>
  <c r="C227" i="11"/>
  <c r="C190" i="11"/>
  <c r="C52" i="11"/>
  <c r="C147" i="11"/>
  <c r="C129" i="11"/>
  <c r="C49" i="11"/>
  <c r="C133" i="11"/>
  <c r="C178" i="11"/>
  <c r="C6" i="11"/>
  <c r="C117" i="11"/>
  <c r="C90" i="11"/>
  <c r="C81" i="11"/>
  <c r="C226" i="11"/>
  <c r="C127" i="11"/>
  <c r="C243" i="11"/>
  <c r="C278" i="11"/>
  <c r="C268" i="11"/>
  <c r="C22" i="11"/>
  <c r="C132" i="11"/>
  <c r="C38" i="11"/>
  <c r="C179" i="11"/>
  <c r="C77" i="11"/>
  <c r="C31" i="11"/>
  <c r="C103" i="11"/>
  <c r="C282" i="11"/>
  <c r="C51" i="11"/>
  <c r="C66" i="11"/>
  <c r="C290" i="11"/>
  <c r="C176" i="11"/>
  <c r="C233" i="11"/>
  <c r="C61" i="11"/>
  <c r="U10" i="14" l="1"/>
  <c r="AQ52" i="14"/>
  <c r="H7" i="14"/>
  <c r="AQ7" i="14"/>
  <c r="R7" i="14"/>
  <c r="R47" i="14"/>
  <c r="H20" i="14"/>
  <c r="AR10" i="14"/>
  <c r="AB10" i="14"/>
  <c r="R10" i="14"/>
  <c r="AG52" i="14"/>
  <c r="AB52" i="14"/>
  <c r="AH25" i="14"/>
  <c r="BK25" i="14"/>
  <c r="BK17" i="14"/>
  <c r="AH7" i="14"/>
  <c r="H52" i="14"/>
  <c r="U25" i="14"/>
  <c r="R25" i="14"/>
  <c r="H17" i="14"/>
  <c r="U47" i="14"/>
  <c r="U44" i="14"/>
  <c r="U13" i="14"/>
  <c r="AG10" i="14"/>
  <c r="AR25" i="14"/>
  <c r="AQ25" i="14"/>
  <c r="AG17" i="14"/>
  <c r="AB17" i="14"/>
  <c r="AQ17" i="14"/>
  <c r="AG7" i="14"/>
  <c r="H10" i="14"/>
  <c r="U7" i="14"/>
  <c r="U20" i="14"/>
  <c r="AH10" i="14"/>
  <c r="BK10" i="14"/>
  <c r="AH52" i="14"/>
  <c r="BK52" i="14"/>
  <c r="AG25" i="14"/>
  <c r="AB25" i="14"/>
  <c r="AR7" i="14"/>
  <c r="BK7" i="14"/>
  <c r="U52" i="14"/>
  <c r="H25" i="14"/>
  <c r="U17" i="14"/>
  <c r="AB7" i="14"/>
  <c r="H47" i="14"/>
  <c r="H44" i="14"/>
  <c r="H13" i="14"/>
  <c r="H21" i="14"/>
  <c r="AQ10" i="14"/>
  <c r="AR52" i="14"/>
  <c r="R52" i="14"/>
  <c r="AR17" i="14"/>
  <c r="AH17" i="14"/>
  <c r="R17" i="14"/>
  <c r="AG21" i="14"/>
  <c r="AB21" i="14"/>
  <c r="R32" i="14"/>
  <c r="U29" i="14"/>
  <c r="R29" i="14"/>
  <c r="U57" i="14"/>
  <c r="R28" i="14"/>
  <c r="R36" i="14"/>
  <c r="H49" i="14"/>
  <c r="U50" i="14"/>
  <c r="H26" i="14"/>
  <c r="BK13" i="14"/>
  <c r="AH56" i="14"/>
  <c r="BK56" i="14"/>
  <c r="AQ21" i="14"/>
  <c r="AH32" i="14"/>
  <c r="BK32" i="14"/>
  <c r="AR29" i="14"/>
  <c r="AQ29" i="14"/>
  <c r="AG45" i="14"/>
  <c r="AB45" i="14"/>
  <c r="AR57" i="14"/>
  <c r="BK18" i="14"/>
  <c r="AH28" i="14"/>
  <c r="BK28" i="14"/>
  <c r="AG41" i="14"/>
  <c r="AB41" i="14"/>
  <c r="R20" i="14"/>
  <c r="U56" i="14"/>
  <c r="U32" i="14"/>
  <c r="H45" i="14"/>
  <c r="H18" i="14"/>
  <c r="U28" i="14"/>
  <c r="H41" i="14"/>
  <c r="U36" i="14"/>
  <c r="R49" i="14"/>
  <c r="AQ50" i="14"/>
  <c r="R26" i="14"/>
  <c r="H38" i="14"/>
  <c r="AH47" i="14"/>
  <c r="BK47" i="14"/>
  <c r="AR47" i="14"/>
  <c r="AG20" i="14"/>
  <c r="AB20" i="14"/>
  <c r="AG44" i="14"/>
  <c r="AB44" i="14"/>
  <c r="AG13" i="14"/>
  <c r="AB13" i="14"/>
  <c r="AQ13" i="14"/>
  <c r="AR56" i="14"/>
  <c r="R56" i="14"/>
  <c r="U21" i="14"/>
  <c r="AR32" i="14"/>
  <c r="AG29" i="14"/>
  <c r="AB29" i="14"/>
  <c r="AG57" i="14"/>
  <c r="AB57" i="14"/>
  <c r="BK20" i="14"/>
  <c r="AQ56" i="14"/>
  <c r="AR21" i="14"/>
  <c r="AH21" i="14"/>
  <c r="R21" i="14"/>
  <c r="H29" i="14"/>
  <c r="R45" i="14"/>
  <c r="H57" i="14"/>
  <c r="AQ28" i="14"/>
  <c r="R41" i="14"/>
  <c r="U49" i="14"/>
  <c r="H50" i="14"/>
  <c r="U26" i="14"/>
  <c r="R38" i="14"/>
  <c r="AG56" i="14"/>
  <c r="AB56" i="14"/>
  <c r="AG32" i="14"/>
  <c r="AB32" i="14"/>
  <c r="AQ32" i="14"/>
  <c r="AH45" i="14"/>
  <c r="BK45" i="14"/>
  <c r="AQ45" i="14"/>
  <c r="AG28" i="14"/>
  <c r="AB28" i="14"/>
  <c r="AQ20" i="14"/>
  <c r="R44" i="14"/>
  <c r="H56" i="14"/>
  <c r="BK21" i="14"/>
  <c r="H32" i="14"/>
  <c r="U45" i="14"/>
  <c r="R57" i="14"/>
  <c r="U18" i="14"/>
  <c r="H28" i="14"/>
  <c r="U41" i="14"/>
  <c r="H36" i="14"/>
  <c r="AQ26" i="14"/>
  <c r="U38" i="14"/>
  <c r="AG47" i="14"/>
  <c r="AB47" i="14"/>
  <c r="AQ47" i="14"/>
  <c r="AR20" i="14"/>
  <c r="AH20" i="14"/>
  <c r="AH44" i="14"/>
  <c r="BK44" i="14"/>
  <c r="AR44" i="14"/>
  <c r="AQ44" i="14"/>
  <c r="AR13" i="14"/>
  <c r="AH13" i="14"/>
  <c r="R13" i="14"/>
  <c r="AH29" i="14"/>
  <c r="BK29" i="14"/>
  <c r="AR45" i="14"/>
  <c r="AH57" i="14"/>
  <c r="BK57" i="14"/>
  <c r="AQ57" i="14"/>
  <c r="AR18" i="14"/>
  <c r="AH18" i="14"/>
  <c r="AQ18" i="14"/>
  <c r="AB18" i="14"/>
  <c r="AR28" i="14"/>
  <c r="BK41" i="14"/>
  <c r="AG49" i="14"/>
  <c r="AB49" i="14"/>
  <c r="R50" i="14"/>
  <c r="AQ38" i="14"/>
  <c r="AR46" i="14"/>
  <c r="R46" i="14"/>
  <c r="AR22" i="14"/>
  <c r="AH22" i="14"/>
  <c r="AQ22" i="14"/>
  <c r="R22" i="14"/>
  <c r="R15" i="14"/>
  <c r="AG40" i="14"/>
  <c r="AB40" i="14"/>
  <c r="AG33" i="14"/>
  <c r="AB33" i="14"/>
  <c r="AR51" i="14"/>
  <c r="AG31" i="14"/>
  <c r="AB31" i="14"/>
  <c r="AG18" i="14"/>
  <c r="AH41" i="14"/>
  <c r="AG36" i="14"/>
  <c r="AB36" i="14"/>
  <c r="AQ49" i="14"/>
  <c r="AH50" i="14"/>
  <c r="BK50" i="14"/>
  <c r="AR50" i="14"/>
  <c r="AG26" i="14"/>
  <c r="AB26" i="14"/>
  <c r="AQ46" i="14"/>
  <c r="U15" i="14"/>
  <c r="H40" i="14"/>
  <c r="H33" i="14"/>
  <c r="H31" i="14"/>
  <c r="AQ11" i="14"/>
  <c r="R18" i="14"/>
  <c r="AQ36" i="14"/>
  <c r="AG46" i="14"/>
  <c r="AB46" i="14"/>
  <c r="BK22" i="14"/>
  <c r="AR15" i="14"/>
  <c r="AH15" i="14"/>
  <c r="AG51" i="14"/>
  <c r="AB51" i="14"/>
  <c r="AH38" i="14"/>
  <c r="BK38" i="14"/>
  <c r="AR38" i="14"/>
  <c r="H46" i="14"/>
  <c r="H22" i="14"/>
  <c r="AQ15" i="14"/>
  <c r="H51" i="14"/>
  <c r="H11" i="14"/>
  <c r="R55" i="14"/>
  <c r="AQ23" i="14"/>
  <c r="H24" i="14"/>
  <c r="BK6" i="14"/>
  <c r="AQ41" i="14"/>
  <c r="AH49" i="14"/>
  <c r="BK49" i="14"/>
  <c r="AR49" i="14"/>
  <c r="AG22" i="14"/>
  <c r="AB22" i="14"/>
  <c r="AH40" i="14"/>
  <c r="BK40" i="14"/>
  <c r="AH33" i="14"/>
  <c r="BK33" i="14"/>
  <c r="AH31" i="14"/>
  <c r="BK31" i="14"/>
  <c r="AH36" i="14"/>
  <c r="BK36" i="14"/>
  <c r="AR36" i="14"/>
  <c r="AG50" i="14"/>
  <c r="AB50" i="14"/>
  <c r="AH26" i="14"/>
  <c r="BK26" i="14"/>
  <c r="AR26" i="14"/>
  <c r="H15" i="14"/>
  <c r="BK15" i="14"/>
  <c r="U40" i="14"/>
  <c r="U33" i="14"/>
  <c r="R33" i="14"/>
  <c r="R51" i="14"/>
  <c r="U31" i="14"/>
  <c r="R31" i="14"/>
  <c r="H27" i="14"/>
  <c r="U55" i="14"/>
  <c r="AH46" i="14"/>
  <c r="BK46" i="14"/>
  <c r="AG15" i="14"/>
  <c r="AB15" i="14"/>
  <c r="AR40" i="14"/>
  <c r="R40" i="14"/>
  <c r="AR33" i="14"/>
  <c r="AQ33" i="14"/>
  <c r="AH51" i="14"/>
  <c r="BK51" i="14"/>
  <c r="AR41" i="14"/>
  <c r="AG38" i="14"/>
  <c r="AB38" i="14"/>
  <c r="U46" i="14"/>
  <c r="U22" i="14"/>
  <c r="AQ40" i="14"/>
  <c r="U51" i="14"/>
  <c r="U11" i="14"/>
  <c r="AR24" i="14"/>
  <c r="AR31" i="14"/>
  <c r="AG55" i="14"/>
  <c r="AB55" i="14"/>
  <c r="AG12" i="14"/>
  <c r="AB12" i="14"/>
  <c r="H6" i="14"/>
  <c r="AG14" i="14"/>
  <c r="AB14" i="14"/>
  <c r="AH54" i="14"/>
  <c r="BK54" i="14"/>
  <c r="AR19" i="14"/>
  <c r="AH19" i="14"/>
  <c r="AG27" i="14"/>
  <c r="AB27" i="14"/>
  <c r="H55" i="14"/>
  <c r="R23" i="14"/>
  <c r="BK12" i="14"/>
  <c r="AH6" i="14"/>
  <c r="R34" i="14"/>
  <c r="U54" i="14"/>
  <c r="AQ19" i="14"/>
  <c r="AQ48" i="14"/>
  <c r="H42" i="14"/>
  <c r="AQ37" i="14"/>
  <c r="R53" i="14"/>
  <c r="AG11" i="14"/>
  <c r="AB11" i="14"/>
  <c r="AQ55" i="14"/>
  <c r="U23" i="14"/>
  <c r="U24" i="14"/>
  <c r="AG6" i="14"/>
  <c r="AH34" i="14"/>
  <c r="BK34" i="14"/>
  <c r="AQ34" i="14"/>
  <c r="AR54" i="14"/>
  <c r="R54" i="14"/>
  <c r="BK19" i="14"/>
  <c r="R11" i="14"/>
  <c r="AR23" i="14"/>
  <c r="AH23" i="14"/>
  <c r="BK23" i="14"/>
  <c r="U12" i="14"/>
  <c r="AQ12" i="14"/>
  <c r="AH24" i="14"/>
  <c r="BK24" i="14"/>
  <c r="U34" i="14"/>
  <c r="U14" i="14"/>
  <c r="AQ54" i="14"/>
  <c r="H19" i="14"/>
  <c r="H48" i="14"/>
  <c r="H30" i="14"/>
  <c r="AH55" i="14"/>
  <c r="BK55" i="14"/>
  <c r="AR12" i="14"/>
  <c r="AH12" i="14"/>
  <c r="AQ24" i="14"/>
  <c r="AB6" i="14"/>
  <c r="AR34" i="14"/>
  <c r="AR14" i="14"/>
  <c r="AH14" i="14"/>
  <c r="AQ14" i="14"/>
  <c r="R14" i="14"/>
  <c r="AG54" i="14"/>
  <c r="AB54" i="14"/>
  <c r="AG19" i="14"/>
  <c r="AB19" i="14"/>
  <c r="BK11" i="14"/>
  <c r="AH27" i="14"/>
  <c r="BK27" i="14"/>
  <c r="U27" i="14"/>
  <c r="R27" i="14"/>
  <c r="AR55" i="14"/>
  <c r="AR6" i="14"/>
  <c r="H54" i="14"/>
  <c r="U42" i="14"/>
  <c r="R30" i="14"/>
  <c r="AQ51" i="14"/>
  <c r="AQ31" i="14"/>
  <c r="AR11" i="14"/>
  <c r="AH11" i="14"/>
  <c r="AR27" i="14"/>
  <c r="AQ27" i="14"/>
  <c r="H23" i="14"/>
  <c r="R12" i="14"/>
  <c r="AQ6" i="14"/>
  <c r="AG34" i="14"/>
  <c r="AB34" i="14"/>
  <c r="BK14" i="14"/>
  <c r="AH48" i="14"/>
  <c r="BK48" i="14"/>
  <c r="AR42" i="14"/>
  <c r="R42" i="14"/>
  <c r="AG23" i="14"/>
  <c r="AB23" i="14"/>
  <c r="H12" i="14"/>
  <c r="AG24" i="14"/>
  <c r="AB24" i="14"/>
  <c r="R24" i="14"/>
  <c r="H34" i="14"/>
  <c r="H14" i="14"/>
  <c r="U19" i="14"/>
  <c r="R19" i="14"/>
  <c r="U48" i="14"/>
  <c r="AQ42" i="14"/>
  <c r="U30" i="14"/>
  <c r="U37" i="14"/>
  <c r="H53" i="14"/>
  <c r="H35" i="14"/>
  <c r="AR48" i="14"/>
  <c r="AR37" i="14"/>
  <c r="AH43" i="14"/>
  <c r="BK43" i="14"/>
  <c r="AQ43" i="14"/>
  <c r="AG9" i="14"/>
  <c r="AG53" i="14"/>
  <c r="AB53" i="14"/>
  <c r="AH35" i="14"/>
  <c r="BK35" i="14"/>
  <c r="U35" i="14"/>
  <c r="H16" i="14"/>
  <c r="R16" i="14"/>
  <c r="U43" i="14"/>
  <c r="U9" i="14"/>
  <c r="BK9" i="14"/>
  <c r="AR9" i="14"/>
  <c r="AR35" i="14"/>
  <c r="R35" i="14"/>
  <c r="AG16" i="14"/>
  <c r="AB16" i="14"/>
  <c r="AR43" i="14"/>
  <c r="AG42" i="14"/>
  <c r="AB42" i="14"/>
  <c r="AH30" i="14"/>
  <c r="BK30" i="14"/>
  <c r="AR30" i="14"/>
  <c r="AG37" i="14"/>
  <c r="AB37" i="14"/>
  <c r="AQ53" i="14"/>
  <c r="AQ35" i="14"/>
  <c r="BK16" i="14"/>
  <c r="R9" i="14"/>
  <c r="H37" i="14"/>
  <c r="AG43" i="14"/>
  <c r="AB43" i="14"/>
  <c r="AQ9" i="14"/>
  <c r="AB48" i="14"/>
  <c r="AQ30" i="14"/>
  <c r="AH53" i="14"/>
  <c r="BK53" i="14"/>
  <c r="U53" i="14"/>
  <c r="AG35" i="14"/>
  <c r="AB35" i="14"/>
  <c r="U16" i="14"/>
  <c r="AQ16" i="14"/>
  <c r="H43" i="14"/>
  <c r="H9" i="14"/>
  <c r="AB9" i="14"/>
  <c r="AG48" i="14"/>
  <c r="AR53" i="14"/>
  <c r="AR16" i="14"/>
  <c r="AH16" i="14"/>
  <c r="AH9" i="14"/>
  <c r="R48" i="14"/>
  <c r="AH42" i="14"/>
  <c r="BK42" i="14"/>
  <c r="AG30" i="14"/>
  <c r="AB30" i="14"/>
  <c r="AH37" i="14"/>
  <c r="BK37" i="14"/>
  <c r="R37" i="14"/>
  <c r="R43" i="14"/>
  <c r="E23" i="8"/>
  <c r="C17" i="11"/>
  <c r="E6" i="8"/>
  <c r="B210" i="11"/>
  <c r="E210" i="11"/>
  <c r="F210" i="11"/>
  <c r="G210" i="11"/>
  <c r="H210" i="11"/>
  <c r="I210" i="11"/>
  <c r="J210" i="11"/>
  <c r="K210" i="11"/>
  <c r="L210" i="11"/>
  <c r="M210" i="11"/>
  <c r="N210" i="11"/>
  <c r="O210" i="11"/>
  <c r="B17" i="11"/>
  <c r="E17" i="11"/>
  <c r="F17" i="11"/>
  <c r="G17" i="11"/>
  <c r="H17" i="11"/>
  <c r="I17" i="11"/>
  <c r="J17" i="11"/>
  <c r="K17" i="11"/>
  <c r="L17" i="11"/>
  <c r="M17" i="11"/>
  <c r="N17" i="11"/>
  <c r="O17" i="11"/>
  <c r="B6" i="11"/>
  <c r="E6" i="11"/>
  <c r="F6" i="11"/>
  <c r="G6" i="11"/>
  <c r="H6" i="11"/>
  <c r="I6" i="11"/>
  <c r="J6" i="11"/>
  <c r="K6" i="11"/>
  <c r="L6" i="11"/>
  <c r="M6" i="11"/>
  <c r="N6" i="11"/>
  <c r="O6" i="11"/>
  <c r="B141" i="11"/>
  <c r="E141" i="11"/>
  <c r="F141" i="11"/>
  <c r="G141" i="11"/>
  <c r="H141" i="11"/>
  <c r="I141" i="11"/>
  <c r="J141" i="11"/>
  <c r="K141" i="11"/>
  <c r="L141" i="11"/>
  <c r="M141" i="11"/>
  <c r="N141" i="11"/>
  <c r="O141" i="11"/>
  <c r="B145" i="11"/>
  <c r="E145" i="11"/>
  <c r="F145" i="11"/>
  <c r="G145" i="11"/>
  <c r="H145" i="11"/>
  <c r="I145" i="11"/>
  <c r="J145" i="11"/>
  <c r="K145" i="11"/>
  <c r="L145" i="11"/>
  <c r="M145" i="11"/>
  <c r="N145" i="11"/>
  <c r="O145" i="11"/>
  <c r="B146" i="11"/>
  <c r="E146" i="11"/>
  <c r="F146" i="11"/>
  <c r="G146" i="11"/>
  <c r="H146" i="11"/>
  <c r="I146" i="11"/>
  <c r="J146" i="11"/>
  <c r="K146" i="11"/>
  <c r="L146" i="11"/>
  <c r="M146" i="11"/>
  <c r="N146" i="11"/>
  <c r="O146" i="11"/>
  <c r="B142" i="11"/>
  <c r="E142" i="11"/>
  <c r="F142" i="11"/>
  <c r="G142" i="11"/>
  <c r="H142" i="11"/>
  <c r="I142" i="11"/>
  <c r="J142" i="11"/>
  <c r="K142" i="11"/>
  <c r="L142" i="11"/>
  <c r="M142" i="11"/>
  <c r="N142" i="11"/>
  <c r="O142" i="11"/>
  <c r="B113" i="11"/>
  <c r="E113" i="11"/>
  <c r="F113" i="11"/>
  <c r="G113" i="11"/>
  <c r="H113" i="11"/>
  <c r="I113" i="11"/>
  <c r="J113" i="11"/>
  <c r="K113" i="11"/>
  <c r="L113" i="11"/>
  <c r="M113" i="11"/>
  <c r="N113" i="11"/>
  <c r="O113" i="11"/>
  <c r="B61" i="11"/>
  <c r="E61" i="11"/>
  <c r="F61" i="11"/>
  <c r="G61" i="11"/>
  <c r="H61" i="11"/>
  <c r="I61" i="11"/>
  <c r="J61" i="11"/>
  <c r="K61" i="11"/>
  <c r="L61" i="11"/>
  <c r="M61" i="11"/>
  <c r="N61" i="11"/>
  <c r="O61" i="11"/>
  <c r="B38" i="11"/>
  <c r="E38" i="11"/>
  <c r="F38" i="11"/>
  <c r="G38" i="11"/>
  <c r="H38" i="11"/>
  <c r="I38" i="11"/>
  <c r="J38" i="11"/>
  <c r="K38" i="11"/>
  <c r="L38" i="11"/>
  <c r="M38" i="11"/>
  <c r="N38" i="11"/>
  <c r="O38" i="11"/>
  <c r="B178" i="11"/>
  <c r="E178" i="11"/>
  <c r="F178" i="11"/>
  <c r="G178" i="11"/>
  <c r="H178" i="11"/>
  <c r="I178" i="11"/>
  <c r="J178" i="11"/>
  <c r="K178" i="11"/>
  <c r="L178" i="11"/>
  <c r="M178" i="11"/>
  <c r="N178" i="11"/>
  <c r="O178" i="11"/>
  <c r="B171" i="11"/>
  <c r="E171" i="11"/>
  <c r="F171" i="11"/>
  <c r="G171" i="11"/>
  <c r="H171" i="11"/>
  <c r="I171" i="11"/>
  <c r="J171" i="11"/>
  <c r="K171" i="11"/>
  <c r="L171" i="11"/>
  <c r="M171" i="11"/>
  <c r="N171" i="11"/>
  <c r="O171" i="11"/>
  <c r="B269" i="11"/>
  <c r="E269" i="11"/>
  <c r="F269" i="11"/>
  <c r="G269" i="11"/>
  <c r="H269" i="11"/>
  <c r="I269" i="11"/>
  <c r="J269" i="11"/>
  <c r="K269" i="11"/>
  <c r="L269" i="11"/>
  <c r="M269" i="11"/>
  <c r="N269" i="11"/>
  <c r="O269" i="11"/>
  <c r="B130" i="11"/>
  <c r="E130" i="11"/>
  <c r="F130" i="11"/>
  <c r="G130" i="11"/>
  <c r="H130" i="11"/>
  <c r="I130" i="11"/>
  <c r="J130" i="11"/>
  <c r="K130" i="11"/>
  <c r="L130" i="11"/>
  <c r="M130" i="11"/>
  <c r="N130" i="11"/>
  <c r="O130" i="11"/>
  <c r="B139" i="11"/>
  <c r="E139" i="11"/>
  <c r="F139" i="11"/>
  <c r="G139" i="11"/>
  <c r="H139" i="11"/>
  <c r="I139" i="11"/>
  <c r="J139" i="11"/>
  <c r="K139" i="11"/>
  <c r="L139" i="11"/>
  <c r="M139" i="11"/>
  <c r="N139" i="11"/>
  <c r="O139" i="11"/>
  <c r="B151" i="11"/>
  <c r="E151" i="11"/>
  <c r="F151" i="11"/>
  <c r="G151" i="11"/>
  <c r="H151" i="11"/>
  <c r="I151" i="11"/>
  <c r="J151" i="11"/>
  <c r="K151" i="11"/>
  <c r="L151" i="11"/>
  <c r="M151" i="11"/>
  <c r="N151" i="11"/>
  <c r="O151" i="11"/>
  <c r="B233" i="11"/>
  <c r="E233" i="11"/>
  <c r="F233" i="11"/>
  <c r="G233" i="11"/>
  <c r="H233" i="11"/>
  <c r="I233" i="11"/>
  <c r="J233" i="11"/>
  <c r="K233" i="11"/>
  <c r="L233" i="11"/>
  <c r="M233" i="11"/>
  <c r="N233" i="11"/>
  <c r="O233" i="11"/>
  <c r="B132" i="11"/>
  <c r="E132" i="11"/>
  <c r="F132" i="11"/>
  <c r="G132" i="11"/>
  <c r="H132" i="11"/>
  <c r="I132" i="11"/>
  <c r="J132" i="11"/>
  <c r="K132" i="11"/>
  <c r="L132" i="11"/>
  <c r="M132" i="11"/>
  <c r="N132" i="11"/>
  <c r="O132" i="11"/>
  <c r="B133" i="11"/>
  <c r="E133" i="11"/>
  <c r="F133" i="11"/>
  <c r="G133" i="11"/>
  <c r="H133" i="11"/>
  <c r="I133" i="11"/>
  <c r="J133" i="11"/>
  <c r="K133" i="11"/>
  <c r="L133" i="11"/>
  <c r="M133" i="11"/>
  <c r="N133" i="11"/>
  <c r="O133" i="11"/>
  <c r="B84" i="11"/>
  <c r="E84" i="11"/>
  <c r="F84" i="11"/>
  <c r="G84" i="11"/>
  <c r="H84" i="11"/>
  <c r="I84" i="11"/>
  <c r="J84" i="11"/>
  <c r="K84" i="11"/>
  <c r="L84" i="11"/>
  <c r="M84" i="11"/>
  <c r="N84" i="11"/>
  <c r="O84" i="11"/>
  <c r="B167" i="11"/>
  <c r="E167" i="11"/>
  <c r="F167" i="11"/>
  <c r="G167" i="11"/>
  <c r="H167" i="11"/>
  <c r="I167" i="11"/>
  <c r="J167" i="11"/>
  <c r="K167" i="11"/>
  <c r="L167" i="11"/>
  <c r="M167" i="11"/>
  <c r="N167" i="11"/>
  <c r="O167" i="11"/>
  <c r="B123" i="11"/>
  <c r="E123" i="11"/>
  <c r="F123" i="11"/>
  <c r="G123" i="11"/>
  <c r="H123" i="11"/>
  <c r="I123" i="11"/>
  <c r="J123" i="11"/>
  <c r="K123" i="11"/>
  <c r="L123" i="11"/>
  <c r="M123" i="11"/>
  <c r="N123" i="11"/>
  <c r="O123" i="11"/>
  <c r="B131" i="11"/>
  <c r="E131" i="11"/>
  <c r="F131" i="11"/>
  <c r="G131" i="11"/>
  <c r="H131" i="11"/>
  <c r="I131" i="11"/>
  <c r="J131" i="11"/>
  <c r="K131" i="11"/>
  <c r="L131" i="11"/>
  <c r="M131" i="11"/>
  <c r="N131" i="11"/>
  <c r="O131" i="11"/>
  <c r="B232" i="11"/>
  <c r="E232" i="11"/>
  <c r="F232" i="11"/>
  <c r="G232" i="11"/>
  <c r="H232" i="11"/>
  <c r="I232" i="11"/>
  <c r="J232" i="11"/>
  <c r="K232" i="11"/>
  <c r="L232" i="11"/>
  <c r="M232" i="11"/>
  <c r="N232" i="11"/>
  <c r="O232" i="11"/>
  <c r="B176" i="11"/>
  <c r="E176" i="11"/>
  <c r="F176" i="11"/>
  <c r="G176" i="11"/>
  <c r="H176" i="11"/>
  <c r="I176" i="11"/>
  <c r="J176" i="11"/>
  <c r="K176" i="11"/>
  <c r="L176" i="11"/>
  <c r="M176" i="11"/>
  <c r="N176" i="11"/>
  <c r="O176" i="11"/>
  <c r="B22" i="11"/>
  <c r="E22" i="11"/>
  <c r="F22" i="11"/>
  <c r="G22" i="11"/>
  <c r="H22" i="11"/>
  <c r="I22" i="11"/>
  <c r="J22" i="11"/>
  <c r="K22" i="11"/>
  <c r="L22" i="11"/>
  <c r="M22" i="11"/>
  <c r="N22" i="11"/>
  <c r="O22" i="11"/>
  <c r="B49" i="11"/>
  <c r="E49" i="11"/>
  <c r="F49" i="11"/>
  <c r="G49" i="11"/>
  <c r="H49" i="11"/>
  <c r="I49" i="11"/>
  <c r="J49" i="11"/>
  <c r="K49" i="11"/>
  <c r="L49" i="11"/>
  <c r="M49" i="11"/>
  <c r="N49" i="11"/>
  <c r="O49" i="11"/>
  <c r="B46" i="11"/>
  <c r="E46" i="11"/>
  <c r="F46" i="11"/>
  <c r="G46" i="11"/>
  <c r="H46" i="11"/>
  <c r="I46" i="11"/>
  <c r="J46" i="11"/>
  <c r="K46" i="11"/>
  <c r="L46" i="11"/>
  <c r="M46" i="11"/>
  <c r="N46" i="11"/>
  <c r="O46" i="11"/>
  <c r="B185" i="11"/>
  <c r="E185" i="11"/>
  <c r="F185" i="11"/>
  <c r="G185" i="11"/>
  <c r="H185" i="11"/>
  <c r="I185" i="11"/>
  <c r="J185" i="11"/>
  <c r="K185" i="11"/>
  <c r="L185" i="11"/>
  <c r="M185" i="11"/>
  <c r="N185" i="11"/>
  <c r="O185" i="11"/>
  <c r="B287" i="11"/>
  <c r="E287" i="11"/>
  <c r="F287" i="11"/>
  <c r="G287" i="11"/>
  <c r="H287" i="11"/>
  <c r="I287" i="11"/>
  <c r="J287" i="11"/>
  <c r="K287" i="11"/>
  <c r="L287" i="11"/>
  <c r="M287" i="11"/>
  <c r="N287" i="11"/>
  <c r="O287" i="11"/>
  <c r="B288" i="11"/>
  <c r="E288" i="11"/>
  <c r="F288" i="11"/>
  <c r="G288" i="11"/>
  <c r="H288" i="11"/>
  <c r="I288" i="11"/>
  <c r="J288" i="11"/>
  <c r="K288" i="11"/>
  <c r="L288" i="11"/>
  <c r="M288" i="11"/>
  <c r="N288" i="11"/>
  <c r="O288" i="11"/>
  <c r="B289" i="11"/>
  <c r="E289" i="11"/>
  <c r="F289" i="11"/>
  <c r="G289" i="11"/>
  <c r="H289" i="11"/>
  <c r="I289" i="11"/>
  <c r="J289" i="11"/>
  <c r="K289" i="11"/>
  <c r="L289" i="11"/>
  <c r="M289" i="11"/>
  <c r="N289" i="11"/>
  <c r="O289" i="11"/>
  <c r="B290" i="11"/>
  <c r="E290" i="11"/>
  <c r="F290" i="11"/>
  <c r="G290" i="11"/>
  <c r="H290" i="11"/>
  <c r="I290" i="11"/>
  <c r="J290" i="11"/>
  <c r="K290" i="11"/>
  <c r="L290" i="11"/>
  <c r="M290" i="11"/>
  <c r="N290" i="11"/>
  <c r="O290" i="11"/>
  <c r="B268" i="11"/>
  <c r="E268" i="11"/>
  <c r="F268" i="11"/>
  <c r="G268" i="11"/>
  <c r="H268" i="11"/>
  <c r="I268" i="11"/>
  <c r="J268" i="11"/>
  <c r="K268" i="11"/>
  <c r="L268" i="11"/>
  <c r="M268" i="11"/>
  <c r="N268" i="11"/>
  <c r="O268" i="11"/>
  <c r="B129" i="11"/>
  <c r="E129" i="11"/>
  <c r="F129" i="11"/>
  <c r="G129" i="11"/>
  <c r="H129" i="11"/>
  <c r="I129" i="11"/>
  <c r="J129" i="11"/>
  <c r="K129" i="11"/>
  <c r="L129" i="11"/>
  <c r="M129" i="11"/>
  <c r="N129" i="11"/>
  <c r="O129" i="11"/>
  <c r="B208" i="11"/>
  <c r="E208" i="11"/>
  <c r="F208" i="11"/>
  <c r="G208" i="11"/>
  <c r="H208" i="11"/>
  <c r="I208" i="11"/>
  <c r="J208" i="11"/>
  <c r="K208" i="11"/>
  <c r="L208" i="11"/>
  <c r="M208" i="11"/>
  <c r="N208" i="11"/>
  <c r="O208" i="11"/>
  <c r="B207" i="11"/>
  <c r="E207" i="11"/>
  <c r="F207" i="11"/>
  <c r="G207" i="11"/>
  <c r="H207" i="11"/>
  <c r="I207" i="11"/>
  <c r="J207" i="11"/>
  <c r="K207" i="11"/>
  <c r="L207" i="11"/>
  <c r="M207" i="11"/>
  <c r="N207" i="11"/>
  <c r="O207" i="11"/>
  <c r="B86" i="11"/>
  <c r="E86" i="11"/>
  <c r="F86" i="11"/>
  <c r="G86" i="11"/>
  <c r="H86" i="11"/>
  <c r="I86" i="11"/>
  <c r="J86" i="11"/>
  <c r="K86" i="11"/>
  <c r="L86" i="11"/>
  <c r="M86" i="11"/>
  <c r="N86" i="11"/>
  <c r="O86" i="11"/>
  <c r="B235" i="11"/>
  <c r="E235" i="11"/>
  <c r="F235" i="11"/>
  <c r="G235" i="11"/>
  <c r="H235" i="11"/>
  <c r="I235" i="11"/>
  <c r="J235" i="11"/>
  <c r="K235" i="11"/>
  <c r="L235" i="11"/>
  <c r="M235" i="11"/>
  <c r="N235" i="11"/>
  <c r="O235" i="11"/>
  <c r="B99" i="11"/>
  <c r="E99" i="11"/>
  <c r="F99" i="11"/>
  <c r="G99" i="11"/>
  <c r="H99" i="11"/>
  <c r="I99" i="11"/>
  <c r="J99" i="11"/>
  <c r="K99" i="11"/>
  <c r="L99" i="11"/>
  <c r="M99" i="11"/>
  <c r="N99" i="11"/>
  <c r="O99" i="11"/>
  <c r="B66" i="11"/>
  <c r="E66" i="11"/>
  <c r="F66" i="11"/>
  <c r="G66" i="11"/>
  <c r="H66" i="11"/>
  <c r="I66" i="11"/>
  <c r="J66" i="11"/>
  <c r="K66" i="11"/>
  <c r="L66" i="11"/>
  <c r="M66" i="11"/>
  <c r="N66" i="11"/>
  <c r="O66" i="11"/>
  <c r="B278" i="11"/>
  <c r="E278" i="11"/>
  <c r="F278" i="11"/>
  <c r="G278" i="11"/>
  <c r="H278" i="11"/>
  <c r="I278" i="11"/>
  <c r="J278" i="11"/>
  <c r="K278" i="11"/>
  <c r="L278" i="11"/>
  <c r="M278" i="11"/>
  <c r="N278" i="11"/>
  <c r="O278" i="11"/>
  <c r="B147" i="11"/>
  <c r="E147" i="11"/>
  <c r="F147" i="11"/>
  <c r="G147" i="11"/>
  <c r="H147" i="11"/>
  <c r="I147" i="11"/>
  <c r="J147" i="11"/>
  <c r="K147" i="11"/>
  <c r="L147" i="11"/>
  <c r="M147" i="11"/>
  <c r="N147" i="11"/>
  <c r="O147" i="11"/>
  <c r="B259" i="11"/>
  <c r="E259" i="11"/>
  <c r="F259" i="11"/>
  <c r="G259" i="11"/>
  <c r="H259" i="11"/>
  <c r="I259" i="11"/>
  <c r="J259" i="11"/>
  <c r="K259" i="11"/>
  <c r="L259" i="11"/>
  <c r="M259" i="11"/>
  <c r="N259" i="11"/>
  <c r="O259" i="11"/>
  <c r="B169" i="11"/>
  <c r="E169" i="11"/>
  <c r="F169" i="11"/>
  <c r="G169" i="11"/>
  <c r="H169" i="11"/>
  <c r="I169" i="11"/>
  <c r="J169" i="11"/>
  <c r="K169" i="11"/>
  <c r="L169" i="11"/>
  <c r="M169" i="11"/>
  <c r="N169" i="11"/>
  <c r="O169" i="11"/>
  <c r="B186" i="11"/>
  <c r="E186" i="11"/>
  <c r="F186" i="11"/>
  <c r="G186" i="11"/>
  <c r="H186" i="11"/>
  <c r="I186" i="11"/>
  <c r="J186" i="11"/>
  <c r="K186" i="11"/>
  <c r="L186" i="11"/>
  <c r="M186" i="11"/>
  <c r="N186" i="11"/>
  <c r="O186" i="11"/>
  <c r="B163" i="11"/>
  <c r="E163" i="11"/>
  <c r="F163" i="11"/>
  <c r="G163" i="11"/>
  <c r="H163" i="11"/>
  <c r="I163" i="11"/>
  <c r="J163" i="11"/>
  <c r="K163" i="11"/>
  <c r="L163" i="11"/>
  <c r="M163" i="11"/>
  <c r="N163" i="11"/>
  <c r="O163" i="11"/>
  <c r="B50" i="11"/>
  <c r="E50" i="11"/>
  <c r="F50" i="11"/>
  <c r="G50" i="11"/>
  <c r="H50" i="11"/>
  <c r="I50" i="11"/>
  <c r="J50" i="11"/>
  <c r="K50" i="11"/>
  <c r="L50" i="11"/>
  <c r="M50" i="11"/>
  <c r="N50" i="11"/>
  <c r="O50" i="11"/>
  <c r="B51" i="11"/>
  <c r="E51" i="11"/>
  <c r="F51" i="11"/>
  <c r="G51" i="11"/>
  <c r="H51" i="11"/>
  <c r="I51" i="11"/>
  <c r="J51" i="11"/>
  <c r="K51" i="11"/>
  <c r="L51" i="11"/>
  <c r="M51" i="11"/>
  <c r="N51" i="11"/>
  <c r="O51" i="11"/>
  <c r="B243" i="11"/>
  <c r="E243" i="11"/>
  <c r="F243" i="11"/>
  <c r="G243" i="11"/>
  <c r="H243" i="11"/>
  <c r="I243" i="11"/>
  <c r="J243" i="11"/>
  <c r="K243" i="11"/>
  <c r="L243" i="11"/>
  <c r="M243" i="11"/>
  <c r="N243" i="11"/>
  <c r="O243" i="11"/>
  <c r="B52" i="11"/>
  <c r="E52" i="11"/>
  <c r="F52" i="11"/>
  <c r="G52" i="11"/>
  <c r="H52" i="11"/>
  <c r="I52" i="11"/>
  <c r="J52" i="11"/>
  <c r="K52" i="11"/>
  <c r="L52" i="11"/>
  <c r="M52" i="11"/>
  <c r="N52" i="11"/>
  <c r="O52" i="11"/>
  <c r="B244" i="11"/>
  <c r="E244" i="11"/>
  <c r="F244" i="11"/>
  <c r="G244" i="11"/>
  <c r="H244" i="11"/>
  <c r="I244" i="11"/>
  <c r="J244" i="11"/>
  <c r="K244" i="11"/>
  <c r="L244" i="11"/>
  <c r="M244" i="11"/>
  <c r="N244" i="11"/>
  <c r="O244" i="11"/>
  <c r="B65" i="11"/>
  <c r="E65" i="11"/>
  <c r="F65" i="11"/>
  <c r="G65" i="11"/>
  <c r="H65" i="11"/>
  <c r="I65" i="11"/>
  <c r="J65" i="11"/>
  <c r="K65" i="11"/>
  <c r="L65" i="11"/>
  <c r="M65" i="11"/>
  <c r="N65" i="11"/>
  <c r="O65" i="11"/>
  <c r="B109" i="11"/>
  <c r="E109" i="11"/>
  <c r="F109" i="11"/>
  <c r="G109" i="11"/>
  <c r="H109" i="11"/>
  <c r="I109" i="11"/>
  <c r="J109" i="11"/>
  <c r="K109" i="11"/>
  <c r="L109" i="11"/>
  <c r="M109" i="11"/>
  <c r="N109" i="11"/>
  <c r="O109" i="11"/>
  <c r="B121" i="11"/>
  <c r="E121" i="11"/>
  <c r="F121" i="11"/>
  <c r="G121" i="11"/>
  <c r="H121" i="11"/>
  <c r="I121" i="11"/>
  <c r="J121" i="11"/>
  <c r="K121" i="11"/>
  <c r="L121" i="11"/>
  <c r="M121" i="11"/>
  <c r="N121" i="11"/>
  <c r="O121" i="11"/>
  <c r="B213" i="11"/>
  <c r="E213" i="11"/>
  <c r="F213" i="11"/>
  <c r="G213" i="11"/>
  <c r="H213" i="11"/>
  <c r="I213" i="11"/>
  <c r="J213" i="11"/>
  <c r="K213" i="11"/>
  <c r="L213" i="11"/>
  <c r="M213" i="11"/>
  <c r="N213" i="11"/>
  <c r="O213" i="11"/>
  <c r="B282" i="11"/>
  <c r="E282" i="11"/>
  <c r="F282" i="11"/>
  <c r="G282" i="11"/>
  <c r="H282" i="11"/>
  <c r="I282" i="11"/>
  <c r="J282" i="11"/>
  <c r="K282" i="11"/>
  <c r="L282" i="11"/>
  <c r="M282" i="11"/>
  <c r="N282" i="11"/>
  <c r="O282" i="11"/>
  <c r="B127" i="11"/>
  <c r="E127" i="11"/>
  <c r="F127" i="11"/>
  <c r="G127" i="11"/>
  <c r="H127" i="11"/>
  <c r="I127" i="11"/>
  <c r="J127" i="11"/>
  <c r="K127" i="11"/>
  <c r="L127" i="11"/>
  <c r="M127" i="11"/>
  <c r="N127" i="11"/>
  <c r="O127" i="11"/>
  <c r="B190" i="11"/>
  <c r="E190" i="11"/>
  <c r="F190" i="11"/>
  <c r="G190" i="11"/>
  <c r="H190" i="11"/>
  <c r="I190" i="11"/>
  <c r="J190" i="11"/>
  <c r="K190" i="11"/>
  <c r="L190" i="11"/>
  <c r="M190" i="11"/>
  <c r="N190" i="11"/>
  <c r="O190" i="11"/>
  <c r="B172" i="11"/>
  <c r="E172" i="11"/>
  <c r="F172" i="11"/>
  <c r="G172" i="11"/>
  <c r="H172" i="11"/>
  <c r="I172" i="11"/>
  <c r="J172" i="11"/>
  <c r="K172" i="11"/>
  <c r="L172" i="11"/>
  <c r="M172" i="11"/>
  <c r="N172" i="11"/>
  <c r="O172" i="11"/>
  <c r="B177" i="11"/>
  <c r="E177" i="11"/>
  <c r="F177" i="11"/>
  <c r="G177" i="11"/>
  <c r="H177" i="11"/>
  <c r="I177" i="11"/>
  <c r="J177" i="11"/>
  <c r="K177" i="11"/>
  <c r="L177" i="11"/>
  <c r="M177" i="11"/>
  <c r="N177" i="11"/>
  <c r="O177" i="11"/>
  <c r="B284" i="11"/>
  <c r="E284" i="11"/>
  <c r="F284" i="11"/>
  <c r="G284" i="11"/>
  <c r="H284" i="11"/>
  <c r="I284" i="11"/>
  <c r="J284" i="11"/>
  <c r="K284" i="11"/>
  <c r="L284" i="11"/>
  <c r="M284" i="11"/>
  <c r="N284" i="11"/>
  <c r="O284" i="11"/>
  <c r="B101" i="11"/>
  <c r="E101" i="11"/>
  <c r="F101" i="11"/>
  <c r="G101" i="11"/>
  <c r="H101" i="11"/>
  <c r="I101" i="11"/>
  <c r="J101" i="11"/>
  <c r="K101" i="11"/>
  <c r="L101" i="11"/>
  <c r="M101" i="11"/>
  <c r="N101" i="11"/>
  <c r="O101" i="11"/>
  <c r="B33" i="11"/>
  <c r="E33" i="11"/>
  <c r="F33" i="11"/>
  <c r="G33" i="11"/>
  <c r="H33" i="11"/>
  <c r="I33" i="11"/>
  <c r="J33" i="11"/>
  <c r="K33" i="11"/>
  <c r="L33" i="11"/>
  <c r="M33" i="11"/>
  <c r="N33" i="11"/>
  <c r="O33" i="11"/>
  <c r="B103" i="11"/>
  <c r="E103" i="11"/>
  <c r="F103" i="11"/>
  <c r="G103" i="11"/>
  <c r="H103" i="11"/>
  <c r="I103" i="11"/>
  <c r="J103" i="11"/>
  <c r="K103" i="11"/>
  <c r="L103" i="11"/>
  <c r="M103" i="11"/>
  <c r="N103" i="11"/>
  <c r="O103" i="11"/>
  <c r="B226" i="11"/>
  <c r="E226" i="11"/>
  <c r="F226" i="11"/>
  <c r="G226" i="11"/>
  <c r="H226" i="11"/>
  <c r="I226" i="11"/>
  <c r="J226" i="11"/>
  <c r="K226" i="11"/>
  <c r="L226" i="11"/>
  <c r="M226" i="11"/>
  <c r="N226" i="11"/>
  <c r="O226" i="11"/>
  <c r="B227" i="11"/>
  <c r="E227" i="11"/>
  <c r="F227" i="11"/>
  <c r="G227" i="11"/>
  <c r="H227" i="11"/>
  <c r="I227" i="11"/>
  <c r="J227" i="11"/>
  <c r="K227" i="11"/>
  <c r="L227" i="11"/>
  <c r="M227" i="11"/>
  <c r="N227" i="11"/>
  <c r="O227" i="11"/>
  <c r="B187" i="11"/>
  <c r="E187" i="11"/>
  <c r="F187" i="11"/>
  <c r="G187" i="11"/>
  <c r="H187" i="11"/>
  <c r="I187" i="11"/>
  <c r="J187" i="11"/>
  <c r="K187" i="11"/>
  <c r="L187" i="11"/>
  <c r="M187" i="11"/>
  <c r="N187" i="11"/>
  <c r="O187" i="11"/>
  <c r="B76" i="11"/>
  <c r="E76" i="11"/>
  <c r="F76" i="11"/>
  <c r="G76" i="11"/>
  <c r="H76" i="11"/>
  <c r="I76" i="11"/>
  <c r="J76" i="11"/>
  <c r="K76" i="11"/>
  <c r="L76" i="11"/>
  <c r="M76" i="11"/>
  <c r="N76" i="11"/>
  <c r="O76" i="11"/>
  <c r="B231" i="11"/>
  <c r="E231" i="11"/>
  <c r="F231" i="11"/>
  <c r="G231" i="11"/>
  <c r="H231" i="11"/>
  <c r="I231" i="11"/>
  <c r="J231" i="11"/>
  <c r="K231" i="11"/>
  <c r="L231" i="11"/>
  <c r="M231" i="11"/>
  <c r="N231" i="11"/>
  <c r="O231" i="11"/>
  <c r="B80" i="11"/>
  <c r="E80" i="11"/>
  <c r="F80" i="11"/>
  <c r="G80" i="11"/>
  <c r="H80" i="11"/>
  <c r="I80" i="11"/>
  <c r="J80" i="11"/>
  <c r="K80" i="11"/>
  <c r="L80" i="11"/>
  <c r="M80" i="11"/>
  <c r="N80" i="11"/>
  <c r="O80" i="11"/>
  <c r="B30" i="11"/>
  <c r="E30" i="11"/>
  <c r="F30" i="11"/>
  <c r="G30" i="11"/>
  <c r="H30" i="11"/>
  <c r="I30" i="11"/>
  <c r="J30" i="11"/>
  <c r="K30" i="11"/>
  <c r="L30" i="11"/>
  <c r="M30" i="11"/>
  <c r="N30" i="11"/>
  <c r="O30" i="11"/>
  <c r="B31" i="11"/>
  <c r="E31" i="11"/>
  <c r="F31" i="11"/>
  <c r="G31" i="11"/>
  <c r="H31" i="11"/>
  <c r="I31" i="11"/>
  <c r="J31" i="11"/>
  <c r="K31" i="11"/>
  <c r="L31" i="11"/>
  <c r="M31" i="11"/>
  <c r="N31" i="11"/>
  <c r="O31" i="11"/>
  <c r="B81" i="11"/>
  <c r="E81" i="11"/>
  <c r="F81" i="11"/>
  <c r="G81" i="11"/>
  <c r="H81" i="11"/>
  <c r="I81" i="11"/>
  <c r="J81" i="11"/>
  <c r="K81" i="11"/>
  <c r="L81" i="11"/>
  <c r="M81" i="11"/>
  <c r="N81" i="11"/>
  <c r="O81" i="11"/>
  <c r="B247" i="11"/>
  <c r="E247" i="11"/>
  <c r="F247" i="11"/>
  <c r="G247" i="11"/>
  <c r="H247" i="11"/>
  <c r="I247" i="11"/>
  <c r="J247" i="11"/>
  <c r="K247" i="11"/>
  <c r="L247" i="11"/>
  <c r="M247" i="11"/>
  <c r="N247" i="11"/>
  <c r="O247" i="11"/>
  <c r="B175" i="11"/>
  <c r="E175" i="11"/>
  <c r="F175" i="11"/>
  <c r="G175" i="11"/>
  <c r="H175" i="11"/>
  <c r="I175" i="11"/>
  <c r="J175" i="11"/>
  <c r="K175" i="11"/>
  <c r="L175" i="11"/>
  <c r="M175" i="11"/>
  <c r="N175" i="11"/>
  <c r="O175" i="11"/>
  <c r="B173" i="11"/>
  <c r="E173" i="11"/>
  <c r="F173" i="11"/>
  <c r="G173" i="11"/>
  <c r="H173" i="11"/>
  <c r="I173" i="11"/>
  <c r="J173" i="11"/>
  <c r="K173" i="11"/>
  <c r="L173" i="11"/>
  <c r="M173" i="11"/>
  <c r="N173" i="11"/>
  <c r="O173" i="11"/>
  <c r="B245" i="11"/>
  <c r="E245" i="11"/>
  <c r="F245" i="11"/>
  <c r="G245" i="11"/>
  <c r="H245" i="11"/>
  <c r="I245" i="11"/>
  <c r="J245" i="11"/>
  <c r="K245" i="11"/>
  <c r="L245" i="11"/>
  <c r="M245" i="11"/>
  <c r="N245" i="11"/>
  <c r="O245" i="11"/>
  <c r="B246" i="11"/>
  <c r="E246" i="11"/>
  <c r="F246" i="11"/>
  <c r="G246" i="11"/>
  <c r="H246" i="11"/>
  <c r="I246" i="11"/>
  <c r="J246" i="11"/>
  <c r="K246" i="11"/>
  <c r="L246" i="11"/>
  <c r="M246" i="11"/>
  <c r="N246" i="11"/>
  <c r="O246" i="11"/>
  <c r="B47" i="11"/>
  <c r="E47" i="11"/>
  <c r="F47" i="11"/>
  <c r="G47" i="11"/>
  <c r="H47" i="11"/>
  <c r="I47" i="11"/>
  <c r="J47" i="11"/>
  <c r="K47" i="11"/>
  <c r="L47" i="11"/>
  <c r="M47" i="11"/>
  <c r="N47" i="11"/>
  <c r="O47" i="11"/>
  <c r="B77" i="11"/>
  <c r="E77" i="11"/>
  <c r="F77" i="11"/>
  <c r="G77" i="11"/>
  <c r="H77" i="11"/>
  <c r="I77" i="11"/>
  <c r="J77" i="11"/>
  <c r="K77" i="11"/>
  <c r="L77" i="11"/>
  <c r="M77" i="11"/>
  <c r="N77" i="11"/>
  <c r="O77" i="11"/>
  <c r="B90" i="11"/>
  <c r="E90" i="11"/>
  <c r="F90" i="11"/>
  <c r="G90" i="11"/>
  <c r="H90" i="11"/>
  <c r="I90" i="11"/>
  <c r="J90" i="11"/>
  <c r="K90" i="11"/>
  <c r="L90" i="11"/>
  <c r="M90" i="11"/>
  <c r="N90" i="11"/>
  <c r="O90" i="11"/>
  <c r="B228" i="11"/>
  <c r="E228" i="11"/>
  <c r="F228" i="11"/>
  <c r="G228" i="11"/>
  <c r="H228" i="11"/>
  <c r="I228" i="11"/>
  <c r="J228" i="11"/>
  <c r="K228" i="11"/>
  <c r="L228" i="11"/>
  <c r="M228" i="11"/>
  <c r="N228" i="11"/>
  <c r="O228" i="11"/>
  <c r="B25" i="11"/>
  <c r="E25" i="11"/>
  <c r="F25" i="11"/>
  <c r="G25" i="11"/>
  <c r="H25" i="11"/>
  <c r="I25" i="11"/>
  <c r="J25" i="11"/>
  <c r="K25" i="11"/>
  <c r="L25" i="11"/>
  <c r="M25" i="11"/>
  <c r="N25" i="11"/>
  <c r="O25" i="11"/>
  <c r="B27" i="11"/>
  <c r="E27" i="11"/>
  <c r="F27" i="11"/>
  <c r="G27" i="11"/>
  <c r="H27" i="11"/>
  <c r="I27" i="11"/>
  <c r="J27" i="11"/>
  <c r="K27" i="11"/>
  <c r="L27" i="11"/>
  <c r="M27" i="11"/>
  <c r="N27" i="11"/>
  <c r="O27" i="11"/>
  <c r="B216" i="11"/>
  <c r="E216" i="11"/>
  <c r="F216" i="11"/>
  <c r="G216" i="11"/>
  <c r="H216" i="11"/>
  <c r="I216" i="11"/>
  <c r="J216" i="11"/>
  <c r="K216" i="11"/>
  <c r="L216" i="11"/>
  <c r="M216" i="11"/>
  <c r="N216" i="11"/>
  <c r="O216" i="11"/>
  <c r="B222" i="11"/>
  <c r="E222" i="11"/>
  <c r="F222" i="11"/>
  <c r="G222" i="11"/>
  <c r="H222" i="11"/>
  <c r="I222" i="11"/>
  <c r="J222" i="11"/>
  <c r="K222" i="11"/>
  <c r="L222" i="11"/>
  <c r="M222" i="11"/>
  <c r="N222" i="11"/>
  <c r="O222" i="11"/>
  <c r="B260" i="11"/>
  <c r="E260" i="11"/>
  <c r="F260" i="11"/>
  <c r="G260" i="11"/>
  <c r="H260" i="11"/>
  <c r="I260" i="11"/>
  <c r="J260" i="11"/>
  <c r="K260" i="11"/>
  <c r="L260" i="11"/>
  <c r="M260" i="11"/>
  <c r="N260" i="11"/>
  <c r="O260" i="11"/>
  <c r="B179" i="11"/>
  <c r="E179" i="11"/>
  <c r="F179" i="11"/>
  <c r="G179" i="11"/>
  <c r="H179" i="11"/>
  <c r="I179" i="11"/>
  <c r="J179" i="11"/>
  <c r="K179" i="11"/>
  <c r="L179" i="11"/>
  <c r="M179" i="11"/>
  <c r="N179" i="11"/>
  <c r="O179" i="11"/>
  <c r="B117" i="11"/>
  <c r="E117" i="11"/>
  <c r="F117" i="11"/>
  <c r="G117" i="11"/>
  <c r="H117" i="11"/>
  <c r="I117" i="11"/>
  <c r="J117" i="11"/>
  <c r="K117" i="11"/>
  <c r="L117" i="11"/>
  <c r="M117" i="11"/>
  <c r="N117" i="11"/>
  <c r="O117" i="11"/>
  <c r="B118" i="11"/>
  <c r="E118" i="11"/>
  <c r="F118" i="11"/>
  <c r="G118" i="11"/>
  <c r="H118" i="11"/>
  <c r="I118" i="11"/>
  <c r="J118" i="11"/>
  <c r="K118" i="11"/>
  <c r="L118" i="11"/>
  <c r="M118" i="11"/>
  <c r="N118" i="11"/>
  <c r="O118" i="11"/>
  <c r="B119" i="11"/>
  <c r="E119" i="11"/>
  <c r="F119" i="11"/>
  <c r="G119" i="11"/>
  <c r="H119" i="11"/>
  <c r="I119" i="11"/>
  <c r="J119" i="11"/>
  <c r="K119" i="11"/>
  <c r="L119" i="11"/>
  <c r="M119" i="11"/>
  <c r="N119" i="11"/>
  <c r="O119" i="11"/>
  <c r="H3" i="14" l="1"/>
  <c r="R3" i="14"/>
  <c r="AH3" i="14"/>
  <c r="AG3" i="14"/>
  <c r="U3" i="14"/>
  <c r="AQ3" i="14"/>
  <c r="BK3" i="14"/>
  <c r="AR3" i="14"/>
  <c r="AB3" i="14"/>
  <c r="AG3" i="15"/>
  <c r="AI3" i="15"/>
  <c r="AJ3" i="15"/>
  <c r="Z3" i="15"/>
  <c r="AH3" i="15"/>
  <c r="AA3" i="15"/>
  <c r="AB3" i="15"/>
  <c r="AQ3" i="11"/>
  <c r="C3" i="11"/>
  <c r="AW3" i="11"/>
  <c r="AS3" i="11"/>
  <c r="AP3" i="11"/>
  <c r="AU3" i="11"/>
  <c r="AM3" i="11"/>
  <c r="AT3" i="11"/>
  <c r="AV3" i="11"/>
  <c r="AR3" i="11"/>
  <c r="AN3" i="11"/>
  <c r="AO3" i="11"/>
  <c r="AT141" i="2"/>
  <c r="C8" i="8" l="1"/>
  <c r="C9" i="8"/>
</calcChain>
</file>

<file path=xl/connections.xml><?xml version="1.0" encoding="utf-8"?>
<connections xmlns="http://schemas.openxmlformats.org/spreadsheetml/2006/main">
  <connection id="1" odcFile="C:\Users\dahobbs\AppData\Local\Microsoft\Windows\INetCache\IE\3D56AQ7O\owssvr.iqy" keepAlive="1" name="SP_ACQ_DocType" description="View &quot;All Items&quot;" type="5" refreshedVersion="5" minRefreshableVersion="3" background="1" refreshOnLoad="1" saveData="1">
    <dbPr connection="Provider=Microsoft.Office.List.OLEDB.2.0;Data Source=&quot;&quot;;ApplicationName=Excel;Version=12.0.0.0" command="&lt;LIST&gt;&lt;VIEWGUID&gt;{725856E5-1CE2-46A9-92E6-00C89F56A02B}&lt;/VIEWGUID&gt;&lt;LISTNAME&gt;{63321C10-501F-4540-B358-2EF54DD7142E}&lt;/LISTNAME&gt;&lt;LISTWEB&gt;https://share.hdrinc.com/sites/CoW_FRLP/_vti_bin&lt;/LISTWEB&gt;&lt;LISTSUBWEB&gt;&lt;/LISTSUBWEB&gt;&lt;ROOTFOLDER&gt;/sites/CoW_FRLP/Lists/ACQDocTypeCat&lt;/ROOTFOLDER&gt;&lt;/LIST&gt;" commandType="5"/>
  </connection>
  <connection id="2" odcFile="C:\Users\jemann\AppData\Local\Microsoft\Windows\INetCache\IE\QJ43FCDN\owssvr.iqy" keepAlive="1" name="SP_ACQ_Lib" description="View &quot;QC Docs in Excel&quot;" type="5" refreshedVersion="5" minRefreshableVersion="3" background="1" refreshOnLoad="1" saveData="1">
    <dbPr connection="Provider=Microsoft.Office.List.OLEDB.2.0;Data Source=&quot;&quot;;ApplicationName=Excel;Version=12.0.0.0" command="&lt;LIST&gt;&lt;VIEWGUID&gt;{9D589B40-8AAC-429F-A3DA-34B99288C1B2}&lt;/VIEWGUID&gt;&lt;LISTNAME&gt;{D9875282-A371-4824-9948-E6F08171A2E1}&lt;/LISTNAME&gt;&lt;LISTWEB&gt;https://share.hdrinc.com/sites/CoW_FRLP/_vti_bin&lt;/LISTWEB&gt;&lt;LISTSUBWEB&gt;&lt;/LISTSUBWEB&gt;&lt;ROOTFOLDER&gt;/sites/CoW_FRLP/ACQUISITION&lt;/ROOTFOLDER&gt;&lt;/LIST&gt;" commandType="5"/>
  </connection>
  <connection id="3" odcFile="C:\Users\jemann\AppData\Local\Microsoft\Windows\INetCache\IE\89AUKGDG\owssvr.iqy" keepAlive="1" name="SP_AcqTract_DB" description="View &quot;QC Acq Tracts in Excel&quot;" type="5" refreshedVersion="5" minRefreshableVersion="3" background="1" refreshOnLoad="1" saveData="1">
    <dbPr connection="Provider=Microsoft.Office.List.OLEDB.2.0;Data Source=&quot;&quot;;ApplicationName=Excel;Version=12.0.0.0" command="&lt;LIST&gt;&lt;VIEWGUID&gt;{1412571A-1FCF-4E90-A7D4-7EC55810F17E}&lt;/VIEWGUID&gt;&lt;LISTNAME&gt;{46D8BAC1-9530-42DD-AE81-78A90ABD7F7E}&lt;/LISTNAME&gt;&lt;LISTWEB&gt;https://share.hdrinc.com/sites/CoW_FRLP/_vti_bin&lt;/LISTWEB&gt;&lt;LISTSUBWEB&gt;&lt;/LISTSUBWEB&gt;&lt;ROOTFOLDER&gt;/sites/CoW_FRLP/Lists/AcqParDB&lt;/ROOTFOLDER&gt;&lt;/LIST&gt;" commandType="5"/>
  </connection>
  <connection id="4" odcFile="C:\Users\jemann\AppData\Local\Microsoft\Windows\INetCache\IE\47SN2MW7\owssvr.iqy" keepAlive="1" name="SP_Contacts_DB" description="View &quot;QC Contact in Excel&quot;" type="5" refreshedVersion="5" minRefreshableVersion="3" background="1" refreshOnLoad="1" saveData="1">
    <dbPr connection="Provider=Microsoft.Office.List.OLEDB.2.0;Data Source=&quot;&quot;;ApplicationName=Excel;Version=12.0.0.0" command="&lt;LIST&gt;&lt;VIEWGUID&gt;{909AA8EA-FB48-4A17-B478-462F9AC1762A}&lt;/VIEWGUID&gt;&lt;LISTNAME&gt;{88AB62A3-28C5-447C-8F5D-9CBCA746617C}&lt;/LISTNAME&gt;&lt;LISTWEB&gt;https://share.hdrinc.com/sites/CoW_FRLP/_vti_bin&lt;/LISTWEB&gt;&lt;LISTSUBWEB&gt;&lt;/LISTSUBWEB&gt;&lt;ROOTFOLDER&gt;/sites/CoW_FRLP/Lists/AcquisitionContacts&lt;/ROOTFOLDER&gt;&lt;/LIST&gt;" commandType="5"/>
  </connection>
  <connection id="5" odcFile="C:\Users\jemann\AppData\Local\Microsoft\Windows\INetCache\IE\47SN2MW7\owssvr.iqy" keepAlive="1" name="SP_ENV_Lib" description="View &quot;QC Docs in Excel&quot;" type="5" refreshedVersion="5" minRefreshableVersion="3" background="1" refreshOnLoad="1" saveData="1">
    <dbPr connection="Provider=Microsoft.Office.List.OLEDB.2.0;Data Source=&quot;&quot;;ApplicationName=Excel;Version=12.0.0.0" command="&lt;LIST&gt;&lt;VIEWGUID&gt;{4154F0F7-939A-4BA9-8E46-C538DD66A411}&lt;/VIEWGUID&gt;&lt;LISTNAME&gt;{E2739E8C-FCDA-440B-8D44-9A6A4004594C}&lt;/LISTNAME&gt;&lt;LISTWEB&gt;https://share.hdrinc.com/sites/CoW_FRLP/_vti_bin&lt;/LISTWEB&gt;&lt;LISTSUBWEB&gt;&lt;/LISTSUBWEB&gt;&lt;ROOTFOLDER&gt;/sites/CoW_FRLP/ENVIRONMENTAL&lt;/ROOTFOLDER&gt;&lt;/LIST&gt;" commandType="5"/>
  </connection>
  <connection id="6" odcFile="C:\Users\dahobbs\AppData\Local\Microsoft\Windows\INetCache\IE\AOGJHVPP\owssvr.iqy" keepAlive="1" name="SP_EnvTract_DB" description="View &quot;QC Env Tracts in Excel&quot;" type="5" refreshedVersion="5" minRefreshableVersion="3" background="1" refreshOnLoad="1" saveData="1">
    <dbPr connection="Provider=Microsoft.Office.List.OLEDB.2.0;Data Source=&quot;&quot;;ApplicationName=Excel;Version=12.0.0.0" command="&lt;LIST&gt;&lt;VIEWGUID&gt;{2CDB1F7E-3F29-4EC6-8B90-5B2F4E5E3619}&lt;/VIEWGUID&gt;&lt;LISTNAME&gt;{24755FCA-7F1B-462E-A4A8-F0435879BD9C}&lt;/LISTNAME&gt;&lt;LISTWEB&gt;https://share.hdrinc.com/sites/CoW_FRLP/_vti_bin&lt;/LISTWEB&gt;&lt;LISTSUBWEB&gt;&lt;/LISTSUBWEB&gt;&lt;ROOTFOLDER&gt;/sites/CoW_FRLP/Lists/ENV_TractDB&lt;/ROOTFOLDER&gt;&lt;/LIST&gt;" commandType="5"/>
  </connection>
  <connection id="7" odcFile="C:\Users\jemann\AppData\Local\Microsoft\Windows\INetCache\IE\47SN2MW7\owssvr.iqy" keepAlive="1" name="SP_TaxPar_DB" description="View &quot;QC Tax Parcels in Excel&quot;" type="5" refreshedVersion="5" minRefreshableVersion="3" background="1" refreshOnLoad="1" saveData="1">
    <dbPr connection="Provider=Microsoft.Office.List.OLEDB.2.0;Data Source=&quot;&quot;;ApplicationName=Excel;Version=12.0.0.0" command="&lt;LIST&gt;&lt;VIEWGUID&gt;{80DE069E-84B4-487C-BB5B-43C1899CA6E0}&lt;/VIEWGUID&gt;&lt;LISTNAME&gt;{1BED4E12-B8AF-4AF0-AC6E-60674D5EEF7E}&lt;/LISTNAME&gt;&lt;LISTWEB&gt;https://share.hdrinc.com/sites/CoW_FRLP/_vti_bin&lt;/LISTWEB&gt;&lt;LISTSUBWEB&gt;&lt;/LISTSUBWEB&gt;&lt;ROOTFOLDER&gt;/sites/CoW_FRLP/Lists/WCAD_TAX_PARCEL_DATA&lt;/ROOTFOLDER&gt;&lt;/LIST&gt;" commandType="5"/>
  </connection>
</connections>
</file>

<file path=xl/sharedStrings.xml><?xml version="1.0" encoding="utf-8"?>
<sst xmlns="http://schemas.openxmlformats.org/spreadsheetml/2006/main" count="26986" uniqueCount="6736">
  <si>
    <t>Acquisition Comments</t>
  </si>
  <si>
    <t>Property Owner Vested Name</t>
  </si>
  <si>
    <t>Owner Mailing Address</t>
  </si>
  <si>
    <t>Owner City</t>
  </si>
  <si>
    <t>Owner State</t>
  </si>
  <si>
    <t>Owner Zip</t>
  </si>
  <si>
    <t>Tax Parcel ID</t>
  </si>
  <si>
    <t>Use</t>
  </si>
  <si>
    <t>Improv</t>
  </si>
  <si>
    <t>ROW Agent</t>
  </si>
  <si>
    <t>Title Co.</t>
  </si>
  <si>
    <t>Title GF No.</t>
  </si>
  <si>
    <t>Appraisal Requested</t>
  </si>
  <si>
    <t>Appraiser</t>
  </si>
  <si>
    <t>Reviewer</t>
  </si>
  <si>
    <t>Survey SqFt</t>
  </si>
  <si>
    <t>Survey Acres</t>
  </si>
  <si>
    <t>Created By</t>
  </si>
  <si>
    <t>Modified By</t>
  </si>
  <si>
    <t>Modified</t>
  </si>
  <si>
    <t>Created</t>
  </si>
  <si>
    <t>Path</t>
  </si>
  <si>
    <t/>
  </si>
  <si>
    <t>Mann, Jeff</t>
  </si>
  <si>
    <t>100</t>
  </si>
  <si>
    <t>Houston</t>
  </si>
  <si>
    <t>TX</t>
  </si>
  <si>
    <t>Yes</t>
  </si>
  <si>
    <t>200</t>
  </si>
  <si>
    <t>R</t>
  </si>
  <si>
    <t>201</t>
  </si>
  <si>
    <t>202</t>
  </si>
  <si>
    <t>203</t>
  </si>
  <si>
    <t>205</t>
  </si>
  <si>
    <t>207</t>
  </si>
  <si>
    <t>208</t>
  </si>
  <si>
    <t>209</t>
  </si>
  <si>
    <t>210</t>
  </si>
  <si>
    <t>211</t>
  </si>
  <si>
    <t>212</t>
  </si>
  <si>
    <t>213</t>
  </si>
  <si>
    <t>214</t>
  </si>
  <si>
    <t>215</t>
  </si>
  <si>
    <t>216</t>
  </si>
  <si>
    <t>300</t>
  </si>
  <si>
    <t>301</t>
  </si>
  <si>
    <t>302</t>
  </si>
  <si>
    <t>303</t>
  </si>
  <si>
    <t>304</t>
  </si>
  <si>
    <t>305</t>
  </si>
  <si>
    <t>307</t>
  </si>
  <si>
    <t>308</t>
  </si>
  <si>
    <t>309</t>
  </si>
  <si>
    <t>310</t>
  </si>
  <si>
    <t>311</t>
  </si>
  <si>
    <t>312</t>
  </si>
  <si>
    <t>313</t>
  </si>
  <si>
    <t>314</t>
  </si>
  <si>
    <t>315</t>
  </si>
  <si>
    <t>316</t>
  </si>
  <si>
    <t>317</t>
  </si>
  <si>
    <t>319</t>
  </si>
  <si>
    <t>320</t>
  </si>
  <si>
    <t>321</t>
  </si>
  <si>
    <t>Stafford</t>
  </si>
  <si>
    <t>77477</t>
  </si>
  <si>
    <t>PO Box 1475</t>
  </si>
  <si>
    <t> </t>
  </si>
  <si>
    <t>Acquisition Status</t>
  </si>
  <si>
    <t>Acquisition Interest</t>
  </si>
  <si>
    <t>Phase</t>
  </si>
  <si>
    <t>Owner Company Name</t>
  </si>
  <si>
    <t>Tax Owner Name</t>
  </si>
  <si>
    <t>1</t>
  </si>
  <si>
    <t>Lloyd G Rust Jr Family Limited Partnership, and TM Rust Family, LLC</t>
  </si>
  <si>
    <t>Rust Lloyd Family Ltd Partnership &amp; TM Rust Family, LLC</t>
  </si>
  <si>
    <t>PO Box 1027</t>
  </si>
  <si>
    <t>Wharton</t>
  </si>
  <si>
    <t>77488</t>
  </si>
  <si>
    <t>FM 102</t>
  </si>
  <si>
    <t>Lily Khan</t>
  </si>
  <si>
    <t>Mid-Coast Title</t>
  </si>
  <si>
    <t>2019-0754</t>
  </si>
  <si>
    <t>Nan Ya Plastics Corp., USA</t>
  </si>
  <si>
    <t>Nan Ya Plastics Corp USA</t>
  </si>
  <si>
    <t>R061083;#3</t>
  </si>
  <si>
    <t>HWY 59</t>
  </si>
  <si>
    <t>2019-0820</t>
  </si>
  <si>
    <t>R015961;#4</t>
  </si>
  <si>
    <t>2019-0755</t>
  </si>
  <si>
    <t>Robert S Vineyard, and Vineyard Cattle Company, Inc.</t>
  </si>
  <si>
    <t>R031245;#5;#R031246;#6</t>
  </si>
  <si>
    <t>2019-0756</t>
  </si>
  <si>
    <t>Wharton Independent School District</t>
  </si>
  <si>
    <t>Wharton ISD</t>
  </si>
  <si>
    <t>2100 N Fulton</t>
  </si>
  <si>
    <t>Texas</t>
  </si>
  <si>
    <t>R023653;#7</t>
  </si>
  <si>
    <t>1717 Bailey</t>
  </si>
  <si>
    <t>2019-0806</t>
  </si>
  <si>
    <t>Alma Curtis Life Estate, and Sandra Curtis</t>
  </si>
  <si>
    <t>R023654;#8</t>
  </si>
  <si>
    <t>2019-0807</t>
  </si>
  <si>
    <t>Maria Evelia Duran</t>
  </si>
  <si>
    <t>1715 Camellia</t>
  </si>
  <si>
    <t>2019-0808</t>
  </si>
  <si>
    <t>Troy Q. Allen</t>
  </si>
  <si>
    <t>Troy Allen</t>
  </si>
  <si>
    <t>1500 Camellia Ave.</t>
  </si>
  <si>
    <t>2019-0809</t>
  </si>
  <si>
    <t>0 Camellia Ave</t>
  </si>
  <si>
    <t>W.A. Harrison Agriculture LTD</t>
  </si>
  <si>
    <t>0 W Milam</t>
  </si>
  <si>
    <t>2019-0757</t>
  </si>
  <si>
    <t>City of Wharton</t>
  </si>
  <si>
    <t>0 Sheppard</t>
  </si>
  <si>
    <t>Curtis Wade Evans</t>
  </si>
  <si>
    <t>436 S Sheppard</t>
  </si>
  <si>
    <t>R019378</t>
  </si>
  <si>
    <t>2019-0810</t>
  </si>
  <si>
    <t>Marchette Marks</t>
  </si>
  <si>
    <t>418 S Sheppard</t>
  </si>
  <si>
    <t>R019377</t>
  </si>
  <si>
    <t>2019-0811</t>
  </si>
  <si>
    <t>416 S Sheppard</t>
  </si>
  <si>
    <t>R019376</t>
  </si>
  <si>
    <t>2019-0812</t>
  </si>
  <si>
    <t>Wharton County Recovery Team</t>
  </si>
  <si>
    <t>PO Box 641</t>
  </si>
  <si>
    <t>R019375</t>
  </si>
  <si>
    <t>412 S Sheppard</t>
  </si>
  <si>
    <t>2019-0813</t>
  </si>
  <si>
    <t>217</t>
  </si>
  <si>
    <t>410 S Sheppard</t>
  </si>
  <si>
    <t>R061992</t>
  </si>
  <si>
    <t>2019-0814</t>
  </si>
  <si>
    <t>218</t>
  </si>
  <si>
    <t>Rodney Hearne and Barbara Hearne</t>
  </si>
  <si>
    <t>408 S Sheppard</t>
  </si>
  <si>
    <t>R062541</t>
  </si>
  <si>
    <t>2019-0758</t>
  </si>
  <si>
    <t>219</t>
  </si>
  <si>
    <t>Bobby Joe Allen and Linda Carolyn Allen</t>
  </si>
  <si>
    <t>5810 Darlinghurst</t>
  </si>
  <si>
    <t>Bobby Joe Allen</t>
  </si>
  <si>
    <t>0 Camellia Ave and 0 Columbine Ave</t>
  </si>
  <si>
    <t>2019-0818</t>
  </si>
  <si>
    <t>220</t>
  </si>
  <si>
    <t>1500 &amp; 1502 Camellia Ave</t>
  </si>
  <si>
    <t>222</t>
  </si>
  <si>
    <t>John Michael Mason</t>
  </si>
  <si>
    <t>4739 Arvilla Lane</t>
  </si>
  <si>
    <t>R053130</t>
  </si>
  <si>
    <t>2019-0815</t>
  </si>
  <si>
    <t>223</t>
  </si>
  <si>
    <t>5531 Sugar Hill</t>
  </si>
  <si>
    <t>R023694</t>
  </si>
  <si>
    <t>0 Outlar</t>
  </si>
  <si>
    <t>2019-0816</t>
  </si>
  <si>
    <t>224</t>
  </si>
  <si>
    <t>Littie Matthews, Linda Cyril, Marcella Coleman Petitt, and Larry Coleman</t>
  </si>
  <si>
    <t>Vina Mae Coleman, Deceased - Larry Coleman, Son</t>
  </si>
  <si>
    <t>R059284</t>
  </si>
  <si>
    <t>Vina Mae Coleman</t>
  </si>
  <si>
    <t>0 S Sheppard</t>
  </si>
  <si>
    <t>2019-0817</t>
  </si>
  <si>
    <t>Centerpoint Energy Houston Electric fka Houston Lighting and Power Co.</t>
  </si>
  <si>
    <t>R018556</t>
  </si>
  <si>
    <t>2019-0759</t>
  </si>
  <si>
    <t>Elias Rodriguez</t>
  </si>
  <si>
    <t>560 S Ford</t>
  </si>
  <si>
    <t>David Anthony Pascoe</t>
  </si>
  <si>
    <t>R018587</t>
  </si>
  <si>
    <t>David A Pascoe</t>
  </si>
  <si>
    <t>532 S Ford</t>
  </si>
  <si>
    <t>Leovilgildo Panes and Prospera Panes; Erlinda Panes and Primo Panes; Jocelyn Manlongat and Jose Manlongat Jr and Belino Guzman, Sr. and Fe Guzman</t>
  </si>
  <si>
    <t>12809 Tyler CT</t>
  </si>
  <si>
    <t>2019-0761</t>
  </si>
  <si>
    <t>Tracts 1 &amp; 2:  Jeffery Hayes Tracts 3 &amp; 4: Jeffery Hayes and Bessie Hayes</t>
  </si>
  <si>
    <t>501 S Ford</t>
  </si>
  <si>
    <t>2019-0760</t>
  </si>
  <si>
    <t>Latin American Council of Christian Churches, a corporation</t>
  </si>
  <si>
    <t>PO Box 885</t>
  </si>
  <si>
    <t>R022999</t>
  </si>
  <si>
    <t>Latin American Council of Christian Churches</t>
  </si>
  <si>
    <t>419 S Sunset</t>
  </si>
  <si>
    <t>2019-0832</t>
  </si>
  <si>
    <t>425 Sunset</t>
  </si>
  <si>
    <t>2019-0833</t>
  </si>
  <si>
    <t>505 Sunset</t>
  </si>
  <si>
    <t>2019-0834</t>
  </si>
  <si>
    <t>Juanita Cervantes, Ana Garza, Estanislada Morales, Consuelo Campos, Aniceta Gusman, Magdelena Guerra, Severa Arriaga, Francisco Esparza, Marcelo Esparza, and Serapio Esparza</t>
  </si>
  <si>
    <t>621 Sunset</t>
  </si>
  <si>
    <t>2019-0835</t>
  </si>
  <si>
    <t>Israel Cruz</t>
  </si>
  <si>
    <t>1213 Ebbtide Cove</t>
  </si>
  <si>
    <t>College Station</t>
  </si>
  <si>
    <t>77845</t>
  </si>
  <si>
    <t>2019-0836</t>
  </si>
  <si>
    <t>Raymond Limas</t>
  </si>
  <si>
    <t>0 Sunset</t>
  </si>
  <si>
    <t>2019-0837</t>
  </si>
  <si>
    <t>616 Sunset</t>
  </si>
  <si>
    <t>Ida Garza and Gilbert Garza, Jr.</t>
  </si>
  <si>
    <t>2019-0838</t>
  </si>
  <si>
    <t>523 Sunset</t>
  </si>
  <si>
    <t>Manuel Esparza</t>
  </si>
  <si>
    <t>R026687</t>
  </si>
  <si>
    <t>Manuel Esparza Estate</t>
  </si>
  <si>
    <t>524 Sunset</t>
  </si>
  <si>
    <t>2019-0840</t>
  </si>
  <si>
    <t>An 80% undivided interest to:  Leovilgildo Panes and Prospera Panes; Erlinda Panes and Primo Panes; and a 20% undivided interest to:  Jocelyn Manlongat and Jose Manlongat Jr and Belino Guzman, Sr. and Fe Guzman</t>
  </si>
  <si>
    <t>0 Bell, 0 Sunset, 505 Colorado</t>
  </si>
  <si>
    <t>Wendell Gwaltney</t>
  </si>
  <si>
    <t>421-B Colorado</t>
  </si>
  <si>
    <t>R026694</t>
  </si>
  <si>
    <t>501 Colorado</t>
  </si>
  <si>
    <t>2019-0841</t>
  </si>
  <si>
    <t>Gerald Wayne Segrest, Guy Walker Segrest III, Individually and as Trustee for Grayson West Segrest, and Dianne Segrest</t>
  </si>
  <si>
    <t>Dianne F Segrest</t>
  </si>
  <si>
    <t>2313 N Richmond Rd</t>
  </si>
  <si>
    <t>421 Colorado</t>
  </si>
  <si>
    <t>2019-0842</t>
  </si>
  <si>
    <t>City of  Wharton</t>
  </si>
  <si>
    <t>120 E Caney</t>
  </si>
  <si>
    <t>R026697</t>
  </si>
  <si>
    <t>417 Colorado</t>
  </si>
  <si>
    <t>421A</t>
  </si>
  <si>
    <t>Marlene Soles</t>
  </si>
  <si>
    <t>421-A Colorado</t>
  </si>
  <si>
    <t>R056955</t>
  </si>
  <si>
    <t>2019-0875</t>
  </si>
  <si>
    <t>Wendell K. Gwaltney</t>
  </si>
  <si>
    <t>R026696</t>
  </si>
  <si>
    <t>Security Clearance will be issued - 08/19 Surveyors have received approval to enter</t>
  </si>
  <si>
    <t>Please see Non-Exclusive Limited Survey Permission Form dtd May 28,2019</t>
  </si>
  <si>
    <t>Ms. Soles asks that we speak to her son Phillip Horton on her behalf.  His cell number is 713-301-2699. </t>
  </si>
  <si>
    <t>Tax Owner Address</t>
  </si>
  <si>
    <t>Tax Owner City</t>
  </si>
  <si>
    <t>Tax Owner State</t>
  </si>
  <si>
    <t>Tax Owner Zip</t>
  </si>
  <si>
    <t>Comments</t>
  </si>
  <si>
    <t>R013043</t>
  </si>
  <si>
    <t>Isreal Cruz</t>
  </si>
  <si>
    <t>1213 Ebbtide CV</t>
  </si>
  <si>
    <t>509 Bell</t>
  </si>
  <si>
    <t>Cotman Lot 8, 9 &amp; Cotman 2nd Lot 8 Lot 8, 9 &amp; 2nd Lot 8</t>
  </si>
  <si>
    <t>R013044</t>
  </si>
  <si>
    <t>Colorado Springs</t>
  </si>
  <si>
    <t>CO</t>
  </si>
  <si>
    <t>Cotman 2nd Lot 1, 2</t>
  </si>
  <si>
    <t>Residential</t>
  </si>
  <si>
    <t>635 / 313</t>
  </si>
  <si>
    <t>R013045</t>
  </si>
  <si>
    <t>Gilbert Garza, Jr, et ux Ida</t>
  </si>
  <si>
    <t>212 Stavena Road</t>
  </si>
  <si>
    <t>Cotman 2nd Lot 3</t>
  </si>
  <si>
    <t>Res -Vacant</t>
  </si>
  <si>
    <t>763 / 275</t>
  </si>
  <si>
    <t>R013046</t>
  </si>
  <si>
    <t>Cotman 2nd Lot 4</t>
  </si>
  <si>
    <t>763 / 278</t>
  </si>
  <si>
    <t>R013047</t>
  </si>
  <si>
    <t>616 S Sunset</t>
  </si>
  <si>
    <t>Cotman 2nd Lot 5</t>
  </si>
  <si>
    <t>818 / 245</t>
  </si>
  <si>
    <t>R013048</t>
  </si>
  <si>
    <t>206 E Wayside</t>
  </si>
  <si>
    <t>Cotman 2nd Lot 6, 7</t>
  </si>
  <si>
    <t>Estella Gomez on tax card</t>
  </si>
  <si>
    <t>R013049</t>
  </si>
  <si>
    <t>Raymond Limas, et ux Cindy</t>
  </si>
  <si>
    <t>Cotman 2nd Lot 9</t>
  </si>
  <si>
    <t>492 / 379</t>
  </si>
  <si>
    <t>R013050</t>
  </si>
  <si>
    <t>Cotman 2nd Lot 10, 11</t>
  </si>
  <si>
    <t>Mobil Home 16 X 76</t>
  </si>
  <si>
    <t>R015961</t>
  </si>
  <si>
    <t>J-M Manufacturing Co Property Tax Department</t>
  </si>
  <si>
    <t>5200 W Century Blvd 10th Floor</t>
  </si>
  <si>
    <t>Los Angeles</t>
  </si>
  <si>
    <t>CA</t>
  </si>
  <si>
    <t>90045</t>
  </si>
  <si>
    <t>John Harris Lot 64D-1</t>
  </si>
  <si>
    <t>Commercial - Vacant</t>
  </si>
  <si>
    <t>R018520</t>
  </si>
  <si>
    <t>Wharton City</t>
  </si>
  <si>
    <t>Wm Kincheloe Block 63 LT 154A, 154E, 155, 156B, 156C, 160, 161, 162 Cline Blk 5 Lot 1 Thru 20 Little Mexico, BLK 161 Lot 10</t>
  </si>
  <si>
    <t>Centerpoint Energy Houston Electric c/o PropertyTax Dept</t>
  </si>
  <si>
    <t>77251-1475</t>
  </si>
  <si>
    <t>Wm Kincheloe Block 63 Lot 173A-1</t>
  </si>
  <si>
    <t>Commercial</t>
  </si>
  <si>
    <t>R018586</t>
  </si>
  <si>
    <t>Elias Rodriguez, Deceased - wife Julia R Rodriguez</t>
  </si>
  <si>
    <t>408 S. Ford Street</t>
  </si>
  <si>
    <t>Wm Kincheloe Block 63 Lot 196</t>
  </si>
  <si>
    <t>310 Paulus</t>
  </si>
  <si>
    <t>Schulenburg</t>
  </si>
  <si>
    <t>78956</t>
  </si>
  <si>
    <t>Wm Kincheloe Block 63 Lot 197</t>
  </si>
  <si>
    <t>648 / 487</t>
  </si>
  <si>
    <t>R018588</t>
  </si>
  <si>
    <t>Leovigildo Panes, et ux Prospera and Primo Panis,et ux Erlinda</t>
  </si>
  <si>
    <t>12809 Tyler Ct</t>
  </si>
  <si>
    <t>Wm Kincheloe Block 63 Lot 199</t>
  </si>
  <si>
    <t>Ag Land</t>
  </si>
  <si>
    <t>678 / 392</t>
  </si>
  <si>
    <t>R018589</t>
  </si>
  <si>
    <t>Wm Kincheloe Block 63 Lot 201, 202</t>
  </si>
  <si>
    <t>R018590</t>
  </si>
  <si>
    <t>Jeffery Hayes</t>
  </si>
  <si>
    <t>404 Ford St</t>
  </si>
  <si>
    <t>521 S Ford</t>
  </si>
  <si>
    <t>Wm Kincheloe Block 63 Lot 203</t>
  </si>
  <si>
    <t>987 / 328</t>
  </si>
  <si>
    <t>R018591</t>
  </si>
  <si>
    <t>Wm Kincheloe Block 63 Lot 204</t>
  </si>
  <si>
    <t>Different property types</t>
  </si>
  <si>
    <t>R018592</t>
  </si>
  <si>
    <t>Jeffery Hayes et ux Bessie</t>
  </si>
  <si>
    <t>503 S Ford</t>
  </si>
  <si>
    <t>Wm Kincheloe Block 63 Lot 205</t>
  </si>
  <si>
    <t>228 / 382</t>
  </si>
  <si>
    <t>Little mexico Lot 4</t>
  </si>
  <si>
    <t>1135 / 416</t>
  </si>
  <si>
    <t>1981 Fleetwood 14 X 56</t>
  </si>
  <si>
    <t>Brenda R Chavana</t>
  </si>
  <si>
    <t>Little Mexico Lot 5</t>
  </si>
  <si>
    <t>Little Mexico Lot 6</t>
  </si>
  <si>
    <t>Little Mexico Lot 8, 9</t>
  </si>
  <si>
    <t>791 / 113</t>
  </si>
  <si>
    <t>Rosemont Odd Block Odd Lot 1A, 1C, 2A, 3, 4</t>
  </si>
  <si>
    <t>Hold off on Surveying the small portion of the church property as per EN 08/15/2019</t>
  </si>
  <si>
    <t>R023000</t>
  </si>
  <si>
    <t>Eloisa Garza, et al</t>
  </si>
  <si>
    <t>PO Box 1205</t>
  </si>
  <si>
    <t>Rosemont Odd Block Odd Lot 1B-1, 2B</t>
  </si>
  <si>
    <t>Mobil Home</t>
  </si>
  <si>
    <t>R023001</t>
  </si>
  <si>
    <t>Molly Garza Life Estate</t>
  </si>
  <si>
    <t>505 S Sunset</t>
  </si>
  <si>
    <t>Rosemont Odd Block Odd Lot 1B-2, 2C</t>
  </si>
  <si>
    <t>475 / 883/885</t>
  </si>
  <si>
    <t>R023003</t>
  </si>
  <si>
    <t>R023653</t>
  </si>
  <si>
    <t>Smith Garden Spot Blk 1 LT 1, 2, 3, 4 - BLK 4 LT 1, PT 2 ABS 34TR 62, 62A</t>
  </si>
  <si>
    <t>Exempt</t>
  </si>
  <si>
    <t>R023654</t>
  </si>
  <si>
    <t>Alma Curtis Life Estate</t>
  </si>
  <si>
    <t>1816 Azalea Dr</t>
  </si>
  <si>
    <t>Smith Garden Spot Block 1 Lot 5</t>
  </si>
  <si>
    <t>10 / 225</t>
  </si>
  <si>
    <t>R023684</t>
  </si>
  <si>
    <t>77085</t>
  </si>
  <si>
    <t>Smith Garden Spot Block 3 Lot 1, 2</t>
  </si>
  <si>
    <t>Mobile Home</t>
  </si>
  <si>
    <t>77056</t>
  </si>
  <si>
    <t>Smith Garden Spot Block 3 Lot 12, 13</t>
  </si>
  <si>
    <t>862 / 863</t>
  </si>
  <si>
    <t>R023696</t>
  </si>
  <si>
    <t>1500 Camellia Ave</t>
  </si>
  <si>
    <t>1502 Camellia Ave</t>
  </si>
  <si>
    <t>Smith Garden Spot Block 3 Lot 16, 17, 18, 19, 20, 21A</t>
  </si>
  <si>
    <t>247 / 170</t>
  </si>
  <si>
    <t>R023700</t>
  </si>
  <si>
    <t>Bobby Joe Allen &amp; WF</t>
  </si>
  <si>
    <t>Camellia Ave</t>
  </si>
  <si>
    <t>Smith Garden Spot Block 3 Lot 21, 22, 23</t>
  </si>
  <si>
    <t>R023702</t>
  </si>
  <si>
    <t>Maria E. Duran</t>
  </si>
  <si>
    <t>Smith Garden Spot Block 4 Lot 2</t>
  </si>
  <si>
    <t>651 / 935</t>
  </si>
  <si>
    <t>R023703</t>
  </si>
  <si>
    <t>1819 Camellia Ave</t>
  </si>
  <si>
    <t>Smith Garden Spot Block 4 Lot 3</t>
  </si>
  <si>
    <t>R023704</t>
  </si>
  <si>
    <t>Smith Garden Spot Block 4 Lot 4</t>
  </si>
  <si>
    <t>R023705</t>
  </si>
  <si>
    <t>1715 Camellia Ave</t>
  </si>
  <si>
    <t>Smith Garden Spot Block 4 Lot 5, 6</t>
  </si>
  <si>
    <t>R023706</t>
  </si>
  <si>
    <t>1713 Camellia Ave</t>
  </si>
  <si>
    <t>Smith Garden Spot Block 4 Lot 7</t>
  </si>
  <si>
    <t>Storage Building</t>
  </si>
  <si>
    <t>R023707</t>
  </si>
  <si>
    <t>Smith Garden Spot Block 4 Lot 8</t>
  </si>
  <si>
    <t>R023708</t>
  </si>
  <si>
    <t>1617 Camellia Ave</t>
  </si>
  <si>
    <t>Smith Garden Spot Block 4 Lot 9</t>
  </si>
  <si>
    <t>247 / 154</t>
  </si>
  <si>
    <t>R023709</t>
  </si>
  <si>
    <t>1615 Camellia Ave</t>
  </si>
  <si>
    <t>Smith Garden Spot Block 4 Lot 10</t>
  </si>
  <si>
    <t>247 / 150</t>
  </si>
  <si>
    <t>R023710</t>
  </si>
  <si>
    <t>1607 Camellia Ave</t>
  </si>
  <si>
    <t>Smith Garden Spot Block 4 Lot 11, 12</t>
  </si>
  <si>
    <t>247 / 160</t>
  </si>
  <si>
    <t>R023711</t>
  </si>
  <si>
    <t>Smith Garden Spot Block 4 Lot 13, 14, 15</t>
  </si>
  <si>
    <t>247 / 156</t>
  </si>
  <si>
    <t>R023712</t>
  </si>
  <si>
    <t>Smith Garden Spot Block 5 Lot 1, 2, 3, 4</t>
  </si>
  <si>
    <t>247 / 152</t>
  </si>
  <si>
    <t>R026685</t>
  </si>
  <si>
    <t>Wharton Block 60 Lot 1A</t>
  </si>
  <si>
    <t>727 / 264</t>
  </si>
  <si>
    <t>80% Ownership</t>
  </si>
  <si>
    <t>Wharton Block 60 Lot 1A-2</t>
  </si>
  <si>
    <t>28810</t>
  </si>
  <si>
    <t>No actual volume and page</t>
  </si>
  <si>
    <t>R026691</t>
  </si>
  <si>
    <t>Wharton Block 60 Lot 2A</t>
  </si>
  <si>
    <t>Wharton Block 60 Lot 4</t>
  </si>
  <si>
    <t>802 / 781</t>
  </si>
  <si>
    <t>Wendell K Gwaltney</t>
  </si>
  <si>
    <t>WHARTON BLOCK 60 LOT 5C</t>
  </si>
  <si>
    <t>Residental</t>
  </si>
  <si>
    <t>V 806 / P 435</t>
  </si>
  <si>
    <t>Please call (501)513-7230 for each occurance - this is a cell number.  Text messages can be received</t>
  </si>
  <si>
    <t>Wharton Block 60 Lot 6, 7A</t>
  </si>
  <si>
    <t>R027658</t>
  </si>
  <si>
    <t>JOSE ELIO GOMEZ</t>
  </si>
  <si>
    <t>816 TIDWELL</t>
  </si>
  <si>
    <t>77022</t>
  </si>
  <si>
    <t>403 CR 241</t>
  </si>
  <si>
    <t xml:space="preserve">A20003 ABST.3 TRACT 45B Acres:35.5690 </t>
  </si>
  <si>
    <t>08/20/2019 ROE Packet mailed; 8/19/19 Received executed ROE for Mr. Gormez; 8/14/19 Per Mr. J.E. Gomez he authorized his son Jesus Gomez to be the main point of contact on this parcel.  Delivered ROE via email to Jesus Gomez.  Mr. Jose Elio verbally accep</t>
  </si>
  <si>
    <t>R027667</t>
  </si>
  <si>
    <t>SORRELLA SWITCH LLC</t>
  </si>
  <si>
    <t>3601 LAUREN DR</t>
  </si>
  <si>
    <t>McKinney</t>
  </si>
  <si>
    <t>75070</t>
  </si>
  <si>
    <t>CR 241</t>
  </si>
  <si>
    <t>A20003 ABST.3 TRACT 48 Acres:51.1700</t>
  </si>
  <si>
    <t>08/20/2019 ROE Packet mailed;</t>
  </si>
  <si>
    <t>R027668</t>
  </si>
  <si>
    <t>CLINTON D. KOEHLER</t>
  </si>
  <si>
    <t>664 CR 241</t>
  </si>
  <si>
    <t>A20003 ABST.3 TRACT 49 Acres:29.1720</t>
  </si>
  <si>
    <t>R027671</t>
  </si>
  <si>
    <t>CLINT &amp; MICHELLE KOEHLER</t>
  </si>
  <si>
    <t>A20003 ABST.3 TRACT 44 LOT 1 Acres:8.9500</t>
  </si>
  <si>
    <t>08/20/2019 ROE Packet mailed; 8/15/19 Left voicemail message on both phone numbers of record, no returned call as of today.</t>
  </si>
  <si>
    <t>R027672</t>
  </si>
  <si>
    <t>STEVE WARE</t>
  </si>
  <si>
    <t>502 CR 241 RD</t>
  </si>
  <si>
    <t>502 CR 241</t>
  </si>
  <si>
    <t>A20003 ABST.3 TRACT 44 LOT 2 Acres:1.4910</t>
  </si>
  <si>
    <t>R027673</t>
  </si>
  <si>
    <t>ADA LUONG</t>
  </si>
  <si>
    <t>5706 28TH ST</t>
  </si>
  <si>
    <t>Sacramento</t>
  </si>
  <si>
    <t>95824</t>
  </si>
  <si>
    <t>A20003 ABST.3 TRACT 44, LOT 2A Acres:4.4750</t>
  </si>
  <si>
    <t>R027674</t>
  </si>
  <si>
    <t>JERLINE ALLEN</t>
  </si>
  <si>
    <t>14603 FONMEADOW ST.,  APT 2006</t>
  </si>
  <si>
    <t>77035</t>
  </si>
  <si>
    <t>A20003 ABST.3 TRACT 44 LOT 2B Acres:1.4910</t>
  </si>
  <si>
    <t>R027676</t>
  </si>
  <si>
    <t xml:space="preserve">A20003 ABST.3 TRACT 44 LOT 3 Acres:8.9500 </t>
  </si>
  <si>
    <t>R027680</t>
  </si>
  <si>
    <t>ERNEST &amp; ERMA NELSON</t>
  </si>
  <si>
    <t>310 CR 241</t>
  </si>
  <si>
    <t>A20003 ABST.3 TRACT 44 LOT 4B Acres:3.6600</t>
  </si>
  <si>
    <t>08/20/2019 ROE Packet mailed; 8/14/2019 Ms. Rachel Nelson daughter of the Nelson’s stated her parents will reach out by Monday next week.</t>
  </si>
  <si>
    <t>R027683</t>
  </si>
  <si>
    <t>TRISTAN GORDON</t>
  </si>
  <si>
    <t>276 CR 241 RD</t>
  </si>
  <si>
    <t>276 CR 241</t>
  </si>
  <si>
    <t>A20003 ABST.3 TRACT 44 LOT SOUTH 1/2 OF 5 Acres:4.4750</t>
  </si>
  <si>
    <t>08/20/2019 ROE Packet mailed; 8/14/2019 Emailed ROE to Mr. Gordon at gordontristan@yahoo.com  and sent via cert mail, skeptical about signing any documentation, first he hears of the flood risk project.</t>
  </si>
  <si>
    <t>R027694</t>
  </si>
  <si>
    <t>ROBERT L NILSON</t>
  </si>
  <si>
    <t>PO BOX 266</t>
  </si>
  <si>
    <t>El Campo</t>
  </si>
  <si>
    <t>77437</t>
  </si>
  <si>
    <t>4731 FM 102</t>
  </si>
  <si>
    <t>A20003 ABST.3 TRACT 50B,51A Acres:686.5000</t>
  </si>
  <si>
    <t>08/20/2019 ROE Packet mailed; 8/16/19 Emailed ROE to Mr. Nilson rnilson1@sbcglobal.net.  Mr. Nilson will not execute ROE until he has a map of impacted Phase II area.</t>
  </si>
  <si>
    <t>R031204</t>
  </si>
  <si>
    <t>W A Harrison Agriculture LTD, W A Harrison Jr.</t>
  </si>
  <si>
    <t>5318 Inwood</t>
  </si>
  <si>
    <t>A20034 ABST .34 Tract 47 , 85</t>
  </si>
  <si>
    <t>1000 / 476</t>
  </si>
  <si>
    <t>R031245</t>
  </si>
  <si>
    <t>Robert S Vineyard</t>
  </si>
  <si>
    <t>PO Box 430</t>
  </si>
  <si>
    <t>MLK Blvd</t>
  </si>
  <si>
    <t>A20034 ABST .34 Tract South 63</t>
  </si>
  <si>
    <t>Non-QL Ag Land</t>
  </si>
  <si>
    <t>50% Ownership</t>
  </si>
  <si>
    <t>Vinyard Holding Co Inc</t>
  </si>
  <si>
    <t>7748</t>
  </si>
  <si>
    <t>R050285</t>
  </si>
  <si>
    <t>420 S Sheppard</t>
  </si>
  <si>
    <t>Little Mexico Lot 7</t>
  </si>
  <si>
    <t>1039 / 551</t>
  </si>
  <si>
    <t>R050385</t>
  </si>
  <si>
    <t>A20034 ABST .34 Tract 44A, 53</t>
  </si>
  <si>
    <t>Ag Land / Residential</t>
  </si>
  <si>
    <t>R050386</t>
  </si>
  <si>
    <t>A20038 ABST .38 Tract 52D</t>
  </si>
  <si>
    <t>77021</t>
  </si>
  <si>
    <t>Smith Garden Spot Block 3 Lot 14A</t>
  </si>
  <si>
    <t>14 / 153</t>
  </si>
  <si>
    <t>R053131</t>
  </si>
  <si>
    <t>Smith Garden Spot Block 3 Lot 14, 15</t>
  </si>
  <si>
    <t>WHARTON BLOCK 60 LOT 5-1</t>
  </si>
  <si>
    <t>V 331 / P 825</t>
  </si>
  <si>
    <t>Please call (832)381-6048 for each occurrance.  Home Phone (979)532-8758 and Son Phillip Gartom (713)301-2699</t>
  </si>
  <si>
    <t>R056956</t>
  </si>
  <si>
    <t>Wharton Block 60 Lot 5, 5-2</t>
  </si>
  <si>
    <t>13258</t>
  </si>
  <si>
    <t>1516 M L King Blvd</t>
  </si>
  <si>
    <t>Wm Kincheloe Block 63 Lot 173A</t>
  </si>
  <si>
    <t>496 / 870</t>
  </si>
  <si>
    <t>R061083</t>
  </si>
  <si>
    <t>2081 FM 102 RD</t>
  </si>
  <si>
    <t>A20034 ABST .34 Tract 66</t>
  </si>
  <si>
    <t>R061704</t>
  </si>
  <si>
    <t>HERMAN &amp; LINDA WITTIG</t>
  </si>
  <si>
    <t>1238 CR 107 RD</t>
  </si>
  <si>
    <t>Boling</t>
  </si>
  <si>
    <t>77420</t>
  </si>
  <si>
    <t>A20003 ABST.3 TRACT 45B-1,45B-1B Acres:26.8200</t>
  </si>
  <si>
    <t>2212 S. Congress Ave</t>
  </si>
  <si>
    <t>Austin</t>
  </si>
  <si>
    <t>78704</t>
  </si>
  <si>
    <t>Habitat for Humanity Block 1 Lot 3</t>
  </si>
  <si>
    <t>743 / 147</t>
  </si>
  <si>
    <t>Barbara Hearne c/o BCL of Texas</t>
  </si>
  <si>
    <t>Habitat for Humanity Block 1 Lot 2</t>
  </si>
  <si>
    <t>696 / 214</t>
  </si>
  <si>
    <t>R068875</t>
  </si>
  <si>
    <t>Lloyd Rust Family Limited Partnership &amp; Rust TMLLC % Rosemary Rust</t>
  </si>
  <si>
    <t>Rural</t>
  </si>
  <si>
    <t>1063 / 230</t>
  </si>
  <si>
    <t>% Rosemary Rust on tax card</t>
  </si>
  <si>
    <t>R068876</t>
  </si>
  <si>
    <t>A20003 Abst .3 Tract 33 PT(South)</t>
  </si>
  <si>
    <t>R069705</t>
  </si>
  <si>
    <t>LARRY RAY TAYLOR</t>
  </si>
  <si>
    <t>PO BOX 745</t>
  </si>
  <si>
    <t>A20003 ABST.3 TRACT 44 LOT 4A,4C Acres:5.9900</t>
  </si>
  <si>
    <t>08/20/2019 ROE Packet mailed; 8/14/19 Need to mail package, phone numbers of record are disconnected.</t>
  </si>
  <si>
    <t>R070099</t>
  </si>
  <si>
    <t>LISA A PAUCIELLO</t>
  </si>
  <si>
    <t>715 CR 241 RD</t>
  </si>
  <si>
    <t>715 CR 241</t>
  </si>
  <si>
    <t>A20003 ABST.3 TRACT 47,47B Acres:9.0000</t>
  </si>
  <si>
    <t>R070100</t>
  </si>
  <si>
    <t>MATTAX FAMILY TRUST, A TEST TRST UNDER THE WILL OF CALVIN C MATTAX, DCSD, DAVID C MATTAX TRUSTEE</t>
  </si>
  <si>
    <t>1659 2ND ST</t>
  </si>
  <si>
    <t>Manhattan Beach</t>
  </si>
  <si>
    <t>90266</t>
  </si>
  <si>
    <t>A20003 ABST.3 TRACT 46,47A Acres:139.5990</t>
  </si>
  <si>
    <t>R070101</t>
  </si>
  <si>
    <t>DAVID HUDLOW</t>
  </si>
  <si>
    <t>677 CR 241</t>
  </si>
  <si>
    <t>A20003 ABST.3 TRACT 47C Acres:1.0000</t>
  </si>
  <si>
    <t>08/20/2019 ROE Packet mailed; 8/15/19 Left voicemail messages, recommend mailing out ROE package.</t>
  </si>
  <si>
    <t>R071321</t>
  </si>
  <si>
    <t>JASON GORDON</t>
  </si>
  <si>
    <t>250 CR 241</t>
  </si>
  <si>
    <t>77488-9820</t>
  </si>
  <si>
    <t>A20003 ABST.3 TRACT 44 LOT NORTH 1/2 OF 5 Acres:4.4750</t>
  </si>
  <si>
    <t>08/20/2019 ROE Packet mailed; 8/14/19 Mr. Gordon requested all mail be sent to the property address.  Mr. Gordon does not own an email address, requested ROE be sent via mail.</t>
  </si>
  <si>
    <t>R071705</t>
  </si>
  <si>
    <t>RICHARD A &amp; JOSIE F GARZA</t>
  </si>
  <si>
    <t>4523 FM 102 RD</t>
  </si>
  <si>
    <t>4523 FM 102</t>
  </si>
  <si>
    <t>A20003 ABST.3 TRACT 44 LOT 7 Acres:9.8710</t>
  </si>
  <si>
    <t>08/20/2019 ROE Packet mailed; 8/12/19 Unable to leave message on answering machine.  Recommend mailing out ROE.</t>
  </si>
  <si>
    <t>R071959</t>
  </si>
  <si>
    <t>Wharton Block 60 Lot 3, 3A</t>
  </si>
  <si>
    <t>R073246</t>
  </si>
  <si>
    <t>FRANK D SORREL TRUST</t>
  </si>
  <si>
    <t>PO BOX 1066</t>
  </si>
  <si>
    <t>3420 FM 102</t>
  </si>
  <si>
    <t>A20003 ABST.3 TRACT PT 34B,34B RR SOUTHSIDE FM102 Acres:415.0000</t>
  </si>
  <si>
    <t>08/20/2019 ROE Packet mailed; 8/12/19 Unable to leave a voicemail message on phone number of record. Recommend ROE be mailed.</t>
  </si>
  <si>
    <t>Document ID</t>
  </si>
  <si>
    <t>ACQ Document Type</t>
  </si>
  <si>
    <t>Document Status</t>
  </si>
  <si>
    <t>Document Amount</t>
  </si>
  <si>
    <t>Document Notes</t>
  </si>
  <si>
    <t>ID</t>
  </si>
  <si>
    <t>File Size</t>
  </si>
  <si>
    <t>Name</t>
  </si>
  <si>
    <t>SURVEY Right-of-Entry</t>
  </si>
  <si>
    <t>Accepted</t>
  </si>
  <si>
    <t>R027673;#70</t>
  </si>
  <si>
    <t>sites/CoW_FRLP/ACQUISITION</t>
  </si>
  <si>
    <t>R027667;#66</t>
  </si>
  <si>
    <t>R027676;#72</t>
  </si>
  <si>
    <t>R073246;#83</t>
  </si>
  <si>
    <t>SURVEY Right-of-Entry CMRR</t>
  </si>
  <si>
    <t>R027683;#74</t>
  </si>
  <si>
    <t>R071321;#81</t>
  </si>
  <si>
    <t>R070100;#79</t>
  </si>
  <si>
    <t>R070101;#80</t>
  </si>
  <si>
    <t>R070099;#78</t>
  </si>
  <si>
    <t>R027680;#73</t>
  </si>
  <si>
    <t>R027668;#67</t>
  </si>
  <si>
    <t>R027672;#69</t>
  </si>
  <si>
    <t>R027674;#71</t>
  </si>
  <si>
    <t>Pending</t>
  </si>
  <si>
    <t>R027671;#68</t>
  </si>
  <si>
    <t>R027694;#75</t>
  </si>
  <si>
    <t>R069705;#77</t>
  </si>
  <si>
    <t>R061704;#76</t>
  </si>
  <si>
    <t>R071705;#82</t>
  </si>
  <si>
    <t>TITLE Commitment</t>
  </si>
  <si>
    <t>R023003;#87</t>
  </si>
  <si>
    <t>TITLE Commitment Backup Docs</t>
  </si>
  <si>
    <t>TITLE Curative Plan</t>
  </si>
  <si>
    <t>CONTACT Initial Interview - Residential</t>
  </si>
  <si>
    <t>Please call Mr. Dwyer Lynch in advance at (469)267-2763</t>
  </si>
  <si>
    <t>R031245;#5</t>
  </si>
  <si>
    <t>Tract 3 added to legal description</t>
  </si>
  <si>
    <t>R023702;#9;#R023704;#11;#R023707;#14;#R023706;#13;#R023705;#12;#R023703;#10</t>
  </si>
  <si>
    <t>R023702;#9;#R023703;#10;#R023704;#11;#R023705;#12;#R023706;#13;#R023707;#14</t>
  </si>
  <si>
    <t>CONTACT Initial Interview - Business</t>
  </si>
  <si>
    <t>R023708;#15;#R023709;#16;#R023710;#17;#R023711;#18</t>
  </si>
  <si>
    <t>R023712;#20</t>
  </si>
  <si>
    <t>R031204;#21</t>
  </si>
  <si>
    <t>R019378;#23;#R050285;#24</t>
  </si>
  <si>
    <t>R019377;#25</t>
  </si>
  <si>
    <t>R019376;#26</t>
  </si>
  <si>
    <t>R019375;#27</t>
  </si>
  <si>
    <t>R061992;#28</t>
  </si>
  <si>
    <t>R062541;#29</t>
  </si>
  <si>
    <t>R023684;#30;#R023700;#31</t>
  </si>
  <si>
    <t>R023696;#32;#R053131;#33</t>
  </si>
  <si>
    <t>R053130;#34</t>
  </si>
  <si>
    <t>GF No. 2019-0815</t>
  </si>
  <si>
    <t>R023694;#35</t>
  </si>
  <si>
    <t>Contact Property Owner 48 hours prior to entry.  Contact Leonean Harrison @ (713)621-4928</t>
  </si>
  <si>
    <t>R059284;#38</t>
  </si>
  <si>
    <t>Contact - Jeff DallaRosa  jeffrey.dallarosa@centerpointenergy.com or 713-945-3165</t>
  </si>
  <si>
    <t>R018556;#39</t>
  </si>
  <si>
    <t>R018586;#40</t>
  </si>
  <si>
    <t>R018587;#41</t>
  </si>
  <si>
    <t>Guzman - 10% Ownership</t>
  </si>
  <si>
    <t>R018588;#42;#R018589;#43</t>
  </si>
  <si>
    <t>Manlongat - 10% Ownership</t>
  </si>
  <si>
    <t>R018590;#44;#R018591;#45;#R018592;#46</t>
  </si>
  <si>
    <t>R022999;#47</t>
  </si>
  <si>
    <t>R023000;#48</t>
  </si>
  <si>
    <t>R023001;#49</t>
  </si>
  <si>
    <t>Estella Gomez &amp; Nancy Guerra Saloza - Sisters</t>
  </si>
  <si>
    <t>R013048;#50</t>
  </si>
  <si>
    <t>R013043;#51</t>
  </si>
  <si>
    <t>R013047;#52</t>
  </si>
  <si>
    <t>R013049;#53;#R013050;#54</t>
  </si>
  <si>
    <t>R013045;#55;#R013046;#56</t>
  </si>
  <si>
    <t>R013044;#57</t>
  </si>
  <si>
    <t>R026687;#58</t>
  </si>
  <si>
    <t>R026694;#62</t>
  </si>
  <si>
    <t>GF No. 2019-0841</t>
  </si>
  <si>
    <t>Dianne F. Segrest</t>
  </si>
  <si>
    <t>R056956;#63</t>
  </si>
  <si>
    <t>Please call (832)381-6048 for each occurrence</t>
  </si>
  <si>
    <t>R056955;#85</t>
  </si>
  <si>
    <t>Please call (501)513-7230 for each occurrence</t>
  </si>
  <si>
    <t>R026696;#84</t>
  </si>
  <si>
    <t>COW-FRMP_R027673 SURVEY Right-of-Entry.pdf</t>
  </si>
  <si>
    <t>COW-FRMP_R027676 SURVEY Right-of-Entry.pdf</t>
  </si>
  <si>
    <t>COW-FRMP_R027683 SURVEY Right-of-Entry CMRR.pdf</t>
  </si>
  <si>
    <t>COW-FRMP_R071321 SURVEY Right-of-Entry CMRR.pdf</t>
  </si>
  <si>
    <t>COW-FRMP_R027680 SURVEY Right-of-Entry CMRR.pdf</t>
  </si>
  <si>
    <t>COW-FRMP_R027672 SURVEY Right-of-Entry CMRR.pdf</t>
  </si>
  <si>
    <t>COW-FRMP_R027674 SURVEY Right-of-Entry CMRR.pdf</t>
  </si>
  <si>
    <t>COW-FRMP_R027676 SURVEY Right-of-Entry CMRR.pdf</t>
  </si>
  <si>
    <t>COW-FRMP_R027671 SURVEY Right-of-Entry CMRR.pdf</t>
  </si>
  <si>
    <t>COW-FRMP_R069705 SURVEY Right-of-Entry CMRR.pdf</t>
  </si>
  <si>
    <t>COW-FRMP_R027673 SURVEY Right-of-Entry CMRR.pdf</t>
  </si>
  <si>
    <t>COW-FRMP_R061704 SURVEY Right-of-Entry CMRR.pdf</t>
  </si>
  <si>
    <t>COW-FRMP_R071705 SURVEY Right-of-Entry CMRR.pdf</t>
  </si>
  <si>
    <t>COWFRLPHDR-5-229</t>
  </si>
  <si>
    <t>COWFRLPHDR-5-243</t>
  </si>
  <si>
    <t>COWFRLPHDR-5-244</t>
  </si>
  <si>
    <t>COWFRLPHDR-5-245</t>
  </si>
  <si>
    <t>COWFRLPHDR-5-117</t>
  </si>
  <si>
    <t>COWFRLPHDR-5-127</t>
  </si>
  <si>
    <t>COWFRLPHDR-5-128</t>
  </si>
  <si>
    <t>COWFRLPHDR-5-129</t>
  </si>
  <si>
    <t>COWFRLPHDR-5-133</t>
  </si>
  <si>
    <t>COWFRLPHDR-5-134</t>
  </si>
  <si>
    <t>COWFRLPHDR-5-135</t>
  </si>
  <si>
    <t>COWFRLPHDR-5-136</t>
  </si>
  <si>
    <t>COWFRLPHDR-5-137</t>
  </si>
  <si>
    <t>COWFRLPHDR-5-138</t>
  </si>
  <si>
    <t>COWFRLPHDR-5-139</t>
  </si>
  <si>
    <t>COWFRLPHDR-5-141</t>
  </si>
  <si>
    <t>COWFRLPHDR-5-142</t>
  </si>
  <si>
    <t>COWFRLPHDR-5-143</t>
  </si>
  <si>
    <t>COWFRLPHDR-5-144</t>
  </si>
  <si>
    <t>COWFRLPHDR-5-214</t>
  </si>
  <si>
    <t>COWFRLPHDR-5-218</t>
  </si>
  <si>
    <t>COWFRLPHDR-5-240</t>
  </si>
  <si>
    <t>COWFRLPHDR-5-99</t>
  </si>
  <si>
    <t>COWFRLPHDR-5-80</t>
  </si>
  <si>
    <t>COWFRLPHDR-5-11</t>
  </si>
  <si>
    <t>COWFRLPHDR-5-12</t>
  </si>
  <si>
    <t>COWFRLPHDR-5-215</t>
  </si>
  <si>
    <t>COWFRLPHDR-5-145</t>
  </si>
  <si>
    <t>COWFRLPHDR-5-195</t>
  </si>
  <si>
    <t>COWFRLPHDR-5-196</t>
  </si>
  <si>
    <t>COWFRLPHDR-5-216</t>
  </si>
  <si>
    <t>COWFRLPHDR-5-161</t>
  </si>
  <si>
    <t>COWFRLPHDR-5-197</t>
  </si>
  <si>
    <t>COWFRLPHDR-5-198</t>
  </si>
  <si>
    <t>COWFRLPHDR-5-217</t>
  </si>
  <si>
    <t>COWFRLPHDR-5-6</t>
  </si>
  <si>
    <t>COWFRLPHDR-5-33</t>
  </si>
  <si>
    <t>COWFRLPHDR-5-34</t>
  </si>
  <si>
    <t>COWFRLPHDR-5-234</t>
  </si>
  <si>
    <t>COWFRLPHDR-5-114</t>
  </si>
  <si>
    <t>COWFRLPHDR-5-189</t>
  </si>
  <si>
    <t>COWFRLPHDR-5-190</t>
  </si>
  <si>
    <t>COWFRLPHDR-5-90</t>
  </si>
  <si>
    <t>COWFRLPHDR-5-59</t>
  </si>
  <si>
    <t>COWFRLPHDR-5-23</t>
  </si>
  <si>
    <t>COWFRLPHDR-5-24</t>
  </si>
  <si>
    <t>COWFRLPHDR-5-100</t>
  </si>
  <si>
    <t>COWFRLPHDR-5-85</t>
  </si>
  <si>
    <t>COWFRLPHDR-5-37</t>
  </si>
  <si>
    <t>COWFRLPHDR-5-38</t>
  </si>
  <si>
    <t>COWFRLPHDR-5-110</t>
  </si>
  <si>
    <t>COWFRLPHDR-5-108</t>
  </si>
  <si>
    <t>COWFRLPHDR-5-201</t>
  </si>
  <si>
    <t>COWFRLPHDR-5-202</t>
  </si>
  <si>
    <t>COWFRLPHDR-5-71</t>
  </si>
  <si>
    <t>COWFRLPHDR-5-203</t>
  </si>
  <si>
    <t>COWFRLPHDR-5-204</t>
  </si>
  <si>
    <t>COWFRLPHDR-5-109</t>
  </si>
  <si>
    <t>COWFRLPHDR-5-7</t>
  </si>
  <si>
    <t>COWFRLPHDR-5-246</t>
  </si>
  <si>
    <t>COWFRLPHDR-5-247</t>
  </si>
  <si>
    <t>COWFRLPHDR-5-107</t>
  </si>
  <si>
    <t>COWFRLPHDR-5-84</t>
  </si>
  <si>
    <t>COWFRLPHDR-5-187</t>
  </si>
  <si>
    <t>COWFRLPHDR-5-188</t>
  </si>
  <si>
    <t>COWFRLPHDR-5-104</t>
  </si>
  <si>
    <t>COWFRLPHDR-5-57</t>
  </si>
  <si>
    <t>COWFRLPHDR-5-86</t>
  </si>
  <si>
    <t>COWFRLPHDR-5-238</t>
  </si>
  <si>
    <t>COWFRLPHDR-5-9</t>
  </si>
  <si>
    <t>COWFRLPHDR-5-31</t>
  </si>
  <si>
    <t>COWFRLPHDR-5-32</t>
  </si>
  <si>
    <t>COWFRLPHDR-5-167</t>
  </si>
  <si>
    <t>COWFRLPHDR-5-42</t>
  </si>
  <si>
    <t>COWFRLPHDR-5-43</t>
  </si>
  <si>
    <t>COWFRLPHDR-5-101</t>
  </si>
  <si>
    <t>COWFRLPHDR-5-78</t>
  </si>
  <si>
    <t>COWFRLPHDR-5-21</t>
  </si>
  <si>
    <t>COWFRLPHDR-5-22</t>
  </si>
  <si>
    <t>COWFRLPHDR-5-94</t>
  </si>
  <si>
    <t>COWFRLPHDR-5-8</t>
  </si>
  <si>
    <t>COWFRLPHDR-5-17</t>
  </si>
  <si>
    <t>COWFRLPHDR-5-18</t>
  </si>
  <si>
    <t>COWFRLPHDR-5-89</t>
  </si>
  <si>
    <t>COWFRLPHDR-5-29</t>
  </si>
  <si>
    <t>COWFRLPHDR-5-30</t>
  </si>
  <si>
    <t>COWFRLPHDR-5-205</t>
  </si>
  <si>
    <t>COWFRLPHDR-5-206</t>
  </si>
  <si>
    <t>COWFRLPHDR-5-121</t>
  </si>
  <si>
    <t>COWFRLPHDR-5-152</t>
  </si>
  <si>
    <t>COWFRLPHDR-5-153</t>
  </si>
  <si>
    <t>COWFRLPHDR-5-112</t>
  </si>
  <si>
    <t>COWFRLPHDR-5-113</t>
  </si>
  <si>
    <t>COWFRLPHDR-5-35</t>
  </si>
  <si>
    <t>COWFRLPHDR-5-36</t>
  </si>
  <si>
    <t>COWFRLPHDR-5-181</t>
  </si>
  <si>
    <t>COWFRLPHDR-5-15</t>
  </si>
  <si>
    <t>COWFRLPHDR-5-16</t>
  </si>
  <si>
    <t>COWFRLPHDR-5-160</t>
  </si>
  <si>
    <t>COWFRLPHDR-5-122</t>
  </si>
  <si>
    <t>COWFRLPHDR-5-230</t>
  </si>
  <si>
    <t>COWFRLPHDR-5-231</t>
  </si>
  <si>
    <t>COWFRLPHDR-5-40</t>
  </si>
  <si>
    <t>COWFRLPHDR-5-41</t>
  </si>
  <si>
    <t>COWFRLPHDR-5-92</t>
  </si>
  <si>
    <t>COWFRLPHDR-5-102</t>
  </si>
  <si>
    <t>COWFRLPHDR-5-83</t>
  </si>
  <si>
    <t>COWFRLPHDR-5-87</t>
  </si>
  <si>
    <t>COWFRLPHDR-5-88</t>
  </si>
  <si>
    <t>COWFRLPHDR-5-91</t>
  </si>
  <si>
    <t>COWFRLPHDR-5-13</t>
  </si>
  <si>
    <t>COWFRLPHDR-5-14</t>
  </si>
  <si>
    <t>COWFRLPHDR-5-39</t>
  </si>
  <si>
    <t>COWFRLPHDR-5-44</t>
  </si>
  <si>
    <t>COWFRLPHDR-5-219</t>
  </si>
  <si>
    <t>COWFRLPHDR-5-123</t>
  </si>
  <si>
    <t>COWFRLPHDR-5-191</t>
  </si>
  <si>
    <t>COWFRLPHDR-5-192</t>
  </si>
  <si>
    <t>COWFRLPHDR-5-220</t>
  </si>
  <si>
    <t>COWFRLPHDR-5-242</t>
  </si>
  <si>
    <t>COWFRLPHDR-5-193</t>
  </si>
  <si>
    <t>COWFRLPHDR-5-194</t>
  </si>
  <si>
    <t>COWFRLPHDR-5-221</t>
  </si>
  <si>
    <t>COWFRLPHDR-5-111</t>
  </si>
  <si>
    <t>COWFRLPHDR-5-50</t>
  </si>
  <si>
    <t>COWFRLPHDR-5-179</t>
  </si>
  <si>
    <t>COWFRLPHDR-5-180</t>
  </si>
  <si>
    <t>COWFRLPHDR-5-222</t>
  </si>
  <si>
    <t>COWFRLPHDR-5-241</t>
  </si>
  <si>
    <t>COWFRLPHDR-5-125</t>
  </si>
  <si>
    <t>COWFRLPHDR-5-45</t>
  </si>
  <si>
    <t>COWFRLPHDR-5-46</t>
  </si>
  <si>
    <t>COWFRLPHDR-5-223</t>
  </si>
  <si>
    <t>COWFRLPHDR-5-95</t>
  </si>
  <si>
    <t>COWFRLPHDR-5-49</t>
  </si>
  <si>
    <t>COWFRLPHDR-5-146</t>
  </si>
  <si>
    <t>COWFRLPHDR-5-147</t>
  </si>
  <si>
    <t>COWFRLPHDR-5-224</t>
  </si>
  <si>
    <t>COWFRLPHDR-5-96</t>
  </si>
  <si>
    <t>COWFRLPHDR-5-148</t>
  </si>
  <si>
    <t>COWFRLPHDR-5-149</t>
  </si>
  <si>
    <t>COWFRLPHDR-5-199</t>
  </si>
  <si>
    <t>COWFRLPHDR-5-200</t>
  </si>
  <si>
    <t>COWFRLPHDR-5-226</t>
  </si>
  <si>
    <t>COWFRLPHDR-5-97</t>
  </si>
  <si>
    <t>COWFRLPHDR-5-124</t>
  </si>
  <si>
    <t>COWFRLPHDR-5-177</t>
  </si>
  <si>
    <t>COWFRLPHDR-5-178</t>
  </si>
  <si>
    <t>COWFRLPHDR-5-227</t>
  </si>
  <si>
    <t>COWFRLPHDR-5-98</t>
  </si>
  <si>
    <t>COWFRLPHDR-5-228</t>
  </si>
  <si>
    <t>COWFRLPHDR-5-169</t>
  </si>
  <si>
    <t>COWFRLPHDR-5-170</t>
  </si>
  <si>
    <t>COWFRLPHDR-5-235</t>
  </si>
  <si>
    <t>COWFRLPHDR-5-93</t>
  </si>
  <si>
    <t>COWFRLPHDR-5-103</t>
  </si>
  <si>
    <t>COWFRLPHDR-5-82</t>
  </si>
  <si>
    <t>COWFRLPHDR-5-210</t>
  </si>
  <si>
    <t>COWFRLPHDR-5-211</t>
  </si>
  <si>
    <t>COWFRLPHDR-5-74</t>
  </si>
  <si>
    <t>COWFRLPHDR-5-150</t>
  </si>
  <si>
    <t>COWFRLPHDR-5-151</t>
  </si>
  <si>
    <t>COWFRLPHDR-5-105</t>
  </si>
  <si>
    <t>COWFRLPHDR-5-77</t>
  </si>
  <si>
    <t>COWFRLPHDR-5-236</t>
  </si>
  <si>
    <t>COWFRLPHDR-5-237</t>
  </si>
  <si>
    <t>COWFRLPHDR-5-212</t>
  </si>
  <si>
    <t>COWFRLPHDR-5-213</t>
  </si>
  <si>
    <t>COWFRLPHDR-5-239</t>
  </si>
  <si>
    <t>COWFRLPHDR-5-162</t>
  </si>
  <si>
    <t>COWFRLPHDR-5-175</t>
  </si>
  <si>
    <t>COWFRLPHDR-5-176</t>
  </si>
  <si>
    <t>COWFRLPHDR-5-165</t>
  </si>
  <si>
    <t>COWFRLPHDR-5-232</t>
  </si>
  <si>
    <t>COWFRLPHDR-5-233</t>
  </si>
  <si>
    <t>Doc CATEGORY</t>
  </si>
  <si>
    <t>Document Type</t>
  </si>
  <si>
    <t>SURVEY</t>
  </si>
  <si>
    <t>Right-of-Entry</t>
  </si>
  <si>
    <t>Right-of-Entry CMRR</t>
  </si>
  <si>
    <t>TITLE</t>
  </si>
  <si>
    <t>Commitment</t>
  </si>
  <si>
    <t>Commitment Backup Docs</t>
  </si>
  <si>
    <t>Curative Plan</t>
  </si>
  <si>
    <t>CONTACT</t>
  </si>
  <si>
    <t>Initial Interview - Residential</t>
  </si>
  <si>
    <t>Initial Interview - Business</t>
  </si>
  <si>
    <t>Notes</t>
  </si>
  <si>
    <t>2019-0894</t>
  </si>
  <si>
    <t>2019-0839</t>
  </si>
  <si>
    <t>2019-0914</t>
  </si>
  <si>
    <t>421-B COLORADO</t>
  </si>
  <si>
    <t>2019-0876</t>
  </si>
  <si>
    <t>R056768</t>
  </si>
  <si>
    <t>505 S Ford</t>
  </si>
  <si>
    <t>WM.KINCHELOE BLOCK 63 LOT 205,210 --IMP.ONLY 1997 PALM HARBOR PALM HARBOR 28X66 DW LABEL # PFS0458211 SERIAL # PH077744A Acres:0.0000</t>
  </si>
  <si>
    <t>Removed Page 9 of title commitment from backup docs</t>
  </si>
  <si>
    <t>305MH</t>
  </si>
  <si>
    <t>R056768;#88</t>
  </si>
  <si>
    <t>COWFRLPHDR-5-250</t>
  </si>
  <si>
    <t>COWFRLPHDR-5-249</t>
  </si>
  <si>
    <t>77488-0000</t>
  </si>
  <si>
    <t>Mobile Home only</t>
  </si>
  <si>
    <t>ACQ Contact Name</t>
  </si>
  <si>
    <t>First Name</t>
  </si>
  <si>
    <t>Last Name</t>
  </si>
  <si>
    <t>Relationship</t>
  </si>
  <si>
    <t>CC</t>
  </si>
  <si>
    <t>Company</t>
  </si>
  <si>
    <t>Job Title</t>
  </si>
  <si>
    <t>Email Address</t>
  </si>
  <si>
    <t>Primary Phone</t>
  </si>
  <si>
    <t>Alternate Phone</t>
  </si>
  <si>
    <t>Cruz</t>
  </si>
  <si>
    <t>isscruz@yahoo.com</t>
  </si>
  <si>
    <t>Castaneda, Clara</t>
  </si>
  <si>
    <t>Rust</t>
  </si>
  <si>
    <t>oxido@swbell.net</t>
  </si>
  <si>
    <t>979-533-2939</t>
  </si>
  <si>
    <t>979-532-1935</t>
  </si>
  <si>
    <t>Alan</t>
  </si>
  <si>
    <t>Ratcliff</t>
  </si>
  <si>
    <t>alanr@npcusa.com</t>
  </si>
  <si>
    <t>979-332-2006</t>
  </si>
  <si>
    <t>281-727-7340</t>
  </si>
  <si>
    <t>Marlene</t>
  </si>
  <si>
    <t>Soles</t>
  </si>
  <si>
    <t>Owner</t>
  </si>
  <si>
    <t>713-301-2699 - son Phillip</t>
  </si>
  <si>
    <t xml:space="preserve">832-381-6048 </t>
  </si>
  <si>
    <t>Wendell</t>
  </si>
  <si>
    <t>Gwaltney</t>
  </si>
  <si>
    <t>979-532-1385</t>
  </si>
  <si>
    <t>421B Colorado</t>
  </si>
  <si>
    <t>R027658;#65</t>
  </si>
  <si>
    <t>Jose Elio Gomez</t>
  </si>
  <si>
    <t>Jose</t>
  </si>
  <si>
    <t>Gomez</t>
  </si>
  <si>
    <t>281) 450-7129- Jose Elio Gomez</t>
  </si>
  <si>
    <t>(281) 435-5756 - Jesus Gomez (son)</t>
  </si>
  <si>
    <t>Clinton D Koehler</t>
  </si>
  <si>
    <t>Clinton</t>
  </si>
  <si>
    <t>Koehler</t>
  </si>
  <si>
    <t>Clint &amp; Michelle Koehler</t>
  </si>
  <si>
    <t>Clint &amp; Michelle</t>
  </si>
  <si>
    <t>Steve Ware</t>
  </si>
  <si>
    <t>Ada Luong</t>
  </si>
  <si>
    <t>916-272-2685</t>
  </si>
  <si>
    <t>979-226-8875</t>
  </si>
  <si>
    <t>Jerline Allen</t>
  </si>
  <si>
    <t>Ernest &amp; Erma Nelson</t>
  </si>
  <si>
    <t>Ernest &amp; Erma</t>
  </si>
  <si>
    <t>Nelson</t>
  </si>
  <si>
    <t>(832) 725-3640 Mr. &amp; Mrs. Nelson</t>
  </si>
  <si>
    <t>(713) 665-9926 - Rachel</t>
  </si>
  <si>
    <t>Trinstan Gordon</t>
  </si>
  <si>
    <t>Tristan</t>
  </si>
  <si>
    <t>Gordon</t>
  </si>
  <si>
    <t>979-559-6241</t>
  </si>
  <si>
    <t>979-257-6291</t>
  </si>
  <si>
    <t>Robert L Nilson</t>
  </si>
  <si>
    <t>Robert</t>
  </si>
  <si>
    <t>Nilson</t>
  </si>
  <si>
    <t>979-543-9185</t>
  </si>
  <si>
    <t>Herman &amp; Linda Wittig</t>
  </si>
  <si>
    <t>Herman &amp; Linda</t>
  </si>
  <si>
    <t>Wittig</t>
  </si>
  <si>
    <t>979-657-1122</t>
  </si>
  <si>
    <t>979-657-4640</t>
  </si>
  <si>
    <t>Larry Ray Taylor</t>
  </si>
  <si>
    <t>Larry</t>
  </si>
  <si>
    <t>Taylor</t>
  </si>
  <si>
    <t>770-229-4107</t>
  </si>
  <si>
    <t>Lisa A Pauciello</t>
  </si>
  <si>
    <t>Lisa</t>
  </si>
  <si>
    <t>Pauciello</t>
  </si>
  <si>
    <t>David Hudlow</t>
  </si>
  <si>
    <t>David</t>
  </si>
  <si>
    <t>Hudlow</t>
  </si>
  <si>
    <t>281-979-7090</t>
  </si>
  <si>
    <t>713-467-6700 or 713-817-3123</t>
  </si>
  <si>
    <t>Jason Gordon</t>
  </si>
  <si>
    <t>Jason</t>
  </si>
  <si>
    <t>979-453-0474</t>
  </si>
  <si>
    <t>979-282-2613</t>
  </si>
  <si>
    <t>Richard &amp; Josie Garza</t>
  </si>
  <si>
    <t>Richard &amp; Jose</t>
  </si>
  <si>
    <t>Garza</t>
  </si>
  <si>
    <t>979-531-0216</t>
  </si>
  <si>
    <t>979-559-0581 or 979-531-0195</t>
  </si>
  <si>
    <t>Frank D Sorrel Trust</t>
  </si>
  <si>
    <t>979-532-2770</t>
  </si>
  <si>
    <t>409-532-2770</t>
  </si>
  <si>
    <t>979-532-3612</t>
  </si>
  <si>
    <t>Alma Curtis</t>
  </si>
  <si>
    <t>979-358-0032 cell</t>
  </si>
  <si>
    <t>979-253-0536 daughter</t>
  </si>
  <si>
    <t>Marie E Duran</t>
  </si>
  <si>
    <t>maria.duran@aig.com</t>
  </si>
  <si>
    <t>281-435-3132 Mobile</t>
  </si>
  <si>
    <t>713-557-8992 sister</t>
  </si>
  <si>
    <t>R023711;#18;#R023710;#17;#R023709;#16;#R023708;#15</t>
  </si>
  <si>
    <t>979-532-9172</t>
  </si>
  <si>
    <t>979-532-1012</t>
  </si>
  <si>
    <t>R018520;#22</t>
  </si>
  <si>
    <t>979-532-2491</t>
  </si>
  <si>
    <t>cwevans@dow.com</t>
  </si>
  <si>
    <t>713-723-8128</t>
  </si>
  <si>
    <t>R050385;#36;#R050386;#37</t>
  </si>
  <si>
    <t>978-532-1012</t>
  </si>
  <si>
    <t>Larry Coleman</t>
  </si>
  <si>
    <t>979-559-2009</t>
  </si>
  <si>
    <t>Littie Matthews</t>
  </si>
  <si>
    <t>979-532-1050</t>
  </si>
  <si>
    <t>Linda Cyril (Hughes)</t>
  </si>
  <si>
    <t>281-437-0770</t>
  </si>
  <si>
    <t>Kansas City</t>
  </si>
  <si>
    <t>MO</t>
  </si>
  <si>
    <t>800-752-8036</t>
  </si>
  <si>
    <t>9900 China Springs Rd, Apt 1703</t>
  </si>
  <si>
    <t>Jeffery and Bessie Hayes</t>
  </si>
  <si>
    <t>404 S Ford St</t>
  </si>
  <si>
    <t>956-639-4154 Rebecca Ruiz</t>
  </si>
  <si>
    <t>979-257-3040</t>
  </si>
  <si>
    <t>P O Box 1205</t>
  </si>
  <si>
    <t>254-338-0201</t>
  </si>
  <si>
    <t>WHARTON</t>
  </si>
  <si>
    <t>212 Stavena Rd</t>
  </si>
  <si>
    <t>507 Margaret Dr</t>
  </si>
  <si>
    <t>R026685;#59;#R026691;#60;#R071959;#61</t>
  </si>
  <si>
    <t>12809 TYLER CT</t>
  </si>
  <si>
    <t>979-532-2080</t>
  </si>
  <si>
    <t>Raymond L Frazier, Sr</t>
  </si>
  <si>
    <t>Raymond</t>
  </si>
  <si>
    <t>Frazier</t>
  </si>
  <si>
    <t>Mobile Home owner</t>
  </si>
  <si>
    <t>Tract 421A - Marlene Soles asked that we speak to her son on her behalf.  His name is Phillip Horton.  His cell is 713-301-2699.  Her home phone is 979-532-8758 and her cell phone is  832-381-6048</t>
  </si>
  <si>
    <t>Tract 421B - Please call for each occurrence - 501-513-7230</t>
  </si>
  <si>
    <t>Steve</t>
  </si>
  <si>
    <t>Ware</t>
  </si>
  <si>
    <t>Ada</t>
  </si>
  <si>
    <t>Luong</t>
  </si>
  <si>
    <t>Jerline</t>
  </si>
  <si>
    <t>Allen</t>
  </si>
  <si>
    <t>Carol A.</t>
  </si>
  <si>
    <t>Curry</t>
  </si>
  <si>
    <t>Trustee</t>
  </si>
  <si>
    <t>tocarolc@gmail.com</t>
  </si>
  <si>
    <t>310-343-1931</t>
  </si>
  <si>
    <t>Vinyard</t>
  </si>
  <si>
    <t>Alma</t>
  </si>
  <si>
    <t>Curtis</t>
  </si>
  <si>
    <t>Marie</t>
  </si>
  <si>
    <t>Duran</t>
  </si>
  <si>
    <t>Troy</t>
  </si>
  <si>
    <t>Curtis Wade</t>
  </si>
  <si>
    <t>Evans</t>
  </si>
  <si>
    <t>Marchette</t>
  </si>
  <si>
    <t>Marks</t>
  </si>
  <si>
    <t>Chavana</t>
  </si>
  <si>
    <t>Clarence</t>
  </si>
  <si>
    <t>Barbara</t>
  </si>
  <si>
    <t>Hearne</t>
  </si>
  <si>
    <t>Bobby Joe</t>
  </si>
  <si>
    <t>Jason M</t>
  </si>
  <si>
    <t>Mason</t>
  </si>
  <si>
    <t>Coleman</t>
  </si>
  <si>
    <t>Littie</t>
  </si>
  <si>
    <t>Matthews</t>
  </si>
  <si>
    <t>Linda Cyril</t>
  </si>
  <si>
    <t>Hughes</t>
  </si>
  <si>
    <t>6711 Trigate Dr</t>
  </si>
  <si>
    <t>Rodriguez</t>
  </si>
  <si>
    <t>David A</t>
  </si>
  <si>
    <t>Pascoe</t>
  </si>
  <si>
    <t>Jeffery and Bessie</t>
  </si>
  <si>
    <t>Hayes</t>
  </si>
  <si>
    <t>Estella</t>
  </si>
  <si>
    <t>Isreal</t>
  </si>
  <si>
    <t>Gilbert and Ida</t>
  </si>
  <si>
    <t>Esparza</t>
  </si>
  <si>
    <t>Dianne F</t>
  </si>
  <si>
    <t>Segrest</t>
  </si>
  <si>
    <t>Mr. Nohavitza is Tenant - Contact @ 979-541-3442 48 hrs in advance - Livestock is not to be disturbed or harmed in any way.  Take any and all precautions he may convey re: safeguarding the livestock</t>
  </si>
  <si>
    <t>All entries onto the property need a 48 hour notice to Annie Garza 979-533-2329 and Angelica Torres 979-253-1296 - NO Equipment to be left on property due to safety risks associated with children</t>
  </si>
  <si>
    <t>R055352;#89</t>
  </si>
  <si>
    <t>CONTACT Negotiator Report</t>
  </si>
  <si>
    <t>Negotiator Report</t>
  </si>
  <si>
    <t>sites/CoW_FRLP/ACQUISITION/ContactRecords</t>
  </si>
  <si>
    <t>All entries onto property require 48 hour notice to Annie Garza 979-533-2329 or Angelica Torres 979-253-1296 - NO equipment to be left on property due to safety risks associated with children</t>
  </si>
  <si>
    <t>COWFRLPHDR-5-263</t>
  </si>
  <si>
    <t>COWFRLPHDR-5-381</t>
  </si>
  <si>
    <t>COWFRLPHDR-5-350</t>
  </si>
  <si>
    <t>COWFRLPHDR-5-252</t>
  </si>
  <si>
    <t>COWFRLPHDR-5-251</t>
  </si>
  <si>
    <t>COWFRLPHDR-5-352</t>
  </si>
  <si>
    <t>COWFRLPHDR-5-382</t>
  </si>
  <si>
    <t>COWFRLPHDR-5-267</t>
  </si>
  <si>
    <t>COWFRLPHDR-5-383</t>
  </si>
  <si>
    <t>COWFRLPHDR-5-268</t>
  </si>
  <si>
    <t>COWFRLPHDR-5-269</t>
  </si>
  <si>
    <t>COWFRLPHDR-5-353</t>
  </si>
  <si>
    <t>COWFRLPHDR-5-354</t>
  </si>
  <si>
    <t>COWFRLPHDR-5-271</t>
  </si>
  <si>
    <t>COWFRLPHDR-5-272</t>
  </si>
  <si>
    <t>COWFRLPHDR-5-273</t>
  </si>
  <si>
    <t>COWFRLPHDR-5-363</t>
  </si>
  <si>
    <t>COWFRLPHDR-5-274</t>
  </si>
  <si>
    <t>COWFRLPHDR-5-365</t>
  </si>
  <si>
    <t>COWFRLPHDR-5-275</t>
  </si>
  <si>
    <t>COWFRLPHDR-5-253</t>
  </si>
  <si>
    <t>COWFRLPHDR-5-255</t>
  </si>
  <si>
    <t>COWFRLPHDR-5-366</t>
  </si>
  <si>
    <t>COWFRLPHDR-5-361</t>
  </si>
  <si>
    <t>COWFRLPHDR-5-362</t>
  </si>
  <si>
    <t>COWFRLPHDR-5-262</t>
  </si>
  <si>
    <t>COWFRLPHDR-5-257</t>
  </si>
  <si>
    <t>COWFRLPHDR-5-367</t>
  </si>
  <si>
    <t>COWFRLPHDR-5-258</t>
  </si>
  <si>
    <t>COWFRLPHDR-5-276</t>
  </si>
  <si>
    <t>COWFRLPHDR-5-277</t>
  </si>
  <si>
    <t>COWFRLPHDR-5-260</t>
  </si>
  <si>
    <t>COWFRLPHDR-5-261</t>
  </si>
  <si>
    <t>COWFRLPHDR-5-368</t>
  </si>
  <si>
    <t>COWFRLPHDR-5-264</t>
  </si>
  <si>
    <t>COWFRLPHDR-5-369</t>
  </si>
  <si>
    <t>COWFRLPHDR-5-370</t>
  </si>
  <si>
    <t>COWFRLPHDR-5-372</t>
  </si>
  <si>
    <t>COWFRLPHDR-5-373</t>
  </si>
  <si>
    <t>COWFRLPHDR-5-374</t>
  </si>
  <si>
    <t>COWFRLPHDR-5-259</t>
  </si>
  <si>
    <t>COWFRLPHDR-5-265</t>
  </si>
  <si>
    <t>COWFRLPHDR-5-375</t>
  </si>
  <si>
    <t>COWFRLPHDR-5-278</t>
  </si>
  <si>
    <t>COWFRLPHDR-5-376</t>
  </si>
  <si>
    <t>COWFRLPHDR-5-377</t>
  </si>
  <si>
    <t>COWFRLPHDR-5-378</t>
  </si>
  <si>
    <t>COWFRLPHDR-5-379</t>
  </si>
  <si>
    <t>COWFRLPHDR-5-380</t>
  </si>
  <si>
    <t>R055352</t>
  </si>
  <si>
    <t>Kansas City Southern Attn:Property Tax Dept.</t>
  </si>
  <si>
    <t>P.O. Box 219335</t>
  </si>
  <si>
    <t>WHARTON BLOCK ABS 38, PT RR CORR Acres:73.3100</t>
  </si>
  <si>
    <t>RR</t>
  </si>
  <si>
    <r>
      <t xml:space="preserve">SELECT DOCUMENT TYPE </t>
    </r>
    <r>
      <rPr>
        <sz val="12"/>
        <color rgb="FFC00000"/>
        <rFont val="Wingdings"/>
        <charset val="2"/>
      </rPr>
      <t>è</t>
    </r>
  </si>
  <si>
    <t>Count of Existing Docs</t>
  </si>
  <si>
    <r>
      <t xml:space="preserve">COPY to paste FILE NAME </t>
    </r>
    <r>
      <rPr>
        <sz val="14"/>
        <color rgb="FFC00000"/>
        <rFont val="Wingdings"/>
        <charset val="2"/>
      </rPr>
      <t>è</t>
    </r>
  </si>
  <si>
    <t>COUNTY</t>
  </si>
  <si>
    <t>Document Type without CATEGORY</t>
  </si>
  <si>
    <t>Document Form No.</t>
  </si>
  <si>
    <t>APPRAISAL</t>
  </si>
  <si>
    <t>CLOSING Recorded Deed</t>
  </si>
  <si>
    <t>CLOSING</t>
  </si>
  <si>
    <t>Recorded Deed</t>
  </si>
  <si>
    <t>ROW-N-14</t>
  </si>
  <si>
    <t>CLOSING Recorded PUAIC</t>
  </si>
  <si>
    <t>Recorded PUAIC</t>
  </si>
  <si>
    <t>ROW-N-PUAIC</t>
  </si>
  <si>
    <t>CLOSING Recorded Temporary Easement</t>
  </si>
  <si>
    <t>Recorded Temporary Easement</t>
  </si>
  <si>
    <t>ROW-N-83</t>
  </si>
  <si>
    <t>NEGOTIATION</t>
  </si>
  <si>
    <t>Initial Offer Package</t>
  </si>
  <si>
    <t>Initial Offer Package CMRR</t>
  </si>
  <si>
    <t>SURVEY Description-Plat</t>
  </si>
  <si>
    <t>ROE</t>
  </si>
  <si>
    <t>TITLE SOS Business Organization Inquiry</t>
  </si>
  <si>
    <t>SOS Business Organization Inquiry</t>
  </si>
  <si>
    <t>TITLE Tax Card</t>
  </si>
  <si>
    <t>Tax Card</t>
  </si>
  <si>
    <t>AcqNum_DocType</t>
  </si>
  <si>
    <t>Owners</t>
  </si>
  <si>
    <t>OWNER</t>
  </si>
  <si>
    <t>Centerpoint Energy Houston Electric</t>
  </si>
  <si>
    <t>254-733-3462 David</t>
  </si>
  <si>
    <t>254-733-3081 April</t>
  </si>
  <si>
    <t>Leovigildo Panes et ux and Panis &amp; Prospera Primo et ux  Erlinda</t>
  </si>
  <si>
    <t>Registered Agent</t>
  </si>
  <si>
    <t>Corporation Service Company dba CSC - Lawyers Incorporating Service Company</t>
  </si>
  <si>
    <t>211 E 7th Street, Suite 620</t>
  </si>
  <si>
    <t>211 E. 7th Street, Suite 620</t>
  </si>
  <si>
    <t>713-557-8992 Sister</t>
  </si>
  <si>
    <t>Unknown Heirs of Vina Mae Coleman, Deceased</t>
  </si>
  <si>
    <t>319 N. Outlar Street</t>
  </si>
  <si>
    <t>Unknown Heirs of Marcella Coleman Petitt, Deceased</t>
  </si>
  <si>
    <t>319 N. Outlar</t>
  </si>
  <si>
    <t>Julia</t>
  </si>
  <si>
    <t>979-282-2357</t>
  </si>
  <si>
    <t>408 S Ford Street</t>
  </si>
  <si>
    <t> 
 </t>
  </si>
  <si>
    <t>Juanita Cervantes, Ana Garza, Estanislada Morales, Consuelo Campos. Aniceta Gusman, Magdelena Guerra, Severa Arriaga, Francisco Esparza, Marcelo Esparza, Serapio Esparza</t>
  </si>
  <si>
    <t>NEGOTIATION LOBR Letter</t>
  </si>
  <si>
    <t>48 hour notice required - Mr. Nohavitza @ 979-541-3442</t>
  </si>
  <si>
    <t>306</t>
  </si>
  <si>
    <t>427</t>
  </si>
  <si>
    <t>COW-FRMP_R027658 SURVEY Right-of-Entry.pdf</t>
  </si>
  <si>
    <t>COWFRLPHDR-5-395</t>
  </si>
  <si>
    <t>COWFRLPHDR-5-397</t>
  </si>
  <si>
    <t>COWFRLPHDR-5-416</t>
  </si>
  <si>
    <t>COWFRLPHDR-5-417</t>
  </si>
  <si>
    <t>COWFRLPHDR-5-418</t>
  </si>
  <si>
    <t>COWFRLPHDR-5-419</t>
  </si>
  <si>
    <t>COWFRLPHDR-5-420</t>
  </si>
  <si>
    <t>COWFRLPHDR-5-421</t>
  </si>
  <si>
    <t>COWFRLPHDR-5-422</t>
  </si>
  <si>
    <t>COWFRLPHDR-5-423</t>
  </si>
  <si>
    <t>COWFRLPHDR-5-384</t>
  </si>
  <si>
    <t>COWFRLPHDR-5-424</t>
  </si>
  <si>
    <t>COWFRLPHDR-5-385</t>
  </si>
  <si>
    <t>COWFRLPHDR-5-425</t>
  </si>
  <si>
    <t>COWFRLPHDR-5-386</t>
  </si>
  <si>
    <t>COWFRLPHDR-5-426</t>
  </si>
  <si>
    <t>COWFRLPHDR-5-389</t>
  </si>
  <si>
    <t>COWFRLPHDR-5-427</t>
  </si>
  <si>
    <t>COWFRLPHDR-5-428</t>
  </si>
  <si>
    <t>COWFRLPHDR-5-390</t>
  </si>
  <si>
    <t>COWFRLPHDR-5-429</t>
  </si>
  <si>
    <t>COWFRLPHDR-5-391</t>
  </si>
  <si>
    <t>COWFRLPHDR-5-430</t>
  </si>
  <si>
    <t>COWFRLPHDR-5-392</t>
  </si>
  <si>
    <t>COWFRLPHDR-5-431</t>
  </si>
  <si>
    <t>COWFRLPHDR-5-393</t>
  </si>
  <si>
    <t>COWFRLPHDR-5-432</t>
  </si>
  <si>
    <t>COWFRLPHDR-5-394</t>
  </si>
  <si>
    <t>COWFRLPHDR-5-433</t>
  </si>
  <si>
    <t>COWFRLPHDR-5-396</t>
  </si>
  <si>
    <t>COWFRLPHDR-5-434</t>
  </si>
  <si>
    <t>COWFRLPHDR-5-398</t>
  </si>
  <si>
    <t>COWFRLPHDR-5-435</t>
  </si>
  <si>
    <t>COWFRLPHDR-5-387</t>
  </si>
  <si>
    <t>COWFRLPHDR-5-436</t>
  </si>
  <si>
    <t>COWFRLPHDR-5-399</t>
  </si>
  <si>
    <t>COWFRLPHDR-5-437</t>
  </si>
  <si>
    <t>COWFRLPHDR-5-400</t>
  </si>
  <si>
    <t>COWFRLPHDR-5-438</t>
  </si>
  <si>
    <t>COWFRLPHDR-5-401</t>
  </si>
  <si>
    <t>COWFRLPHDR-5-439</t>
  </si>
  <si>
    <t>COWFRLPHDR-5-402</t>
  </si>
  <si>
    <t>COWFRLPHDR-5-440</t>
  </si>
  <si>
    <t>COWFRLPHDR-5-403</t>
  </si>
  <si>
    <t>COWFRLPHDR-5-441</t>
  </si>
  <si>
    <t>COWFRLPHDR-5-404</t>
  </si>
  <si>
    <t>COWFRLPHDR-5-442</t>
  </si>
  <si>
    <t>COWFRLPHDR-5-405</t>
  </si>
  <si>
    <t>COWFRLPHDR-5-443</t>
  </si>
  <si>
    <t>COWFRLPHDR-5-406</t>
  </si>
  <si>
    <t>COWFRLPHDR-5-444</t>
  </si>
  <si>
    <t>COWFRLPHDR-5-407</t>
  </si>
  <si>
    <t>COWFRLPHDR-5-464</t>
  </si>
  <si>
    <t>COWFRLPHDR-5-445</t>
  </si>
  <si>
    <t>COWFRLPHDR-5-446</t>
  </si>
  <si>
    <t>COWFRLPHDR-5-447</t>
  </si>
  <si>
    <t>COWFRLPHDR-5-448</t>
  </si>
  <si>
    <t>COWFRLPHDR-5-449</t>
  </si>
  <si>
    <t>COWFRLPHDR-5-388</t>
  </si>
  <si>
    <t>COWFRLPHDR-5-450</t>
  </si>
  <si>
    <t>COWFRLPHDR-5-451</t>
  </si>
  <si>
    <t>COWFRLPHDR-5-452</t>
  </si>
  <si>
    <t>COWFRLPHDR-5-408</t>
  </si>
  <si>
    <t>COWFRLPHDR-5-453</t>
  </si>
  <si>
    <t>COWFRLPHDR-5-454</t>
  </si>
  <si>
    <t>COWFRLPHDR-5-455</t>
  </si>
  <si>
    <t>COWFRLPHDR-5-456</t>
  </si>
  <si>
    <t>COWFRLPHDR-5-409</t>
  </si>
  <si>
    <t>COWFRLPHDR-5-457</t>
  </si>
  <si>
    <t>COWFRLPHDR-5-410</t>
  </si>
  <si>
    <t>COWFRLPHDR-5-458</t>
  </si>
  <si>
    <t>COWFRLPHDR-5-411</t>
  </si>
  <si>
    <t>COWFRLPHDR-5-459</t>
  </si>
  <si>
    <t>COWFRLPHDR-5-460</t>
  </si>
  <si>
    <t>COWFRLPHDR-5-412</t>
  </si>
  <si>
    <t>COWFRLPHDR-5-461</t>
  </si>
  <si>
    <t>COWFRLPHDR-5-413</t>
  </si>
  <si>
    <t>COWFRLPHDR-5-463</t>
  </si>
  <si>
    <t>Active</t>
  </si>
  <si>
    <t>Lupe Garza</t>
  </si>
  <si>
    <t>427 S. Sunset</t>
  </si>
  <si>
    <t>WCAD Tax Parcel ID</t>
  </si>
  <si>
    <t>Raymond L. Frazier and wife, Demetria Frazier</t>
  </si>
  <si>
    <t>Raymond &amp; Demetria</t>
  </si>
  <si>
    <t>979-488-7729 Demetria</t>
  </si>
  <si>
    <t>Please call Demetria Frazier before accessing the property @ 979-488-1129</t>
  </si>
  <si>
    <t>COWFRLPHDR-5-465</t>
  </si>
  <si>
    <t>Rosemary Rust - Manager and Partner</t>
  </si>
  <si>
    <t>Maria Evelia</t>
  </si>
  <si>
    <t>505 S Ford Street</t>
  </si>
  <si>
    <t>Lupe</t>
  </si>
  <si>
    <t>PO BOx 1205</t>
  </si>
  <si>
    <t>816-983-1138</t>
  </si>
  <si>
    <t>913-327-9971</t>
  </si>
  <si>
    <t>427 West 12th Street</t>
  </si>
  <si>
    <t>Perez-Fidalgo, Rapher</t>
  </si>
  <si>
    <t>Delivery Attempted, will be returned to sender on 11-2-2019</t>
  </si>
  <si>
    <t>COWFRLPHDR-5-466</t>
  </si>
  <si>
    <t>206</t>
  </si>
  <si>
    <t>2019-0903</t>
  </si>
  <si>
    <t>Mineral Rights</t>
  </si>
  <si>
    <t>X</t>
  </si>
  <si>
    <t>Sanitary Sewer</t>
  </si>
  <si>
    <t>Public Utilities Easements</t>
  </si>
  <si>
    <t>Acquisition Tract No.</t>
  </si>
  <si>
    <t>R031246</t>
  </si>
  <si>
    <t>UNKN003</t>
  </si>
  <si>
    <t>R026697;#64;#UNKN003;#19</t>
  </si>
  <si>
    <t>UNKN001</t>
  </si>
  <si>
    <t>204</t>
  </si>
  <si>
    <t>Unknown1</t>
  </si>
  <si>
    <t>Colorado River Bank</t>
  </si>
  <si>
    <t>UNKN002</t>
  </si>
  <si>
    <t>Azalea/Camellia Roadway</t>
  </si>
  <si>
    <t>UNKN004</t>
  </si>
  <si>
    <t>UNKN005</t>
  </si>
  <si>
    <t>S Richmond Rd</t>
  </si>
  <si>
    <t>ROSEMONT ODD BLOCK ODD LOT 5 Acres:0.0287</t>
  </si>
  <si>
    <t>Property Owner Mailing Name</t>
  </si>
  <si>
    <t>Property Situs Address</t>
  </si>
  <si>
    <t>Document Filename Prefix</t>
  </si>
  <si>
    <t>COW-FRMP_TR-100</t>
  </si>
  <si>
    <t>JLL</t>
  </si>
  <si>
    <t>COW-FRMP_TR-200</t>
  </si>
  <si>
    <t>COW-FRMP_TR-201</t>
  </si>
  <si>
    <t>COW-FRMP_TR-202</t>
  </si>
  <si>
    <t>COW-FRMP_TR-203</t>
  </si>
  <si>
    <t>COW-FRMP_TR-204</t>
  </si>
  <si>
    <t>COW-FRMP_TR-205</t>
  </si>
  <si>
    <t>COW-FRMP_TR-206</t>
  </si>
  <si>
    <t>COW-FRMP_TR-207</t>
  </si>
  <si>
    <t>COW-FRMP_TR-208</t>
  </si>
  <si>
    <t>COW-FRMP_TR-209</t>
  </si>
  <si>
    <t>COW-FRMP_TR-210</t>
  </si>
  <si>
    <t>COW-FRMP_TR-211</t>
  </si>
  <si>
    <t>COW-FRMP_TR-212</t>
  </si>
  <si>
    <t>COW-FRMP_TR-213</t>
  </si>
  <si>
    <t>COW-FRMP_TR-214</t>
  </si>
  <si>
    <t>COW-FRMP_TR-215</t>
  </si>
  <si>
    <t>COW-FRMP_TR-216</t>
  </si>
  <si>
    <t>COW-FRMP_TR-217</t>
  </si>
  <si>
    <t>COW-FRMP_TR-218</t>
  </si>
  <si>
    <t>COW-FRMP_TR-219</t>
  </si>
  <si>
    <t>COW-FRMP_TR-220</t>
  </si>
  <si>
    <t>COW-FRMP_TR-222</t>
  </si>
  <si>
    <t>COW-FRMP_TR-223</t>
  </si>
  <si>
    <t>COW-FRMP_TR-224</t>
  </si>
  <si>
    <t>COW-FRMP_TR-300</t>
  </si>
  <si>
    <t>COW-FRMP_TR-301</t>
  </si>
  <si>
    <t>COW-FRMP_TR-302</t>
  </si>
  <si>
    <t>COW-FRMP_TR-303</t>
  </si>
  <si>
    <t>COW-FRMP_TR-304</t>
  </si>
  <si>
    <t>COW-FRMP_TR-305</t>
  </si>
  <si>
    <t>COW-FRMP_TR-305MH</t>
  </si>
  <si>
    <t>COW-FRMP_TR-306</t>
  </si>
  <si>
    <t>COW-FRMP_TR-307</t>
  </si>
  <si>
    <t>COW-FRMP_TR-308</t>
  </si>
  <si>
    <t>COW-FRMP_TR-309</t>
  </si>
  <si>
    <t>COW-FRMP_TR-310</t>
  </si>
  <si>
    <t>COW-FRMP_TR-311</t>
  </si>
  <si>
    <t>COW-FRMP_TR-312</t>
  </si>
  <si>
    <t>COW-FRMP_TR-313</t>
  </si>
  <si>
    <t>COW-FRMP_TR-314</t>
  </si>
  <si>
    <t>COW-FRMP_TR-315</t>
  </si>
  <si>
    <t>COW-FRMP_TR-316</t>
  </si>
  <si>
    <t>COW-FRMP_TR-317</t>
  </si>
  <si>
    <t>COW-FRMP_TR-319</t>
  </si>
  <si>
    <t>COW-FRMP_TR-320</t>
  </si>
  <si>
    <t>COW-FRMP_TR-321</t>
  </si>
  <si>
    <t>COW-FRMP_TR-421A</t>
  </si>
  <si>
    <t>COW-FRMP_TR-427</t>
  </si>
  <si>
    <t>Kansas City Southern Railway Company</t>
  </si>
  <si>
    <t>Pendaries, LLC</t>
  </si>
  <si>
    <t>Contact Mailing Address</t>
  </si>
  <si>
    <t>Contact City, State Zip</t>
  </si>
  <si>
    <t>College Station, TX  77845</t>
  </si>
  <si>
    <t>Wharton, TX  77488-1027</t>
  </si>
  <si>
    <t>Wharton, TX  77488</t>
  </si>
  <si>
    <t>Wharton, TX   77488</t>
  </si>
  <si>
    <t>Houston, TX  77022</t>
  </si>
  <si>
    <t>McKinney, TX  75070</t>
  </si>
  <si>
    <t>Sacramento, CA  95824</t>
  </si>
  <si>
    <t>Houston, TX  77035</t>
  </si>
  <si>
    <t>El Campo, TX  77437</t>
  </si>
  <si>
    <t>Boling, TX  77420</t>
  </si>
  <si>
    <t>Manhattan Beach, CA  90266</t>
  </si>
  <si>
    <t>Wharton, TX  77488-9820</t>
  </si>
  <si>
    <t>Wharton, TX  77488-4716</t>
  </si>
  <si>
    <t>Houston, TX  77056</t>
  </si>
  <si>
    <t>Houston, TX  77085</t>
  </si>
  <si>
    <t>Houston, TX  77021</t>
  </si>
  <si>
    <t>Missouri City, TX  77489-3446</t>
  </si>
  <si>
    <t>Waco, TX  76708-5743</t>
  </si>
  <si>
    <t>Stafford, TX  77477</t>
  </si>
  <si>
    <t>College Station, TX  77845-8814</t>
  </si>
  <si>
    <t>Mount Pleasant, TX  75455-3569</t>
  </si>
  <si>
    <t>Stafford, TX</t>
  </si>
  <si>
    <t>,</t>
  </si>
  <si>
    <t>Austin, TX  78701-3218</t>
  </si>
  <si>
    <t>Kansas City, MO  64105</t>
  </si>
  <si>
    <t>Gilmore, Roslyn</t>
  </si>
  <si>
    <t>Tax Situs Address</t>
  </si>
  <si>
    <t>Tax Legal Description</t>
  </si>
  <si>
    <t>Tax Acreage</t>
  </si>
  <si>
    <t>Tax Use Type</t>
  </si>
  <si>
    <t>Tax Deed Ref</t>
  </si>
  <si>
    <t>Count in TaxPar DB</t>
  </si>
  <si>
    <t>Count # in TaxID</t>
  </si>
  <si>
    <r>
      <rPr>
        <b/>
        <sz val="10"/>
        <color theme="1"/>
        <rFont val="Arial Narrow"/>
        <family val="2"/>
      </rPr>
      <t>Acquisition</t>
    </r>
    <r>
      <rPr>
        <b/>
        <sz val="11"/>
        <color theme="1"/>
        <rFont val="Arial"/>
        <family val="2"/>
      </rPr>
      <t xml:space="preserve"> Tract No.</t>
    </r>
  </si>
  <si>
    <t>COWFRLPHDR-5-470</t>
  </si>
  <si>
    <t>COWFRLPHDR-5-471</t>
  </si>
  <si>
    <t>Survey Requested</t>
  </si>
  <si>
    <t>Title Ordered</t>
  </si>
  <si>
    <t>TaxIDs from Tract DB</t>
  </si>
  <si>
    <t>Tract No. from Tax DB</t>
  </si>
  <si>
    <t>TaxPar_DocType</t>
  </si>
  <si>
    <t>0</t>
  </si>
  <si>
    <r>
      <rPr>
        <b/>
        <sz val="10"/>
        <color theme="1"/>
        <rFont val="Arial Narrow"/>
        <family val="2"/>
      </rPr>
      <t>Acquisition</t>
    </r>
    <r>
      <rPr>
        <b/>
        <sz val="10"/>
        <color theme="1"/>
        <rFont val="Arial"/>
        <family val="2"/>
      </rPr>
      <t xml:space="preserve"> Status</t>
    </r>
  </si>
  <si>
    <r>
      <rPr>
        <b/>
        <sz val="10"/>
        <color theme="1"/>
        <rFont val="Arial Narrow"/>
        <family val="2"/>
      </rPr>
      <t>Acquisition</t>
    </r>
    <r>
      <rPr>
        <b/>
        <sz val="10"/>
        <color theme="1"/>
        <rFont val="Arial"/>
        <family val="2"/>
      </rPr>
      <t xml:space="preserve"> Interest</t>
    </r>
  </si>
  <si>
    <t>No.of Docs</t>
  </si>
  <si>
    <t>22</t>
  </si>
  <si>
    <t>47</t>
  </si>
  <si>
    <r>
      <t xml:space="preserve">SELECT ACQUISITION TRACT No. </t>
    </r>
    <r>
      <rPr>
        <sz val="12"/>
        <color rgb="FFC00000"/>
        <rFont val="Wingdings"/>
        <charset val="2"/>
      </rPr>
      <t>è</t>
    </r>
  </si>
  <si>
    <t>CONTACT Letter of Intent-HDR</t>
  </si>
  <si>
    <t>Letter of Intent-HDR</t>
  </si>
  <si>
    <t>Quaratino, Jill</t>
  </si>
  <si>
    <t>NEGOTIATION Owner Representation Letter</t>
  </si>
  <si>
    <t>Owner Representation Letter</t>
  </si>
  <si>
    <t>COW-FRMP_TR-100 CONTACT Initial Interview - Residential.pdf</t>
  </si>
  <si>
    <t>COW-FRMP_TR-100 CONTACT Letter of Intent-HDR.pdf</t>
  </si>
  <si>
    <t>COW-FRMP_TR-100 SURVEY Right-of-Entry.pdf</t>
  </si>
  <si>
    <t>COW-FRMP_TR-100 TITLE Commitment.pdf</t>
  </si>
  <si>
    <t>COW-FRMP_TR-100 TITLE Commitment Backup Docs.pdf</t>
  </si>
  <si>
    <t>COW-FRMP_TR-100 TITLE Curative Plan.docx</t>
  </si>
  <si>
    <t>COW-FRMP_TR-200 CONTACT Letter of Intent-HDR.pdf</t>
  </si>
  <si>
    <t>COW-FRMP_TR-200 SURVEY Right-of-Entry.pdf</t>
  </si>
  <si>
    <t>COW-FRMP_TR-200 TITLE Commitment.pdf</t>
  </si>
  <si>
    <t>COW-FRMP_TR-200 TITLE Commitment Backup Docs.pdf</t>
  </si>
  <si>
    <t>COW-FRMP_TR-200 TITLE Curative Plan.docx</t>
  </si>
  <si>
    <t>COW-FRMP_TR-201 CONTACT Letter of Intent-HDR.pdf</t>
  </si>
  <si>
    <t>COW-FRMP_TR-201 SURVEY Right-of-Entry.pdf</t>
  </si>
  <si>
    <t>COW-FRMP_TR-201 TITLE Commitment.pdf</t>
  </si>
  <si>
    <t>COW-FRMP_TR-201 TITLE Commitment Backup Docs.pdf</t>
  </si>
  <si>
    <t>COW-FRMP_TR-201 TITLE Curative Plan.docx</t>
  </si>
  <si>
    <t>COW-FRMP_TR-202 CONTACT Letter of Intent-HDR.pdf</t>
  </si>
  <si>
    <t>COW-FRMP_TR-202 SURVEY Right-of-Entry.pdf</t>
  </si>
  <si>
    <t>COW-FRMP_TR-202 TITLE Commitment.pdf</t>
  </si>
  <si>
    <t>COW-FRMP_TR-202 TITLE Commitment Backup Docs.pdf</t>
  </si>
  <si>
    <t>COW-FRMP_TR-202 TITLE Curative Plan.docx</t>
  </si>
  <si>
    <t>COW-FRMP_TR-203 CONTACT Letter of Intent-HDR.pdf</t>
  </si>
  <si>
    <t>COW-FRMP_TR-203 SURVEY Right-of-Entry.pdf</t>
  </si>
  <si>
    <t>COW-FRMP_TR-203 TITLE Commitment.pdf</t>
  </si>
  <si>
    <t>COW-FRMP_TR-203 TITLE Commitment Backup Docs.pdf</t>
  </si>
  <si>
    <t>COW-FRMP_TR-203 TITLE Curative Plan.docx</t>
  </si>
  <si>
    <t>COW-FRMP_TR-205 CONTACT Initial Interview - Residential.pdf</t>
  </si>
  <si>
    <t>COW-FRMP_TR-205 CONTACT Letter of Intent-HDR.pdf</t>
  </si>
  <si>
    <t>COW-FRMP_TR-205 SURVEY Right-of-Entry.pdf</t>
  </si>
  <si>
    <t>COW-FRMP_TR-205 TITLE Commitment.pdf</t>
  </si>
  <si>
    <t>COW-FRMP_TR-205 TITLE Commitment Backup Docs.pdf</t>
  </si>
  <si>
    <t>COW-FRMP_TR-205 TITLE Curative Plan.docx</t>
  </si>
  <si>
    <t>COW-FRMP_TR-207 CONTACT Initial Interview - Residential.pdf</t>
  </si>
  <si>
    <t>COW-FRMP_TR-207 SURVEY Right-of-Entry CMRR.pdf</t>
  </si>
  <si>
    <t>COW-FRMP_TR-207 TITLE Commitment.pdf</t>
  </si>
  <si>
    <t>COW-FRMP_TR-207 TITLE Commitment Backup Docs.pdf</t>
  </si>
  <si>
    <t>COW-FRMP_TR-207 TITLE Curative Plan.docx</t>
  </si>
  <si>
    <t>COW-FRMP_TR-208 CONTACT Initial Interview - Business.pdf</t>
  </si>
  <si>
    <t>COW-FRMP_TR-208 CONTACT Initial Interview - Residential.pdf</t>
  </si>
  <si>
    <t>COW-FRMP_TR-208 TITLE Commitment.pdf</t>
  </si>
  <si>
    <t>COW-FRMP_TR-208 TITLE Commitment Backup Docs.pdf</t>
  </si>
  <si>
    <t>COW-FRMP_TR-208 TITLE Curative Plan.docx</t>
  </si>
  <si>
    <t>COW-FRMP_TR-210 CONTACT Letter of Intent-HDR R023712.pdf</t>
  </si>
  <si>
    <t>COW-FRMP_TR-210 TITLE Commitment.pdf</t>
  </si>
  <si>
    <t>COW-FRMP_TR-210 TITLE Commitment Backup Docs.pdf</t>
  </si>
  <si>
    <t>COW-FRMP_TR-210 TITLE Curative Plan.docx</t>
  </si>
  <si>
    <t>COW-FRMP_TR-211 CONTACT Initial Interview - Residential.pdf</t>
  </si>
  <si>
    <t>COW-FRMP_TR-211 CONTACT Letter of Intent-HDR.pdf</t>
  </si>
  <si>
    <t>COW-FRMP_TR-211 TITLE Commitment.pdf</t>
  </si>
  <si>
    <t>COW-FRMP_TR-211 TITLE Commitment Backup Docs.pdf</t>
  </si>
  <si>
    <t>COW-FRMP_TR-211 TITLE Curative Plan.docx</t>
  </si>
  <si>
    <t>COW-FRMP_TR-211 TITLE SOS Business Organization Inquiry.pdf</t>
  </si>
  <si>
    <t>COW-FRMP_TR-213 CONTACT Initial Interview - Residential.pdf</t>
  </si>
  <si>
    <t>COW-FRMP_TR-213 SURVEY Right-of-Entry CMRR.pdf</t>
  </si>
  <si>
    <t>COW-FRMP_TR-213 TITLE Commitment.pdf</t>
  </si>
  <si>
    <t>COW-FRMP_TR-213 TITLE Commitment Backup Docs.pdf</t>
  </si>
  <si>
    <t>COW-FRMP_TR-213 TITLE Curative Plan.docx</t>
  </si>
  <si>
    <t>COW-FRMP_TR-214 CONTACT Initial Interview - Residential.pdf</t>
  </si>
  <si>
    <t>COW-FRMP_TR-214 CONTACT Letter of Intent-HDR.pdf</t>
  </si>
  <si>
    <t>COW-FRMP_TR-214 TITLE Commitment.pdf</t>
  </si>
  <si>
    <t>COW-FRMP_TR-214 TITLE Commitment Backup Docs.pdf</t>
  </si>
  <si>
    <t>COW-FRMP_TR-214 TITLE Curative Plan.docx</t>
  </si>
  <si>
    <t>COW-FRMP_TR-215 CONTACT Letter of Intent-HDR Chavana.pdf</t>
  </si>
  <si>
    <t>COW-FRMP_TR-215 CONTACT Letter of Intent-HDR Gonzales.pdf</t>
  </si>
  <si>
    <t>COW-FRMP_TR-215 CONTACT Letter of Intent-HDR (Joe Ramirez).pdf</t>
  </si>
  <si>
    <t>COW-FRMP_TR-215 CONTACT Letter of Intent-HDR (Jerry Ramirez).pdf</t>
  </si>
  <si>
    <t>COW-FRMP_TR-215 CONTACT Letter of Intent-HDR Muniz.pdf</t>
  </si>
  <si>
    <t>COW-FRMP_TR-215 CONTACT Letter of Intent-HDR O. Ramirez.pdf</t>
  </si>
  <si>
    <t>COW-FRMP_TR-215 CONTACT Letter of Intent-HDR Rivera.pdf</t>
  </si>
  <si>
    <t>COW-FRMP_TR-215 CONTACT Letter of Intent-HDR Silva.pdf</t>
  </si>
  <si>
    <t>COW-FRMP_TR-215 TITLE Commitment.pdf</t>
  </si>
  <si>
    <t>COW-FRMP_TR-215 TITLE Commitment Backup Docs.pdf</t>
  </si>
  <si>
    <t>COW-FRMP_TR-215 TITLE Curative Plan.docx</t>
  </si>
  <si>
    <t>COW-FRMP_TR-216 CONTACT Letter of Intent-HDR.pdf</t>
  </si>
  <si>
    <t>COW-FRMP_TR-216 TITLE Commitment.pdf</t>
  </si>
  <si>
    <t>COW-FRMP_TR-216 TITLE Commitment Backup Docs.pdf</t>
  </si>
  <si>
    <t>COW-FRMP_TR-216 TITLE Curative Plan.docx</t>
  </si>
  <si>
    <t>COW-FRMP_TR-217 CONTACT Initial Interview - Residential.pdf</t>
  </si>
  <si>
    <t>COW-FRMP_TR-217 CONTACT Letter of Intent-HDR.pdf</t>
  </si>
  <si>
    <t>COW-FRMP_TR-217 TITLE Commitment.pdf</t>
  </si>
  <si>
    <t>COW-FRMP_TR-217 TITLE Commitment Backup Docs.pdf</t>
  </si>
  <si>
    <t>COW-FRMP_TR-217 TITLE Curative Plan.docx</t>
  </si>
  <si>
    <t>COW-FRMP_TR-218 CONTACT Initial Interview - Residential.pdf</t>
  </si>
  <si>
    <t>COW-FRMP_TR-218 CONTACT Letter of Intent-HDR.pdf</t>
  </si>
  <si>
    <t>COW-FRMP_TR-218 TITLE Commitment.pdf</t>
  </si>
  <si>
    <t>COW-FRMP_TR-218 TITLE Commitment Backup Docs.pdf</t>
  </si>
  <si>
    <t>COW-FRMP_TR-218 TITLE Curative Plan.docx</t>
  </si>
  <si>
    <t>COW-FRMP_TR-219 TITLE Commitment.pdf</t>
  </si>
  <si>
    <t>COW-FRMP_TR-219 TITLE Commitment Backup Docs.pdf</t>
  </si>
  <si>
    <t>COW-FRMP_TR-219 TITLE Curative Plan.docx</t>
  </si>
  <si>
    <t>COW-FRMP_TR-220 TITLE Commitment.pdf</t>
  </si>
  <si>
    <t>COW-FRMP_TR-220 TITLE Commitment Backup Docs.pdf</t>
  </si>
  <si>
    <t>COW-FRMP_TR-220 TITLE Curative Plan.docx</t>
  </si>
  <si>
    <t>COW-FRMP_TR-222 CONTACT Letter of Intent-HDR.pdf</t>
  </si>
  <si>
    <t>COW-FRMP_TR-222 TITLE Commitment.pdf</t>
  </si>
  <si>
    <t>COW-FRMP_TR-222 TITLE Curative Plan.docx</t>
  </si>
  <si>
    <t>COW-FRMP_TR-223 CONTACT Letter of Intent-HDR.pdf</t>
  </si>
  <si>
    <t>COW-FRMP_TR-223 TITLE Commitment.pdf</t>
  </si>
  <si>
    <t>COW-FRMP_TR-223 TITLE Commitment Backup Docs.pdf</t>
  </si>
  <si>
    <t>COW-FRMP_TR-223 TITLE Curative Plan.docx</t>
  </si>
  <si>
    <t>COW-FRMP_TR-224 CONTACT Letter of Intent-HDR.pdf</t>
  </si>
  <si>
    <t>COW-FRMP_TR-224 TITLE Commitment.pdf</t>
  </si>
  <si>
    <t>COW-FRMP_TR-224 TITLE Commitment Backup Docs.pdf</t>
  </si>
  <si>
    <t>COW-FRMP_TR-224 TITLE Curative Plan.docx</t>
  </si>
  <si>
    <t>COW-FRMP_TR-224 TITLE SOS Business Organization Inquiry.pdf</t>
  </si>
  <si>
    <t>COW-FRMP_TR-300 CONTACT Letter of Intent-HDR Coleman-Copy.pdf</t>
  </si>
  <si>
    <t>COW-FRMP_TR-300 CONTACT Letter of Intent-HDR Hughes.pdf</t>
  </si>
  <si>
    <t>COW-FRMP_TR-300 CONTACT Letter of Intent-HDR Mattews.pdf</t>
  </si>
  <si>
    <t>COW-FRMP_TR-300 TITLE Commitment.pdf</t>
  </si>
  <si>
    <t>COW-FRMP_TR-300 TITLE Commitment Backup Docs.pdf</t>
  </si>
  <si>
    <t>COW-FRMP_TR-300 TITLE Curative Plan.docx</t>
  </si>
  <si>
    <t>COW-FRMP_TR-301 CONTACT Letter of Intent-HDR.pdf</t>
  </si>
  <si>
    <t>COW-FRMP_TR-301 TITLE Commitment.pdf</t>
  </si>
  <si>
    <t>COW-FRMP_TR-301 TITLE Commitment Backup Docs.pdf</t>
  </si>
  <si>
    <t>COW-FRMP_TR-301 TITLE Curative Plan.docx</t>
  </si>
  <si>
    <t>COW-FRMP_TR-302 CONTACT Letter of Intent-HDR.pdf</t>
  </si>
  <si>
    <t>COW-FRMP_TR-302 TITLE Commitment.pdf</t>
  </si>
  <si>
    <t>COW-FRMP_TR-302 TITLE Commitment Backup Docs.pdf</t>
  </si>
  <si>
    <t>COW-FRMP_TR-302 TITLE Curative Plan.docx</t>
  </si>
  <si>
    <t>COW-FRMP_TR-303 CONTACT Letter of Intent-HDR R018587.pdf</t>
  </si>
  <si>
    <t>COW-FRMP_TR-303 TITLE Commitment.pdf</t>
  </si>
  <si>
    <t>COW-FRMP_TR-303 TITLE Commitment Backup Docs.pdf</t>
  </si>
  <si>
    <t>COW-FRMP_TR-303 TITLE Curative Plan.docx</t>
  </si>
  <si>
    <t>COW-FRMP_TR-304 CONTACT Initial Interview - Residential - Guzman.pdf</t>
  </si>
  <si>
    <t>COW-FRMP_TR-304 CONTACT Initial Interview - Residential - Manlongat.pdf</t>
  </si>
  <si>
    <t>COW-FRMP_TR-304 CONTACT Letter of Intent-HDR Guzman.pdf</t>
  </si>
  <si>
    <t>COW-FRMP_TR-304 CONTACT Letter of Intent-HDR L. Panes.pdf</t>
  </si>
  <si>
    <t>COW-FRMP_TR-304 CONTACT Letter of Intent-HDR Manlongat.pdf</t>
  </si>
  <si>
    <t>COW-FRMP_TR-304 CONTACT Letter of Intent-HDR P. Panes.pdf</t>
  </si>
  <si>
    <t>COW-FRMP_TR-304 SURVEY Right-of-Entry CMRR.pdf</t>
  </si>
  <si>
    <t>COW-FRMP_TR-304 TITLE Commitment.pdf</t>
  </si>
  <si>
    <t>COW-FRMP_TR-304 TITLE Commitment Backup Docs.pdf</t>
  </si>
  <si>
    <t>COW-FRMP_TR-304 TITLE Curative Plan.docx</t>
  </si>
  <si>
    <t>COW-FRMP_TR-305 CONTACT Initial Interview - Residential.pdf</t>
  </si>
  <si>
    <t>COW-FRMP_TR-305 TITLE Commitment.pdf</t>
  </si>
  <si>
    <t>COW-FRMP_TR-305 TITLE Commitment Backup Docs.pdf</t>
  </si>
  <si>
    <t>COW-FRMP_TR-305 TITLE Curative Plan.docx</t>
  </si>
  <si>
    <t>COW-FRMP_TR-305MH CONTACT Letter of Intent-HDR.pdf</t>
  </si>
  <si>
    <t>COW-FRMP_TR-307 CONTACT Letter of Intent-HDR.pdf</t>
  </si>
  <si>
    <t>COW-FRMP_TR-307 TITLE Commitment.pdf</t>
  </si>
  <si>
    <t>COW-FRMP_TR-307 TITLE Commitment Backup Docs.pdf</t>
  </si>
  <si>
    <t>COW-FRMP_TR-307 TITLE Curative Plan.docx</t>
  </si>
  <si>
    <t>COW-FRMP_TR-308 CONTACT Letter of Intent-HDR Torres.pdf</t>
  </si>
  <si>
    <t>COW-FRMP_TR-308 TITLE Commitment.pdf</t>
  </si>
  <si>
    <t>COW-FRMP_TR-308 TITLE Commitment Backup Docs.pdf</t>
  </si>
  <si>
    <t>COW-FRMP_TR-308 TITLE Curative Plan.docx</t>
  </si>
  <si>
    <t>COW-FRMP_TR-309 CONTACT Letter of Intent-HDR Garza.pdf</t>
  </si>
  <si>
    <t>COW-FRMP_TR-309 TITLE Commitment.pdf</t>
  </si>
  <si>
    <t>COW-FRMP_TR-309 TITLE Commitment Backup Docs.pdf</t>
  </si>
  <si>
    <t>COW-FRMP_TR-309 TITLE Curative Plan.docx</t>
  </si>
  <si>
    <t>COW-FRMP_TR-310 CONTACT Initial Interview - Residential.pdf</t>
  </si>
  <si>
    <t>COW-FRMP_TR-310 TITLE Commitment.pdf</t>
  </si>
  <si>
    <t>COW-FRMP_TR-310 TITLE Commitment Backup Docs.pdf</t>
  </si>
  <si>
    <t>COW-FRMP_TR-310 TITLE Curative Plan.docx</t>
  </si>
  <si>
    <t>COW-FRMP_TR-311 CONTACT Letter of Intent-HDR Cruz.pdf</t>
  </si>
  <si>
    <t>COW-FRMP_TR-311 TITLE Commitment.pdf</t>
  </si>
  <si>
    <t>COW-FRMP_TR-311 TITLE Commitment Backup Docs.pdf</t>
  </si>
  <si>
    <t>COW-FRMP_TR-311 TITLE Curative Plan.docx</t>
  </si>
  <si>
    <t>COW-FRMP_TR-312 CONTACT Initial Interview - Residential.pdf</t>
  </si>
  <si>
    <t>COW-FRMP_TR-312 CONTACT Letter of Intent-HDR Raymond Limas.pdf</t>
  </si>
  <si>
    <t>COW-FRMP_TR-312 NEGOTIATION Owner Representation Letter.pdf</t>
  </si>
  <si>
    <t>COW-FRMP_TR-312 TITLE Commitment.pdf</t>
  </si>
  <si>
    <t>COW-FRMP_TR-312 TITLE Commitment Backup Docs.pdf</t>
  </si>
  <si>
    <t>COW-FRMP_TR-312 TITLE Curative Plan.docx</t>
  </si>
  <si>
    <t>COW-FRMP_TR-313 CONTACT Initial Interview - Residential.pdf</t>
  </si>
  <si>
    <t>COW-FRMP_TR-313 NEGOTIATION Owner Representation Letter.pdf</t>
  </si>
  <si>
    <t>COW-FRMP_TR-313 TITLE Commitment.pdf</t>
  </si>
  <si>
    <t>COW-FRMP_TR-313 TITLE Commitment Backup Docs.pdf</t>
  </si>
  <si>
    <t>COW-FRMP_TR-313 TITLE Curative Plan.docx</t>
  </si>
  <si>
    <t>COW-FRMP_TR-314 TITLE Commitment.pdf</t>
  </si>
  <si>
    <t>COW-FRMP_TR-314 TITLE Commitment Backup Docs.pdf</t>
  </si>
  <si>
    <t>COW-FRMP_TR-314 TITLE Curative Plan.docx</t>
  </si>
  <si>
    <t>COW-FRMP_TR-315 CONTACT Initial Interview - Residential.pdf</t>
  </si>
  <si>
    <t>COW-FRMP_TR-315 CONTACT Letter of Intent-HDR.pdf</t>
  </si>
  <si>
    <t>COW-FRMP_TR-315 TITLE Commitment.pdf</t>
  </si>
  <si>
    <t>COW-FRMP_TR-315 TITLE Commitment Backup Docs.pdf</t>
  </si>
  <si>
    <t>COW-FRMP_TR-315 TITLE Curative Plan.docx</t>
  </si>
  <si>
    <t>COW-FRMP_TR-316 CONTACT Initial Interview - Residential.pdf</t>
  </si>
  <si>
    <t>COW-FRMP_TR-316 CONTACT Letter of Intent-HDR.pdf</t>
  </si>
  <si>
    <t>COW-FRMP_TR-316 TITLE Commitment.pdf</t>
  </si>
  <si>
    <t>COW-FRMP_TR-316 TITLE Commitment Backup Docs.pdf</t>
  </si>
  <si>
    <t>COW-FRMP_TR-316 TITLE Curative Plan.docx</t>
  </si>
  <si>
    <t>COW-FRMP_TR-317 CONTACT Initial Interview - Residential - Guzman.pdf</t>
  </si>
  <si>
    <t>COW-FRMP_TR-317 CONTACT Initial Interview - Residential - Manlongat.pdf</t>
  </si>
  <si>
    <t>COW-FRMP_TR-317 SURVEY Right-of-Entry CMRR.pdf</t>
  </si>
  <si>
    <t>COW-FRMP_TR-317 TITLE Commitment.pdf</t>
  </si>
  <si>
    <t>COW-FRMP_TR-317 TITLE Commitment Backup Docs.pdf</t>
  </si>
  <si>
    <t>COW-FRMP_TR-317 TITLE Curative Plan.docx</t>
  </si>
  <si>
    <t>COW-FRMP_TR-319 CONTACT Letter of Intent-HDR.pdf</t>
  </si>
  <si>
    <t>COW-FRMP_TR-319 TITLE Commitment.pdf</t>
  </si>
  <si>
    <t>COW-FRMP_TR-319 TITLE Commitment Backup Docs.pdf</t>
  </si>
  <si>
    <t>COW-FRMP_TR-319 TITLE Curative Plan.docx</t>
  </si>
  <si>
    <t>COW-FRMP_TR-320 CONTACT Initial Interview - Residential.pdf</t>
  </si>
  <si>
    <t>COW-FRMP_TR-320 CONTACT Letter of Intent-HDR.pdf</t>
  </si>
  <si>
    <t>COW-FRMP_TR-320 TITLE Commitment.pdf</t>
  </si>
  <si>
    <t>COW-FRMP_TR-320 TITLE Commitment Backup Docs.pdf</t>
  </si>
  <si>
    <t>COW-FRMP_TR-320 TITLE Curative Plan.docx</t>
  </si>
  <si>
    <t>COW-FRMP_TR-321 TITLE Commitment.pdf</t>
  </si>
  <si>
    <t>COW-FRMP_TR-321 TITLE Commitment Backup Docs.pdf</t>
  </si>
  <si>
    <t>COW-FRMP_TR-321 TITLE Curative Plan.docx</t>
  </si>
  <si>
    <t>COW-FRMP_TR-421A CONTACT Initial Interview - Residential.pdf</t>
  </si>
  <si>
    <t>COW-FRMP_TR-421A CONTACT Letter of Intent-HDR.pdf</t>
  </si>
  <si>
    <t>COW-FRMP_TR-421A TITLE Commitment.pdf</t>
  </si>
  <si>
    <t>COW-FRMP_TR-421A TITLE Commitment Backup Docs.pdf</t>
  </si>
  <si>
    <t>COW-FRMP_TR-421A TITLE Curative Plan.docx</t>
  </si>
  <si>
    <t>COW-FRMP_TR-427 CONTACT Letter of Intent-HDR.pdf</t>
  </si>
  <si>
    <t>COW-FRMP_TR-427 TITLE Commitment.pdf</t>
  </si>
  <si>
    <t>COW-FRMP_TR-427 TITLE Commitment Backup Docs.pdf</t>
  </si>
  <si>
    <t>COW-FRMP_TR-427 TITLE Curative Plan.docx</t>
  </si>
  <si>
    <t>COWFRLPHDR-5-478</t>
  </si>
  <si>
    <t>COWFRLPHDR-5-479</t>
  </si>
  <si>
    <t>COWFRLPHDR-5-480</t>
  </si>
  <si>
    <t>COWFRLPHDR-5-481</t>
  </si>
  <si>
    <t>COWFRLPHDR-5-482</t>
  </si>
  <si>
    <t>COWFRLPHDR-5-503</t>
  </si>
  <si>
    <t>COWFRLPHDR-5-474</t>
  </si>
  <si>
    <t>COWFRLPHDR-5-486</t>
  </si>
  <si>
    <t>COWFRLPHDR-5-502</t>
  </si>
  <si>
    <t>COWFRLPHDR-5-501</t>
  </si>
  <si>
    <t>COWFRLPHDR-5-493</t>
  </si>
  <si>
    <t>COWFRLPHDR-5-494</t>
  </si>
  <si>
    <t>COWFRLPHDR-5-495</t>
  </si>
  <si>
    <t>COWFRLPHDR-5-496</t>
  </si>
  <si>
    <t>COWFRLPHDR-5-497</t>
  </si>
  <si>
    <t>COWFRLPHDR-5-498</t>
  </si>
  <si>
    <t>COWFRLPHDR-5-499</t>
  </si>
  <si>
    <t>COWFRLPHDR-5-500</t>
  </si>
  <si>
    <t>COWFRLPHDR-5-504</t>
  </si>
  <si>
    <t>COWFRLPHDR-5-505</t>
  </si>
  <si>
    <t>COWFRLPHDR-5-506</t>
  </si>
  <si>
    <t>COWFRLPHDR-5-512</t>
  </si>
  <si>
    <t>COWFRLPHDR-5-513</t>
  </si>
  <si>
    <t>COWFRLPHDR-5-524</t>
  </si>
  <si>
    <t>COWFRLPHDR-5-525</t>
  </si>
  <si>
    <t>COWFRLPHDR-5-526</t>
  </si>
  <si>
    <t>COWFRLPHDR-5-529</t>
  </si>
  <si>
    <t>COWFRLPHDR-5-532</t>
  </si>
  <si>
    <t>COWFRLPHDR-5-535</t>
  </si>
  <si>
    <t>COWFRLPHDR-5-536</t>
  </si>
  <si>
    <t>COWFRLPHDR-5-541</t>
  </si>
  <si>
    <t>COWFRLPHDR-5-542</t>
  </si>
  <si>
    <t>COWFRLPHDR-5-543</t>
  </si>
  <si>
    <t>COWFRLPHDR-5-544</t>
  </si>
  <si>
    <t>COWFRLPHDR-5-540</t>
  </si>
  <si>
    <t>COWFRLPHDR-5-533</t>
  </si>
  <si>
    <t>COWFRLPHDR-5-534</t>
  </si>
  <si>
    <t>COWFRLPHDR-5-531</t>
  </si>
  <si>
    <t>COWFRLPHDR-5-530</t>
  </si>
  <si>
    <t>COWFRLPHDR-5-528</t>
  </si>
  <si>
    <t>COWFRLPHDR-5-472</t>
  </si>
  <si>
    <t>COWFRLPHDR-5-527</t>
  </si>
  <si>
    <t>COWFRLPHDR-5-473</t>
  </si>
  <si>
    <t>COWFRLPHDR-5-508</t>
  </si>
  <si>
    <t>COWFRLPHDR-5-546</t>
  </si>
  <si>
    <t>COWFRLPHDR-5-547</t>
  </si>
  <si>
    <t>COWFRLPHDR-5-562</t>
  </si>
  <si>
    <t>COWFRLPHDR-5-563</t>
  </si>
  <si>
    <t>COWFRLPHDR-5-558</t>
  </si>
  <si>
    <t>COWFRLPHDR-5-551</t>
  </si>
  <si>
    <t>COWFRLPHDR-5-545</t>
  </si>
  <si>
    <t>Ambrose Group</t>
  </si>
  <si>
    <t>0 WILKES</t>
  </si>
  <si>
    <t>Robert S. Vineyard and Vineyard Cattle Company, Inc.</t>
  </si>
  <si>
    <t>Hudgins-Groover</t>
  </si>
  <si>
    <t>UNKN001;#90</t>
  </si>
  <si>
    <t>N/A</t>
  </si>
  <si>
    <t>1816 Azalea Dr.</t>
  </si>
  <si>
    <t>UNKN002;#91</t>
  </si>
  <si>
    <t>Marie Evelia Duran</t>
  </si>
  <si>
    <t>0, 1713, 1715, 1819 Camelia Ave.</t>
  </si>
  <si>
    <t>1500 Camellia St</t>
  </si>
  <si>
    <t>UNKN003;#19</t>
  </si>
  <si>
    <t>W. A. Harrison Agriculture, LTD.</t>
  </si>
  <si>
    <t>420 &amp; 436 S Sheppard</t>
  </si>
  <si>
    <t>Eva Angeline Muniz, Elizabeth Silva, Olga Rivera, Joe Ramirez, Oscar Ramirez, Jerry Rameriz, Brenda Jeanette Chavana, and Ruth Ann Gonzales</t>
  </si>
  <si>
    <t>Clarence Manciaz, Sr.</t>
  </si>
  <si>
    <t>4739 Arvilla Ln</t>
  </si>
  <si>
    <t>2019-0831</t>
  </si>
  <si>
    <t>501 &amp; 503 S Ford</t>
  </si>
  <si>
    <t>Raymond and Demetria Frazier</t>
  </si>
  <si>
    <t>UNKN004;#92</t>
  </si>
  <si>
    <t>0 Sunset St</t>
  </si>
  <si>
    <t>Annie Garza Torres</t>
  </si>
  <si>
    <t xml:space="preserve">Raymond G. Rodriguez and Mollie Garza </t>
  </si>
  <si>
    <t>509 Bell Street</t>
  </si>
  <si>
    <t>Raymond Limas and Cindy Limas</t>
  </si>
  <si>
    <t>Raymond and Cindy Limas</t>
  </si>
  <si>
    <t>Gerald Wayne Segrest, Guy Walker Segrest III,  and Dianne Segrest</t>
  </si>
  <si>
    <t>Colorado</t>
  </si>
  <si>
    <t>2019-0924</t>
  </si>
  <si>
    <t>80916</t>
  </si>
  <si>
    <t>Sunset St</t>
  </si>
  <si>
    <t>319 N Outlar Street</t>
  </si>
  <si>
    <t xml:space="preserve">Mollie </t>
  </si>
  <si>
    <t>PROPERTYRIGHTS@SHOWALTERLAW.COM</t>
  </si>
  <si>
    <t>281-341-5577</t>
  </si>
  <si>
    <t>1117 FM 359, STE 200</t>
  </si>
  <si>
    <t>RICHMOND, TX 77406</t>
  </si>
  <si>
    <t>SHOWALTER LAW FIRM</t>
  </si>
  <si>
    <t>Julian Cantero</t>
  </si>
  <si>
    <t>14316 Lark Meadow Cove</t>
  </si>
  <si>
    <t>Venus, TX  76084</t>
  </si>
  <si>
    <t xml:space="preserve">979-531-1355 LIMAS </t>
  </si>
  <si>
    <t>This person has a life estate associated with the tract.</t>
  </si>
  <si>
    <t>NEGOTIATION Initial Offer Package</t>
  </si>
  <si>
    <t>NEGOTIATION Initial Offer Package CMRR</t>
  </si>
  <si>
    <t>HUDGINS-GROOVER</t>
  </si>
  <si>
    <t>1617 Camelia St</t>
  </si>
  <si>
    <t>Fred Esparza Estate c/o Estella Gomez</t>
  </si>
  <si>
    <t>Tax Card address is PO Box 244, Weimer, TX 78962-0244 - ALL Mail is returned</t>
  </si>
  <si>
    <t>Tax Card list Owner Name as Annie G. Torres</t>
  </si>
  <si>
    <t>64121-9335</t>
  </si>
  <si>
    <t>Raymond L Frazier, Sr.</t>
  </si>
  <si>
    <t>Clarence Manciaz Sr % BCL of Texas</t>
  </si>
  <si>
    <t>505 Colorado</t>
  </si>
  <si>
    <t>0 Wilkes</t>
  </si>
  <si>
    <t>0 MLK Blvd</t>
  </si>
  <si>
    <t>0 Columbine Ave</t>
  </si>
  <si>
    <t>0 Bell</t>
  </si>
  <si>
    <t>Appraisal Firm</t>
  </si>
  <si>
    <t>David Ambrose</t>
  </si>
  <si>
    <t>Cameron Boone</t>
  </si>
  <si>
    <t>Richard Hudgins</t>
  </si>
  <si>
    <t>Utility Easements</t>
  </si>
  <si>
    <t>Wharton, TX</t>
  </si>
  <si>
    <t>Wharton, Texas  77488</t>
  </si>
  <si>
    <t>Houston, TX</t>
  </si>
  <si>
    <t>Houston, TX  77021-2827</t>
  </si>
  <si>
    <t>Owner City, ST  Zip</t>
  </si>
  <si>
    <t>Doc Date_1</t>
  </si>
  <si>
    <t>Doc Date_2</t>
  </si>
  <si>
    <t xml:space="preserve">Transmission pipeline-Humble Pipeline
Transmission pipeline-Enterprise TX Pipeline
Transmission pipeline-HSC Pipeline
Transmission pipeline-Gulf South Pipeline
Transmission pipeline-Kinder Morgan
</t>
  </si>
  <si>
    <t>Power transmission-Houston Power &amp; Lighting
Power Transmission-Houston Power &amp; Lighting</t>
  </si>
  <si>
    <t>Oil &amp; Gas Lease-Dal-Long Oil Co.
Oil &amp; Gas Lease-Dal-Long Oil Co.</t>
  </si>
  <si>
    <t>ROW for pipeline const./maint.-Natural Gas Pipeline Co.
ROW for pipeline const./maint.-Natural Gas Pipeline Co.
Gas &amp; Mineral Lease-Dal-Long Oil Co.</t>
  </si>
  <si>
    <t>Electric Transmission Line-Houston Lighting &amp; Power</t>
  </si>
  <si>
    <t>Electric trans./dist. lines-Houston Power &amp; Lighting
Electric trans./dist. lines-Houston Power &amp; Lighting
Electric trans./dist. lines-Houston Power &amp; Lighting</t>
  </si>
  <si>
    <t>R023686;#195</t>
  </si>
  <si>
    <t>Khan, Lily</t>
  </si>
  <si>
    <t>DeLeon, Melissa</t>
  </si>
  <si>
    <t>NEGOTIATION Landowner Bill of Rights Letter</t>
  </si>
  <si>
    <t>Landowner Bill of Rights Letter</t>
  </si>
  <si>
    <t>CONTACT Pre-Appraisal Contact with Owner</t>
  </si>
  <si>
    <t>Pre-Appraisal Contact with Owner</t>
  </si>
  <si>
    <t>Approved</t>
  </si>
  <si>
    <t>GF 2019-1001</t>
  </si>
  <si>
    <t>COW-FRMP_TR-100 TITLE SOS Business Organization Inquiry.pdf</t>
  </si>
  <si>
    <t>COW-FRMP_TR-212 TITLE Commitment.pdf</t>
  </si>
  <si>
    <t>COW-FRMP_TR-212 TITLE Curative Plan.docx</t>
  </si>
  <si>
    <t>COWFRLPHDR-5-712</t>
  </si>
  <si>
    <t>COWFRLPHDR-5-672</t>
  </si>
  <si>
    <t>COWFRLPHDR-5-575</t>
  </si>
  <si>
    <t>COWFRLPHDR-5-576</t>
  </si>
  <si>
    <t>COWFRLPHDR-5-708</t>
  </si>
  <si>
    <t>COWFRLPHDR-5-577</t>
  </si>
  <si>
    <t>COWFRLPHDR-5-578</t>
  </si>
  <si>
    <t>COWFRLPHDR-5-673</t>
  </si>
  <si>
    <t>COWFRLPHDR-5-579</t>
  </si>
  <si>
    <t>COWFRLPHDR-5-674</t>
  </si>
  <si>
    <t>COWFRLPHDR-5-675</t>
  </si>
  <si>
    <t>COWFRLPHDR-5-711</t>
  </si>
  <si>
    <t>COWFRLPHDR-5-590</t>
  </si>
  <si>
    <t>COWFRLPHDR-5-703</t>
  </si>
  <si>
    <t>COWFRLPHDR-5-591</t>
  </si>
  <si>
    <t>COWFRLPHDR-5-706</t>
  </si>
  <si>
    <t>COWFRLPHDR-5-705</t>
  </si>
  <si>
    <t>COWFRLPHDR-5-707</t>
  </si>
  <si>
    <t>COWFRLPHDR-5-592</t>
  </si>
  <si>
    <t>COWFRLPHDR-5-676</t>
  </si>
  <si>
    <t>COWFRLPHDR-5-595</t>
  </si>
  <si>
    <t>COWFRLPHDR-5-677</t>
  </si>
  <si>
    <t>COWFRLPHDR-5-596</t>
  </si>
  <si>
    <t>COWFRLPHDR-5-597</t>
  </si>
  <si>
    <t>COWFRLPHDR-5-678</t>
  </si>
  <si>
    <t>COWFRLPHDR-5-598</t>
  </si>
  <si>
    <t>COWFRLPHDR-5-709</t>
  </si>
  <si>
    <t>COWFRLPHDR-5-679</t>
  </si>
  <si>
    <t>COWFRLPHDR-5-635</t>
  </si>
  <si>
    <t>COWFRLPHDR-5-636</t>
  </si>
  <si>
    <t>COWFRLPHDR-5-639</t>
  </si>
  <si>
    <t>COWFRLPHDR-5-680</t>
  </si>
  <si>
    <t>COWFRLPHDR-5-640</t>
  </si>
  <si>
    <t>COWFRLPHDR-5-641</t>
  </si>
  <si>
    <t>COWFRLPHDR-5-642</t>
  </si>
  <si>
    <t>COWFRLPHDR-5-702</t>
  </si>
  <si>
    <t>COWFRLPHDR-5-648</t>
  </si>
  <si>
    <t>COWFRLPHDR-5-649</t>
  </si>
  <si>
    <t>COWFRLPHDR-5-650</t>
  </si>
  <si>
    <t>COWFRLPHDR-5-651</t>
  </si>
  <si>
    <t>COWFRLPHDR-5-652</t>
  </si>
  <si>
    <t>COWFRLPHDR-5-653</t>
  </si>
  <si>
    <t>COWFRLPHDR-5-654</t>
  </si>
  <si>
    <t>COWFRLPHDR-5-659</t>
  </si>
  <si>
    <t>COWFRLPHDR-5-660</t>
  </si>
  <si>
    <t>COWFRLPHDR-5-664</t>
  </si>
  <si>
    <t>COWFRLPHDR-5-681</t>
  </si>
  <si>
    <t>COWFRLPHDR-5-665</t>
  </si>
  <si>
    <t>COWFRLPHDR-5-666</t>
  </si>
  <si>
    <t>COWFRLPHDR-5-667</t>
  </si>
  <si>
    <t>COWFRLPHDR-5-704</t>
  </si>
  <si>
    <t>COWFRLPHDR-5-570</t>
  </si>
  <si>
    <t>COWFRLPHDR-5-572</t>
  </si>
  <si>
    <t>R012824;#94</t>
  </si>
  <si>
    <t>ENV</t>
  </si>
  <si>
    <t>Melissa DeLeon</t>
  </si>
  <si>
    <t>R012825;#95</t>
  </si>
  <si>
    <t>PH1</t>
  </si>
  <si>
    <t>J-M Manufacturing Company, Inc.</t>
  </si>
  <si>
    <t>P.O. Box 1240</t>
  </si>
  <si>
    <t>Wharton, TX 77488</t>
  </si>
  <si>
    <t>R012826;#96</t>
  </si>
  <si>
    <t>P.O. Box 3670</t>
  </si>
  <si>
    <t>Brownsville, TX 78523</t>
  </si>
  <si>
    <t>R012827;#97</t>
  </si>
  <si>
    <t>Revised TC received 01-21-2020</t>
  </si>
  <si>
    <t>R012824</t>
  </si>
  <si>
    <t>ALLEN ARNESHA</t>
  </si>
  <si>
    <t>210 TEA GARDEN CT</t>
  </si>
  <si>
    <t>77488-000</t>
  </si>
  <si>
    <t>CLINE BLOCK 3 LOT 7 Acres:0.1664</t>
  </si>
  <si>
    <t>R012825</t>
  </si>
  <si>
    <t>1024 KEARNEY</t>
  </si>
  <si>
    <t>WHARTON,</t>
  </si>
  <si>
    <t>CLINE BLOCK 3 LOT 8 Acres:0.1664</t>
  </si>
  <si>
    <t>R012826</t>
  </si>
  <si>
    <t>YOUNG ARMOUR &amp; WF</t>
  </si>
  <si>
    <t>3512 BANDA</t>
  </si>
  <si>
    <t>AUSTIN</t>
  </si>
  <si>
    <t>78725-0000</t>
  </si>
  <si>
    <t>CLINE BLOCK 3 LOT 9,9A Acres:0.0539</t>
  </si>
  <si>
    <t>R012827</t>
  </si>
  <si>
    <t>VINEYARD ROBERT M</t>
  </si>
  <si>
    <t>PO BOX 55869</t>
  </si>
  <si>
    <t>HOUSTON</t>
  </si>
  <si>
    <t>77255</t>
  </si>
  <si>
    <t>CLINE BLOCK 3 LOT 10 Acres:0.1664</t>
  </si>
  <si>
    <t>R012828</t>
  </si>
  <si>
    <t>HAYES BERTHA LEE ESTATE</t>
  </si>
  <si>
    <t>1014 W KEARNEY</t>
  </si>
  <si>
    <t>CLINE BLOCK 3 LOT 11 Acres:0.1664</t>
  </si>
  <si>
    <t>R012829</t>
  </si>
  <si>
    <t>WOODS JIMMIE LEE SR</t>
  </si>
  <si>
    <t>1016 W KEARNEY</t>
  </si>
  <si>
    <t>77488-5326</t>
  </si>
  <si>
    <t>CLINE BLOCK 3 LOT 12 1997 SUNSHINE 16X76 LABEL # NTA0755684 SERIAL # ALS04671 Acres:0.1664</t>
  </si>
  <si>
    <t>R012830</t>
  </si>
  <si>
    <t>WOODS JIMMY L SR</t>
  </si>
  <si>
    <t>1016 KEARNEY</t>
  </si>
  <si>
    <t>1004 KEARNEY</t>
  </si>
  <si>
    <t>CLINE BLOCK 3 LOT 13,14 Acres:0.3329</t>
  </si>
  <si>
    <t>R012832</t>
  </si>
  <si>
    <t>ALLEN ANNIE L</t>
  </si>
  <si>
    <t>211 TEA GARDEN CTS</t>
  </si>
  <si>
    <t>1020 W KEARNEY</t>
  </si>
  <si>
    <t>CLINE BLOCK 3 LOT 9B Acres:0.0717</t>
  </si>
  <si>
    <t>R012834</t>
  </si>
  <si>
    <t>TURNER THELMA</t>
  </si>
  <si>
    <t>304 S SHEPPARD</t>
  </si>
  <si>
    <t>CLINE BLOCK 4 LOT 1A,2A Acres:0.2026</t>
  </si>
  <si>
    <t>R012835</t>
  </si>
  <si>
    <t>302 S SHEPPARD</t>
  </si>
  <si>
    <t>CLINE BLOCK 4 LOT 3 Acres:0.1664</t>
  </si>
  <si>
    <t>R012836</t>
  </si>
  <si>
    <t>JOHNSON ROBERT C &amp; WF</t>
  </si>
  <si>
    <t>1021 W KEARNEY</t>
  </si>
  <si>
    <t>CLINE BLOCK 4 LOT 4,5,6 Acres:0.4993</t>
  </si>
  <si>
    <t>R012837</t>
  </si>
  <si>
    <t>0  W KEARNEY</t>
  </si>
  <si>
    <t>CLINE BLOCK 4 LOT 7 Acres:0.1664</t>
  </si>
  <si>
    <t>R012838</t>
  </si>
  <si>
    <t>CARTER DAISY G</t>
  </si>
  <si>
    <t>1024 W DAMON</t>
  </si>
  <si>
    <t>CLINE BLOCK 4 LOT 8 Acres:0.1664</t>
  </si>
  <si>
    <t>R012839</t>
  </si>
  <si>
    <t>JOHNSON JAKE HOMER JR</t>
  </si>
  <si>
    <t>1014 DAMON</t>
  </si>
  <si>
    <t>1014 W DAMON</t>
  </si>
  <si>
    <t>CLINE BLOCK 4 LOT 9 Acres:0.1664</t>
  </si>
  <si>
    <t>R012840</t>
  </si>
  <si>
    <t>THOMAS BILLIE JEAN H</t>
  </si>
  <si>
    <t>3921 N MOUNT ROYAL PLACE</t>
  </si>
  <si>
    <t>TUCSON</t>
  </si>
  <si>
    <t>AZ</t>
  </si>
  <si>
    <t>85749</t>
  </si>
  <si>
    <t>0 W DAMON</t>
  </si>
  <si>
    <t>CLINE BLOCK 4 LOT 10 Acres:0.1664</t>
  </si>
  <si>
    <t>R012841</t>
  </si>
  <si>
    <t>HARDEMON GENE &amp; CHRYLE</t>
  </si>
  <si>
    <t>131 HOLINESS LANE</t>
  </si>
  <si>
    <t>1010 DAMON</t>
  </si>
  <si>
    <t>CLINE BLOCK 4 LOT 11,12 Acres:0.3329</t>
  </si>
  <si>
    <t>R012842</t>
  </si>
  <si>
    <t>KING EDDIE EST %PHYNON EDDIE</t>
  </si>
  <si>
    <t>314 S SHEPPARD</t>
  </si>
  <si>
    <t>CLINE BLOCK 4 LOT 13A,14A Acres:0.1033</t>
  </si>
  <si>
    <t>R012843</t>
  </si>
  <si>
    <t>HARDEMON GENE CHRYLE</t>
  </si>
  <si>
    <t>310 S SHEPPARD</t>
  </si>
  <si>
    <t>CLINE BLOCK 4 LOT 13B,14B Acres:0.2296</t>
  </si>
  <si>
    <t>R015979</t>
  </si>
  <si>
    <t>J-M MANUFACTURING CO</t>
  </si>
  <si>
    <t>5200 W CENTURY BLVD 10TH FLOOR</t>
  </si>
  <si>
    <t>LOS ANGELES</t>
  </si>
  <si>
    <t>0 MLK BLVD</t>
  </si>
  <si>
    <t>JOHN HARRIS LOT 64D-4,64D-5 Acres:5.7900</t>
  </si>
  <si>
    <t>R015981</t>
  </si>
  <si>
    <t>ARGUIJO ALICE</t>
  </si>
  <si>
    <t>321 HOUSTON ST</t>
  </si>
  <si>
    <t>ROSENBERG</t>
  </si>
  <si>
    <t>77471</t>
  </si>
  <si>
    <t>414 WILKES</t>
  </si>
  <si>
    <t>JOHN HARRIS LOT 64D-7,64D-15 Acres:0.2755</t>
  </si>
  <si>
    <t>R015983</t>
  </si>
  <si>
    <t>PHILLIPS EDNA</t>
  </si>
  <si>
    <t>410 WILKES</t>
  </si>
  <si>
    <t>JOHN HARRIS LOT 64D-10 Acres:0.1377</t>
  </si>
  <si>
    <t>R015995</t>
  </si>
  <si>
    <t>MANSKE RICHARD L</t>
  </si>
  <si>
    <t>4499 US 90 AB</t>
  </si>
  <si>
    <t>ALLEYTON</t>
  </si>
  <si>
    <t>78935</t>
  </si>
  <si>
    <t>0  WILKES</t>
  </si>
  <si>
    <t>JOHN HARRIS LOT 64D-29 Acres:0.2755</t>
  </si>
  <si>
    <t>R015996</t>
  </si>
  <si>
    <t>TANNER LILY</t>
  </si>
  <si>
    <t>1539 W 71ST</t>
  </si>
  <si>
    <t>90047</t>
  </si>
  <si>
    <t>JOHN HARRIS LOT 64D-30 Acres:0.1377</t>
  </si>
  <si>
    <t>R015997</t>
  </si>
  <si>
    <t>PHILLIPS MANUEL</t>
  </si>
  <si>
    <t>JOHN HARRIS LOT 64D-32 Acres:0.1377</t>
  </si>
  <si>
    <t>R015999</t>
  </si>
  <si>
    <t>NELSON RODNEY B &amp; NELSON SHANICE NE SHAY</t>
  </si>
  <si>
    <t>220 WILKE</t>
  </si>
  <si>
    <t>JOHN HARRIS LOT 64D-35 Acres:0.1377</t>
  </si>
  <si>
    <t>R016003</t>
  </si>
  <si>
    <t>JOHN HARRIS LOT 64D-40 Acres:0.1377</t>
  </si>
  <si>
    <t>R018352</t>
  </si>
  <si>
    <t>LANGSTON EDNA L ETAL</t>
  </si>
  <si>
    <t>5520 RAYBURN LN</t>
  </si>
  <si>
    <t>78723</t>
  </si>
  <si>
    <t>0  HARRIS</t>
  </si>
  <si>
    <t>OSCAR JENKINS LOT 12,13,14,15,16 Acres:0.4740</t>
  </si>
  <si>
    <t>R018523</t>
  </si>
  <si>
    <t>GREEN FERBE</t>
  </si>
  <si>
    <t>1113 W MILAM</t>
  </si>
  <si>
    <t>WM.KINCHELOE BLOCK 63 LOT 154D Acres:0.1664</t>
  </si>
  <si>
    <t>R018536</t>
  </si>
  <si>
    <t>SCARLET DURIA III</t>
  </si>
  <si>
    <t>1318 HARRIS ST</t>
  </si>
  <si>
    <t>77488-3905</t>
  </si>
  <si>
    <t>0  S SHEPPARD</t>
  </si>
  <si>
    <t>WM.KINCHELOE BLOCK 63 LOT 165B Acres:0.1664</t>
  </si>
  <si>
    <t>R018557</t>
  </si>
  <si>
    <t>EDWARDS CURTIS E</t>
  </si>
  <si>
    <t>303 S SHEPPARD</t>
  </si>
  <si>
    <t>WM.KINCHELOE BLOCK 63 LOT 173E Acres:0.3329</t>
  </si>
  <si>
    <t>R018559</t>
  </si>
  <si>
    <t>0  KEARNEY</t>
  </si>
  <si>
    <t>WM.KINCHELOE BLOCK 63 LOT 173C Acres:0.1664</t>
  </si>
  <si>
    <t>R018560</t>
  </si>
  <si>
    <t>EDWARDS CURTIS E &amp; WF</t>
  </si>
  <si>
    <t>0 S SHEPPARD</t>
  </si>
  <si>
    <t>WM.KINCHELOE BLOCK 63 LOT 173D Acres:0.1664</t>
  </si>
  <si>
    <t>R018568</t>
  </si>
  <si>
    <t>HAYNES ERNESTINE EST</t>
  </si>
  <si>
    <t>306 S FORD</t>
  </si>
  <si>
    <t>77488-5314</t>
  </si>
  <si>
    <t>WM.KINCHELOE BLOCK 63 LOT 177, TRACT 78 1994 14X56 LABEL # TEX0500647 Acres:0.3444</t>
  </si>
  <si>
    <t>R018573</t>
  </si>
  <si>
    <t>HAYES JEFFERY ETUX BESSIE</t>
  </si>
  <si>
    <t>404 S FORD</t>
  </si>
  <si>
    <t>322 S FORD</t>
  </si>
  <si>
    <t>WM.KINCHELOE BLOCK 63 LOT 182 Acres:0.1664</t>
  </si>
  <si>
    <t>R018574</t>
  </si>
  <si>
    <t>HAYES BESSIE J</t>
  </si>
  <si>
    <t>WM.KINCHELOE BLOCK 63 LOT 183 1994 FLEETWOOD HOMES SUNCREST 28X48 DW LABEL # TEX0499714 SERIAL # TXFLR84A08412 Acres:0.1664</t>
  </si>
  <si>
    <t>R018576</t>
  </si>
  <si>
    <t>RODRIGUEZ JULIA R</t>
  </si>
  <si>
    <t>408 S FORD</t>
  </si>
  <si>
    <t>WM.KINCHELOE BLOCK 63 LOT 185,186A Acres:0.2583</t>
  </si>
  <si>
    <t>R018577</t>
  </si>
  <si>
    <t>LLANES JUANITA</t>
  </si>
  <si>
    <t>500 S FORD</t>
  </si>
  <si>
    <t>WM.KINCHELOE BLOCK 63 LOT 186B,187 Acres:0.2583</t>
  </si>
  <si>
    <t>R018578</t>
  </si>
  <si>
    <t>NUNEZ ELIDA</t>
  </si>
  <si>
    <t>502 S FORD ST</t>
  </si>
  <si>
    <t>302 S FORD</t>
  </si>
  <si>
    <t>WM.KINCHELOE BLOCK 63 LOT 188 Acres:0.1722</t>
  </si>
  <si>
    <t>R018579</t>
  </si>
  <si>
    <t>RIVERA ERNEST &amp; ELIDA</t>
  </si>
  <si>
    <t>502 S FORD</t>
  </si>
  <si>
    <t>WM.KINCHELOE BLOCK 63 LOT 189 Acres:0.1722</t>
  </si>
  <si>
    <t>R018580</t>
  </si>
  <si>
    <t>RIVERA RAUL</t>
  </si>
  <si>
    <t>520 S FORD</t>
  </si>
  <si>
    <t>504 S FORD</t>
  </si>
  <si>
    <t>WM.KINCHELOE BLOCK 63 LOT 190 Acres:0.1722</t>
  </si>
  <si>
    <t>R018581</t>
  </si>
  <si>
    <t>ANDERSON VELMA L ESTATE</t>
  </si>
  <si>
    <t>4530 CR 166 RD</t>
  </si>
  <si>
    <t>510 S FORD</t>
  </si>
  <si>
    <t>WM.KINCHELOE BLOCK 63 LOT 191 Acres:0.1722</t>
  </si>
  <si>
    <t>R018582</t>
  </si>
  <si>
    <t>JC RENTALS LLC</t>
  </si>
  <si>
    <t>PO BOX 223</t>
  </si>
  <si>
    <t>HUNGERFORD</t>
  </si>
  <si>
    <t>77448</t>
  </si>
  <si>
    <t>516 S FORD</t>
  </si>
  <si>
    <t>WM.KINCHELOE BLOCK 63 LOT 192 Acres:0.1722</t>
  </si>
  <si>
    <t>R018583</t>
  </si>
  <si>
    <t>WM.KINCHELOE BLOCK 63 LOT 193 Acres:0.1722</t>
  </si>
  <si>
    <t>R018584</t>
  </si>
  <si>
    <t>RODRIGUEZ ELIAS M</t>
  </si>
  <si>
    <t>528 S FORD</t>
  </si>
  <si>
    <t>WM.KINCHELOE BLOCK 63 LOT 195 Acres:0.1722</t>
  </si>
  <si>
    <t>R018593</t>
  </si>
  <si>
    <t>HAYES JEFFERY L</t>
  </si>
  <si>
    <t>315 S FORD</t>
  </si>
  <si>
    <t>WM.KINCHELOE BLOCK 63 LOT 208 Acres:0.1664</t>
  </si>
  <si>
    <t>R018594</t>
  </si>
  <si>
    <t>313 S FORD</t>
  </si>
  <si>
    <t>WM.KINCHELOE BLOCK 63 LOT 209 Acres:0.1664</t>
  </si>
  <si>
    <t>R018604</t>
  </si>
  <si>
    <t>MARKS NORMA</t>
  </si>
  <si>
    <t>526 S FORD</t>
  </si>
  <si>
    <t>WM.KINCHELOE BLOCK 63 LOT 194 Acres:0.1722</t>
  </si>
  <si>
    <t>R018674</t>
  </si>
  <si>
    <t>RODRIGUEZ JOE SR</t>
  </si>
  <si>
    <t>922 CR 188 RD</t>
  </si>
  <si>
    <t>922 CR 188</t>
  </si>
  <si>
    <t>WM.KINCHELOE BLOCK 68 LOT A,1B-3 Acres:1.1100</t>
  </si>
  <si>
    <t>R018678</t>
  </si>
  <si>
    <t>GARCIA JUAN JR</t>
  </si>
  <si>
    <t>927 CR 188</t>
  </si>
  <si>
    <t>WM.KINCHELOE BLOCK 68 LOT B 2006 AMERICAN HOMESTAR GALAXY 16X56 DW LABEL # PFS0965720 SERIAL # OC010717398 Acres:0.8500</t>
  </si>
  <si>
    <t>R018679</t>
  </si>
  <si>
    <t>GREENWOOD JOHN M JR ETUX VIRGINIA</t>
  </si>
  <si>
    <t>410 WILD OAK</t>
  </si>
  <si>
    <t>EULESS</t>
  </si>
  <si>
    <t>76039</t>
  </si>
  <si>
    <t>0 FM 1299</t>
  </si>
  <si>
    <t>WM.KINCHELOE BLOCK 68 LOT 1B-1,1B-1C,1B-1D Acres:15.8596</t>
  </si>
  <si>
    <t>R018684</t>
  </si>
  <si>
    <t>ULLMANN LINDA FRAZIER</t>
  </si>
  <si>
    <t>400 E CANEY</t>
  </si>
  <si>
    <t>WM.KINCHELOE BLOCK 68 LOT 1B-2 Acres:20.2870</t>
  </si>
  <si>
    <t>R018695</t>
  </si>
  <si>
    <t>LOPEZ JUVENAL</t>
  </si>
  <si>
    <t>420 E WAYSIDE</t>
  </si>
  <si>
    <t>826 S EAST AVE</t>
  </si>
  <si>
    <t>WM.KINCHELOE BLOCK 68 LOT 1G,1G-1 Acres:0.7040</t>
  </si>
  <si>
    <t>R018696</t>
  </si>
  <si>
    <t>GARCIA NATIVIDAD HEIR OF JESUS GARCIA-DECD</t>
  </si>
  <si>
    <t>1264 CR 188 RD</t>
  </si>
  <si>
    <t>1264 CR 188</t>
  </si>
  <si>
    <t>WM.KINCHELOE BLOCK 68 LOT 1L-1,1L-2 Acres:1.0000</t>
  </si>
  <si>
    <t>R018697</t>
  </si>
  <si>
    <t>GOMEZ RICARDO E ETUX ERMINIA L</t>
  </si>
  <si>
    <t>914 CR 188 RD</t>
  </si>
  <si>
    <t>77488-9575</t>
  </si>
  <si>
    <t>914 CR 188</t>
  </si>
  <si>
    <t>WM.KINCHELOE BLOCK 68 LOT 1J,1J-1 Acres:0.5940</t>
  </si>
  <si>
    <t>R018699</t>
  </si>
  <si>
    <t>WHARTON CITY OF %CABRERA SERGIO</t>
  </si>
  <si>
    <t>PO BOX 311507</t>
  </si>
  <si>
    <t>NEW BRAUNFELS</t>
  </si>
  <si>
    <t>78131-1507</t>
  </si>
  <si>
    <t>0 W ELM</t>
  </si>
  <si>
    <t>WM.KINCHELOE BLOCK 68 Acres:1.1980</t>
  </si>
  <si>
    <t>R020844</t>
  </si>
  <si>
    <t>ZAMUDIO JOSE</t>
  </si>
  <si>
    <t>534 E CANEY</t>
  </si>
  <si>
    <t>604 MURPHY AVE</t>
  </si>
  <si>
    <t>MT.CARMEL BLOCK 2 LOT 3,4,17,18 Acres:0.1772</t>
  </si>
  <si>
    <t>R020845</t>
  </si>
  <si>
    <t>MULTIPLE OWNERS -  CAMACHO JOHN SR LIFE ESTATE</t>
  </si>
  <si>
    <t>610 MURPHY AVE</t>
  </si>
  <si>
    <t>MT.CARMEL BLOCK 2 LOT 5,6,15,16 Acres:0.1710</t>
  </si>
  <si>
    <t>R021315</t>
  </si>
  <si>
    <t>SAM HOUSTON AREA COUNCIL OF BOY SCOUTS OF AMERICA</t>
  </si>
  <si>
    <t>1522-1/2 HARRIS</t>
  </si>
  <si>
    <t>0 HARRIS</t>
  </si>
  <si>
    <t>OUTLAR LOT 5B-3 Acres:0.1065</t>
  </si>
  <si>
    <t>R021328</t>
  </si>
  <si>
    <t>NEAL BURNELL SR &amp; SHANDRA</t>
  </si>
  <si>
    <t>1522 COLUMBINE AVE</t>
  </si>
  <si>
    <t>OUTLAR LOT 7K Acres:0.3849</t>
  </si>
  <si>
    <t>R021331</t>
  </si>
  <si>
    <t>MARTINEZ ANITA</t>
  </si>
  <si>
    <t>211 N OUTLAR</t>
  </si>
  <si>
    <t>0 OUTLAR</t>
  </si>
  <si>
    <t>OUTLAR LOT 8B-1 Acres:0.5539</t>
  </si>
  <si>
    <t>R021333</t>
  </si>
  <si>
    <t>MARTINEZ GUADALUPE EST</t>
  </si>
  <si>
    <t>209 N OUTLAR</t>
  </si>
  <si>
    <t>OUTLAR LOT 8C Acres:0.1864</t>
  </si>
  <si>
    <t>R021334</t>
  </si>
  <si>
    <t>HAYES MICHAEL</t>
  </si>
  <si>
    <t>1014 TRAVELERS CT</t>
  </si>
  <si>
    <t>127 OUTLAR</t>
  </si>
  <si>
    <t>OUTLAR LOT 9A Acres:0.9998</t>
  </si>
  <si>
    <t>R021335</t>
  </si>
  <si>
    <t>0  OUTLAR</t>
  </si>
  <si>
    <t>OUTLAR LOT 9B Acres:0.9998</t>
  </si>
  <si>
    <t>R021336</t>
  </si>
  <si>
    <t>HAYES THELMA JEAN</t>
  </si>
  <si>
    <t>125 N OUTLAR</t>
  </si>
  <si>
    <t>125 OUTLAR</t>
  </si>
  <si>
    <t>OUTLAR LOT 10A Acres:0.9998</t>
  </si>
  <si>
    <t>R021342</t>
  </si>
  <si>
    <t>DAVENPORT AUSTIN DEC'D %FRANCIS DORIS</t>
  </si>
  <si>
    <t>521 ABELL</t>
  </si>
  <si>
    <t>101 OUTLAR</t>
  </si>
  <si>
    <t>OUTLAR LOT 13 Acres:1.5298</t>
  </si>
  <si>
    <t>R022826</t>
  </si>
  <si>
    <t>WORTH RICHARD KEITH</t>
  </si>
  <si>
    <t>7930 CORPORATE DR #187</t>
  </si>
  <si>
    <t>77036-6500</t>
  </si>
  <si>
    <t>RIVERSIDE LOT 1,2 Acres:1.6529</t>
  </si>
  <si>
    <t>R022829</t>
  </si>
  <si>
    <t>FRANKUM BRADLEY L &amp; COLETTE M</t>
  </si>
  <si>
    <t>1316 FM 1299</t>
  </si>
  <si>
    <t>RIVERSIDE LOT 3 Acres:0.8052</t>
  </si>
  <si>
    <t>R022830</t>
  </si>
  <si>
    <t>MATHEWS DARREN R ETUX KIMBERLY D</t>
  </si>
  <si>
    <t>1318 FM 1299</t>
  </si>
  <si>
    <t>RIVERSIDE LOT 4 Acres:0.7902</t>
  </si>
  <si>
    <t>R022831</t>
  </si>
  <si>
    <t>FREESE RILEY C</t>
  </si>
  <si>
    <t>1225 N ALABAMA RD</t>
  </si>
  <si>
    <t>1400 FM 1299</t>
  </si>
  <si>
    <t>RIVERSIDE LOT 5 Acres:0.7677</t>
  </si>
  <si>
    <t>R022832</t>
  </si>
  <si>
    <t>ROSENBERG CARPET CENTER INC</t>
  </si>
  <si>
    <t>PO BOX 731</t>
  </si>
  <si>
    <t>0  FM 1299</t>
  </si>
  <si>
    <t>RIVERSIDE LOT 6 Acres:0.7378</t>
  </si>
  <si>
    <t>R022833</t>
  </si>
  <si>
    <t>RIVERSIDE LOT 7 Acres:0.7246</t>
  </si>
  <si>
    <t>R022834</t>
  </si>
  <si>
    <t>RIVERSIDE LOT 8 Acres:0.7280</t>
  </si>
  <si>
    <t>R022835</t>
  </si>
  <si>
    <t>JURASEK RUSSELL A ETUX JACQUELIN</t>
  </si>
  <si>
    <t>1500 FM 1299</t>
  </si>
  <si>
    <t>RIVERSIDE LOT 9,10 Acres:1.4084</t>
  </si>
  <si>
    <t>R023655</t>
  </si>
  <si>
    <t>902 EDWARDS LN</t>
  </si>
  <si>
    <t>1814 AZALEA DR</t>
  </si>
  <si>
    <t>SMITH GARDEN SPOT BLOCK 1 LOT 6 Acres:0.1377</t>
  </si>
  <si>
    <t>R023656</t>
  </si>
  <si>
    <t>1810 AZALEA DR</t>
  </si>
  <si>
    <t>SMITH GARDEN SPOT BLOCK 1 LOT 7 Acres:0.1377</t>
  </si>
  <si>
    <t>R023657</t>
  </si>
  <si>
    <t>SANDERS SARAH</t>
  </si>
  <si>
    <t>1802 AZALEA DR</t>
  </si>
  <si>
    <t>SMITH GARDEN SPOT BLOCK 1 LOT 8,9 Acres:0.2755</t>
  </si>
  <si>
    <t>R023658</t>
  </si>
  <si>
    <t>HATTON JOHN H III</t>
  </si>
  <si>
    <t>PO BOX 841</t>
  </si>
  <si>
    <t>0 AZALEA DR</t>
  </si>
  <si>
    <t>SMITH GARDEN SPOT BLOCK 1 LOT 10 Acres:0.1377</t>
  </si>
  <si>
    <t>R023659</t>
  </si>
  <si>
    <t>HATTON SHIRLEY</t>
  </si>
  <si>
    <t>SMITH GARDEN SPOT BLOCK 1 LOT 11 Acres:0.1377</t>
  </si>
  <si>
    <t>R023660</t>
  </si>
  <si>
    <t>1708 AZALEA DR</t>
  </si>
  <si>
    <t>SMITH GARDEN SPOT BLOCK 1 LOT 12 Acres:0.1584</t>
  </si>
  <si>
    <t>R023661</t>
  </si>
  <si>
    <t>ROBERTSON MINNIE</t>
  </si>
  <si>
    <t>807 CAVEHILL CT</t>
  </si>
  <si>
    <t>77047</t>
  </si>
  <si>
    <t>1706 AZALEA DR</t>
  </si>
  <si>
    <t>SMITH GARDEN SPOT BLOCK 1 LOT 13,14 Acres:0.4079</t>
  </si>
  <si>
    <t>R023662</t>
  </si>
  <si>
    <t>EPHRAM-NEAL SHIRLEY</t>
  </si>
  <si>
    <t>4901 ALICIA DR</t>
  </si>
  <si>
    <t>FORT WORTH</t>
  </si>
  <si>
    <t>76133</t>
  </si>
  <si>
    <t>1704 AZALEA DR</t>
  </si>
  <si>
    <t>SMITH GARDEN SPOT BLOCK 1 LOT 15,16,17,18 Acres:0.4655</t>
  </si>
  <si>
    <t>R023665</t>
  </si>
  <si>
    <t>MANGUM MACK JR %MANGUM CURTIS</t>
  </si>
  <si>
    <t>18918 SUMMER FARM TRL</t>
  </si>
  <si>
    <t>RICHMOND</t>
  </si>
  <si>
    <t>77407</t>
  </si>
  <si>
    <t>1511 AZALEA DR</t>
  </si>
  <si>
    <t>SMITH GARDEN SPOT BLOCK 2 LOT 2 Acres:0.0992</t>
  </si>
  <si>
    <t>R023666</t>
  </si>
  <si>
    <t>BROWN DOROTHY MAE %MANGUM CURTIS</t>
  </si>
  <si>
    <t>0  AZALEA DR</t>
  </si>
  <si>
    <t>SMITH GARDEN SPOT BLOCK 2 LOT 3 Acres:0.0926</t>
  </si>
  <si>
    <t>R023667</t>
  </si>
  <si>
    <t>HAYNES WILLIE JR EST</t>
  </si>
  <si>
    <t>1523 AZALEA DR</t>
  </si>
  <si>
    <t>SMITH GARDEN SPOT BLOCK 2 LOT 4,5 Acres:0.1853</t>
  </si>
  <si>
    <t>R023668</t>
  </si>
  <si>
    <t>LEE NAOMI</t>
  </si>
  <si>
    <t>PO BOX 371</t>
  </si>
  <si>
    <t>1617 AZALEA DR</t>
  </si>
  <si>
    <t>SMITH GARDEN SPOT BLOCK 2 LOT 6,7 Acres:0.1865</t>
  </si>
  <si>
    <t>R023669</t>
  </si>
  <si>
    <t>HUNT MATTIE M LEE %LEE MICHAEL</t>
  </si>
  <si>
    <t>8907 PECAN PL</t>
  </si>
  <si>
    <t>77071</t>
  </si>
  <si>
    <t>1619 AZALEA DR</t>
  </si>
  <si>
    <t>SMITH GARDEN SPOT BLOCK 2 LOT 8,9 Acres:0.2423</t>
  </si>
  <si>
    <t>R023670</t>
  </si>
  <si>
    <t>FARR BRIONNA</t>
  </si>
  <si>
    <t>306 S EAST AVE</t>
  </si>
  <si>
    <t>1703 AZALEA DR</t>
  </si>
  <si>
    <t>SMITH GARDEN SPOT BLOCK 2 LOT 10 Acres:0.1194</t>
  </si>
  <si>
    <t>R023671</t>
  </si>
  <si>
    <t>LOPEZ ELISIA</t>
  </si>
  <si>
    <t>1201 AVE H</t>
  </si>
  <si>
    <t>BAY CITY</t>
  </si>
  <si>
    <t>77414</t>
  </si>
  <si>
    <t>SMITH GARDEN SPOT BLOCK 2 LOT 11 Acres:0.0834</t>
  </si>
  <si>
    <t>R023672</t>
  </si>
  <si>
    <t>CLARK BARBARA JEAN</t>
  </si>
  <si>
    <t>615 E ELM</t>
  </si>
  <si>
    <t>0 COLUMBINE AVE</t>
  </si>
  <si>
    <t>SMITH GARDEN SPOT BLOCK 2 LOT 12 Acres:0.1148</t>
  </si>
  <si>
    <t>R023673</t>
  </si>
  <si>
    <t>BARNES MARY</t>
  </si>
  <si>
    <t>1607 W MILAM ST</t>
  </si>
  <si>
    <t>1618 COLUMBINE AVE</t>
  </si>
  <si>
    <t>SMITH GARDEN SPOT BLOCK 2 LOT 13 Acres:0.1148</t>
  </si>
  <si>
    <t>R023674</t>
  </si>
  <si>
    <t>BUTLER SARAH</t>
  </si>
  <si>
    <t>PO BOX 641</t>
  </si>
  <si>
    <t>1616 COLUMBINE AVE</t>
  </si>
  <si>
    <t>SMITH GARDEN SPOT BLOCK 2 LOT 14 1975 UNKNOWN TORONADO 14X68 LABEL # DLS0003685 SERIAL # 6295 Acres:0.1148</t>
  </si>
  <si>
    <t>R023675</t>
  </si>
  <si>
    <t>BRANCH SHANDRA &amp; NEAL BURNELL</t>
  </si>
  <si>
    <t>1522 COLUMBINE STR</t>
  </si>
  <si>
    <t>1610 COLUMBINE AVE</t>
  </si>
  <si>
    <t>SMITH GARDEN SPOT BLOCK 2 LOT 15 Acres:0.1148</t>
  </si>
  <si>
    <t>R023676</t>
  </si>
  <si>
    <t>1524 COLUMBINE AVE</t>
  </si>
  <si>
    <t>SMITH GARDEN SPOT BLOCK 2 LOT 16,17 Acres:0.2296</t>
  </si>
  <si>
    <t>R023678</t>
  </si>
  <si>
    <t>NEAL BURNELL</t>
  </si>
  <si>
    <t>1522 COLUMBINE</t>
  </si>
  <si>
    <t>SMITH GARDEN SPOT BLOCK 2 LOT 18,19 Acres:0.2296</t>
  </si>
  <si>
    <t>R023680</t>
  </si>
  <si>
    <t>PULLARD CLASSIE</t>
  </si>
  <si>
    <t>2135 HAMMERWOOD DR</t>
  </si>
  <si>
    <t>MISSOURI CITY</t>
  </si>
  <si>
    <t>77489</t>
  </si>
  <si>
    <t>0  COLUMBINE AVE</t>
  </si>
  <si>
    <t>SMITH GARDEN SPOT BLOCK 2 LOT 20 Acres:0.1148</t>
  </si>
  <si>
    <t>R023681</t>
  </si>
  <si>
    <t>SMITH GARDEN SPOT BLOCK 2 LOT 21 Acres:0.1148</t>
  </si>
  <si>
    <t>R023682</t>
  </si>
  <si>
    <t>JOHNSON JAYMES K &amp; MASON CATHEY F</t>
  </si>
  <si>
    <t>9834 SPRING HARVEST</t>
  </si>
  <si>
    <t>SAN ANTONIO</t>
  </si>
  <si>
    <t>78254</t>
  </si>
  <si>
    <t>SMITH GARDEN SPOT BLOCK 2 LOT 22 Acres:0.1148</t>
  </si>
  <si>
    <t>R023683</t>
  </si>
  <si>
    <t>JOHNSON JAYMES K &amp; MASON CATHY</t>
  </si>
  <si>
    <t>128 S OUTLAR</t>
  </si>
  <si>
    <t>128 OUTLAR</t>
  </si>
  <si>
    <t>SMITH GARDEN SPOT BLOCK 2 LOT 23 Acres:0.1148</t>
  </si>
  <si>
    <t>R023685</t>
  </si>
  <si>
    <t>JACKSON JOSEPHINE EST %PAUL BILLYE</t>
  </si>
  <si>
    <t>4619 TIDEWATER DR</t>
  </si>
  <si>
    <t>77045-4153</t>
  </si>
  <si>
    <t>1615 COLUMBINE AVE</t>
  </si>
  <si>
    <t>SMITH GARDEN SPOT BLOCK 3 LOT 3 Acres:0.1148</t>
  </si>
  <si>
    <t>R023686</t>
  </si>
  <si>
    <t>ALLEN TROY</t>
  </si>
  <si>
    <t>1500 CAMELLIA AVE</t>
  </si>
  <si>
    <t>1607 COLUMBINE AVE</t>
  </si>
  <si>
    <t>SMITH GARDEN SPOT BLOCK 3 LOT 4 Acres:0.1148</t>
  </si>
  <si>
    <t>R023687</t>
  </si>
  <si>
    <t>ALLEN WILLAM/WHARTON RECOVERY TEAM</t>
  </si>
  <si>
    <t>SMITH GARDEN SPOT BLOCK 3 LOT 5 Acres:0.1148</t>
  </si>
  <si>
    <t>R023688</t>
  </si>
  <si>
    <t>PHILLIPS ROBERT L ETUX EARLEAN</t>
  </si>
  <si>
    <t>1121 WESTGATE DR</t>
  </si>
  <si>
    <t>1603 COLUMBINE AVE</t>
  </si>
  <si>
    <t>SMITH GARDEN SPOT BLOCK 3 LOT 6 Acres:0.1148</t>
  </si>
  <si>
    <t>R023689</t>
  </si>
  <si>
    <t>THOMPSON JOE</t>
  </si>
  <si>
    <t>1523 COLUMBINE</t>
  </si>
  <si>
    <t>1523 COLUMBINE AVE</t>
  </si>
  <si>
    <t>SMITH GARDEN SPOT BLOCK 3 LOT 7 Acres:0.1148</t>
  </si>
  <si>
    <t>R023690</t>
  </si>
  <si>
    <t>1517 COLUMBINE AVE</t>
  </si>
  <si>
    <t>SMITH GARDEN SPOT BLOCK 3 LOT 8 Acres:0.1148</t>
  </si>
  <si>
    <t>R023691</t>
  </si>
  <si>
    <t>1511 COLUMBINE AVE</t>
  </si>
  <si>
    <t>SMITH GARDEN SPOT BLOCK 3 LOT 9 Acres:0.1148</t>
  </si>
  <si>
    <t>R023692</t>
  </si>
  <si>
    <t>DAVIS REGINALD D</t>
  </si>
  <si>
    <t>PO BOX 146</t>
  </si>
  <si>
    <t>1509 COLUMBINE AVE</t>
  </si>
  <si>
    <t>SMITH GARDEN SPOT BLOCK 3 LOT 10 Acres:0.1148</t>
  </si>
  <si>
    <t>R023693</t>
  </si>
  <si>
    <t>MASON JOHN M</t>
  </si>
  <si>
    <t>4739 ARVILLA LN</t>
  </si>
  <si>
    <t>SMITH GARDEN SPOT BLOCK 3 LOT 11 Acres:0.1148</t>
  </si>
  <si>
    <t>R025782</t>
  </si>
  <si>
    <t>DUNCAN ALFRED &amp; WF</t>
  </si>
  <si>
    <t>303 S FORD</t>
  </si>
  <si>
    <t>0 W MILAM</t>
  </si>
  <si>
    <t>WEST MILAM BLOCK A LOT 14,15,16,17 Acres:0.3008</t>
  </si>
  <si>
    <t>R025796</t>
  </si>
  <si>
    <t>JACKSON FREDA</t>
  </si>
  <si>
    <t>601 DAVIS</t>
  </si>
  <si>
    <t>1622 W MILAM</t>
  </si>
  <si>
    <t>WEST MILAM BLOCK B LOT 15 Acres:0.1062</t>
  </si>
  <si>
    <t>R025797</t>
  </si>
  <si>
    <t>HEARD TONY &amp; FLOYD VIOLA</t>
  </si>
  <si>
    <t>813 NOREDA</t>
  </si>
  <si>
    <t>ANGLETON</t>
  </si>
  <si>
    <t>77515</t>
  </si>
  <si>
    <t>1700 W MILAM</t>
  </si>
  <si>
    <t>WEST MILAM BLOCK B LOT 16 Acres:0.1062</t>
  </si>
  <si>
    <t>R025798</t>
  </si>
  <si>
    <t>MCGREW ROBERT L</t>
  </si>
  <si>
    <t>4147 CR 135 RD</t>
  </si>
  <si>
    <t>1702 W MILAM</t>
  </si>
  <si>
    <t>WEST MILAM BLOCK B LOT 17 Acres:0.1062</t>
  </si>
  <si>
    <t>R026594</t>
  </si>
  <si>
    <t>BRM3 INTERESTS LP</t>
  </si>
  <si>
    <t>3600 MONTROSE BLVD #701</t>
  </si>
  <si>
    <t>77006</t>
  </si>
  <si>
    <t>0 S EAST AVE</t>
  </si>
  <si>
    <t>WHARTON BLOCK 59 LOT 9 Acres:0.1674</t>
  </si>
  <si>
    <t>R026595</t>
  </si>
  <si>
    <t>HERNANDEZ ALFREDO M</t>
  </si>
  <si>
    <t>320 S EAST AVE</t>
  </si>
  <si>
    <t>WHARTON BLOCK 59 LOT 10A Acres:0.5573</t>
  </si>
  <si>
    <t>R026596</t>
  </si>
  <si>
    <t>DONAHUE IRA L EST %DONAHUE ALLEN</t>
  </si>
  <si>
    <t>PO BOX 703</t>
  </si>
  <si>
    <t>77488-0703</t>
  </si>
  <si>
    <t>WHARTON BLOCK 59 LOT 10B Acres:0.2391</t>
  </si>
  <si>
    <t>R026597</t>
  </si>
  <si>
    <t>OCHOA LIZBETH</t>
  </si>
  <si>
    <t>12750 BRIAR FOREST DR APT 407</t>
  </si>
  <si>
    <t>77077</t>
  </si>
  <si>
    <t>328 S EAST AVE</t>
  </si>
  <si>
    <t>WHARTON BLOCK 59 LOT 10C Acres:0.2391</t>
  </si>
  <si>
    <t>R026598</t>
  </si>
  <si>
    <t>BAKER HELENA</t>
  </si>
  <si>
    <t>400 S EAST AVE</t>
  </si>
  <si>
    <t>WHARTON BLOCK 59 LOT 11 Acres:0.1674</t>
  </si>
  <si>
    <t>R026599</t>
  </si>
  <si>
    <t>FELLHAUER DAVID E MOST REV BISHOP OF DIOCESE OF VICTORIA</t>
  </si>
  <si>
    <t>FBO:MT CARMEL, PO BOX 4070</t>
  </si>
  <si>
    <t>VICTORIA</t>
  </si>
  <si>
    <t>WHARTON BLOCK 59 LOT 12A-1 Acres:0.2373</t>
  </si>
  <si>
    <t>R026604</t>
  </si>
  <si>
    <t>GORDON WILLIAM A</t>
  </si>
  <si>
    <t>12526 SORSBY WAY</t>
  </si>
  <si>
    <t>77047-2838</t>
  </si>
  <si>
    <t>0 BLACK</t>
  </si>
  <si>
    <t>WHARTON BLOCK 59 LOT 13B Acres:0.1987</t>
  </si>
  <si>
    <t>R026605</t>
  </si>
  <si>
    <t>ROSS HAYWOOD MACK</t>
  </si>
  <si>
    <t>PO BOX 2</t>
  </si>
  <si>
    <t>WHARTON BLOCK 59 LOT 13E Acres:0.1987</t>
  </si>
  <si>
    <t>R026606</t>
  </si>
  <si>
    <t>GORDON WILLIAM</t>
  </si>
  <si>
    <t>PO BOX 814</t>
  </si>
  <si>
    <t>SMITHVILLE</t>
  </si>
  <si>
    <t>78957</t>
  </si>
  <si>
    <t>WHARTON BLOCK 59 LOT 14 Acres:0.5742</t>
  </si>
  <si>
    <t>R026609</t>
  </si>
  <si>
    <t>CANO VICENTE P</t>
  </si>
  <si>
    <t>PO BOX 1263</t>
  </si>
  <si>
    <t>305 BLACK</t>
  </si>
  <si>
    <t>WHARTON BLOCK 59 LOT 17 Acres:0.4982</t>
  </si>
  <si>
    <t>R026610</t>
  </si>
  <si>
    <t>506 S EAST AVE</t>
  </si>
  <si>
    <t>WHARTON BLOCK 59 LOT 12A,12D Acres:4.0602</t>
  </si>
  <si>
    <t>R026611</t>
  </si>
  <si>
    <t>AUBREY DELORES</t>
  </si>
  <si>
    <t>8210 GULF TREE LN</t>
  </si>
  <si>
    <t>77075</t>
  </si>
  <si>
    <t>WHARTON BLOCK 59 LOT 13C Acres:0.1987</t>
  </si>
  <si>
    <t>R026612</t>
  </si>
  <si>
    <t>HARRISON MARJORIE GORDON %DUNBAR J V</t>
  </si>
  <si>
    <t>1575 CALIFORNIA TRL</t>
  </si>
  <si>
    <t>BRENTWOOD</t>
  </si>
  <si>
    <t>94513</t>
  </si>
  <si>
    <t>WHARTON BLOCK 59 LOT 13D Acres:0.1987</t>
  </si>
  <si>
    <t>R026763</t>
  </si>
  <si>
    <t>DONJUAN ERASMO R ETUX LUCIA</t>
  </si>
  <si>
    <t>517 BREITHLING LN</t>
  </si>
  <si>
    <t>517 BRIETLING LN</t>
  </si>
  <si>
    <t>WHARTON BLOCK 19--OUT LOT 10 Acres:0.1326</t>
  </si>
  <si>
    <t>R026764</t>
  </si>
  <si>
    <t>GALVAN PABLO AND GALVAN ORELIA</t>
  </si>
  <si>
    <t>523 1/2 BREITLING LN</t>
  </si>
  <si>
    <t>523 BRIETLING LN</t>
  </si>
  <si>
    <t>WHARTON BLOCK 19--OUT LOT 11,12A Acres:0.2647</t>
  </si>
  <si>
    <t>R026767</t>
  </si>
  <si>
    <t>HEARD ELISABETH J &amp; HEARD MELVIN A</t>
  </si>
  <si>
    <t>10750 S CALUMET AVE</t>
  </si>
  <si>
    <t>CHICAGO</t>
  </si>
  <si>
    <t>IL</t>
  </si>
  <si>
    <t>60628</t>
  </si>
  <si>
    <t>WHARTON BLOCK 19--OUT LOT 13A Acres:0.1323</t>
  </si>
  <si>
    <t>R026770</t>
  </si>
  <si>
    <t>PULIDO JUSTO MRS</t>
  </si>
  <si>
    <t>ADDRESS UNKNOWN</t>
  </si>
  <si>
    <t>WHARTON BLOCK 19--OUT LOT 14 Acres:0.3197</t>
  </si>
  <si>
    <t>R026931</t>
  </si>
  <si>
    <t>FELCMAN FRANK J ETUX JUDY M</t>
  </si>
  <si>
    <t>PO BOX 722</t>
  </si>
  <si>
    <t>409 MOERS LN</t>
  </si>
  <si>
    <t>A20001 ABST.1 TRACT 4A,29 Acres:80.2007</t>
  </si>
  <si>
    <t>R026936</t>
  </si>
  <si>
    <t>URBANOVSKY JOE JR &amp; CLEMENT ANN C</t>
  </si>
  <si>
    <t>1804 BAY HILL DR</t>
  </si>
  <si>
    <t>78746-6255</t>
  </si>
  <si>
    <t>4220 LEE LN</t>
  </si>
  <si>
    <t>A20001 ABST.1 TRACT 5 Acres:100.0500</t>
  </si>
  <si>
    <t>R026940</t>
  </si>
  <si>
    <t>LOPEZ DAIMUS</t>
  </si>
  <si>
    <t>378 CR 150</t>
  </si>
  <si>
    <t>0  MOERS LN</t>
  </si>
  <si>
    <t>A20001 ABST.1 TRACT 6A PT. Acres:6.1000</t>
  </si>
  <si>
    <t>R026941</t>
  </si>
  <si>
    <t>POPP JAKE M</t>
  </si>
  <si>
    <t>3898 CR 135</t>
  </si>
  <si>
    <t>77488-2036</t>
  </si>
  <si>
    <t>A20001 ABST.1 TRACT 6K,7 Acres:6.8200</t>
  </si>
  <si>
    <t>R026942</t>
  </si>
  <si>
    <t>A20001 ABST.1 TRACT 6A PT. Acres:1.0000</t>
  </si>
  <si>
    <t>R026943</t>
  </si>
  <si>
    <t>LEWIS FORREST W &amp; JULIA W</t>
  </si>
  <si>
    <t>468 CR 150 RD</t>
  </si>
  <si>
    <t>468 CR 150</t>
  </si>
  <si>
    <t>A20001 ABST.1 TRACT 6B,6C,6D Acres:11.5000</t>
  </si>
  <si>
    <t>R026948</t>
  </si>
  <si>
    <t>HORELICA TILFORD G</t>
  </si>
  <si>
    <t>PO BOX 570</t>
  </si>
  <si>
    <t>MATAGORDA</t>
  </si>
  <si>
    <t>77457-0570</t>
  </si>
  <si>
    <t>520 MOERS LN</t>
  </si>
  <si>
    <t>A20001 ABST.1 TRACT 6F,7B Acres:40.2000</t>
  </si>
  <si>
    <t>R026951</t>
  </si>
  <si>
    <t>PORTER TREY AND SARAH</t>
  </si>
  <si>
    <t>3920 CR 135</t>
  </si>
  <si>
    <t>3920 LEE LN</t>
  </si>
  <si>
    <t>A20001 ABST.1 TRACT 6J PT. Acres:10.7671</t>
  </si>
  <si>
    <t>R026953</t>
  </si>
  <si>
    <t>ZAHRADNIK ROBERT J &amp; WF</t>
  </si>
  <si>
    <t>3822 CR 135 RD</t>
  </si>
  <si>
    <t>0 LEE LN</t>
  </si>
  <si>
    <t>A20001 ABST.1 TRACT 7A,7C Acres:4.5530</t>
  </si>
  <si>
    <t>R026954</t>
  </si>
  <si>
    <t>KOLODZIEJCYK JOSEPH D &amp; KEVIN M EXEC</t>
  </si>
  <si>
    <t>10622 FM 1726</t>
  </si>
  <si>
    <t>GOLIAD</t>
  </si>
  <si>
    <t>77963</t>
  </si>
  <si>
    <t>314 CR 150</t>
  </si>
  <si>
    <t>A20001 ABST.1 TRACT 6I Acres:5.2050</t>
  </si>
  <si>
    <t>R026956</t>
  </si>
  <si>
    <t>ZAHRADNIK ROBERT J &amp; MARY J</t>
  </si>
  <si>
    <t>3822 CR 135</t>
  </si>
  <si>
    <t>A20001 ABST.1 TRACT 7A-1 Acres:6.0000</t>
  </si>
  <si>
    <t>R026957</t>
  </si>
  <si>
    <t>MILLER MELISSA &amp; GILBERT GARY</t>
  </si>
  <si>
    <t>1321 CRESTMONT</t>
  </si>
  <si>
    <t>0 JUNIOR COLLEGE BLVD</t>
  </si>
  <si>
    <t>A20001 ABST.1 TRACT 8,9 Acres:13.0200</t>
  </si>
  <si>
    <t>R026965</t>
  </si>
  <si>
    <t>MAXEY JOHNNIE EST ETAL %MAXEY JAMES</t>
  </si>
  <si>
    <t>2851 S KING DR APT 406</t>
  </si>
  <si>
    <t>60616-2932</t>
  </si>
  <si>
    <t>0  JUNIOR COLLEGE BLVD</t>
  </si>
  <si>
    <t>A20001 ABST.1 TRACT 10E Acres:0.8870</t>
  </si>
  <si>
    <t>R026968</t>
  </si>
  <si>
    <t>2715 N CR 166</t>
  </si>
  <si>
    <t>A20001 ABST.1 TRACT 13 Acres:62.8000</t>
  </si>
  <si>
    <t>R027013</t>
  </si>
  <si>
    <t>HORELICA WILLIAM G</t>
  </si>
  <si>
    <t>307 CR 150 RD</t>
  </si>
  <si>
    <t>307 CR 150</t>
  </si>
  <si>
    <t>A20001 ABST.1 TRACT 29A Acres:3.8300</t>
  </si>
  <si>
    <t>PH2</t>
  </si>
  <si>
    <t>R031206</t>
  </si>
  <si>
    <t>108 S OUTLAR</t>
  </si>
  <si>
    <t>A20034 ABST.34 TRACT 49,49A Acres:1.3400</t>
  </si>
  <si>
    <t>R031207</t>
  </si>
  <si>
    <t>116 S OUTLAR</t>
  </si>
  <si>
    <t>A20034 ABST.34 TRACT 49B Acres:0.2290</t>
  </si>
  <si>
    <t>R032037</t>
  </si>
  <si>
    <t>WITT ANN L &amp; RAYMOND R</t>
  </si>
  <si>
    <t>5651 CHEVY CHASE</t>
  </si>
  <si>
    <t>0  CR 222</t>
  </si>
  <si>
    <t>A20038 ABST.38 TRACT 46 Acres:41.1200</t>
  </si>
  <si>
    <t>R032053</t>
  </si>
  <si>
    <t>JANSKY JUNE</t>
  </si>
  <si>
    <t>4238 CR 131 RD</t>
  </si>
  <si>
    <t>0  HWY 59</t>
  </si>
  <si>
    <t>A20038 ABST.38 TRACT 48 Acres:4.5000</t>
  </si>
  <si>
    <t>R032127</t>
  </si>
  <si>
    <t>HAWES BARBARA LOUISE TRUST DATED 8-17-81</t>
  </si>
  <si>
    <t>PO BOX 707</t>
  </si>
  <si>
    <t>0 N FULTON</t>
  </si>
  <si>
    <t>A20038 ABST.38 TRACT 55 PT.(EAST),55T,56C Acres:207.0180</t>
  </si>
  <si>
    <t>R032139</t>
  </si>
  <si>
    <t>GAD NANDAN P</t>
  </si>
  <si>
    <t>1006 STAFORD ST</t>
  </si>
  <si>
    <t>77019</t>
  </si>
  <si>
    <t>3602 N FULTON</t>
  </si>
  <si>
    <t>A20038 ABST.38 TRACT 55B Acres:0.3400</t>
  </si>
  <si>
    <t>R032141</t>
  </si>
  <si>
    <t>UNLISTED</t>
  </si>
  <si>
    <t>A20038 ABST.38 TRACT 55B-1 Acres:0.3400</t>
  </si>
  <si>
    <t>R032142</t>
  </si>
  <si>
    <t>GUTTENBERGER GEORGE R</t>
  </si>
  <si>
    <t>311 MARGARET</t>
  </si>
  <si>
    <t>3518 N FULTON</t>
  </si>
  <si>
    <t>A20038 ABST.38 TRACT 55C,55D Acres:1.3800</t>
  </si>
  <si>
    <t>R032145</t>
  </si>
  <si>
    <t>LUERA NINFA R LIFE ESTATE</t>
  </si>
  <si>
    <t>3510 N FULTON</t>
  </si>
  <si>
    <t>A20038 ABST.38 TRACT 55E-1,55E-2 Acres:0.6800</t>
  </si>
  <si>
    <t>R032159</t>
  </si>
  <si>
    <t>BOEDEKER KELLY G</t>
  </si>
  <si>
    <t>114 S HOUSTON</t>
  </si>
  <si>
    <t>414 CR 144</t>
  </si>
  <si>
    <t>A20038 ABST.38 TRACT 55S Acres:0.8610</t>
  </si>
  <si>
    <t>R050108</t>
  </si>
  <si>
    <t>NELSON ERNESTINE</t>
  </si>
  <si>
    <t>3322 JUNIOR COLLEGE BLVD</t>
  </si>
  <si>
    <t>77488-9682</t>
  </si>
  <si>
    <t>3322 CR 135</t>
  </si>
  <si>
    <t>A20001 ABST.1 TRACT 10C-2,10C-3,10C-4 Acres:1.0647</t>
  </si>
  <si>
    <t>R050632</t>
  </si>
  <si>
    <t>SHANKLIN JULIUS</t>
  </si>
  <si>
    <t>220 N WILKES</t>
  </si>
  <si>
    <t>220 WILKES</t>
  </si>
  <si>
    <t>JOHN HARRIS LOT 64D-11 Acres:0.5868</t>
  </si>
  <si>
    <t>R050633</t>
  </si>
  <si>
    <t>JOHN HARRIS LOT 64D-11A Acres:0.1377</t>
  </si>
  <si>
    <t>R052351</t>
  </si>
  <si>
    <t>COULD BE OWNED BY COW - CHECKING 1/17</t>
  </si>
  <si>
    <t>WHARTON BLOCK 22,23--OUT LOT 1,3 Acres:1.6842</t>
  </si>
  <si>
    <t>R053223</t>
  </si>
  <si>
    <t>0 KEARNEY</t>
  </si>
  <si>
    <t>WM.KINCHELOE BLOCK 63 LOT 173F Acres:0.2207</t>
  </si>
  <si>
    <t>R053224</t>
  </si>
  <si>
    <t>WM.KINCHELOE BLOCK 63 LOT 173G Acres:0.1664</t>
  </si>
  <si>
    <t>R053788</t>
  </si>
  <si>
    <t>0 BRIETLING LN</t>
  </si>
  <si>
    <t>WHARTON BLOCK 19--OUT LOT 12B Acres:0.4156</t>
  </si>
  <si>
    <t>R053789</t>
  </si>
  <si>
    <t>533 BRIETLING LN</t>
  </si>
  <si>
    <t>WHARTON BLOCK 19,23--OUT LOT N PT 15 Acres:0.1711</t>
  </si>
  <si>
    <t>R053909</t>
  </si>
  <si>
    <t>GONZALES JOE L EST</t>
  </si>
  <si>
    <t>302 CR 150</t>
  </si>
  <si>
    <t>A20001 ABST.1 TRACT 6H Acres:4.0000</t>
  </si>
  <si>
    <t>R054512</t>
  </si>
  <si>
    <t>0 CR 222</t>
  </si>
  <si>
    <t>A20038 ABST.38 TRACT 20 Acres:30.4800</t>
  </si>
  <si>
    <t>R054513</t>
  </si>
  <si>
    <t>HENRY RUDOLPH ETUX SHERYL</t>
  </si>
  <si>
    <t>1004 CAROLYN</t>
  </si>
  <si>
    <t>A20038 ABST.38 TRACT 20C Acres:7.1000</t>
  </si>
  <si>
    <t>R054678</t>
  </si>
  <si>
    <t>MACHA GENE G ETUX NANCY</t>
  </si>
  <si>
    <t>PO BOX 132</t>
  </si>
  <si>
    <t>725 CR 150</t>
  </si>
  <si>
    <t>A20001 ABST.1 TRACT 30,30-1,30A-1 Acres:88.8480</t>
  </si>
  <si>
    <t>R055172</t>
  </si>
  <si>
    <t>KALINA LARRY J ETUX DIANE</t>
  </si>
  <si>
    <t>3225 N RICHMOND RD</t>
  </si>
  <si>
    <t>3225 N RICHMOND</t>
  </si>
  <si>
    <t>A20038 ABST.38 TRACT 47A,49,50 PT. Acres:11.1620</t>
  </si>
  <si>
    <t>R055173</t>
  </si>
  <si>
    <t>3617 HWY 59</t>
  </si>
  <si>
    <t>A20038 ABST.38 TRACT 47A,49 Acres:75.4180</t>
  </si>
  <si>
    <t>R056464</t>
  </si>
  <si>
    <t>NILSON ROBERT L</t>
  </si>
  <si>
    <t>EL CAMPO</t>
  </si>
  <si>
    <t>0 FM 102</t>
  </si>
  <si>
    <t>A20003 ABST.3 TRACT 50B-RR Acres:3.4400</t>
  </si>
  <si>
    <t>R056478</t>
  </si>
  <si>
    <t>MITCHELL ROBERT</t>
  </si>
  <si>
    <t>3500 JUNIOR COLLEGE BLVD</t>
  </si>
  <si>
    <t>A20001 ABST.1 TRACT 10D Acres:4.0000</t>
  </si>
  <si>
    <t>R056480</t>
  </si>
  <si>
    <t>MITCHELL MICHAEL</t>
  </si>
  <si>
    <t>442 WOODRAIL DR</t>
  </si>
  <si>
    <t>WEBSTER</t>
  </si>
  <si>
    <t>77598-2512</t>
  </si>
  <si>
    <t>A20001 ABST.1 TRACT 10D-1 Acres:3.1000</t>
  </si>
  <si>
    <t>R059308</t>
  </si>
  <si>
    <t>1106 CR 188</t>
  </si>
  <si>
    <t>WM.KINCHELOE BLOCK 68 LOT 1B Acres:21.4100</t>
  </si>
  <si>
    <t>R059447</t>
  </si>
  <si>
    <t>MCKINNEY</t>
  </si>
  <si>
    <t>0  FM 102</t>
  </si>
  <si>
    <t>A20003 ABST.3 TRACT 51A-RR Acres:4.6920</t>
  </si>
  <si>
    <t>R060210</t>
  </si>
  <si>
    <t>MOWELS STEPHANIE L</t>
  </si>
  <si>
    <t>3802 CR 135 RD</t>
  </si>
  <si>
    <t>3802 CR 135</t>
  </si>
  <si>
    <t>A20001 ABST.1 TRACT 7D Acres:2.9210</t>
  </si>
  <si>
    <t>R061310</t>
  </si>
  <si>
    <t>ROGERS MARQUITA L</t>
  </si>
  <si>
    <t>2212 S CONGRESS AVE</t>
  </si>
  <si>
    <t>400 S SHEPPARD</t>
  </si>
  <si>
    <t>HABITAT FOR HUMANITY BLOCK 1 LOT 1 Acres:0.2632</t>
  </si>
  <si>
    <t>R063218</t>
  </si>
  <si>
    <t>Valliere R. Auzenne Life Estate</t>
  </si>
  <si>
    <t>2467 ELFINWING LN</t>
  </si>
  <si>
    <t>TALLAHASSEE</t>
  </si>
  <si>
    <t>FL</t>
  </si>
  <si>
    <t>32309</t>
  </si>
  <si>
    <t>WHARTON BLOCK 19--OUT LOT 13B Acres:0.1323</t>
  </si>
  <si>
    <t>R068966</t>
  </si>
  <si>
    <t>0  N FULTON</t>
  </si>
  <si>
    <t>A20038 ABST.38 TRACT 55 PT.(WEST) AG PART NEXT TO LIVESTOCK AUCTION Acres:26.7060</t>
  </si>
  <si>
    <t>R072724</t>
  </si>
  <si>
    <t>ESCOBAR PABLO &amp; JOSEPHINA</t>
  </si>
  <si>
    <t>520 COLLINS</t>
  </si>
  <si>
    <t>MT.CARMEL BLOCK 2 LOT 19,20 Acres:0.0917</t>
  </si>
  <si>
    <t>R072725</t>
  </si>
  <si>
    <t>4814 FM 102</t>
  </si>
  <si>
    <t>A20003 ABST.3 TRACT 50D,51B-3 Acres:38.0000</t>
  </si>
  <si>
    <t>R073362</t>
  </si>
  <si>
    <t>KOCIAN ADAM &amp; KERRY JO</t>
  </si>
  <si>
    <t>439 CR 150 RD</t>
  </si>
  <si>
    <t>439 CR 150</t>
  </si>
  <si>
    <t>A20001 ABST.1 TRACT 4A-1 Acres:12.0193</t>
  </si>
  <si>
    <t>979-533-6504</t>
  </si>
  <si>
    <t>10807 US 59 Road</t>
  </si>
  <si>
    <t>R027694;#75;#R013043;#51</t>
  </si>
  <si>
    <t>979-541-3777</t>
  </si>
  <si>
    <t>Rigney</t>
  </si>
  <si>
    <t>Houston, TX  77056-2210</t>
  </si>
  <si>
    <t>Jasmine</t>
  </si>
  <si>
    <t>Brown</t>
  </si>
  <si>
    <t>jasmine.brown@centerpointenergy</t>
  </si>
  <si>
    <t>713-207-7938</t>
  </si>
  <si>
    <t>rruiz@laccc.org</t>
  </si>
  <si>
    <t>P O Box 3670</t>
  </si>
  <si>
    <t>Brownsville, TX  78523</t>
  </si>
  <si>
    <t xml:space="preserve">Attorney </t>
  </si>
  <si>
    <t>979-282-1302 Ida Garza's  Mobile</t>
  </si>
  <si>
    <t>832-535-6025 Gilbert Garza Jr.'s Mobile</t>
  </si>
  <si>
    <t>Sri Honnur</t>
  </si>
  <si>
    <t>Sri</t>
  </si>
  <si>
    <t>Honnur</t>
  </si>
  <si>
    <t>P.E.</t>
  </si>
  <si>
    <t>The Kansas City Southern Railway Company</t>
  </si>
  <si>
    <t>Track and Bridge Construction Director</t>
  </si>
  <si>
    <t>shonnur@kcsouthern.com</t>
  </si>
  <si>
    <t>Kansas City, MO 64105</t>
  </si>
  <si>
    <t>R013047;#52;#R013050;#54</t>
  </si>
  <si>
    <t>David W. Showalter</t>
  </si>
  <si>
    <t>David W.</t>
  </si>
  <si>
    <t>Showalter</t>
  </si>
  <si>
    <t>Attorney</t>
  </si>
  <si>
    <t>Showalter Law Firm</t>
  </si>
  <si>
    <t>melissa@showalterlaw.com</t>
  </si>
  <si>
    <t>281.341.5577</t>
  </si>
  <si>
    <t>1117 FM 359, Sute 200</t>
  </si>
  <si>
    <t>Richmond, Texas  77406</t>
  </si>
  <si>
    <t>We will need documentation for ownership percentages</t>
  </si>
  <si>
    <t>Job Number 148825 - please reference on all correspondence as requested by Jasmine</t>
  </si>
  <si>
    <t>Melissa Samples is the ED Legal Assitant and our direct contact for Mr. David Showalter.  Attorney Letter of Representation dated 10/29/2019 is on file.</t>
  </si>
  <si>
    <t>11</t>
  </si>
  <si>
    <t>ENVIRONMENTAL Right-of-Entry Executed</t>
  </si>
  <si>
    <t>ENVIRONMENTAL</t>
  </si>
  <si>
    <t>Right-of-Entry Executed</t>
  </si>
  <si>
    <t>ENVIRONMENTAL Right-of-Entry Native</t>
  </si>
  <si>
    <t>Right-of-Entry Native</t>
  </si>
  <si>
    <t>ENVIRONMENTAL Right-of-Entry Package</t>
  </si>
  <si>
    <t>Right-of-Entry Package</t>
  </si>
  <si>
    <r>
      <rPr>
        <sz val="11"/>
        <color rgb="FFC00000"/>
        <rFont val="Arial Rounded MT Bold"/>
        <family val="2"/>
      </rPr>
      <t>SELECT ENVIRONMENTAL TRACT No</t>
    </r>
    <r>
      <rPr>
        <sz val="12"/>
        <color rgb="FFC00000"/>
        <rFont val="Arial Rounded MT Bold"/>
        <family val="2"/>
      </rPr>
      <t xml:space="preserve">. </t>
    </r>
    <r>
      <rPr>
        <sz val="12"/>
        <color rgb="FFC00000"/>
        <rFont val="Wingdings"/>
        <charset val="2"/>
      </rPr>
      <t>è</t>
    </r>
  </si>
  <si>
    <t>Environmental Tract No.</t>
  </si>
  <si>
    <t>R012828;#98</t>
  </si>
  <si>
    <t>005</t>
  </si>
  <si>
    <t>010</t>
  </si>
  <si>
    <t>R012835;#103</t>
  </si>
  <si>
    <t>011</t>
  </si>
  <si>
    <t>R012836;#104</t>
  </si>
  <si>
    <t>012</t>
  </si>
  <si>
    <t>R018352;#120</t>
  </si>
  <si>
    <t>033</t>
  </si>
  <si>
    <t>R023687;#196</t>
  </si>
  <si>
    <t>130</t>
  </si>
  <si>
    <t>R023688;#197</t>
  </si>
  <si>
    <t>131</t>
  </si>
  <si>
    <t>R023689;#198</t>
  </si>
  <si>
    <t>132</t>
  </si>
  <si>
    <t>006</t>
  </si>
  <si>
    <t>007</t>
  </si>
  <si>
    <t>095</t>
  </si>
  <si>
    <t>133</t>
  </si>
  <si>
    <t>134</t>
  </si>
  <si>
    <t>135</t>
  </si>
  <si>
    <t>136</t>
  </si>
  <si>
    <t>151</t>
  </si>
  <si>
    <t>152</t>
  </si>
  <si>
    <t>153</t>
  </si>
  <si>
    <t>154</t>
  </si>
  <si>
    <t>155</t>
  </si>
  <si>
    <t>156</t>
  </si>
  <si>
    <t>160</t>
  </si>
  <si>
    <t>WCAD Owner Name</t>
  </si>
  <si>
    <t>WCAD Situs Address</t>
  </si>
  <si>
    <t>001</t>
  </si>
  <si>
    <t>COW-FRMP_TR-001</t>
  </si>
  <si>
    <t>ALLEN ARNESHA;#94</t>
  </si>
  <si>
    <t>002</t>
  </si>
  <si>
    <t>COW-FRMP_TR-002</t>
  </si>
  <si>
    <t>003</t>
  </si>
  <si>
    <t>COW-FRMP_TR-003</t>
  </si>
  <si>
    <t>YOUNG ARMOUR &amp; WF;#96</t>
  </si>
  <si>
    <t>004</t>
  </si>
  <si>
    <t>COW-FRMP_TR-004</t>
  </si>
  <si>
    <t>VINEYARD ROBERT M;#97</t>
  </si>
  <si>
    <t>COW-FRMP_TR-005</t>
  </si>
  <si>
    <t>HAYES BERTHA LEE ESTATE;#98</t>
  </si>
  <si>
    <t>1014 W KEARNEY;#98</t>
  </si>
  <si>
    <t>R012829;#99</t>
  </si>
  <si>
    <t>COW-FRMP_TR-006</t>
  </si>
  <si>
    <t>WOODS JIMMIE LEE SR;#99</t>
  </si>
  <si>
    <t>1016 W KEARNEY;#99</t>
  </si>
  <si>
    <t>R012830;#100</t>
  </si>
  <si>
    <t>COW-FRMP_TR-007</t>
  </si>
  <si>
    <t>WOODS JIMMY L SR;#100</t>
  </si>
  <si>
    <t>1004 KEARNEY;#100</t>
  </si>
  <si>
    <t>008</t>
  </si>
  <si>
    <t>R012832;#101</t>
  </si>
  <si>
    <t>COW-FRMP_TR-008</t>
  </si>
  <si>
    <t>ALLEN ANNIE L;#101</t>
  </si>
  <si>
    <t>1020 W KEARNEY;#101</t>
  </si>
  <si>
    <t>COW-FRMP_TR-010</t>
  </si>
  <si>
    <t>304 S SHEPPARD;#102</t>
  </si>
  <si>
    <t>COW-FRMP_TR-011</t>
  </si>
  <si>
    <t>WOODS JIMMY L SR;#103</t>
  </si>
  <si>
    <t>302 S SHEPPARD;#103</t>
  </si>
  <si>
    <t>COW-FRMP_TR-012</t>
  </si>
  <si>
    <t>JOHNSON ROBERT C &amp; WF;#104</t>
  </si>
  <si>
    <t>1021 W KEARNEY;#104</t>
  </si>
  <si>
    <t>013</t>
  </si>
  <si>
    <t>R012837;#105</t>
  </si>
  <si>
    <t>COW-FRMP_TR-013</t>
  </si>
  <si>
    <t>JOHNSON ROBERT C &amp; WF;#105</t>
  </si>
  <si>
    <t>0  W KEARNEY;#105</t>
  </si>
  <si>
    <t>014</t>
  </si>
  <si>
    <t>R012838;#106</t>
  </si>
  <si>
    <t>COW-FRMP_TR-014</t>
  </si>
  <si>
    <t>CARTER DAISY G;#106</t>
  </si>
  <si>
    <t>1024 W DAMON;#106</t>
  </si>
  <si>
    <t>015</t>
  </si>
  <si>
    <t>R012840;#108</t>
  </si>
  <si>
    <t>COW-FRMP_TR-015</t>
  </si>
  <si>
    <t>THOMAS BILLIE JEAN H;#108</t>
  </si>
  <si>
    <t>0 W DAMON;#108</t>
  </si>
  <si>
    <t>016</t>
  </si>
  <si>
    <t>COW-FRMP_TR-016</t>
  </si>
  <si>
    <t>017</t>
  </si>
  <si>
    <t>R012841;#109</t>
  </si>
  <si>
    <t>COW-FRMP_TR-017</t>
  </si>
  <si>
    <t>HARDEMON GENE &amp; CHRYLE;#109</t>
  </si>
  <si>
    <t>1010 DAMON;#109</t>
  </si>
  <si>
    <t>018</t>
  </si>
  <si>
    <t>R012842;#110</t>
  </si>
  <si>
    <t>COW-FRMP_TR-018</t>
  </si>
  <si>
    <t>KING EDDIE EST %PHYNON EDDIE;#110</t>
  </si>
  <si>
    <t>314 S SHEPPARD;#110</t>
  </si>
  <si>
    <t>019</t>
  </si>
  <si>
    <t>R012843;#111</t>
  </si>
  <si>
    <t>COW-FRMP_TR-019</t>
  </si>
  <si>
    <t>HARDEMON GENE CHRYLE;#111</t>
  </si>
  <si>
    <t>310 S SHEPPARD;#111</t>
  </si>
  <si>
    <t>024</t>
  </si>
  <si>
    <t>R015979;#112</t>
  </si>
  <si>
    <t>COW-FRMP_TR-024</t>
  </si>
  <si>
    <t>J-M MANUFACTURING CO;#112</t>
  </si>
  <si>
    <t>0 MLK BLVD;#112</t>
  </si>
  <si>
    <t>025</t>
  </si>
  <si>
    <t>R015981;#113</t>
  </si>
  <si>
    <t>COW-FRMP_TR-025</t>
  </si>
  <si>
    <t>ARGUIJO ALICE;#113</t>
  </si>
  <si>
    <t>414 WILKES;#113</t>
  </si>
  <si>
    <t>027</t>
  </si>
  <si>
    <t>R015983;#114</t>
  </si>
  <si>
    <t>COW-FRMP_TR-027</t>
  </si>
  <si>
    <t>PHILLIPS EDNA;#114</t>
  </si>
  <si>
    <t>410 WILKES;#114</t>
  </si>
  <si>
    <t>028</t>
  </si>
  <si>
    <t>R015995;#115</t>
  </si>
  <si>
    <t>COW-FRMP_TR-028</t>
  </si>
  <si>
    <t>MANSKE RICHARD L;#115</t>
  </si>
  <si>
    <t>0  WILKES;#115</t>
  </si>
  <si>
    <t>029</t>
  </si>
  <si>
    <t>R015996;#116</t>
  </si>
  <si>
    <t>COW-FRMP_TR-029</t>
  </si>
  <si>
    <t>TANNER LILY;#116</t>
  </si>
  <si>
    <t>0  WILKES;#116</t>
  </si>
  <si>
    <t>030</t>
  </si>
  <si>
    <t>R015997;#117</t>
  </si>
  <si>
    <t>COW-FRMP_TR-030</t>
  </si>
  <si>
    <t>PHILLIPS MANUEL;#117</t>
  </si>
  <si>
    <t>0 WILKES;#117</t>
  </si>
  <si>
    <t>031</t>
  </si>
  <si>
    <t>R015999;#118</t>
  </si>
  <si>
    <t>COW-FRMP_TR-031</t>
  </si>
  <si>
    <t>NELSON RODNEY B &amp; NELSON SHANICE NE SHAY;#118</t>
  </si>
  <si>
    <t>0 WILKES;#118</t>
  </si>
  <si>
    <t>032</t>
  </si>
  <si>
    <t>R016003;#119</t>
  </si>
  <si>
    <t>COW-FRMP_TR-032</t>
  </si>
  <si>
    <t>NELSON RODNEY B &amp; NELSON SHANICE NE SHAY;#119</t>
  </si>
  <si>
    <t>0 WILKES;#119</t>
  </si>
  <si>
    <t>COW-FRMP_TR-033</t>
  </si>
  <si>
    <t>LANGSTON EDNA L ETAL;#120</t>
  </si>
  <si>
    <t>0  HARRIS;#120</t>
  </si>
  <si>
    <t>035</t>
  </si>
  <si>
    <t>R018523;#121</t>
  </si>
  <si>
    <t>COW-FRMP_TR-035</t>
  </si>
  <si>
    <t>GREEN FERBE;#121</t>
  </si>
  <si>
    <t>1113 W MILAM;#121</t>
  </si>
  <si>
    <t>036</t>
  </si>
  <si>
    <t>R018536;#122</t>
  </si>
  <si>
    <t>COW-FRMP_TR-036</t>
  </si>
  <si>
    <t>SCARLET DURIA III;#122</t>
  </si>
  <si>
    <t>0  S SHEPPARD;#122</t>
  </si>
  <si>
    <t>038</t>
  </si>
  <si>
    <t>R018557;#123</t>
  </si>
  <si>
    <t>COW-FRMP_TR-038</t>
  </si>
  <si>
    <t>EDWARDS CURTIS E;#123</t>
  </si>
  <si>
    <t>303 S SHEPPARD;#123</t>
  </si>
  <si>
    <t>039</t>
  </si>
  <si>
    <t>R018559;#124</t>
  </si>
  <si>
    <t>COW-FRMP_TR-039</t>
  </si>
  <si>
    <t>EDWARDS CURTIS E;#124</t>
  </si>
  <si>
    <t>0  KEARNEY;#124</t>
  </si>
  <si>
    <t>040</t>
  </si>
  <si>
    <t>R018560;#125</t>
  </si>
  <si>
    <t>COW-FRMP_TR-040</t>
  </si>
  <si>
    <t>EDWARDS CURTIS E &amp; WF;#125</t>
  </si>
  <si>
    <t>0 S SHEPPARD;#125</t>
  </si>
  <si>
    <t>041</t>
  </si>
  <si>
    <t>R018568;#126</t>
  </si>
  <si>
    <t>COW-FRMP_TR-041</t>
  </si>
  <si>
    <t>HAYNES ERNESTINE EST;#126</t>
  </si>
  <si>
    <t>306 S FORD;#126</t>
  </si>
  <si>
    <t>044</t>
  </si>
  <si>
    <t>R018573;#127</t>
  </si>
  <si>
    <t>COW-FRMP_TR-044</t>
  </si>
  <si>
    <t>HAYES JEFFERY ETUX BESSIE;#127</t>
  </si>
  <si>
    <t>322 S FORD;#127</t>
  </si>
  <si>
    <t>045</t>
  </si>
  <si>
    <t>R018574;#128</t>
  </si>
  <si>
    <t>COW-FRMP_TR-045</t>
  </si>
  <si>
    <t>HAYES BESSIE J;#128</t>
  </si>
  <si>
    <t>404 S FORD;#128</t>
  </si>
  <si>
    <t>047</t>
  </si>
  <si>
    <t>R018576;#129</t>
  </si>
  <si>
    <t>COW-FRMP_TR-047</t>
  </si>
  <si>
    <t>RODRIGUEZ JULIA R;#129</t>
  </si>
  <si>
    <t>408 S FORD;#129</t>
  </si>
  <si>
    <t>048</t>
  </si>
  <si>
    <t>R018577;#130</t>
  </si>
  <si>
    <t>COW-FRMP_TR-048</t>
  </si>
  <si>
    <t>LLANES JUANITA;#130</t>
  </si>
  <si>
    <t>500 S FORD;#130</t>
  </si>
  <si>
    <t>049</t>
  </si>
  <si>
    <t>R018578;#131</t>
  </si>
  <si>
    <t>COW-FRMP_TR-049</t>
  </si>
  <si>
    <t>NUNEZ ELIDA;#131</t>
  </si>
  <si>
    <t>302 S FORD;#131</t>
  </si>
  <si>
    <t>050</t>
  </si>
  <si>
    <t>R018579;#132</t>
  </si>
  <si>
    <t>COW-FRMP_TR-050</t>
  </si>
  <si>
    <t>RIVERA ERNEST &amp; ELIDA;#132</t>
  </si>
  <si>
    <t>502 S FORD;#132</t>
  </si>
  <si>
    <t>051</t>
  </si>
  <si>
    <t>R018580;#133</t>
  </si>
  <si>
    <t>COW-FRMP_TR-051</t>
  </si>
  <si>
    <t>RIVERA RAUL;#133</t>
  </si>
  <si>
    <t>504 S FORD;#133</t>
  </si>
  <si>
    <t>052</t>
  </si>
  <si>
    <t>R018581;#134</t>
  </si>
  <si>
    <t>COW-FRMP_TR-052</t>
  </si>
  <si>
    <t>ANDERSON VELMA L ESTATE;#134</t>
  </si>
  <si>
    <t>510 S FORD;#134</t>
  </si>
  <si>
    <t>053</t>
  </si>
  <si>
    <t>R018582;#135</t>
  </si>
  <si>
    <t>COW-FRMP_TR-053</t>
  </si>
  <si>
    <t>JC RENTALS LLC;#135</t>
  </si>
  <si>
    <t>516 S FORD;#135</t>
  </si>
  <si>
    <t>054</t>
  </si>
  <si>
    <t>R018583;#136</t>
  </si>
  <si>
    <t>COW-FRMP_TR-054</t>
  </si>
  <si>
    <t>RIVERA RAUL;#136</t>
  </si>
  <si>
    <t>520 S FORD;#136</t>
  </si>
  <si>
    <t>055</t>
  </si>
  <si>
    <t>R018584;#137</t>
  </si>
  <si>
    <t>COW-FRMP_TR-055</t>
  </si>
  <si>
    <t>RODRIGUEZ ELIAS M;#137</t>
  </si>
  <si>
    <t>528 S FORD;#137</t>
  </si>
  <si>
    <t>063</t>
  </si>
  <si>
    <t>R018593;#138</t>
  </si>
  <si>
    <t>COW-FRMP_TR-063</t>
  </si>
  <si>
    <t>HAYES JEFFERY L;#138</t>
  </si>
  <si>
    <t>315 S FORD;#138</t>
  </si>
  <si>
    <t>064</t>
  </si>
  <si>
    <t>R018594;#139</t>
  </si>
  <si>
    <t>COW-FRMP_TR-064</t>
  </si>
  <si>
    <t>HAYES JEFFERY L;#139</t>
  </si>
  <si>
    <t>313 S FORD;#139</t>
  </si>
  <si>
    <t>065</t>
  </si>
  <si>
    <t>R018604;#140</t>
  </si>
  <si>
    <t>COW-FRMP_TR-065</t>
  </si>
  <si>
    <t>MARKS NORMA;#140</t>
  </si>
  <si>
    <t>526 S FORD;#140</t>
  </si>
  <si>
    <t>R018674;#141</t>
  </si>
  <si>
    <t>R018678;#142</t>
  </si>
  <si>
    <t>R018679;#143</t>
  </si>
  <si>
    <t>R018684;#144</t>
  </si>
  <si>
    <t>R018695;#145</t>
  </si>
  <si>
    <t>R018696;#146</t>
  </si>
  <si>
    <t>R018697;#147</t>
  </si>
  <si>
    <t>R018699;#148</t>
  </si>
  <si>
    <t>078</t>
  </si>
  <si>
    <t>R020844;#149</t>
  </si>
  <si>
    <t>COW-FRMP_TR-078</t>
  </si>
  <si>
    <t>ZAMUDIO JOSE;#149</t>
  </si>
  <si>
    <t>604 MURPHY AVE;#149</t>
  </si>
  <si>
    <t>079</t>
  </si>
  <si>
    <t>R020845;#150</t>
  </si>
  <si>
    <t>COW-FRMP_TR-079</t>
  </si>
  <si>
    <t>MULTIPLE OWNERS -  CAMACHO JOHN SR LIFE ESTATE;#150</t>
  </si>
  <si>
    <t>610 MURPHY AVE;#150</t>
  </si>
  <si>
    <t>082</t>
  </si>
  <si>
    <t>R021315;#151</t>
  </si>
  <si>
    <t>COW-FRMP_TR-082</t>
  </si>
  <si>
    <t>SAM HOUSTON AREA COUNCIL OF BOY SCOUTS OF AMERICA;#151</t>
  </si>
  <si>
    <t>0 HARRIS;#151</t>
  </si>
  <si>
    <t>083</t>
  </si>
  <si>
    <t>R021328;#152</t>
  </si>
  <si>
    <t>COW-FRMP_TR-083</t>
  </si>
  <si>
    <t>NEAL BURNELL SR &amp; SHANDRA;#152</t>
  </si>
  <si>
    <t>0 HARRIS;#152</t>
  </si>
  <si>
    <t>084</t>
  </si>
  <si>
    <t>R021331;#153</t>
  </si>
  <si>
    <t>COW-FRMP_TR-084</t>
  </si>
  <si>
    <t>MARTINEZ ANITA;#153</t>
  </si>
  <si>
    <t>0 OUTLAR;#153</t>
  </si>
  <si>
    <t>085</t>
  </si>
  <si>
    <t>R021333;#154</t>
  </si>
  <si>
    <t>COW-FRMP_TR-085</t>
  </si>
  <si>
    <t>MARTINEZ GUADALUPE EST;#154</t>
  </si>
  <si>
    <t>209 N OUTLAR;#154</t>
  </si>
  <si>
    <t>086</t>
  </si>
  <si>
    <t>R021334;#155</t>
  </si>
  <si>
    <t>COW-FRMP_TR-086</t>
  </si>
  <si>
    <t>HAYES MICHAEL;#155</t>
  </si>
  <si>
    <t>127 OUTLAR;#155</t>
  </si>
  <si>
    <t>087</t>
  </si>
  <si>
    <t>R021335;#156</t>
  </si>
  <si>
    <t>COW-FRMP_TR-087</t>
  </si>
  <si>
    <t>HAYES MICHAEL;#156</t>
  </si>
  <si>
    <t>0  OUTLAR;#156</t>
  </si>
  <si>
    <t>088</t>
  </si>
  <si>
    <t>R021336;#157</t>
  </si>
  <si>
    <t>COW-FRMP_TR-088</t>
  </si>
  <si>
    <t>HAYES THELMA JEAN;#157</t>
  </si>
  <si>
    <t>125 OUTLAR;#157</t>
  </si>
  <si>
    <t>090</t>
  </si>
  <si>
    <t>R021342;#158</t>
  </si>
  <si>
    <t>COW-FRMP_TR-090</t>
  </si>
  <si>
    <t>DAVENPORT AUSTIN DEC'D %FRANCIS DORIS;#158</t>
  </si>
  <si>
    <t>101 OUTLAR;#158</t>
  </si>
  <si>
    <t>R022826;#159</t>
  </si>
  <si>
    <t>092</t>
  </si>
  <si>
    <t>R022829;#160</t>
  </si>
  <si>
    <t>COW-FRMP_TR-092</t>
  </si>
  <si>
    <t>FRANKUM BRADLEY L &amp; COLETTE M;#160</t>
  </si>
  <si>
    <t>1316 FM 1299;#160</t>
  </si>
  <si>
    <t>093</t>
  </si>
  <si>
    <t>R022830;#161</t>
  </si>
  <si>
    <t>COW-FRMP_TR-093</t>
  </si>
  <si>
    <t>MATHEWS DARREN R ETUX KIMBERLY D;#161</t>
  </si>
  <si>
    <t>1318 FM 1299;#161</t>
  </si>
  <si>
    <t>094</t>
  </si>
  <si>
    <t>R022831;#162</t>
  </si>
  <si>
    <t>COW-FRMP_TR-094</t>
  </si>
  <si>
    <t>FREESE RILEY C;#162</t>
  </si>
  <si>
    <t>1400 FM 1299;#162</t>
  </si>
  <si>
    <t>R022832;#163</t>
  </si>
  <si>
    <t>COW-FRMP_TR-095</t>
  </si>
  <si>
    <t>ROSENBERG CARPET CENTER INC;#163</t>
  </si>
  <si>
    <t>0  FM 1299;#163</t>
  </si>
  <si>
    <t>096</t>
  </si>
  <si>
    <t>R022833;#164</t>
  </si>
  <si>
    <t>COW-FRMP_TR-096</t>
  </si>
  <si>
    <t>ROSENBERG CARPET CENTER INC;#164</t>
  </si>
  <si>
    <t>0 FM 1299;#164</t>
  </si>
  <si>
    <t>097</t>
  </si>
  <si>
    <t>R022834;#165</t>
  </si>
  <si>
    <t>COW-FRMP_TR-097</t>
  </si>
  <si>
    <t>ROSENBERG CARPET CENTER INC;#165</t>
  </si>
  <si>
    <t>0 FM 1299;#165</t>
  </si>
  <si>
    <t>098</t>
  </si>
  <si>
    <t>R022835;#166</t>
  </si>
  <si>
    <t>COW-FRMP_TR-098</t>
  </si>
  <si>
    <t>JURASEK RUSSELL A ETUX JACQUELIN;#166</t>
  </si>
  <si>
    <t>1500 FM 1299;#166</t>
  </si>
  <si>
    <t>099</t>
  </si>
  <si>
    <t>COW-FRMP_TR-099</t>
  </si>
  <si>
    <t>Wharton ISD;#7</t>
  </si>
  <si>
    <t>1717 Bailey;#7</t>
  </si>
  <si>
    <t>102</t>
  </si>
  <si>
    <t>R023655;#169</t>
  </si>
  <si>
    <t>R023656;#170</t>
  </si>
  <si>
    <t>104</t>
  </si>
  <si>
    <t>R023657;#171</t>
  </si>
  <si>
    <t>COW-FRMP_TR-104</t>
  </si>
  <si>
    <t>SANDERS SARAH;#171</t>
  </si>
  <si>
    <t>1802 AZALEA DR;#171</t>
  </si>
  <si>
    <t>105</t>
  </si>
  <si>
    <t>R023658;#172</t>
  </si>
  <si>
    <t>COW-FRMP_TR-105</t>
  </si>
  <si>
    <t>HATTON JOHN H III;#172</t>
  </si>
  <si>
    <t>0 AZALEA DR;#172</t>
  </si>
  <si>
    <t>106</t>
  </si>
  <si>
    <t>R023659;#173</t>
  </si>
  <si>
    <t>COW-FRMP_TR-106</t>
  </si>
  <si>
    <t>HATTON SHIRLEY;#173</t>
  </si>
  <si>
    <t>0 AZALEA DR;#173</t>
  </si>
  <si>
    <t>107</t>
  </si>
  <si>
    <t>R023660;#174</t>
  </si>
  <si>
    <t>COW-FRMP_TR-107</t>
  </si>
  <si>
    <t>HATTON SHIRLEY;#174</t>
  </si>
  <si>
    <t>1708 AZALEA DR;#174</t>
  </si>
  <si>
    <t>108</t>
  </si>
  <si>
    <t>R023661;#175</t>
  </si>
  <si>
    <t>COW-FRMP_TR-108</t>
  </si>
  <si>
    <t>ROBERTSON MINNIE;#175</t>
  </si>
  <si>
    <t>1706 AZALEA DR;#175</t>
  </si>
  <si>
    <t>109</t>
  </si>
  <si>
    <t>R023662;#176</t>
  </si>
  <si>
    <t>COW-FRMP_TR-109</t>
  </si>
  <si>
    <t>EPHRAM-NEAL SHIRLEY;#176</t>
  </si>
  <si>
    <t>1704 AZALEA DR;#176</t>
  </si>
  <si>
    <t>110</t>
  </si>
  <si>
    <t>R023665;#177</t>
  </si>
  <si>
    <t>COW-FRMP_TR-110</t>
  </si>
  <si>
    <t>MANGUM MACK JR %MANGUM CURTIS;#177</t>
  </si>
  <si>
    <t>1511 AZALEA DR;#177</t>
  </si>
  <si>
    <t>111</t>
  </si>
  <si>
    <t>R023666;#178</t>
  </si>
  <si>
    <t>COW-FRMP_TR-111</t>
  </si>
  <si>
    <t>BROWN DOROTHY MAE %MANGUM CURTIS;#178</t>
  </si>
  <si>
    <t>0  AZALEA DR;#178</t>
  </si>
  <si>
    <t>112</t>
  </si>
  <si>
    <t>R023667;#179</t>
  </si>
  <si>
    <t>COW-FRMP_TR-112</t>
  </si>
  <si>
    <t>HAYNES WILLIE JR EST;#179</t>
  </si>
  <si>
    <t>1523 AZALEA DR;#179</t>
  </si>
  <si>
    <t>113</t>
  </si>
  <si>
    <t>R023668;#180</t>
  </si>
  <si>
    <t>COW-FRMP_TR-113</t>
  </si>
  <si>
    <t>LEE NAOMI;#180</t>
  </si>
  <si>
    <t>1617 AZALEA DR;#180</t>
  </si>
  <si>
    <t>114</t>
  </si>
  <si>
    <t>R023669;#181</t>
  </si>
  <si>
    <t>COW-FRMP_TR-114</t>
  </si>
  <si>
    <t>HUNT MATTIE M LEE %LEE MICHAEL;#181</t>
  </si>
  <si>
    <t>1619 AZALEA DR;#181</t>
  </si>
  <si>
    <t>115</t>
  </si>
  <si>
    <t>R023670;#182</t>
  </si>
  <si>
    <t>COW-FRMP_TR-115</t>
  </si>
  <si>
    <t>FARR BRIONNA;#182</t>
  </si>
  <si>
    <t>1703 AZALEA DR;#182</t>
  </si>
  <si>
    <t>116</t>
  </si>
  <si>
    <t>R023671;#183</t>
  </si>
  <si>
    <t>COW-FRMP_TR-116</t>
  </si>
  <si>
    <t>LOPEZ ELISIA;#183</t>
  </si>
  <si>
    <t>1703 AZALEA DR;#183</t>
  </si>
  <si>
    <t>117</t>
  </si>
  <si>
    <t>R023672;#184</t>
  </si>
  <si>
    <t>COW-FRMP_TR-117</t>
  </si>
  <si>
    <t>CLARK BARBARA JEAN;#184</t>
  </si>
  <si>
    <t>0 COLUMBINE AVE;#184</t>
  </si>
  <si>
    <t>118</t>
  </si>
  <si>
    <t>R023673;#185</t>
  </si>
  <si>
    <t>COW-FRMP_TR-118</t>
  </si>
  <si>
    <t>BARNES MARY;#185</t>
  </si>
  <si>
    <t>1618 COLUMBINE AVE;#185</t>
  </si>
  <si>
    <t>119</t>
  </si>
  <si>
    <t>R023674;#186</t>
  </si>
  <si>
    <t>COW-FRMP_TR-119</t>
  </si>
  <si>
    <t>BUTLER SARAH;#186</t>
  </si>
  <si>
    <t>1616 COLUMBINE AVE;#186</t>
  </si>
  <si>
    <t>120</t>
  </si>
  <si>
    <t>R023675;#187</t>
  </si>
  <si>
    <t>COW-FRMP_TR-120</t>
  </si>
  <si>
    <t>BRANCH SHANDRA &amp; NEAL BURNELL;#187</t>
  </si>
  <si>
    <t>1610 COLUMBINE AVE;#187</t>
  </si>
  <si>
    <t>121</t>
  </si>
  <si>
    <t>R023676;#188</t>
  </si>
  <si>
    <t>COW-FRMP_TR-121</t>
  </si>
  <si>
    <t>BRANCH SHANDRA &amp; NEAL BURNELL;#188</t>
  </si>
  <si>
    <t>1524 COLUMBINE AVE;#188</t>
  </si>
  <si>
    <t>122</t>
  </si>
  <si>
    <t>R023678;#189</t>
  </si>
  <si>
    <t>COW-FRMP_TR-122</t>
  </si>
  <si>
    <t>NEAL BURNELL;#189</t>
  </si>
  <si>
    <t>1522 COLUMBINE AVE;#189</t>
  </si>
  <si>
    <t>123</t>
  </si>
  <si>
    <t>R023680;#190</t>
  </si>
  <si>
    <t>COW-FRMP_TR-123</t>
  </si>
  <si>
    <t>PULLARD CLASSIE;#190</t>
  </si>
  <si>
    <t>0  COLUMBINE AVE;#190</t>
  </si>
  <si>
    <t>124</t>
  </si>
  <si>
    <t>R023681;#191</t>
  </si>
  <si>
    <t>COW-FRMP_TR-124</t>
  </si>
  <si>
    <t>PULLARD CLASSIE;#191</t>
  </si>
  <si>
    <t>0 COLUMBINE AVE;#191</t>
  </si>
  <si>
    <t>125</t>
  </si>
  <si>
    <t>R023682;#192</t>
  </si>
  <si>
    <t>COW-FRMP_TR-125</t>
  </si>
  <si>
    <t>JOHNSON JAYMES K &amp; MASON CATHEY F;#192</t>
  </si>
  <si>
    <t>0 COLUMBINE AVE;#192</t>
  </si>
  <si>
    <t>126</t>
  </si>
  <si>
    <t>R023683;#193</t>
  </si>
  <si>
    <t>COW-FRMP_TR-126</t>
  </si>
  <si>
    <t>JOHNSON JAYMES K &amp; MASON CATHY;#193</t>
  </si>
  <si>
    <t>128 OUTLAR;#193</t>
  </si>
  <si>
    <t>128</t>
  </si>
  <si>
    <t>R023685;#194</t>
  </si>
  <si>
    <t>COW-FRMP_TR-128</t>
  </si>
  <si>
    <t>JACKSON JOSEPHINE EST %PAUL BILLYE;#194</t>
  </si>
  <si>
    <t>1615 COLUMBINE AVE;#194</t>
  </si>
  <si>
    <t>129</t>
  </si>
  <si>
    <t>COW-FRMP_TR-129</t>
  </si>
  <si>
    <t>ALLEN TROY;#195</t>
  </si>
  <si>
    <t>1607 COLUMBINE AVE;#195</t>
  </si>
  <si>
    <t>COW-FRMP_TR-130</t>
  </si>
  <si>
    <t>ALLEN WILLAM/WHARTON RECOVERY TEAM;#196</t>
  </si>
  <si>
    <t>1607 COLUMBINE AVE;#196</t>
  </si>
  <si>
    <t>COW-FRMP_TR-131</t>
  </si>
  <si>
    <t>PHILLIPS ROBERT L ETUX EARLEAN;#197</t>
  </si>
  <si>
    <t>1603 COLUMBINE AVE;#197</t>
  </si>
  <si>
    <t>COW-FRMP_TR-132</t>
  </si>
  <si>
    <t>THOMPSON JOE;#198</t>
  </si>
  <si>
    <t>1523 COLUMBINE AVE;#198</t>
  </si>
  <si>
    <t>R023690;#199</t>
  </si>
  <si>
    <t>COW-FRMP_TR-133</t>
  </si>
  <si>
    <t>ALLEN TROY;#199</t>
  </si>
  <si>
    <t>1517 COLUMBINE AVE;#199</t>
  </si>
  <si>
    <t>R023691;#200</t>
  </si>
  <si>
    <t>COW-FRMP_TR-134</t>
  </si>
  <si>
    <t>ALLEN TROY;#200</t>
  </si>
  <si>
    <t>1511 COLUMBINE AVE;#200</t>
  </si>
  <si>
    <t>R023692;#201</t>
  </si>
  <si>
    <t>COW-FRMP_TR-135</t>
  </si>
  <si>
    <t>DAVIS REGINALD D;#201</t>
  </si>
  <si>
    <t>1509 COLUMBINE AVE;#201</t>
  </si>
  <si>
    <t>R023693;#202</t>
  </si>
  <si>
    <t>COW-FRMP_TR-136</t>
  </si>
  <si>
    <t>MASON JOHN M;#202</t>
  </si>
  <si>
    <t>0  COLUMBINE AVE;#202</t>
  </si>
  <si>
    <t>R025782;#203</t>
  </si>
  <si>
    <t>COW-FRMP_TR-151</t>
  </si>
  <si>
    <t>DUNCAN ALFRED &amp; WF;#203</t>
  </si>
  <si>
    <t>0 W MILAM;#203</t>
  </si>
  <si>
    <t>R025796;#204</t>
  </si>
  <si>
    <t>COW-FRMP_TR-152</t>
  </si>
  <si>
    <t>JACKSON FREDA;#204</t>
  </si>
  <si>
    <t>1622 W MILAM;#204</t>
  </si>
  <si>
    <t>R025797;#205</t>
  </si>
  <si>
    <t>COW-FRMP_TR-153</t>
  </si>
  <si>
    <t>HEARD TONY &amp; FLOYD VIOLA;#205</t>
  </si>
  <si>
    <t>1700 W MILAM;#205</t>
  </si>
  <si>
    <t>R025798;#206</t>
  </si>
  <si>
    <t>COW-FRMP_TR-154</t>
  </si>
  <si>
    <t>MCGREW ROBERT L;#206</t>
  </si>
  <si>
    <t>1702 W MILAM;#206</t>
  </si>
  <si>
    <t>R026594;#207</t>
  </si>
  <si>
    <t>COW-FRMP_TR-155</t>
  </si>
  <si>
    <t>BRM3 INTERESTS LP;#207</t>
  </si>
  <si>
    <t>0 S EAST AVE;#207</t>
  </si>
  <si>
    <t>R026595;#208</t>
  </si>
  <si>
    <t>COW-FRMP_TR-156</t>
  </si>
  <si>
    <t>HERNANDEZ ALFREDO M;#208</t>
  </si>
  <si>
    <t>320 S EAST AVE;#208</t>
  </si>
  <si>
    <t>R026596;#209</t>
  </si>
  <si>
    <t>R026597;#210</t>
  </si>
  <si>
    <t>R026598;#211</t>
  </si>
  <si>
    <t>R026599;#212</t>
  </si>
  <si>
    <t>COW-FRMP_TR-160</t>
  </si>
  <si>
    <t>FELLHAUER DAVID E MOST REV BISHOP OF DIOCESE OF VICTORIA;#212</t>
  </si>
  <si>
    <t>0 S EAST AVE;#212</t>
  </si>
  <si>
    <t>R026604;#213</t>
  </si>
  <si>
    <t>R026605;#214</t>
  </si>
  <si>
    <t>R026606;#215</t>
  </si>
  <si>
    <t>166</t>
  </si>
  <si>
    <t>R026609;#216</t>
  </si>
  <si>
    <t>COW-FRMP_TR-166</t>
  </si>
  <si>
    <t>CANO VICENTE P;#216</t>
  </si>
  <si>
    <t>305 BLACK;#216</t>
  </si>
  <si>
    <t>R026610;#217</t>
  </si>
  <si>
    <t>R026611;#218</t>
  </si>
  <si>
    <t>R026612;#219</t>
  </si>
  <si>
    <t>177</t>
  </si>
  <si>
    <t>R026763;#220</t>
  </si>
  <si>
    <t>COW-FRMP_TR-177</t>
  </si>
  <si>
    <t>DONJUAN ERASMO R ETUX LUCIA;#220</t>
  </si>
  <si>
    <t>517 BRIETLING LN;#220</t>
  </si>
  <si>
    <t>178</t>
  </si>
  <si>
    <t>R026764;#221</t>
  </si>
  <si>
    <t>COW-FRMP_TR-178</t>
  </si>
  <si>
    <t>GALVAN PABLO AND GALVAN ORELIA;#221</t>
  </si>
  <si>
    <t>523 BRIETLING LN;#221</t>
  </si>
  <si>
    <t>179</t>
  </si>
  <si>
    <t>R026767;#222</t>
  </si>
  <si>
    <t>COW-FRMP_TR-179</t>
  </si>
  <si>
    <t>HEARD ELISABETH J &amp; HEARD MELVIN A;#222</t>
  </si>
  <si>
    <t>0 BLACK;#222</t>
  </si>
  <si>
    <t>180</t>
  </si>
  <si>
    <t>R026770;#223</t>
  </si>
  <si>
    <t>COW-FRMP_TR-180</t>
  </si>
  <si>
    <t>PULIDO JUSTO MRS;#223</t>
  </si>
  <si>
    <t>0 BLACK;#223</t>
  </si>
  <si>
    <t>R026931;#224</t>
  </si>
  <si>
    <t>R026936;#225</t>
  </si>
  <si>
    <t>R026940;#226</t>
  </si>
  <si>
    <t>R026941;#227</t>
  </si>
  <si>
    <t>R026942;#228</t>
  </si>
  <si>
    <t>R026943;#229</t>
  </si>
  <si>
    <t>R026948;#230</t>
  </si>
  <si>
    <t>R026951;#231</t>
  </si>
  <si>
    <t>R026953;#232</t>
  </si>
  <si>
    <t>R026954;#233</t>
  </si>
  <si>
    <t>R026956;#234</t>
  </si>
  <si>
    <t>R026957;#235</t>
  </si>
  <si>
    <t>R026965;#236</t>
  </si>
  <si>
    <t>194</t>
  </si>
  <si>
    <t>R026968;#237</t>
  </si>
  <si>
    <t>COW-FRMP_TR-194</t>
  </si>
  <si>
    <t>MILLER MELISSA &amp; GILBERT GARY;#237</t>
  </si>
  <si>
    <t>2715 N CR 166;#237</t>
  </si>
  <si>
    <t>R027013;#238</t>
  </si>
  <si>
    <t>199</t>
  </si>
  <si>
    <t>COW-FRMP_TR-199</t>
  </si>
  <si>
    <t>CLINT &amp; MICHELLE KOEHLER;#68</t>
  </si>
  <si>
    <t>CR 241;#68</t>
  </si>
  <si>
    <t>R031206;#242</t>
  </si>
  <si>
    <t>NEAL BURNELL;#242</t>
  </si>
  <si>
    <t>108 S OUTLAR;#242</t>
  </si>
  <si>
    <t>R031207;#243</t>
  </si>
  <si>
    <t>JOHNSON JAYMES K &amp; MASON CATHEY F;#243</t>
  </si>
  <si>
    <t>116 S OUTLAR;#243</t>
  </si>
  <si>
    <t>R032037;#244</t>
  </si>
  <si>
    <t>R032053;#245</t>
  </si>
  <si>
    <t>R032127;#246</t>
  </si>
  <si>
    <t>R032139;#248</t>
  </si>
  <si>
    <t>R032141;#249</t>
  </si>
  <si>
    <t>R032142;#250</t>
  </si>
  <si>
    <t>R032145;#251</t>
  </si>
  <si>
    <t>R032159;#252</t>
  </si>
  <si>
    <t>BOEDEKER KELLY G;#252</t>
  </si>
  <si>
    <t>414 CR 144;#252</t>
  </si>
  <si>
    <t>R050108;#253</t>
  </si>
  <si>
    <t>R050632;#254</t>
  </si>
  <si>
    <t>SHANKLIN JULIUS;#254</t>
  </si>
  <si>
    <t>220 WILKES;#254</t>
  </si>
  <si>
    <t>R050633;#255</t>
  </si>
  <si>
    <t>SHANKLIN JULIUS;#255</t>
  </si>
  <si>
    <t>0  WILKES;#255</t>
  </si>
  <si>
    <t>R052351;#256</t>
  </si>
  <si>
    <t>225</t>
  </si>
  <si>
    <t>R053223;#257</t>
  </si>
  <si>
    <t>COW-FRMP_TR-225</t>
  </si>
  <si>
    <t>EDWARDS CURTIS E;#257</t>
  </si>
  <si>
    <t>0 KEARNEY;#257</t>
  </si>
  <si>
    <t>226</t>
  </si>
  <si>
    <t>R053224;#258</t>
  </si>
  <si>
    <t>COW-FRMP_TR-226</t>
  </si>
  <si>
    <t>EDWARDS CURTIS E &amp; WF;#258</t>
  </si>
  <si>
    <t>0  KEARNEY;#258</t>
  </si>
  <si>
    <t>227</t>
  </si>
  <si>
    <t>R053788;#259</t>
  </si>
  <si>
    <t>COW-FRMP_TR-227</t>
  </si>
  <si>
    <t>228</t>
  </si>
  <si>
    <t>R053789;#260</t>
  </si>
  <si>
    <t>COW-FRMP_TR-228</t>
  </si>
  <si>
    <t>229</t>
  </si>
  <si>
    <t>R053909;#261</t>
  </si>
  <si>
    <t>COW-FRMP_TR-229</t>
  </si>
  <si>
    <t>GONZALES JOE L EST;#261</t>
  </si>
  <si>
    <t>302 CR 150;#261</t>
  </si>
  <si>
    <t>230</t>
  </si>
  <si>
    <t>R054512;#262</t>
  </si>
  <si>
    <t>COW-FRMP_TR-230</t>
  </si>
  <si>
    <t>WITT ANN L &amp; RAYMOND R;#262</t>
  </si>
  <si>
    <t>0 CR 222;#262</t>
  </si>
  <si>
    <t>231</t>
  </si>
  <si>
    <t>R054513;#263</t>
  </si>
  <si>
    <t>COW-FRMP_TR-231</t>
  </si>
  <si>
    <t>HENRY RUDOLPH ETUX SHERYL;#263</t>
  </si>
  <si>
    <t>0 CR 222;#263</t>
  </si>
  <si>
    <t>232</t>
  </si>
  <si>
    <t>R054678;#264</t>
  </si>
  <si>
    <t>COW-FRMP_TR-232</t>
  </si>
  <si>
    <t>MACHA GENE G ETUX NANCY;#264</t>
  </si>
  <si>
    <t>725 CR 150;#264</t>
  </si>
  <si>
    <t>233</t>
  </si>
  <si>
    <t>R055172;#265</t>
  </si>
  <si>
    <t>COW-FRMP_TR-233</t>
  </si>
  <si>
    <t>KALINA LARRY J ETUX DIANE;#265</t>
  </si>
  <si>
    <t>3225 N RICHMOND;#265</t>
  </si>
  <si>
    <t>R055173;#266</t>
  </si>
  <si>
    <t>R056464;#267</t>
  </si>
  <si>
    <t>R056478;#268</t>
  </si>
  <si>
    <t>R056480;#269</t>
  </si>
  <si>
    <t>R059308;#270</t>
  </si>
  <si>
    <t>R059447;#271</t>
  </si>
  <si>
    <t>R060210;#272</t>
  </si>
  <si>
    <t>245</t>
  </si>
  <si>
    <t>R061310;#273</t>
  </si>
  <si>
    <t>COW-FRMP_TR-245</t>
  </si>
  <si>
    <t>ROGERS MARQUITA L;#273</t>
  </si>
  <si>
    <t>400 S SHEPPARD;#273</t>
  </si>
  <si>
    <t>250</t>
  </si>
  <si>
    <t>R063218;#274</t>
  </si>
  <si>
    <t>COW-FRMP_TR-250</t>
  </si>
  <si>
    <t>Valliere R. Auzenne Life Estate;#274</t>
  </si>
  <si>
    <t>0 BLACK;#274</t>
  </si>
  <si>
    <t>R068966;#275</t>
  </si>
  <si>
    <t>258</t>
  </si>
  <si>
    <t>R072724;#278</t>
  </si>
  <si>
    <t>COW-FRMP_TR-258</t>
  </si>
  <si>
    <t>ESCOBAR PABLO &amp; JOSEPHINA;#278</t>
  </si>
  <si>
    <t>520 COLLINS;#278</t>
  </si>
  <si>
    <t>R072725;#279</t>
  </si>
  <si>
    <t>R073362;#280</t>
  </si>
  <si>
    <t>R012834;#102</t>
  </si>
  <si>
    <t>TURNER THELMA;#102</t>
  </si>
  <si>
    <r>
      <rPr>
        <b/>
        <sz val="10"/>
        <color theme="1"/>
        <rFont val="Arial Narrow"/>
        <family val="2"/>
      </rPr>
      <t>Environmental</t>
    </r>
    <r>
      <rPr>
        <b/>
        <sz val="11"/>
        <color theme="1"/>
        <rFont val="Arial"/>
        <family val="2"/>
      </rPr>
      <t xml:space="preserve"> Tract No.</t>
    </r>
  </si>
  <si>
    <t>Duplicate logs</t>
  </si>
  <si>
    <t>GF No. 2019-0832</t>
  </si>
  <si>
    <t>COWFRLPHDR-5-722</t>
  </si>
  <si>
    <t>ACQ Filename Prefix</t>
  </si>
  <si>
    <t>Acq Filename Prefix</t>
  </si>
  <si>
    <t>COW-FRMP_TR-100 CONTACT Negotiator Report.docx</t>
  </si>
  <si>
    <t>COW-FRMP_TR-200 CONTACT Negotiator Report.docx</t>
  </si>
  <si>
    <t>COW-FRMP_TR-200 CONTACT Pre-Appraisal Contact with Owner.pdf</t>
  </si>
  <si>
    <t>COW-FRMP_TR-201 CONTACT Negotiator Report.docx</t>
  </si>
  <si>
    <t>COW-FRMP_TR-202 CONTACT Negotiator Report.docx</t>
  </si>
  <si>
    <t>COW-FRMP_TR-203 CONTACT Negotiator Report.docx</t>
  </si>
  <si>
    <t>COW-FRMP_TR-205 CONTACT Negotiator Report.docx</t>
  </si>
  <si>
    <t>COW-FRMP_TR-205 CONTACT Pre-Appraisal Contact with Owner.pdf</t>
  </si>
  <si>
    <t>COW-FRMP_TR-207 CONTACT Negotiator Report.docx</t>
  </si>
  <si>
    <t>COW-FRMP_TR-207 CONTACT Pre-Appraisal Contact with Owner.pdf</t>
  </si>
  <si>
    <t>COW-FRMP_TR-208 CONTACT Negotiator Report.docx</t>
  </si>
  <si>
    <t>COW-FRMP_TR-208 CONTACT Pre-Appraisal Contact with Owner.pdf</t>
  </si>
  <si>
    <t>COW-FRMP_TR-210 CONTACT Negotiator Report.docx</t>
  </si>
  <si>
    <t>COW-FRMP_TR-211 CONTACT Letter of Intent-HDR 12-13-19.pdf</t>
  </si>
  <si>
    <t>COW-FRMP_TR-211 CONTACT Negotiator Report.docx</t>
  </si>
  <si>
    <t>COW-FRMP_TR-212 CONTACT Negotiator Report.docx</t>
  </si>
  <si>
    <t>COW-FRMP_TR-213 CONTACT Negotiator Report.docx</t>
  </si>
  <si>
    <t>COW-FRMP_TR-213 CONTACT Pre-Appraisal Contact with Owner.pdf</t>
  </si>
  <si>
    <t>COW-FRMP_TR-214 CONTACT Negotiator Report.docx</t>
  </si>
  <si>
    <t>COW-FRMP_TR-215 CONTACT Negotiator Report.docx</t>
  </si>
  <si>
    <t>COW-FRMP_TR-215 CONTACT Pre-Appraisal Contact with Owner.pdf</t>
  </si>
  <si>
    <t>COW-FRMP_TR-216 CONTACT Negotiator Report.docx</t>
  </si>
  <si>
    <t>COW-FRMP_TR-217 CONTACT Negotiator Report.docx</t>
  </si>
  <si>
    <t>COW-FRMP_TR-217 CONTACT Pre-Appraisal Contact with Owner.pdf</t>
  </si>
  <si>
    <t>COW-FRMP_TR-218 CONTACT Negotiator Report.docx</t>
  </si>
  <si>
    <t>COW-FRMP_TR-218 CONTACT Pre-Appraisal Contact with Owner.pdf</t>
  </si>
  <si>
    <t>COW-FRMP_TR-219 CONTACT Negotiator Report.docx</t>
  </si>
  <si>
    <t>COW-FRMP_TR-220 CONTACT Negotiator Report.docx</t>
  </si>
  <si>
    <t>COW-FRMP_TR-222 CONTACT Negotiator Report.docx</t>
  </si>
  <si>
    <t>COW-FRMP_TR-223 CONTACT Negotiator Report.docx</t>
  </si>
  <si>
    <t>COW-FRMP_TR-224 CONTACT Negotiator Report.docx</t>
  </si>
  <si>
    <t>COW-FRMP_TR-300 CONTACT Negotiator Report.docx</t>
  </si>
  <si>
    <t>COW-FRMP_TR-301 CONTACT Negotiator Report.docx</t>
  </si>
  <si>
    <t>COW-FRMP_TR-302 CONTACT Negotiator Report.docx</t>
  </si>
  <si>
    <t>COW-FRMP_TR-303 CONTACT Negotiator Report.docx</t>
  </si>
  <si>
    <t>COW-FRMP_TR-304 CONTACT Negotiator Report.docx</t>
  </si>
  <si>
    <t>COW-FRMP_TR-305 CONTACT Negotiator Report.docx</t>
  </si>
  <si>
    <t>COW-FRMP_TR-305 CONTACT Pre-Appraisal Contact with Owner.pdf</t>
  </si>
  <si>
    <t>COW-FRMP_TR-305MH CONTACT Negotiator Report.docx</t>
  </si>
  <si>
    <t>COW-FRMP_TR-306 CONTACT Negotiator Report.docx</t>
  </si>
  <si>
    <t>COW-FRMP_TR-307 CONTACT Negotiator Report.docx</t>
  </si>
  <si>
    <t>COW-FRMP_TR-308 CONTACT Negotiator Report.docx</t>
  </si>
  <si>
    <t>COW-FRMP_TR-309 CONTACT Negotiator Report.docx</t>
  </si>
  <si>
    <t>COW-FRMP_TR-310 CONTACT Negotiator Report.docx</t>
  </si>
  <si>
    <t>COW-FRMP_TR-311 CONTACT Negotiator Report.docx</t>
  </si>
  <si>
    <t>COW-FRMP_TR-312 CONTACT Negotiator Report.docx</t>
  </si>
  <si>
    <t>COW-FRMP_TR-313 CONTACT Negotiator Report.docx</t>
  </si>
  <si>
    <t>COW-FRMP_TR-314 CONTACT Negotiator Report.docx</t>
  </si>
  <si>
    <t>COW-FRMP_TR-315 CONTACT Negotiator Report.docx</t>
  </si>
  <si>
    <t>COW-FRMP_TR-316 CONTACT Negotiator Report.docx</t>
  </si>
  <si>
    <t>COW-FRMP_TR-317 CONTACT Negotiator Report.docx</t>
  </si>
  <si>
    <t>COW-FRMP_TR-319 CONTACT Negotiator Report.docx</t>
  </si>
  <si>
    <t>COW-FRMP_TR-320 CONTACT Negotiator Report.docx</t>
  </si>
  <si>
    <t>COW-FRMP_TR-320 CONTACT Pre-Appraisal Contact with Owner.pdf</t>
  </si>
  <si>
    <t>COW-FRMP_TR-321 CONTACT Negotiator Report.docx</t>
  </si>
  <si>
    <t>COW-FRMP_TR-421A CONTACT Negotiator Report.docx</t>
  </si>
  <si>
    <t>COW-FRMP_TR-427 CONTACT Negotiator Report.docx</t>
  </si>
  <si>
    <t>COW-FRMP_TR-100 NEGOTIATION Landowner Bill of Rights Letter.pdf</t>
  </si>
  <si>
    <t>COW-FRMP_TR-200 NEGOTIATION Landowner Bill of Rights Letter.pdf</t>
  </si>
  <si>
    <t>COW-FRMP_TR-200 TITLE Tax Card.pdf</t>
  </si>
  <si>
    <t>COW-FRMP_TR-201 NEGOTIATION Landowner Bill of Rights Letter.pdf</t>
  </si>
  <si>
    <t>COW-FRMP_TR-201 TITLE Tax Card.pdf</t>
  </si>
  <si>
    <t>COW-FRMP_TR-202 NEGOTIATION Landowner Bill of Rights Letter.pdf</t>
  </si>
  <si>
    <t>COW-FRMP_TR-202 TITLE Tax Card.pdf</t>
  </si>
  <si>
    <t>COW-FRMP_TR-203 NEGOTIATION Landowner Bill of Rights Letter.pdf</t>
  </si>
  <si>
    <t>COW-FRMP_TR-203 TITLE Tax Card.pdf</t>
  </si>
  <si>
    <t>COW-FRMP_TR-205 NEGOTIATION Landowner Bill of Rights Letter.pdf</t>
  </si>
  <si>
    <t>COW-FRMP_TR-205 TITLE Tax Card.pdf</t>
  </si>
  <si>
    <t>COW-FRMP_TR-207 CONTACT Letter of Intent-HDR.pdf</t>
  </si>
  <si>
    <t>COW-FRMP_TR-207 NEGOTIATION Landowner Bill of Rights Letter.pdf</t>
  </si>
  <si>
    <t>COW-FRMP_TR-208 NEGOTIATION Landowner Bill of Rights Letter.pdf</t>
  </si>
  <si>
    <t>COW-FRMP_TR-210 NEGOTIATION Landowner Bill of Rights Letter.pdf</t>
  </si>
  <si>
    <t>COW-FRMP_TR-210 TITLE Tax Card.pdf</t>
  </si>
  <si>
    <t>COW-FRMP_TR-211 NEGOTIATION Landowner Bill of Rights Letter.pdf</t>
  </si>
  <si>
    <t>COW-FRMP_TR-211 TITLE Tax Card.pdf</t>
  </si>
  <si>
    <t>COW-FRMP_TR-212 NEGOTIATION Landowner Bill of Rights Letter.pdf</t>
  </si>
  <si>
    <t>COW-FRMP_TR-212 TITLE Tax Card.pdf</t>
  </si>
  <si>
    <t>COW-FRMP_TR-213 NEGOTIATION Landowner Bill of Rights Letter.pdf</t>
  </si>
  <si>
    <t>COW-FRMP_TR-214 NEGOTIATION Landowner Bill of Rights Letter.pdf</t>
  </si>
  <si>
    <t>COW-FRMP_TR-214 TITLE Tax Card.pdf</t>
  </si>
  <si>
    <t>COW-FRMP_TR-215 NEGOTIATION Landowner Bill of Rights Letter.pdf</t>
  </si>
  <si>
    <t>COW-FRMP_TR-215 TITLE Tax Card.pdf</t>
  </si>
  <si>
    <t>COW-FRMP_TR-216 NEGOTIATION Landowner Bill of Rights Letter.pdf</t>
  </si>
  <si>
    <t>COW-FRMP_TR-216 TITLE Tax Card.pdf</t>
  </si>
  <si>
    <t>COW-FRMP_TR-217 NEGOTIATION Landowner Bill of Rights Letter.pdf</t>
  </si>
  <si>
    <t>COW-FRMP_TR-217 TITLE Tax Card.pdf</t>
  </si>
  <si>
    <t>COW-FRMP_TR-218 NEGOTIATION Landowner Bill of Rights Letter.pdf</t>
  </si>
  <si>
    <t>COW-FRMP_TR-219 NEGOTIATION Landowner Bill of Rights Letter.pdf</t>
  </si>
  <si>
    <t>COW-FRMP_TR-220 NEGOTIATION Landowner Bill of Rights Letter.pdf</t>
  </si>
  <si>
    <t>COW-FRMP_TR-222 NEGOTIATION Landowner Bill of Rights Letter.pdf</t>
  </si>
  <si>
    <t>COW-FRMP_TR-222 TITLE Tax Card.pdf</t>
  </si>
  <si>
    <t>COW-FRMP_TR-223 NEGOTIATION Landowner Bill of Rights Letter.pdf</t>
  </si>
  <si>
    <t>COW-FRMP_TR-223 TITLE Tax Card.pdf</t>
  </si>
  <si>
    <t>COW-FRMP_TR-224 NEGOTIATION Landowner Bill of Rights Letter.pdf</t>
  </si>
  <si>
    <t>COW-FRMP_TR-300 NEGOTIATION Landowner Bill of Rights Letter.pdf</t>
  </si>
  <si>
    <t>COW-FRMP_TR-300 TITLE Tax Card.pdf</t>
  </si>
  <si>
    <t>COW-FRMP_TR-301 NEGOTIATION Landowner Bill of Rights Letter.pdf</t>
  </si>
  <si>
    <t>COW-FRMP_TR-301 TITLE Tax Card.pdf</t>
  </si>
  <si>
    <t>COW-FRMP_TR-302 NEGOTIATION Landowner Bill of Rights Letter.pdf</t>
  </si>
  <si>
    <t>COW-FRMP_TR-302 TITLE Tax Card.pdf</t>
  </si>
  <si>
    <t>COW-FRMP_TR-303 NEGOTIATION Landowner Bill of Rights Letter.pdf</t>
  </si>
  <si>
    <t>COW-FRMP_TR-303 TITLE Tax Card.pdf</t>
  </si>
  <si>
    <t>COW-FRMP_TR-304 NEGOTIATION Landowner Bill of Rights Letter.pdf</t>
  </si>
  <si>
    <t>COW-FRMP_TR-305 NEGOTIATION Landowner Bill of Rights Letter.pdf</t>
  </si>
  <si>
    <t>COW-FRMP_TR-305MH TITLE Tax Card.pdf</t>
  </si>
  <si>
    <t>COW-FRMP_TR-306 NEGOTIATION Landowner Bill of Rights Letter.pdf</t>
  </si>
  <si>
    <t>COW-FRMP_TR-307 NEGOTIATION Landowner Bill of Rights Letter.pdf</t>
  </si>
  <si>
    <t>COW-FRMP_TR-307 TITLE Tax Card.pdf</t>
  </si>
  <si>
    <t>COW-FRMP_TR-308 NEGOTIATION Landowner Bill of Rights Letter.pdf</t>
  </si>
  <si>
    <t>COW-FRMP_TR-308 TITLE Tax Card.pdf</t>
  </si>
  <si>
    <t>COW-FRMP_TR-309 NEGOTIATION Landowner Bill of Rights Letter.pdf</t>
  </si>
  <si>
    <t>COW-FRMP_TR-309 TITLE Tax Card.pdf</t>
  </si>
  <si>
    <t>COW-FRMP_TR-310 NEGOTIATION Landowner Bill of Rights Letter.pdf</t>
  </si>
  <si>
    <t>COW-FRMP_TR-310 TITLE Tax Card.pdf</t>
  </si>
  <si>
    <t>COW-FRMP_TR-311 NEGOTIATION Landowner Bill of Rights Letter.pdf</t>
  </si>
  <si>
    <t>COW-FRMP_TR-311 TITLE Tax Card.pdf</t>
  </si>
  <si>
    <t>COW-FRMP_TR-312 NEGOTIATION Landowner Bill of Rights Letter.pdf</t>
  </si>
  <si>
    <t>COW-FRMP_TR-312 TITLE Tax Card.pdf</t>
  </si>
  <si>
    <t>COW-FRMP_TR-313 NEGOTIATION Landowner Bill of Rights Letter.pdf</t>
  </si>
  <si>
    <t>COW-FRMP_TR-314 NEGOTIATION Landowner Bill of Rights Letter.pdf</t>
  </si>
  <si>
    <t>COW-FRMP_TR-315 NEGOTIATION Landowner Bill of Rights Letter.pdf</t>
  </si>
  <si>
    <t>COW-FRMP_TR-315 TITLE Tax Card.pdf</t>
  </si>
  <si>
    <t>COW-FRMP_TR-316 NEGOTIATION Landowner Bill of Rights Letter.pdf</t>
  </si>
  <si>
    <t>COW-FRMP_TR-316 TITLE Tax Card.pdf</t>
  </si>
  <si>
    <t>COW-FRMP_TR-317 NEGOTIATION Landowner Bill of Rights Letter.pdf</t>
  </si>
  <si>
    <t>COW-FRMP_TR-319 NEGOTIATION Landowner Bill of Rights Letter.pdf</t>
  </si>
  <si>
    <t>COW-FRMP_TR-319 TITLE Tax Card.pdf</t>
  </si>
  <si>
    <t>COW-FRMP_TR-320 NEGOTIATION Landowner Bill of Rights Letter.pdf</t>
  </si>
  <si>
    <t>COW-FRMP_TR-320 TITLE Tax Card.pdf</t>
  </si>
  <si>
    <t>COW-FRMP_TR-321 NEGOTIATION Landowner Bill of Rights Letter.pdf</t>
  </si>
  <si>
    <t>COW-FRMP_TR-321 TITLE Tax Card.pdf</t>
  </si>
  <si>
    <t>COW-FRMP_TR-421A NEGOTIATION Landowner Bill of Rights Letter.pdf</t>
  </si>
  <si>
    <t>COW-FRMP_TR-427 NEGOTIATION Landowner Bill of Rights Letter.pdf</t>
  </si>
  <si>
    <t>COW-FRMP_TR-427 SURVEY Right-of-Entry.pdf</t>
  </si>
  <si>
    <t>COW-FRMP_TR-427 TITLE Tax Card.pdf</t>
  </si>
  <si>
    <t>TITLE SOS</t>
  </si>
  <si>
    <t xml:space="preserve">No CMRR Green Card </t>
  </si>
  <si>
    <t>TaxID;TaxID;TaxID</t>
  </si>
  <si>
    <t>2019-1001</t>
  </si>
  <si>
    <t>SURVEY Description-Plat_CITY</t>
  </si>
  <si>
    <t>Description-Plat_CITY</t>
  </si>
  <si>
    <t>COW-FRMP_TR-421A SURVEY Description-Plat_CITY.pdf</t>
  </si>
  <si>
    <t>COW-FRMP_TR-427 SURVEY Description-Plat_CITY.pdf</t>
  </si>
  <si>
    <t>COWFRLPHDR-5-724</t>
  </si>
  <si>
    <t>COWFRLPHDR-5-725</t>
  </si>
  <si>
    <t>COWFRLPHDR-5-726</t>
  </si>
  <si>
    <t>SURVEY Description-Plat_USACOE</t>
  </si>
  <si>
    <t>Description-Plat_USACOE</t>
  </si>
  <si>
    <t>Item Type</t>
  </si>
  <si>
    <t>Item</t>
  </si>
  <si>
    <t>No CMRR Green Card - USPS Tracking Delivered</t>
  </si>
  <si>
    <t>No CMRR Green Card - USPS In-Transit</t>
  </si>
  <si>
    <t>No CMRR Green Card - USPS Return to Sender Alert</t>
  </si>
  <si>
    <t>Missing ROE Letter</t>
  </si>
  <si>
    <t>COW-FRMP_TR-201 SURVEY Description-Plat_CITY.pdf</t>
  </si>
  <si>
    <t>COW-FRMP_TR-202 SURVEY Description-Plat_CITY.pdf</t>
  </si>
  <si>
    <t>COW-FRMP_TR-205 SURVEY Description-Plat_CITY.pdf</t>
  </si>
  <si>
    <t>COW-FRMP_TR-207 SURVEY Description-Plat_CITY.pdf</t>
  </si>
  <si>
    <t>COW-FRMP_TR-210 SURVEY Description-Plat_CITY.pdf</t>
  </si>
  <si>
    <t>COW-FRMP_TR-213 SURVEY Description-Plat_CITY.pdf</t>
  </si>
  <si>
    <t>COW-FRMP_TR-214 SURVEY Description-Plat_CITY.pdf</t>
  </si>
  <si>
    <t>COW-FRMP_TR-215 SURVEY Description-Plat_CITY.pdf</t>
  </si>
  <si>
    <t>COW-FRMP_TR-216 SURVEY Description-Plat_CITY.pdf</t>
  </si>
  <si>
    <t>COW-FRMP_TR-217 SURVEY Description-Plat_CITY.pdf</t>
  </si>
  <si>
    <t>COW-FRMP_TR-218 SURVEY Description-Plat_CITY.pdf</t>
  </si>
  <si>
    <t>COW-FRMP_TR-308 SURVEY Description-Plat_CITY.pdf</t>
  </si>
  <si>
    <t>COW-FRMP_TR-309 SURVEY Description-Plat_CITY.pdf</t>
  </si>
  <si>
    <t>COW-FRMP_TR-310 SURVEY Description-Plat_CITY.pdf</t>
  </si>
  <si>
    <t>COW-FRMP_TR-311 SURVEY Description-Plat_CITY.pdf</t>
  </si>
  <si>
    <t>COW-FRMP_TR-312 SURVEY Description-Plat_CITY.pdf</t>
  </si>
  <si>
    <t>COW-FRMP_TR-313 SURVEY Description-Plat_CITY.pdf</t>
  </si>
  <si>
    <t>COW-FRMP_TR-314 SURVEY Description-Plat_CITY.pdf</t>
  </si>
  <si>
    <t>COW-FRMP_TR-315 SURVEY Description-Plat_CITY.pdf</t>
  </si>
  <si>
    <t>COW-FRMP_TR-315 SURVEY Right-of-Entry CMRR.pdf</t>
  </si>
  <si>
    <t>COW-FRMP_TR-316 SURVEY Description-Plat_CITY.pdf</t>
  </si>
  <si>
    <t>COW-FRMP_TR-319 SURVEY Description-Plat_CITY.pdf</t>
  </si>
  <si>
    <t>COW-FRMP_TR-320 SURVEY Description-Plat_CITY.pdf</t>
  </si>
  <si>
    <t>COWFRLPHDR-5-743</t>
  </si>
  <si>
    <t>COWFRLPHDR-5-744</t>
  </si>
  <si>
    <t>COWFRLPHDR-5-745</t>
  </si>
  <si>
    <t>COWFRLPHDR-5-746</t>
  </si>
  <si>
    <t>COWFRLPHDR-5-747</t>
  </si>
  <si>
    <t>COWFRLPHDR-5-748</t>
  </si>
  <si>
    <t>COWFRLPHDR-5-749</t>
  </si>
  <si>
    <t>COWFRLPHDR-5-750</t>
  </si>
  <si>
    <t>COWFRLPHDR-5-729</t>
  </si>
  <si>
    <t>COWFRLPHDR-5-730</t>
  </si>
  <si>
    <t>COWFRLPHDR-5-731</t>
  </si>
  <si>
    <t>COWFRLPHDR-5-732</t>
  </si>
  <si>
    <t>COWFRLPHDR-5-733</t>
  </si>
  <si>
    <t>COWFRLPHDR-5-734</t>
  </si>
  <si>
    <t>COWFRLPHDR-5-735</t>
  </si>
  <si>
    <t>COWFRLPHDR-5-736</t>
  </si>
  <si>
    <t>COWFRLPHDR-5-737</t>
  </si>
  <si>
    <t>COWFRLPHDR-5-738</t>
  </si>
  <si>
    <t>COWFRLPHDR-5-739</t>
  </si>
  <si>
    <t>COWFRLPHDR-5-740</t>
  </si>
  <si>
    <t>COWFRLPHDR-5-741</t>
  </si>
  <si>
    <t>COWFRLPHDR-5-742</t>
  </si>
  <si>
    <r>
      <t xml:space="preserve">TITLE SOS Business </t>
    </r>
    <r>
      <rPr>
        <b/>
        <sz val="10"/>
        <color theme="1"/>
        <rFont val="Arial Narrow"/>
        <family val="2"/>
      </rPr>
      <t>Organization</t>
    </r>
    <r>
      <rPr>
        <b/>
        <sz val="10"/>
        <color theme="1"/>
        <rFont val="Arial"/>
        <family val="2"/>
      </rPr>
      <t xml:space="preserve"> Inquiry</t>
    </r>
  </si>
  <si>
    <r>
      <t xml:space="preserve">TITLE </t>
    </r>
    <r>
      <rPr>
        <b/>
        <sz val="10"/>
        <color theme="1"/>
        <rFont val="Arial Narrow"/>
        <family val="2"/>
      </rPr>
      <t>Commitment</t>
    </r>
    <r>
      <rPr>
        <b/>
        <sz val="10"/>
        <color theme="1"/>
        <rFont val="Arial"/>
        <family val="2"/>
      </rPr>
      <t xml:space="preserve"> Backup Docs</t>
    </r>
  </si>
  <si>
    <t>sites/CoW_FRLP/ENVIRONMENTAL</t>
  </si>
  <si>
    <t>CMRR Returned card no date - USPS In-Transit</t>
  </si>
  <si>
    <t>R012839;#107</t>
  </si>
  <si>
    <t>Wadler Perches Hundl Kerlick Attorney at Law</t>
  </si>
  <si>
    <t>Environmental Tracts 096 and 097 is combined with 095</t>
  </si>
  <si>
    <t>R022832;#163;#R022833;#164;#R022834;#165</t>
  </si>
  <si>
    <t>Tracts 106 and 107 combined</t>
  </si>
  <si>
    <t>R023659;#173;#R023660;#174</t>
  </si>
  <si>
    <t>Combined R023675, R023676, R023678</t>
  </si>
  <si>
    <t>R023675;#187;#R023676;#188;#R023678;#189</t>
  </si>
  <si>
    <t>Romoser-Broadway, Suzy</t>
  </si>
  <si>
    <t>2 Tax Parcel #'s R063219 is not in DB</t>
  </si>
  <si>
    <t>COW-FRMP_TR-005 CONTACT Negotiator Report.docx</t>
  </si>
  <si>
    <t>COW-FRMP_TR-006 CONTACT Negotiator Report.docx</t>
  </si>
  <si>
    <t>COW-FRMP_TR-007 CONTACT Negotiator Report.docx</t>
  </si>
  <si>
    <t>COW-FRMP_TR-008 CONTACT Negotiator Report.docx</t>
  </si>
  <si>
    <t>COW-FRMP_TR-232 TITLE Tax Card.pdf</t>
  </si>
  <si>
    <t>COW-FRMP_TR-001 CONTACT Negotiator Report.docx</t>
  </si>
  <si>
    <t>COW-FRMP_TR-001 ENVIRONMENTAL Right-of-Entry Package.pdf</t>
  </si>
  <si>
    <t>COW-FRMP_TR-001 TITLE Tax Card.pdf</t>
  </si>
  <si>
    <t>COW-FRMP_TR-002 CONTACT Negotiator Report.docx</t>
  </si>
  <si>
    <t>COW-FRMP_TR-002 TITLE Tax Card.pdf</t>
  </si>
  <si>
    <t>COW-FRMP_TR-003 CONTACT Negotiator Report.docx</t>
  </si>
  <si>
    <t>COW-FRMP_TR-003 TITLE Tax Card.pdf</t>
  </si>
  <si>
    <t>COW-FRMP_TR-004 CONTACT Negotiator Report.docx</t>
  </si>
  <si>
    <t>COW-FRMP_TR-004 ENVIRONMENTAL Right-of-Entry Package.pdf</t>
  </si>
  <si>
    <t>COW-FRMP_TR-004 TITLE Tax Card.pdf</t>
  </si>
  <si>
    <t>COW-FRMP_TR-005 ENVIRONMENTAL Right-of-Entry Package.pdf</t>
  </si>
  <si>
    <t>COW-FRMP_TR-005 TITLE Tax Card.pdf</t>
  </si>
  <si>
    <t>COW-FRMP_TR-006 ENVIRONMENTAL Right-of-Entry Package.pdf</t>
  </si>
  <si>
    <t>COW-FRMP_TR-006 TITLE Tax Card.pdf</t>
  </si>
  <si>
    <t>COW-FRMP_TR-007 ENVIRONMENTAL Right-of-Entry Package.pdf</t>
  </si>
  <si>
    <t>COW-FRMP_TR-007 TITLE Tax Card.pdf</t>
  </si>
  <si>
    <t>COW-FRMP_TR-008 TITLE Tax Card.pdf</t>
  </si>
  <si>
    <t>COW-FRMP_TR-010 CONTACT Negotiator Report.docx</t>
  </si>
  <si>
    <t>COW-FRMP_TR-010 ENVIRONMENTAL Right-of-Entry Package.pdf</t>
  </si>
  <si>
    <t>COW-FRMP_TR-010 TITLE Tax Card.pdf</t>
  </si>
  <si>
    <t>COW-FRMP_TR-011 CONTACT Negotiator Report.docx</t>
  </si>
  <si>
    <t>COW-FRMP_TR-011 ENVIRONMENTAL Right-of-Entry Package.pdf</t>
  </si>
  <si>
    <t>COW-FRMP_TR-011 TITLE Tax Card.pdf</t>
  </si>
  <si>
    <t>COW-FRMP_TR-012 CONTACT Negotiator Report.docx</t>
  </si>
  <si>
    <t>COW-FRMP_TR-012 ENVIRONMENTAL Right-of-Entry Package.pdf</t>
  </si>
  <si>
    <t>COW-FRMP_TR-012 TITLE Tax Card.pdf</t>
  </si>
  <si>
    <t>COW-FRMP_TR-013 CONTACT Negotiator Report.docx</t>
  </si>
  <si>
    <t>COW-FRMP_TR-013 ENVIRONMENTAL Right-of-Entry Package.pdf</t>
  </si>
  <si>
    <t>COW-FRMP_TR-013 TITLE Tax Card.pdf</t>
  </si>
  <si>
    <t>COW-FRMP_TR-014 CONTACT Negotiator Report.docx</t>
  </si>
  <si>
    <t>COW-FRMP_TR-014 ENVIRONMENTAL Right-of-Entry Package.pdf</t>
  </si>
  <si>
    <t>COW-FRMP_TR-014 TITLE Tax Card.pdf</t>
  </si>
  <si>
    <t>COW-FRMP_TR-015 CONTACT Negotiator Report.docx</t>
  </si>
  <si>
    <t>COW-FRMP_TR-015 TITLE Tax Card.pdf</t>
  </si>
  <si>
    <t>COW-FRMP_TR-016 CONTACT Negotiator Report.docx</t>
  </si>
  <si>
    <t>COW-FRMP_TR-016 ENVIRONMENTAL Right-of-Entry Package.pdf</t>
  </si>
  <si>
    <t>COW-FRMP_TR-016 TITLE Tax Card.pdf</t>
  </si>
  <si>
    <t>COW-FRMP_TR-017 CONTACT Negotiator Report.docx</t>
  </si>
  <si>
    <t>COW-FRMP_TR-017 TITLE Tax Card.pdf</t>
  </si>
  <si>
    <t>COW-FRMP_TR-018 CONTACT Negotiator Report.docx</t>
  </si>
  <si>
    <t>COW-FRMP_TR-018 ENVIRONMENTAL Right-of-Entry Package.pdf</t>
  </si>
  <si>
    <t>COW-FRMP_TR-018 TITLE Tax Card.pdf</t>
  </si>
  <si>
    <t>COW-FRMP_TR-019 CONTACT Negotiator Report.docx</t>
  </si>
  <si>
    <t>COW-FRMP_TR-019 TITLE Tax Card.pdf</t>
  </si>
  <si>
    <t>COW-FRMP_TR-024 CONTACT Negotiator Report.docx</t>
  </si>
  <si>
    <t>COW-FRMP_TR-024 ENVIRONMENTAL Right-of-Entry Package.pdf</t>
  </si>
  <si>
    <t>COW-FRMP_TR-024 TITLE Tax Card.pdf</t>
  </si>
  <si>
    <t>COW-FRMP_TR-025 CONTACT Negotiator Report.docx</t>
  </si>
  <si>
    <t>COW-FRMP_TR-025 TITLE Tax Card.pdf</t>
  </si>
  <si>
    <t>COW-FRMP_TR-027 CONTACT Negotiator Report.docx</t>
  </si>
  <si>
    <t>COW-FRMP_TR-027 ENVIRONMENTAL Right-of-Entry Package.pdf</t>
  </si>
  <si>
    <t>COW-FRMP_TR-027 TITLE Tax Card.pdf</t>
  </si>
  <si>
    <t>COW-FRMP_TR-028 CONTACT Negotiator Report.docx</t>
  </si>
  <si>
    <t>COW-FRMP_TR-028 TITLE Tax Card.pdf</t>
  </si>
  <si>
    <t>COW-FRMP_TR-029 CONTACT Negotiator Report.docx</t>
  </si>
  <si>
    <t>COW-FRMP_TR-029 ENVIRONMENTAL Right-of-Entry Package.pdf</t>
  </si>
  <si>
    <t>COW-FRMP_TR-029 TITLE Tax Card.pdf</t>
  </si>
  <si>
    <t>COW-FRMP_TR-030 CONTACT Negotiator Report.docx</t>
  </si>
  <si>
    <t>COW-FRMP_TR-030 ENVIRONMENTAL Right-of-Entry Package.pdf</t>
  </si>
  <si>
    <t>COW-FRMP_TR-030 TITLE Tax Card.pdf</t>
  </si>
  <si>
    <t>COW-FRMP_TR-031 CONTACT Negotiator Report.docx</t>
  </si>
  <si>
    <t>COW-FRMP_TR-031 TITLE Tax Card.pdf</t>
  </si>
  <si>
    <t>COW-FRMP_TR-032 CONTACT Negotiator Report.docx</t>
  </si>
  <si>
    <t>COW-FRMP_TR-032 TITLE Tax Card.pdf</t>
  </si>
  <si>
    <t>COW-FRMP_TR-033 CONTACT Negotiator Report.docx</t>
  </si>
  <si>
    <t>COW-FRMP_TR-033 ENVIRONMENTAL Right-of-Entry Package.pdf</t>
  </si>
  <si>
    <t>COW-FRMP_TR-033 TITLE Tax Card.pdf</t>
  </si>
  <si>
    <t>COW-FRMP_TR-035 CONTACT Negotiator Report.docx</t>
  </si>
  <si>
    <t>COW-FRMP_TR-035 ENVIRONMENTAL Right-of-Entry Package.pdf</t>
  </si>
  <si>
    <t>COW-FRMP_TR-035 TITLE Tax Card.pdf</t>
  </si>
  <si>
    <t>COW-FRMP_TR-036 CONTACT Negotiator Report.docx</t>
  </si>
  <si>
    <t>COW-FRMP_TR-036 ENVIRONMENTAL Right-of-Entry Package.pdf</t>
  </si>
  <si>
    <t>COW-FRMP_TR-036 TITLE Tax Card.pdf</t>
  </si>
  <si>
    <t>COW-FRMP_TR-038 CONTACT Negotiator Report.docx</t>
  </si>
  <si>
    <t>COW-FRMP_TR-038 ENVIRONMENTAL Right-of-Entry Package.pdf</t>
  </si>
  <si>
    <t>COW-FRMP_TR-038 TITLE Tax Card.pdf</t>
  </si>
  <si>
    <t>COW-FRMP_TR-039 CONTACT Negotiator Report.docx</t>
  </si>
  <si>
    <t>COW-FRMP_TR-039 ENVIRONMENTAL Right-of-Entry Package.pdf</t>
  </si>
  <si>
    <t>COW-FRMP_TR-039 TITLE Tax Card.pdf</t>
  </si>
  <si>
    <t>COW-FRMP_TR-040 CONTACT Negotiator Report.docx</t>
  </si>
  <si>
    <t>COW-FRMP_TR-040 ENVIRONMENTAL Right-of-Entry Package.pdf</t>
  </si>
  <si>
    <t>COW-FRMP_TR-040 TITLE Tax Card.pdf</t>
  </si>
  <si>
    <t>COW-FRMP_TR-041 CONTACT Negotiator Report.docx</t>
  </si>
  <si>
    <t>COW-FRMP_TR-041 ENVIRONMENTAL Right-of-Entry Package.pdf</t>
  </si>
  <si>
    <t>COW-FRMP_TR-041 TITLE Tax Card.pdf</t>
  </si>
  <si>
    <t>COW-FRMP_TR-044 CONTACT Negotiator Report.docx</t>
  </si>
  <si>
    <t>COW-FRMP_TR-044 ENVIRONMENTAL Right-of-Entry Package.pdf</t>
  </si>
  <si>
    <t>COW-FRMP_TR-044 TITLE Tax Card.pdf</t>
  </si>
  <si>
    <t>COW-FRMP_TR-045 CONTACT Negotiator Report.docx</t>
  </si>
  <si>
    <t>COW-FRMP_TR-045 ENVIRONMENTAL Right-of-Entry Package.pdf</t>
  </si>
  <si>
    <t>COW-FRMP_TR-045 TITLE Tax Card.pdf</t>
  </si>
  <si>
    <t>COW-FRMP_TR-047 CONTACT Negotiator Report.docx</t>
  </si>
  <si>
    <t>COW-FRMP_TR-047 ENVIRONMENTAL Right-of-Entry Package.pdf</t>
  </si>
  <si>
    <t>COW-FRMP_TR-047 TITLE Tax Card.pdf</t>
  </si>
  <si>
    <t>COW-FRMP_TR-048 CONTACT Negotiator Report.docx</t>
  </si>
  <si>
    <t>COW-FRMP_TR-048 TITLE Tax Card.pdf</t>
  </si>
  <si>
    <t>COW-FRMP_TR-049 CONTACT Negotiator Report.docx</t>
  </si>
  <si>
    <t>COW-FRMP_TR-049 TITLE Tax Card.pdf</t>
  </si>
  <si>
    <t>COW-FRMP_TR-050 CONTACT Negotiator Report.docx</t>
  </si>
  <si>
    <t>COW-FRMP_TR-050 ENVIRONMENTAL Right-of-Entry Package.pdf</t>
  </si>
  <si>
    <t>COW-FRMP_TR-050 TITLE Tax Card.pdf</t>
  </si>
  <si>
    <t>COW-FRMP_TR-051 CONTACT Negotiator Report.docx</t>
  </si>
  <si>
    <t>COW-FRMP_TR-051 ENVIRONMENTAL Right-of-Entry Package.pdf</t>
  </si>
  <si>
    <t>COW-FRMP_TR-051 TITLE Tax Card.pdf</t>
  </si>
  <si>
    <t>COW-FRMP_TR-052 CONTACT Negotiator Report.docx</t>
  </si>
  <si>
    <t>COW-FRMP_TR-052 ENVIRONMENTAL Right-of-Entry Package.pdf</t>
  </si>
  <si>
    <t>COW-FRMP_TR-052 TITLE Tax Card.pdf</t>
  </si>
  <si>
    <t>COW-FRMP_TR-053 CONTACT Negotiator Report.docx</t>
  </si>
  <si>
    <t>COW-FRMP_TR-053 ENVIRONMENTAL Right-of-Entry Package.pdf</t>
  </si>
  <si>
    <t>COW-FRMP_TR-053 TITLE Tax Card.pdf</t>
  </si>
  <si>
    <t>COW-FRMP_TR-054 ENVIRONMENTAL Right-of-Entry Package.pdf</t>
  </si>
  <si>
    <t>COW-FRMP_TR-054 TITLE Tax Card.pdf</t>
  </si>
  <si>
    <t>COW-FRMP_TR-055 CONTACT Negotiator Report.docx</t>
  </si>
  <si>
    <t>COW-FRMP_TR-055 ENVIRONMENTAL Right-of-Entry Package.pdf</t>
  </si>
  <si>
    <t>COW-FRMP_TR-055 TITLE Tax Card.pdf</t>
  </si>
  <si>
    <t>COW-FRMP_TR-063 CONTACT Negotiator Report.docx</t>
  </si>
  <si>
    <t>COW-FRMP_TR-063 ENVIRONMENTAL Right-of-Entry Package.pdf</t>
  </si>
  <si>
    <t>COW-FRMP_TR-063 TITLE Tax Card.pdf</t>
  </si>
  <si>
    <t>COW-FRMP_TR-064 CONTACT Negotiator Report.docx</t>
  </si>
  <si>
    <t>COW-FRMP_TR-064 ENVIRONMENTAL Right-of-Entry Package.pdf</t>
  </si>
  <si>
    <t>COW-FRMP_TR-064 TITLE Tax Card.pdf</t>
  </si>
  <si>
    <t>COW-FRMP_TR-065 CONTACT Negotiator Report.docx</t>
  </si>
  <si>
    <t>COW-FRMP_TR-065 ENVIRONMENTAL Right-of-Entry Package.pdf</t>
  </si>
  <si>
    <t>COW-FRMP_TR-065 TITLE Tax Card.pdf</t>
  </si>
  <si>
    <t>COW-FRMP_TR-078 ENVIRONMENTAL Right-of-Entry Package.pdf</t>
  </si>
  <si>
    <t>COW-FRMP_TR-078 TITLE Tax Card.pdf</t>
  </si>
  <si>
    <t>COW-FRMP_TR-079 ENVIRONMENTAL Right-of-Entry Package.pdf</t>
  </si>
  <si>
    <t>COW-FRMP_TR-079 TITLE Tax Card.pdf</t>
  </si>
  <si>
    <t>COW-FRMP_TR-082 TITLE Tax Card.pdf</t>
  </si>
  <si>
    <t>COW-FRMP_TR-083 ENVIRONMENTAL Right-of-Entry Package.pdf</t>
  </si>
  <si>
    <t>COW-FRMP_TR-083 TITLE Tax Card.pdf</t>
  </si>
  <si>
    <t>COW-FRMP_TR-084 CONTACT Negotiator Report.docx</t>
  </si>
  <si>
    <t>COW-FRMP_TR-084 ENVIRONMENTAL Right-of-Entry Package.pdf</t>
  </si>
  <si>
    <t>COW-FRMP_TR-084 TITLE Tax Card.pdf</t>
  </si>
  <si>
    <t>COW-FRMP_TR-085 CONTACT Negotiator Report.docx</t>
  </si>
  <si>
    <t>COW-FRMP_TR-085 ENVIRONMENTAL Right-of-Entry Package.pdf</t>
  </si>
  <si>
    <t>COW-FRMP_TR-085 TITLE Tax Card.pdf</t>
  </si>
  <si>
    <t>COW-FRMP_TR-086 CONTACT Negotiator Report.docx</t>
  </si>
  <si>
    <t>COW-FRMP_TR-086 TITLE Tax Card.pdf</t>
  </si>
  <si>
    <t>COW-FRMP_TR-087 CONTACT Negotiator Report.docx</t>
  </si>
  <si>
    <t>COW-FRMP_TR-087 TITLE Tax Card.pdf</t>
  </si>
  <si>
    <t>COW-FRMP_TR-088 CONTACT Negotiator Report.docx</t>
  </si>
  <si>
    <t>COW-FRMP_TR-088 ENVIRONMENTAL Right-of-Entry Package.pdf</t>
  </si>
  <si>
    <t>COW-FRMP_TR-088 TITLE Tax Card.pdf</t>
  </si>
  <si>
    <t>COW-FRMP_TR-090 ENVIRONMENTAL Right-of-Entry Package.pdf</t>
  </si>
  <si>
    <t>COW-FRMP_TR-090 TITLE Tax Card.pdf</t>
  </si>
  <si>
    <t>COW-FRMP_TR-092 TITLE Tax Card.pdf</t>
  </si>
  <si>
    <t>COW-FRMP_TR-093 ENVIRONMENTAL Right-of-Entry Package.pdf</t>
  </si>
  <si>
    <t>COW-FRMP_TR-093 TITLE Tax Card.pdf</t>
  </si>
  <si>
    <t>COW-FRMP_TR-094 ENVIRONMENTAL Right-of-Entry Package.pdf</t>
  </si>
  <si>
    <t>COW-FRMP_TR-094 TITLE Tax Card.pdf</t>
  </si>
  <si>
    <t>COW-FRMP_TR-095 CONTACT Negotiator Report.docx</t>
  </si>
  <si>
    <t>COW-FRMP_TR-095 ENVIRONMENTAL Right-of-Entry Package.pdf</t>
  </si>
  <si>
    <t>COW-FRMP_TR-095 TITLE Tax Card.pdf</t>
  </si>
  <si>
    <t>COW-FRMP_TR-096 ENVIRONMENTAL Right-of-Entry Package.pdf</t>
  </si>
  <si>
    <t>COW-FRMP_TR-096 TITLE Tax Card.pdf</t>
  </si>
  <si>
    <t>COW-FRMP_TR-097 ENVIRONMENTAL Right-of-Entry Package.pdf</t>
  </si>
  <si>
    <t>COW-FRMP_TR-097 TITLE Tax Card.pdf</t>
  </si>
  <si>
    <t>COW-FRMP_TR-098 CONTACT Negotiator Report.docx</t>
  </si>
  <si>
    <t>COW-FRMP_TR-098 ENVIRONMENTAL Right-of-Entry Package.pdf</t>
  </si>
  <si>
    <t>COW-FRMP_TR-098 TITLE Tax Card.pdf</t>
  </si>
  <si>
    <t>COW-FRMP_TR-099 CONTACT Negotiator Report.docx</t>
  </si>
  <si>
    <t>COW-FRMP_TR-099 ENVIRONMENTAL Right-of-Entry Package.pdf</t>
  </si>
  <si>
    <t>COW-FRMP_TR-099 TITLE Tax Card.pdf</t>
  </si>
  <si>
    <t>COW-FRMP_TR-104 CONTACT Negotiator Report.docx</t>
  </si>
  <si>
    <t>COW-FRMP_TR-104 TITLE Tax Card.pdf</t>
  </si>
  <si>
    <t>COW-FRMP_TR-105 CONTACT Negotiator Report.docx</t>
  </si>
  <si>
    <t>COW-FRMP_TR-105 ENVIRONMENTAL Right-of-Entry Package.pdf</t>
  </si>
  <si>
    <t>COW-FRMP_TR-105 TITLE Tax Card.pdf</t>
  </si>
  <si>
    <t>COW-FRMP_TR-106 CONTACT Negotiator Report.docx</t>
  </si>
  <si>
    <t>COW-FRMP_TR-106 ENVIRONMENTAL Right-of-Entry Package.pdf</t>
  </si>
  <si>
    <t>COW-FRMP_TR-106 TITLE Tax Card.pdf</t>
  </si>
  <si>
    <t>COW-FRMP_TR-107 ENVIRONMENTAL Right-of-Entry Package.pdf</t>
  </si>
  <si>
    <t>COW-FRMP_TR-107 TITLE Tax Card.pdf</t>
  </si>
  <si>
    <t>COW-FRMP_TR-108 CONTACT Negotiator Report.docx</t>
  </si>
  <si>
    <t>COW-FRMP_TR-108 ENVIRONMENTAL Right-of-Entry Package.pdf</t>
  </si>
  <si>
    <t>COW-FRMP_TR-108 TITLE Tax Card.pdf</t>
  </si>
  <si>
    <t>COW-FRMP_TR-109 CONTACT Negotiator Report.docx</t>
  </si>
  <si>
    <t>COW-FRMP_TR-109 TITLE Tax Card.pdf</t>
  </si>
  <si>
    <t>COW-FRMP_TR-110 CONTACT Negotiator Report.docx</t>
  </si>
  <si>
    <t>COW-FRMP_TR-110 ENVIRONMENTAL Right-of-Entry Package.pdf</t>
  </si>
  <si>
    <t>COW-FRMP_TR-110 TITLE Tax Card.pdf</t>
  </si>
  <si>
    <t>COW-FRMP_TR-111 CONTACT Negotiator Report.docx</t>
  </si>
  <si>
    <t>COW-FRMP_TR-111 ENVIRONMENTAL Right-of-Entry Package.pdf</t>
  </si>
  <si>
    <t>COW-FRMP_TR-111 TITLE Tax Card.pdf</t>
  </si>
  <si>
    <t>COW-FRMP_TR-112 CONTACT Negotiator Report.docx</t>
  </si>
  <si>
    <t>COW-FRMP_TR-112 TITLE Tax Card.pdf</t>
  </si>
  <si>
    <t>COW-FRMP_TR-113 CONTACT Negotiator Report.docx</t>
  </si>
  <si>
    <t>COW-FRMP_TR-113 ENVIRONMENTAL Right-of-Entry Package.pdf</t>
  </si>
  <si>
    <t>COW-FRMP_TR-113 TITLE Tax Card.pdf</t>
  </si>
  <si>
    <t>COW-FRMP_TR-114 CONTACT Negotiator Report.docx</t>
  </si>
  <si>
    <t>COW-FRMP_TR-114 ENVIRONMENTAL Right-of-Entry Package.pdf</t>
  </si>
  <si>
    <t>COW-FRMP_TR-114 TITLE Tax Card.pdf</t>
  </si>
  <si>
    <t>COW-FRMP_TR-115 CONTACT Negotiator Report.docx</t>
  </si>
  <si>
    <t>COW-FRMP_TR-115 ENVIRONMENTAL Right-of-Entry Package.pdf</t>
  </si>
  <si>
    <t>COW-FRMP_TR-115 TITLE Tax Card.pdf</t>
  </si>
  <si>
    <t>COW-FRMP_TR-116 CONTACT Negotiator Report.docx</t>
  </si>
  <si>
    <t>COW-FRMP_TR-116 ENVIRONMENTAL Right-of-Entry Package.pdf</t>
  </si>
  <si>
    <t>COW-FRMP_TR-116 TITLE Tax Card.pdf</t>
  </si>
  <si>
    <t>COW-FRMP_TR-117 CONTACT Negotiator Report.docx</t>
  </si>
  <si>
    <t>COW-FRMP_TR-117 ENVIRONMENTAL Right-of-Entry Package.pdf</t>
  </si>
  <si>
    <t>COW-FRMP_TR-117 TITLE Tax Card.pdf</t>
  </si>
  <si>
    <t>COW-FRMP_TR-118 CONTACT Negotiator Report.docx</t>
  </si>
  <si>
    <t>COW-FRMP_TR-118 ENVIRONMENTAL Right-of-Entry Package.pdf</t>
  </si>
  <si>
    <t>COW-FRMP_TR-118 TITLE Tax Card.pdf</t>
  </si>
  <si>
    <t>COW-FRMP_TR-119 CONTACT Negotiator Report.docx</t>
  </si>
  <si>
    <t>COW-FRMP_TR-119 ENVIRONMENTAL Right-of-Entry Package.pdf</t>
  </si>
  <si>
    <t>COW-FRMP_TR-119 TITLE Tax Card.pdf</t>
  </si>
  <si>
    <t>COW-FRMP_TR-120 CONTACT Negotiator Report.docx</t>
  </si>
  <si>
    <t>COW-FRMP_TR-120 ENVIRONMENTAL Right-of-Entry Package.pdf</t>
  </si>
  <si>
    <t>COW-FRMP_TR-120 TITLE Tax Card.pdf</t>
  </si>
  <si>
    <t>COW-FRMP_TR-121 CONTACT Negotiator Report.docx</t>
  </si>
  <si>
    <t>COW-FRMP_TR-121 ENVIRONMENTAL Right-of-Entry Package.pdf</t>
  </si>
  <si>
    <t>COW-FRMP_TR-121 TITLE Tax Card.pdf</t>
  </si>
  <si>
    <t>COW-FRMP_TR-122 CONTACT Negotiator Report.docx</t>
  </si>
  <si>
    <t>COW-FRMP_TR-122 ENVIRONMENTAL Right-of-Entry Package.pdf</t>
  </si>
  <si>
    <t>COW-FRMP_TR-122 TITLE Tax Card.pdf</t>
  </si>
  <si>
    <t>COW-FRMP_TR-123 TITLE Tax Card.pdf</t>
  </si>
  <si>
    <t>COW-FRMP_TR-124 TITLE Tax Card.pdf</t>
  </si>
  <si>
    <t>COW-FRMP_TR-125 CONTACT Negotiator Report.docx</t>
  </si>
  <si>
    <t>COW-FRMP_TR-125 TITLE Tax Card.pdf</t>
  </si>
  <si>
    <t>COW-FRMP_TR-126 CONTACT Negotiator Report.docx</t>
  </si>
  <si>
    <t>COW-FRMP_TR-126 ENVIRONMENTAL Right-of-Entry Package.pdf</t>
  </si>
  <si>
    <t>COW-FRMP_TR-126 TITLE Tax Card.pdf</t>
  </si>
  <si>
    <t>COW-FRMP_TR-128 CONTACT Negotiator Report.docx</t>
  </si>
  <si>
    <t>COW-FRMP_TR-128 ENVIRONMENTAL Right-of-Entry Package.pdf</t>
  </si>
  <si>
    <t>COW-FRMP_TR-128 TITLE Tax Card.pdf</t>
  </si>
  <si>
    <t>COW-FRMP_TR-129 CONTACT Negotiator Report.docx</t>
  </si>
  <si>
    <t>COW-FRMP_TR-129 ENVIRONMENTAL Right-of-Entry Package.pdf</t>
  </si>
  <si>
    <t>COW-FRMP_TR-129 TITLE Tax Card.pdf</t>
  </si>
  <si>
    <t>COW-FRMP_TR-130 CONTACT Negotiator Report.docx</t>
  </si>
  <si>
    <t>COW-FRMP_TR-130 ENVIRONMENTAL Right-of-Entry Package.pdf</t>
  </si>
  <si>
    <t>COW-FRMP_TR-130 TITLE Tax Card.pdf</t>
  </si>
  <si>
    <t>COW-FRMP_TR-131 CONTACT Negotiator Report.docx</t>
  </si>
  <si>
    <t>COW-FRMP_TR-131 ENVIRONMENTAL Right-of-Entry Package.pdf</t>
  </si>
  <si>
    <t>COW-FRMP_TR-131 TITLE Tax Card.pdf</t>
  </si>
  <si>
    <t>COW-FRMP_TR-132 TITLE Tax Card.pdf</t>
  </si>
  <si>
    <t>COW-FRMP_TR-133 CONTACT Negotiator Report.docx</t>
  </si>
  <si>
    <t>COW-FRMP_TR-133 ENVIRONMENTAL Right-of-Entry Package.pdf</t>
  </si>
  <si>
    <t>COW-FRMP_TR-133 TITLE Tax Card.pdf</t>
  </si>
  <si>
    <t>COW-FRMP_TR-134 CONTACT Negotiator Report.docx</t>
  </si>
  <si>
    <t>COW-FRMP_TR-134 ENVIRONMENTAL Right-of-Entry Package.pdf</t>
  </si>
  <si>
    <t>COW-FRMP_TR-134 TITLE Tax Card.pdf</t>
  </si>
  <si>
    <t>COW-FRMP_TR-135 ENVIRONMENTAL Right-of-Entry Package.pdf</t>
  </si>
  <si>
    <t>COW-FRMP_TR-135 TITLE Tax Card.pdf</t>
  </si>
  <si>
    <t>COW-FRMP_TR-136 CONTACT Negotiator Report.docx</t>
  </si>
  <si>
    <t>COW-FRMP_TR-136 TITLE Tax Card.pdf</t>
  </si>
  <si>
    <t>COW-FRMP_TR-151 CONTACT Negotiator Report.docx</t>
  </si>
  <si>
    <t>COW-FRMP_TR-151 ENVIRONMENTAL Right-of-Entry Package.pdf</t>
  </si>
  <si>
    <t>COW-FRMP_TR-151 TITLE Tax Card.pdf</t>
  </si>
  <si>
    <t>COW-FRMP_TR-152 ENVIRONMENTAL Right-of-Entry Package.pdf</t>
  </si>
  <si>
    <t>COW-FRMP_TR-152 TITLE Tax Card.pdf</t>
  </si>
  <si>
    <t>COW-FRMP_TR-153 CONTACT Negotiator Report.docx</t>
  </si>
  <si>
    <t>COW-FRMP_TR-153 ENVIRONMENTAL Right-of-Entry Package.pdf</t>
  </si>
  <si>
    <t>COW-FRMP_TR-153 TITLE Tax Card.pdf</t>
  </si>
  <si>
    <t>COW-FRMP_TR-154 CONTACT Negotiator Report.docx</t>
  </si>
  <si>
    <t>COW-FRMP_TR-154 ENVIRONMENTAL Right-of-Entry Package.pdf</t>
  </si>
  <si>
    <t>COW-FRMP_TR-154 TITLE Tax Card.pdf</t>
  </si>
  <si>
    <t>COW-FRMP_TR-155 CONTACT Negotiator Report.docx</t>
  </si>
  <si>
    <t>COW-FRMP_TR-155 ENVIRONMENTAL Right-of-Entry Package.pdf</t>
  </si>
  <si>
    <t>COW-FRMP_TR-155 TITLE Tax Card.pdf</t>
  </si>
  <si>
    <t>COW-FRMP_TR-156 CONTACT Negotiator Report.docx</t>
  </si>
  <si>
    <t>COW-FRMP_TR-156 TITLE Tax Card.pdf</t>
  </si>
  <si>
    <t>COW-FRMP_TR-160 CONTACT Negotiator Report.docx</t>
  </si>
  <si>
    <t>COW-FRMP_TR-160 ENVIRONMENTAL Right-of-Entry Package.pdf</t>
  </si>
  <si>
    <t>COW-FRMP_TR-160 TITLE Tax Card.pdf</t>
  </si>
  <si>
    <t>COW-FRMP_TR-166 CONTACT Negotiator Report.docx</t>
  </si>
  <si>
    <t>COW-FRMP_TR-166 ENVIRONMENTAL Right-of-Entry Package.pdf</t>
  </si>
  <si>
    <t>COW-FRMP_TR-166 TITLE Tax Card.pdf</t>
  </si>
  <si>
    <t>COW-FRMP_TR-177 CONTACT Negotiator Report.docx</t>
  </si>
  <si>
    <t>COW-FRMP_TR-177 ENVIRONMENTAL Right-of-Entry Package.pdf</t>
  </si>
  <si>
    <t>COW-FRMP_TR-177 TITLE Tax Card.pdf</t>
  </si>
  <si>
    <t>COW-FRMP_TR-178 CONTACT Negotiator Report.docx</t>
  </si>
  <si>
    <t>COW-FRMP_TR-178 ENVIRONMENTAL Right-of-Entry Package.pdf</t>
  </si>
  <si>
    <t>COW-FRMP_TR-178 TITLE Tax Card.pdf</t>
  </si>
  <si>
    <t>COW-FRMP_TR-179 CONTACT Negotiator Report.docx</t>
  </si>
  <si>
    <t>COW-FRMP_TR-179 TITLE Tax Card.pdf</t>
  </si>
  <si>
    <t>COW-FRMP_TR-199 CONTACT Negotiator Report.docx</t>
  </si>
  <si>
    <t>COW-FRMP_TR-199 ENVIRONMENTAL Right-of-Entry Package.pdf</t>
  </si>
  <si>
    <t>COW-FRMP_TR-199 TITLE Tax Card.pdf</t>
  </si>
  <si>
    <t>COW-FRMP_TR-202 ENVIRONMENTAL Right-of-Entry Package.pdf</t>
  </si>
  <si>
    <t>COW-FRMP_TR-203 ENVIRONMENTAL Right-of-Entry Package.pdf</t>
  </si>
  <si>
    <t>COW-FRMP_TR-207 TITLE Tax Card.pdf</t>
  </si>
  <si>
    <t>COW-FRMP_TR-213 TITLE Tax Card.pdf</t>
  </si>
  <si>
    <t>COW-FRMP_TR-214 ENVIRONMENTAL Right-of-Entry Package.pdf</t>
  </si>
  <si>
    <t>COW-FRMP_TR-219 ENVIRONMENTAL Right-of-Entry Package.pdf</t>
  </si>
  <si>
    <t>COW-FRMP_TR-219 TITLE Tax Card.pdf</t>
  </si>
  <si>
    <t>COW-FRMP_TR-220 ENVIRONMENTAL Right-of-Entry Package.pdf</t>
  </si>
  <si>
    <t>COW-FRMP_TR-220 TITLE Tax Card.pdf</t>
  </si>
  <si>
    <t>COW-FRMP_TR-225 CONTACT Negotiator Report.docx</t>
  </si>
  <si>
    <t>COW-FRMP_TR-225 ENVIRONMENTAL Right-of-Entry Package.pdf</t>
  </si>
  <si>
    <t>COW-FRMP_TR-225 TITLE Tax Card.pdf</t>
  </si>
  <si>
    <t>COW-FRMP_TR-226 CONTACT Negotiator Report.docx</t>
  </si>
  <si>
    <t>COW-FRMP_TR-226 ENVIRONMENTAL Right-of-Entry Package.pdf</t>
  </si>
  <si>
    <t>COW-FRMP_TR-226 TITLE Tax Card.pdf</t>
  </si>
  <si>
    <t>COW-FRMP_TR-229 TITLE Tax Card.pdf</t>
  </si>
  <si>
    <t>COW-FRMP_TR-230 ENVIRONMENTAL Right-of-Entry Package.pdf</t>
  </si>
  <si>
    <t>COW-FRMP_TR-230 TITLE Tax Card.pdf</t>
  </si>
  <si>
    <t>COW-FRMP_TR-231 ENVIRONMENTAL Right-of-Entry Package.pdf</t>
  </si>
  <si>
    <t>COW-FRMP_TR-231 TITLE Tax Card.pdf</t>
  </si>
  <si>
    <t>COW-FRMP_TR-232 ENVIRONMENTAL Right-of-Entry Package.pdf</t>
  </si>
  <si>
    <t>COW-FRMP_TR-233 ENVIRONMENTAL Right-of-Entry Package.pdf</t>
  </si>
  <si>
    <t>COW-FRMP_TR-233 TITLE Tax Card.pdf</t>
  </si>
  <si>
    <t>COW-FRMP_TR-245 TITLE Tax Card.pdf</t>
  </si>
  <si>
    <t>COW-FRMP_TR-250 ENVIRONMENTAL Right-of-Entry Package.pdf</t>
  </si>
  <si>
    <t>COW-FRMP_TR-250 TITLE Tax Card.pdf</t>
  </si>
  <si>
    <t>COW-FRMP_TR-258 ENVIRONMENTAL Right-of-Entry Package.pdf</t>
  </si>
  <si>
    <t>COW-FRMP_TR-258 TITLE Tax Card.pdf</t>
  </si>
  <si>
    <t>COWFRLPHDR-11-15</t>
  </si>
  <si>
    <t>COWFRLPHDR-11-16</t>
  </si>
  <si>
    <t>COWFRLPHDR-11-17</t>
  </si>
  <si>
    <t>COWFRLPHDR-11-18</t>
  </si>
  <si>
    <t>COWFRLPHDR-13-886</t>
  </si>
  <si>
    <t>COWFRLPHDR-11-11</t>
  </si>
  <si>
    <t>COWFRLPHDR-13-727</t>
  </si>
  <si>
    <t>COWFRLPHDR-13-774</t>
  </si>
  <si>
    <t>COWFRLPHDR-11-12</t>
  </si>
  <si>
    <t>COWFRLPHDR-13-757</t>
  </si>
  <si>
    <t>COWFRLPHDR-11-13</t>
  </si>
  <si>
    <t>COWFRLPHDR-13-758</t>
  </si>
  <si>
    <t>COWFRLPHDR-11-14</t>
  </si>
  <si>
    <t>COWFRLPHDR-13-730</t>
  </si>
  <si>
    <t>COWFRLPHDR-13-759</t>
  </si>
  <si>
    <t>COWFRLPHDR-13-984</t>
  </si>
  <si>
    <t>COWFRLPHDR-13-760</t>
  </si>
  <si>
    <t>COWFRLPHDR-5-719</t>
  </si>
  <si>
    <t>COWFRLPHDR-13-761</t>
  </si>
  <si>
    <t>COWFRLPHDR-5-720</t>
  </si>
  <si>
    <t>COWFRLPHDR-13-762</t>
  </si>
  <si>
    <t>COWFRLPHDR-13-763</t>
  </si>
  <si>
    <t>COWFRLPHDR-13-1114</t>
  </si>
  <si>
    <t>COWFRLPHDR-13-985</t>
  </si>
  <si>
    <t>COWFRLPHDR-13-764</t>
  </si>
  <si>
    <t>COWFRLPHDR-13-1115</t>
  </si>
  <si>
    <t>COWFRLPHDR-13-986</t>
  </si>
  <si>
    <t>COWFRLPHDR-13-765</t>
  </si>
  <si>
    <t>COWFRLPHDR-13-1116</t>
  </si>
  <si>
    <t>COWFRLPHDR-13-987</t>
  </si>
  <si>
    <t>COWFRLPHDR-13-766</t>
  </si>
  <si>
    <t>COWFRLPHDR-13-1117</t>
  </si>
  <si>
    <t>COWFRLPHDR-13-988</t>
  </si>
  <si>
    <t>COWFRLPHDR-13-767</t>
  </si>
  <si>
    <t>COWFRLPHDR-13-1118</t>
  </si>
  <si>
    <t>COWFRLPHDR-13-989</t>
  </si>
  <si>
    <t>COWFRLPHDR-13-768</t>
  </si>
  <si>
    <t>COWFRLPHDR-13-1119</t>
  </si>
  <si>
    <t>COWFRLPHDR-13-769</t>
  </si>
  <si>
    <t>COWFRLPHDR-13-1120</t>
  </si>
  <si>
    <t>COWFRLPHDR-13-990</t>
  </si>
  <si>
    <t>COWFRLPHDR-13-770</t>
  </si>
  <si>
    <t>COWFRLPHDR-13-1121</t>
  </si>
  <si>
    <t>COWFRLPHDR-13-771</t>
  </si>
  <si>
    <t>COWFRLPHDR-13-1122</t>
  </si>
  <si>
    <t>COWFRLPHDR-13-991</t>
  </si>
  <si>
    <t>COWFRLPHDR-13-772</t>
  </si>
  <si>
    <t>COWFRLPHDR-13-1123</t>
  </si>
  <si>
    <t>COWFRLPHDR-13-773</t>
  </si>
  <si>
    <t>COWFRLPHDR-13-1124</t>
  </si>
  <si>
    <t>COWFRLPHDR-13-992</t>
  </si>
  <si>
    <t>COWFRLPHDR-13-787</t>
  </si>
  <si>
    <t>COWFRLPHDR-13-1125</t>
  </si>
  <si>
    <t>COWFRLPHDR-13-788</t>
  </si>
  <si>
    <t>COWFRLPHDR-13-1126</t>
  </si>
  <si>
    <t>COWFRLPHDR-13-993</t>
  </si>
  <si>
    <t>COWFRLPHDR-13-789</t>
  </si>
  <si>
    <t>COWFRLPHDR-13-1127</t>
  </si>
  <si>
    <t>COWFRLPHDR-13-790</t>
  </si>
  <si>
    <t>COWFRLPHDR-13-1128</t>
  </si>
  <si>
    <t>COWFRLPHDR-13-994</t>
  </si>
  <si>
    <t>COWFRLPHDR-13-791</t>
  </si>
  <si>
    <t>COWFRLPHDR-13-1129</t>
  </si>
  <si>
    <t>COWFRLPHDR-13-995</t>
  </si>
  <si>
    <t>COWFRLPHDR-13-792</t>
  </si>
  <si>
    <t>COWFRLPHDR-13-1130</t>
  </si>
  <si>
    <t>COWFRLPHDR-13-793</t>
  </si>
  <si>
    <t>COWFRLPHDR-13-1131</t>
  </si>
  <si>
    <t>COWFRLPHDR-13-794</t>
  </si>
  <si>
    <t>COWFRLPHDR-13-1132</t>
  </si>
  <si>
    <t>COWFRLPHDR-13-996</t>
  </si>
  <si>
    <t>COWFRLPHDR-13-795</t>
  </si>
  <si>
    <t>COWFRLPHDR-13-1133</t>
  </si>
  <si>
    <t>COWFRLPHDR-13-997</t>
  </si>
  <si>
    <t>COWFRLPHDR-13-796</t>
  </si>
  <si>
    <t>COWFRLPHDR-13-1134</t>
  </si>
  <si>
    <t>COWFRLPHDR-13-998</t>
  </si>
  <si>
    <t>COWFRLPHDR-13-797</t>
  </si>
  <si>
    <t>COWFRLPHDR-13-1135</t>
  </si>
  <si>
    <t>COWFRLPHDR-13-999</t>
  </si>
  <si>
    <t>COWFRLPHDR-13-798</t>
  </si>
  <si>
    <t>COWFRLPHDR-13-1136</t>
  </si>
  <si>
    <t>COWFRLPHDR-13-1000</t>
  </si>
  <si>
    <t>COWFRLPHDR-13-799</t>
  </si>
  <si>
    <t>COWFRLPHDR-13-1137</t>
  </si>
  <si>
    <t>COWFRLPHDR-13-1001</t>
  </si>
  <si>
    <t>COWFRLPHDR-13-800</t>
  </si>
  <si>
    <t>COWFRLPHDR-13-1138</t>
  </si>
  <si>
    <t>COWFRLPHDR-13-1002</t>
  </si>
  <si>
    <t>COWFRLPHDR-13-801</t>
  </si>
  <si>
    <t>COWFRLPHDR-13-1139</t>
  </si>
  <si>
    <t>COWFRLPHDR-13-1003</t>
  </si>
  <si>
    <t>COWFRLPHDR-13-802</t>
  </si>
  <si>
    <t>COWFRLPHDR-13-1140</t>
  </si>
  <si>
    <t>COWFRLPHDR-13-1004</t>
  </si>
  <si>
    <t>COWFRLPHDR-13-803</t>
  </si>
  <si>
    <t>COWFRLPHDR-13-1141</t>
  </si>
  <si>
    <t>COWFRLPHDR-13-1005</t>
  </si>
  <si>
    <t>COWFRLPHDR-13-804</t>
  </si>
  <si>
    <t>COWFRLPHDR-13-1142</t>
  </si>
  <si>
    <t>COWFRLPHDR-13-805</t>
  </si>
  <si>
    <t>COWFRLPHDR-13-1143</t>
  </si>
  <si>
    <t>COWFRLPHDR-13-806</t>
  </si>
  <si>
    <t>COWFRLPHDR-13-1113</t>
  </si>
  <si>
    <t>COWFRLPHDR-13-1006</t>
  </si>
  <si>
    <t>COWFRLPHDR-13-807</t>
  </si>
  <si>
    <t>COWFRLPHDR-13-1144</t>
  </si>
  <si>
    <t>COWFRLPHDR-13-1007</t>
  </si>
  <si>
    <t>COWFRLPHDR-13-808</t>
  </si>
  <si>
    <t>COWFRLPHDR-13-1145</t>
  </si>
  <si>
    <t>COWFRLPHDR-13-1008</t>
  </si>
  <si>
    <t>COWFRLPHDR-13-809</t>
  </si>
  <si>
    <t>COWFRLPHDR-13-1146</t>
  </si>
  <si>
    <t>COWFRLPHDR-13-1009</t>
  </si>
  <si>
    <t>COWFRLPHDR-13-810</t>
  </si>
  <si>
    <t>COWFRLPHDR-13-1010</t>
  </si>
  <si>
    <t>COWFRLPHDR-13-811</t>
  </si>
  <si>
    <t>COWFRLPHDR-13-1147</t>
  </si>
  <si>
    <t>COWFRLPHDR-13-1011</t>
  </si>
  <si>
    <t>COWFRLPHDR-13-775</t>
  </si>
  <si>
    <t>COWFRLPHDR-13-1148</t>
  </si>
  <si>
    <t>COWFRLPHDR-13-1012</t>
  </si>
  <si>
    <t>COWFRLPHDR-13-776</t>
  </si>
  <si>
    <t>COWFRLPHDR-13-1149</t>
  </si>
  <si>
    <t>COWFRLPHDR-13-1013</t>
  </si>
  <si>
    <t>COWFRLPHDR-13-777</t>
  </si>
  <si>
    <t>COWFRLPHDR-13-1150</t>
  </si>
  <si>
    <t>COWFRLPHDR-13-1014</t>
  </si>
  <si>
    <t>COWFRLPHDR-13-778</t>
  </si>
  <si>
    <t>COWFRLPHDR-13-1020</t>
  </si>
  <si>
    <t>COWFRLPHDR-13-817</t>
  </si>
  <si>
    <t>COWFRLPHDR-13-1021</t>
  </si>
  <si>
    <t>COWFRLPHDR-13-818</t>
  </si>
  <si>
    <t>COWFRLPHDR-13-819</t>
  </si>
  <si>
    <t>COWFRLPHDR-13-1022</t>
  </si>
  <si>
    <t>COWFRLPHDR-13-820</t>
  </si>
  <si>
    <t>COWFRLPHDR-13-1158</t>
  </si>
  <si>
    <t>COWFRLPHDR-13-1023</t>
  </si>
  <si>
    <t>COWFRLPHDR-13-821</t>
  </si>
  <si>
    <t>COWFRLPHDR-13-1159</t>
  </si>
  <si>
    <t>COWFRLPHDR-13-1029</t>
  </si>
  <si>
    <t>COWFRLPHDR-13-822</t>
  </si>
  <si>
    <t>COWFRLPHDR-13-1160</t>
  </si>
  <si>
    <t>COWFRLPHDR-13-823</t>
  </si>
  <si>
    <t>COWFRLPHDR-13-1161</t>
  </si>
  <si>
    <t>COWFRLPHDR-13-812</t>
  </si>
  <si>
    <t>COWFRLPHDR-13-1162</t>
  </si>
  <si>
    <t>COWFRLPHDR-13-1030</t>
  </si>
  <si>
    <t>COWFRLPHDR-13-813</t>
  </si>
  <si>
    <t>COWFRLPHDR-13-1031</t>
  </si>
  <si>
    <t>COWFRLPHDR-13-814</t>
  </si>
  <si>
    <t>COWFRLPHDR-13-816</t>
  </si>
  <si>
    <t>COWFRLPHDR-13-1033</t>
  </si>
  <si>
    <t>COWFRLPHDR-13-847</t>
  </si>
  <si>
    <t>COWFRLPHDR-13-1034</t>
  </si>
  <si>
    <t>COWFRLPHDR-13-848</t>
  </si>
  <si>
    <t>COWFRLPHDR-13-731</t>
  </si>
  <si>
    <t>COWFRLPHDR-13-1024</t>
  </si>
  <si>
    <t>COWFRLPHDR-13-849</t>
  </si>
  <si>
    <t>COWFRLPHDR-13-1025</t>
  </si>
  <si>
    <t>COWFRLPHDR-13-850</t>
  </si>
  <si>
    <t>COWFRLPHDR-13-1026</t>
  </si>
  <si>
    <t>COWFRLPHDR-13-851</t>
  </si>
  <si>
    <t>COWFRLPHDR-13-732</t>
  </si>
  <si>
    <t>COWFRLPHDR-13-1027</t>
  </si>
  <si>
    <t>COWFRLPHDR-13-852</t>
  </si>
  <si>
    <t>COWFRLPHDR-13-733</t>
  </si>
  <si>
    <t>COWFRLPHDR-13-1028</t>
  </si>
  <si>
    <t>COWFRLPHDR-13-853</t>
  </si>
  <si>
    <t>COWFRLPHDR-13-736</t>
  </si>
  <si>
    <t>COWFRLPHDR-13-856</t>
  </si>
  <si>
    <t>COWFRLPHDR-13-737</t>
  </si>
  <si>
    <t>COWFRLPHDR-13-1035</t>
  </si>
  <si>
    <t>COWFRLPHDR-13-824</t>
  </si>
  <si>
    <t>COWFRLPHDR-13-1104</t>
  </si>
  <si>
    <t>COWFRLPHDR-13-1036</t>
  </si>
  <si>
    <t>COWFRLPHDR-13-825</t>
  </si>
  <si>
    <t>COWFRLPHDR-13-1037</t>
  </si>
  <si>
    <t>COWFRLPHDR-13-826</t>
  </si>
  <si>
    <t>COWFRLPHDR-13-738</t>
  </si>
  <si>
    <t>COWFRLPHDR-13-966</t>
  </si>
  <si>
    <t>COWFRLPHDR-13-827</t>
  </si>
  <si>
    <t>COWFRLPHDR-13-739</t>
  </si>
  <si>
    <t>COWFRLPHDR-13-828</t>
  </si>
  <si>
    <t>COWFRLPHDR-13-740</t>
  </si>
  <si>
    <t>COWFRLPHDR-13-967</t>
  </si>
  <si>
    <t>COWFRLPHDR-13-829</t>
  </si>
  <si>
    <t>COWFRLPHDR-13-741</t>
  </si>
  <si>
    <t>COWFRLPHDR-13-968</t>
  </si>
  <si>
    <t>COWFRLPHDR-13-830</t>
  </si>
  <si>
    <t>COWFRLPHDR-13-742</t>
  </si>
  <si>
    <t>COWFRLPHDR-13-831</t>
  </si>
  <si>
    <t>COWFRLPHDR-13-743</t>
  </si>
  <si>
    <t>COWFRLPHDR-13-969</t>
  </si>
  <si>
    <t>COWFRLPHDR-13-832</t>
  </si>
  <si>
    <t>COWFRLPHDR-13-744</t>
  </si>
  <si>
    <t>COWFRLPHDR-13-970</t>
  </si>
  <si>
    <t>COWFRLPHDR-13-833</t>
  </si>
  <si>
    <t>COWFRLPHDR-13-745</t>
  </si>
  <si>
    <t>COWFRLPHDR-13-971</t>
  </si>
  <si>
    <t>COWFRLPHDR-13-834</t>
  </si>
  <si>
    <t>COWFRLPHDR-13-746</t>
  </si>
  <si>
    <t>COWFRLPHDR-13-972</t>
  </si>
  <si>
    <t>COWFRLPHDR-13-835</t>
  </si>
  <si>
    <t>COWFRLPHDR-13-747</t>
  </si>
  <si>
    <t>COWFRLPHDR-13-973</t>
  </si>
  <si>
    <t>COWFRLPHDR-13-836</t>
  </si>
  <si>
    <t>COWFRLPHDR-13-748</t>
  </si>
  <si>
    <t>COWFRLPHDR-13-974</t>
  </si>
  <si>
    <t>COWFRLPHDR-13-837</t>
  </si>
  <si>
    <t>COWFRLPHDR-13-749</t>
  </si>
  <si>
    <t>COWFRLPHDR-13-975</t>
  </si>
  <si>
    <t>COWFRLPHDR-13-838</t>
  </si>
  <si>
    <t>COWFRLPHDR-13-750</t>
  </si>
  <si>
    <t>COWFRLPHDR-13-976</t>
  </si>
  <si>
    <t>COWFRLPHDR-13-839</t>
  </si>
  <si>
    <t>COWFRLPHDR-13-751</t>
  </si>
  <si>
    <t>COWFRLPHDR-13-977</t>
  </si>
  <si>
    <t>COWFRLPHDR-13-840</t>
  </si>
  <si>
    <t>COWFRLPHDR-13-752</t>
  </si>
  <si>
    <t>COWFRLPHDR-13-978</t>
  </si>
  <si>
    <t>COWFRLPHDR-13-841</t>
  </si>
  <si>
    <t>COWFRLPHDR-13-842</t>
  </si>
  <si>
    <t>COWFRLPHDR-13-843</t>
  </si>
  <si>
    <t>COWFRLPHDR-13-753</t>
  </si>
  <si>
    <t>COWFRLPHDR-13-844</t>
  </si>
  <si>
    <t>COWFRLPHDR-13-754</t>
  </si>
  <si>
    <t>COWFRLPHDR-13-979</t>
  </si>
  <si>
    <t>COWFRLPHDR-13-845</t>
  </si>
  <si>
    <t>COWFRLPHDR-13-755</t>
  </si>
  <si>
    <t>COWFRLPHDR-13-980</t>
  </si>
  <si>
    <t>COWFRLPHDR-13-846</t>
  </si>
  <si>
    <t>COWFRLPHDR-13-756</t>
  </si>
  <si>
    <t>COWFRLPHDR-13-981</t>
  </si>
  <si>
    <t>COWFRLPHDR-13-726</t>
  </si>
  <si>
    <t>COWFRLPHDR-13-938</t>
  </si>
  <si>
    <t>COWFRLPHDR-13-982</t>
  </si>
  <si>
    <t>COWFRLPHDR-5-683</t>
  </si>
  <si>
    <t>COWFRLPHDR-13-939</t>
  </si>
  <si>
    <t>COWFRLPHDR-13-983</t>
  </si>
  <si>
    <t>COWFRLPHDR-5-684</t>
  </si>
  <si>
    <t>COWFRLPHDR-5-685</t>
  </si>
  <si>
    <t>COWFRLPHDR-13-936</t>
  </si>
  <si>
    <t>COWFRLPHDR-13-1053</t>
  </si>
  <si>
    <t>COWFRLPHDR-5-686</t>
  </si>
  <si>
    <t>COWFRLPHDR-13-937</t>
  </si>
  <si>
    <t>COWFRLPHDR-13-1054</t>
  </si>
  <si>
    <t>COWFRLPHDR-5-687</t>
  </si>
  <si>
    <t>COWFRLPHDR-13-1055</t>
  </si>
  <si>
    <t>COWFRLPHDR-5-688</t>
  </si>
  <si>
    <t>COWFRLPHDR-13-934</t>
  </si>
  <si>
    <t>COWFRLPHDR-5-689</t>
  </si>
  <si>
    <t>COWFRLPHDR-13-935</t>
  </si>
  <si>
    <t>COWFRLPHDR-13-1056</t>
  </si>
  <si>
    <t>COWFRLPHDR-5-690</t>
  </si>
  <si>
    <t>COWFRLPHDR-13-1057</t>
  </si>
  <si>
    <t>COWFRLPHDR-5-691</t>
  </si>
  <si>
    <t>COWFRLPHDR-13-932</t>
  </si>
  <si>
    <t>COWFRLPHDR-13-1058</t>
  </si>
  <si>
    <t>COWFRLPHDR-5-692</t>
  </si>
  <si>
    <t>COWFRLPHDR-13-933</t>
  </si>
  <si>
    <t>COWFRLPHDR-13-1059</t>
  </si>
  <si>
    <t>COWFRLPHDR-5-693</t>
  </si>
  <si>
    <t>COWFRLPHDR-13-930</t>
  </si>
  <si>
    <t>COWFRLPHDR-13-1060</t>
  </si>
  <si>
    <t>COWFRLPHDR-5-694</t>
  </si>
  <si>
    <t>COWFRLPHDR-13-931</t>
  </si>
  <si>
    <t>COWFRLPHDR-5-695</t>
  </si>
  <si>
    <t>COWFRLPHDR-13-927</t>
  </si>
  <si>
    <t>COWFRLPHDR-13-1064</t>
  </si>
  <si>
    <t>COWFRLPHDR-5-699</t>
  </si>
  <si>
    <t>COWFRLPHDR-13-950</t>
  </si>
  <si>
    <t>COWFRLPHDR-13-1067</t>
  </si>
  <si>
    <t>COWFRLPHDR-13-876</t>
  </si>
  <si>
    <t>COWFRLPHDR-13-955</t>
  </si>
  <si>
    <t>COWFRLPHDR-13-1071</t>
  </si>
  <si>
    <t>COWFRLPHDR-13-880</t>
  </si>
  <si>
    <t>COWFRLPHDR-13-956</t>
  </si>
  <si>
    <t>COWFRLPHDR-13-1072</t>
  </si>
  <si>
    <t>COWFRLPHDR-13-881</t>
  </si>
  <si>
    <t>COWFRLPHDR-13-957</t>
  </si>
  <si>
    <t>COWFRLPHDR-13-882</t>
  </si>
  <si>
    <t>COWFRLPHDR-13-1101</t>
  </si>
  <si>
    <t>COWFRLPHDR-13-1081</t>
  </si>
  <si>
    <t>COWFRLPHDR-13-872</t>
  </si>
  <si>
    <t>COWFRLPHDR-13-1082</t>
  </si>
  <si>
    <t>COWFRLPHDR-13-903</t>
  </si>
  <si>
    <t>COWFRLPHDR-13-1083</t>
  </si>
  <si>
    <t>COWFRLPHDR-13-904</t>
  </si>
  <si>
    <t>COWFRLPHDR-13-1088</t>
  </si>
  <si>
    <t>COWFRLPHDR-13-912</t>
  </si>
  <si>
    <t>COWFRLPHDR-13-1090</t>
  </si>
  <si>
    <t>COWFRLPHDR-13-914</t>
  </si>
  <si>
    <t>COWFRLPHDR-13-1091</t>
  </si>
  <si>
    <t>COWFRLPHDR-13-915</t>
  </si>
  <si>
    <t>COWFRLPHDR-13-1163</t>
  </si>
  <si>
    <t>COWFRLPHDR-13-1092</t>
  </si>
  <si>
    <t>COWFRLPHDR-13-917</t>
  </si>
  <si>
    <t>COWFRLPHDR-13-1164</t>
  </si>
  <si>
    <t>COWFRLPHDR-13-1093</t>
  </si>
  <si>
    <t>COWFRLPHDR-13-918</t>
  </si>
  <si>
    <t>COWFRLPHDR-13-921</t>
  </si>
  <si>
    <t>COWFRLPHDR-13-1096</t>
  </si>
  <si>
    <t>COWFRLPHDR-13-884</t>
  </si>
  <si>
    <t>COWFRLPHDR-13-1097</t>
  </si>
  <si>
    <t>COWFRLPHDR-13-885</t>
  </si>
  <si>
    <t>COWFRLPHDR-13-1098</t>
  </si>
  <si>
    <t>COWFRLPHDR-13-1099</t>
  </si>
  <si>
    <t>COWFRLPHDR-13-887</t>
  </si>
  <si>
    <t>COWFRLPHDR-13-895</t>
  </si>
  <si>
    <t>COWFRLPHDR-13-1048</t>
  </si>
  <si>
    <t>COWFRLPHDR-13-896</t>
  </si>
  <si>
    <t>COWFRLPHDR-13-1052</t>
  </si>
  <si>
    <t>COWFRLPHDR-13-900</t>
  </si>
  <si>
    <t>EnvNum_DocType</t>
  </si>
  <si>
    <t>Total</t>
  </si>
  <si>
    <t>Newberry, Erin</t>
  </si>
  <si>
    <t>Donohue, Deborah</t>
  </si>
  <si>
    <t>Hobbs, Danna</t>
  </si>
  <si>
    <t>COW-FRMP_TR-001 ENVIRONMENTAL Right-of-Entry Executed.pdf</t>
  </si>
  <si>
    <t>COW-FRMP_TR-006 ENVIRONMENTAL Right-of-Entry Executed.pdf</t>
  </si>
  <si>
    <t>COW-FRMP_TR-007 ENVIRONMENTAL Right-of-Entry Executed.pdf</t>
  </si>
  <si>
    <t>COW-FRMP_TR-008 ENVIRONMENTAL Right-of-Entry Executed.pdf</t>
  </si>
  <si>
    <t>COW-FRMP_TR-011 ENVIRONMENTAL Right-of-Entry Executed.pdf</t>
  </si>
  <si>
    <t>COW-FRMP_TR-012 ENVIRONMENTAL Right-of-Entry Executed.pdf</t>
  </si>
  <si>
    <t>COW-FRMP_TR-013 ENVIRONMENTAL Right-of-Entry Executed.pdf</t>
  </si>
  <si>
    <t>COW-FRMP_TR-014 ENVIRONMENTAL Right-of-Entry Executed.pdf</t>
  </si>
  <si>
    <t>COW-FRMP_TR-017 ENVIRONMENTAL Right-of-Entry Executed.pdf</t>
  </si>
  <si>
    <t>COW-FRMP_TR-018 ENVIRONMENTAL Right-of-Entry Executed.pdf</t>
  </si>
  <si>
    <t>COW-FRMP_TR-019 ENVIRONMENTAL Right-of-Entry Executed.pdf</t>
  </si>
  <si>
    <t>COW-FRMP_TR-029 ENVIRONMENTAL Right-of-Entry Executed.pdf</t>
  </si>
  <si>
    <t>COW-FRMP_TR-033 ENVIRONMENTAL Right-of-Entry Executed.pdf</t>
  </si>
  <si>
    <t>COW-FRMP_TR-036 ENVIRONMENTAL Right-of-Entry Executed.pdf</t>
  </si>
  <si>
    <t>COW-FRMP_TR-038 ENVIRONMENTAL Right-of-Entry Executed.pdf</t>
  </si>
  <si>
    <t>COW-FRMP_TR-039 ENVIRONMENTAL Right-of-Entry Executed.pdf</t>
  </si>
  <si>
    <t>COW-FRMP_TR-040 ENVIRONMENTAL Right-of-Entry Executed.pdf</t>
  </si>
  <si>
    <t>COW-FRMP_TR-047 ENVIRONMENTAL Right-of-Entry Executed.pdf</t>
  </si>
  <si>
    <t>COW-FRMP_TR-048 ENVIRONMENTAL Right-of-Entry Executed.pdf</t>
  </si>
  <si>
    <t>COW-FRMP_TR-049 ENVIRONMENTAL Right-of-Entry Executed.pdf</t>
  </si>
  <si>
    <t>COW-FRMP_TR-050 ENVIRONMENTAL Right-of-Entry Executed.pdf</t>
  </si>
  <si>
    <t>COW-FRMP_TR-051 ENVIRONMENTAL Right-of-Entry Executed.pdf</t>
  </si>
  <si>
    <t>COW-FRMP_TR-054 ENVIRONMENTAL Right-of-Entry Executed.pdf</t>
  </si>
  <si>
    <t>COW-FRMP_TR-055 ENVIRONMENTAL Right-of-Entry Executed.pdf</t>
  </si>
  <si>
    <t>COW-FRMP_TR-065 ENVIRONMENTAL Right-of-Entry Executed.pdf</t>
  </si>
  <si>
    <t>COW-FRMP_TR-082 ENVIRONMENTAL Right-of-Entry Executed.pdf</t>
  </si>
  <si>
    <t>COW-FRMP_TR-095 ENVIRONMENTAL Right-of-Entry Executed.pdf</t>
  </si>
  <si>
    <t>COW-FRMP_TR-096 ENVIRONMENTAL Right-of-Entry Executed.pdf</t>
  </si>
  <si>
    <t>COW-FRMP_TR-097 ENVIRONMENTAL Right-of-Entry Executed.pdf</t>
  </si>
  <si>
    <t>COW-FRMP_TR-099 ENVIRONMENTAL Right-of-Entry Executed.pdf</t>
  </si>
  <si>
    <t>COW-FRMP_TR-104 ENVIRONMENTAL Right-of-Entry Executed.pdf</t>
  </si>
  <si>
    <t>COW-FRMP_TR-105 ENVIRONMENTAL Right-of-Entry Executed.pdf</t>
  </si>
  <si>
    <t>COW-FRMP_TR-106 ENVIRONMENTAL Right-of-Entry Executed.pdf</t>
  </si>
  <si>
    <t>COW-FRMP_TR-107 ENVIRONMENTAL Right-of-Entry Executed.pdf</t>
  </si>
  <si>
    <t>COW-FRMP_TR-108 ENVIRONMENTAL Right-of-Entry Executed.pdf</t>
  </si>
  <si>
    <t>COW-FRMP_TR-109 ENVIRONMENTAL Right-of-Entry Executed.pdf</t>
  </si>
  <si>
    <t>COW-FRMP_TR-110 ENVIRONMENTAL Right-of-Entry Executed.pdf</t>
  </si>
  <si>
    <t>COW-FRMP_TR-111 ENVIRONMENTAL Right-of-Entry Executed.pdf</t>
  </si>
  <si>
    <t>COW-FRMP_TR-113 ENVIRONMENTAL Right-of-Entry Executed.pdf</t>
  </si>
  <si>
    <t>COW-FRMP_TR-114 ENVIRONMENTAL Right-of-Entry Executed.pdf</t>
  </si>
  <si>
    <t>COW-FRMP_TR-116 ENVIRONMENTAL Right-of-Entry Executed.pdf</t>
  </si>
  <si>
    <t>COW-FRMP_TR-117 ENVIRONMENTAL Right-of-Entry Executed.pdf</t>
  </si>
  <si>
    <t>COW-FRMP_TR-118 ENVIRONMENTAL Right-of-Entry Executed.pdf</t>
  </si>
  <si>
    <t>COW-FRMP_TR-119 ENVIRONMENTAL Right-of-Entry Executed.pdf</t>
  </si>
  <si>
    <t>COW-FRMP_TR-128 ENVIRONMENTAL Right-of-Entry Executed.pdf</t>
  </si>
  <si>
    <t>COW-FRMP_TR-129 ENVIRONMENTAL Right-of-Entry Executed.pdf</t>
  </si>
  <si>
    <t>COW-FRMP_TR-130 ENVIRONMENTAL Right-of-Entry Executed.pdf</t>
  </si>
  <si>
    <t>COW-FRMP_TR-131 ENVIRONMENTAL Right-of-Entry Executed.pdf</t>
  </si>
  <si>
    <t>COW-FRMP_TR-133 ENVIRONMENTAL Right-of-Entry Executed.pdf</t>
  </si>
  <si>
    <t>COW-FRMP_TR-134 ENVIRONMENTAL Right-of-Entry Executed.pdf</t>
  </si>
  <si>
    <t>COW-FRMP_TR-135 ENVIRONMENTAL Right-of-Entry Executed.pdf</t>
  </si>
  <si>
    <t>COW-FRMP_TR-151 ENVIRONMENTAL Right-of-Entry Executed.pdf</t>
  </si>
  <si>
    <t>COW-FRMP_TR-160 ENVIRONMENTAL Right-of-Entry Executed.pdf</t>
  </si>
  <si>
    <t>COW-FRMP_TR-179 ENVIRONMENTAL Right-of-Entry Executed.pdf</t>
  </si>
  <si>
    <t>COW-FRMP_TR-225 ENVIRONMENTAL Right-of-Entry Executed.pdf</t>
  </si>
  <si>
    <t>COW-FRMP_TR-226 ENVIRONMENTAL Right-of-Entry Executed.pdf</t>
  </si>
  <si>
    <t>COW-FRMP_TR-232 ENVIRONMENTAL Right-of-Entry Executed.pdf</t>
  </si>
  <si>
    <t>COW-FRMP_TR-245 ENVIRONMENTAL Right-of-Entry Executed.pdf</t>
  </si>
  <si>
    <t>COW-FRMP_TR-250 ENVIRONMENTAL Right-of-Entry Executed.pdf</t>
  </si>
  <si>
    <t>COWFRLPHDR-13-1166</t>
  </si>
  <si>
    <t>COWFRLPHDR-13-1167</t>
  </si>
  <si>
    <t>COWFRLPHDR-13-1168</t>
  </si>
  <si>
    <t>COWFRLPHDR-13-1169</t>
  </si>
  <si>
    <t>COWFRLPHDR-13-1170</t>
  </si>
  <si>
    <t>COWFRLPHDR-13-1171</t>
  </si>
  <si>
    <t>COWFRLPHDR-13-1172</t>
  </si>
  <si>
    <t>COWFRLPHDR-13-1173</t>
  </si>
  <si>
    <t>COWFRLPHDR-13-1174</t>
  </si>
  <si>
    <t>COWFRLPHDR-13-1175</t>
  </si>
  <si>
    <t>COWFRLPHDR-13-1176</t>
  </si>
  <si>
    <t>COWFRLPHDR-13-1177</t>
  </si>
  <si>
    <t>COWFRLPHDR-13-1178</t>
  </si>
  <si>
    <t>COWFRLPHDR-13-1179</t>
  </si>
  <si>
    <t>COWFRLPHDR-13-1180</t>
  </si>
  <si>
    <t>COWFRLPHDR-13-1181</t>
  </si>
  <si>
    <t>COWFRLPHDR-13-1182</t>
  </si>
  <si>
    <t>COWFRLPHDR-13-1183</t>
  </si>
  <si>
    <t>COWFRLPHDR-13-1184</t>
  </si>
  <si>
    <t>COWFRLPHDR-13-1186</t>
  </si>
  <si>
    <t>COWFRLPHDR-13-1185</t>
  </si>
  <si>
    <t>COWFRLPHDR-13-1187</t>
  </si>
  <si>
    <t>COWFRLPHDR-13-1188</t>
  </si>
  <si>
    <t>COWFRLPHDR-13-1189</t>
  </si>
  <si>
    <t>COWFRLPHDR-13-1190</t>
  </si>
  <si>
    <t>COWFRLPHDR-13-1195</t>
  </si>
  <si>
    <t>COWFRLPHDR-13-1196</t>
  </si>
  <si>
    <t>COWFRLPHDR-13-1197</t>
  </si>
  <si>
    <t>COWFRLPHDR-13-1198</t>
  </si>
  <si>
    <t>COWFRLPHDR-13-1199</t>
  </si>
  <si>
    <t>COWFRLPHDR-13-1201</t>
  </si>
  <si>
    <t>COWFRLPHDR-13-1202</t>
  </si>
  <si>
    <t>COWFRLPHDR-13-1203</t>
  </si>
  <si>
    <t>COWFRLPHDR-13-1204</t>
  </si>
  <si>
    <t>COWFRLPHDR-13-1205</t>
  </si>
  <si>
    <t>COWFRLPHDR-13-1206</t>
  </si>
  <si>
    <t>COWFRLPHDR-13-1207</t>
  </si>
  <si>
    <t>COWFRLPHDR-13-1208</t>
  </si>
  <si>
    <t>COWFRLPHDR-13-1209</t>
  </si>
  <si>
    <t>COWFRLPHDR-13-1210</t>
  </si>
  <si>
    <t>COWFRLPHDR-13-1211</t>
  </si>
  <si>
    <t>COWFRLPHDR-13-1212</t>
  </si>
  <si>
    <t>COWFRLPHDR-13-1213</t>
  </si>
  <si>
    <t>COWFRLPHDR-13-1214</t>
  </si>
  <si>
    <t>COWFRLPHDR-13-1215</t>
  </si>
  <si>
    <t>COWFRLPHDR-13-1216</t>
  </si>
  <si>
    <t>COWFRLPHDR-13-1217</t>
  </si>
  <si>
    <t>COWFRLPHDR-13-1218</t>
  </si>
  <si>
    <t>COWFRLPHDR-13-1219</t>
  </si>
  <si>
    <t>COWFRLPHDR-13-1220</t>
  </si>
  <si>
    <t>COWFRLPHDR-13-1221</t>
  </si>
  <si>
    <t>COWFRLPHDR-13-1222</t>
  </si>
  <si>
    <t>COWFRLPHDR-13-1223</t>
  </si>
  <si>
    <t>COWFRLPHDR-13-1227</t>
  </si>
  <si>
    <t>COWFRLPHDR-13-1236</t>
  </si>
  <si>
    <t>COWFRLPHDR-13-1237</t>
  </si>
  <si>
    <t>COWFRLPHDR-13-1239</t>
  </si>
  <si>
    <t>COWFRLPHDR-13-1244</t>
  </si>
  <si>
    <t>Dunaway, Darla</t>
  </si>
  <si>
    <t>Largent, Cindy</t>
  </si>
  <si>
    <t>Combined Tax Cards</t>
  </si>
  <si>
    <t>GF No.: 2019-0755</t>
  </si>
  <si>
    <t>GF No.: 2019-0756</t>
  </si>
  <si>
    <t>Combined 6 Tax ID</t>
  </si>
  <si>
    <t>GF No.: 2019-0810</t>
  </si>
  <si>
    <t>GF No.: 2019-0811</t>
  </si>
  <si>
    <t>GF No.: 2019-0813</t>
  </si>
  <si>
    <t>GF No.:  2019-0814</t>
  </si>
  <si>
    <t>COW-FRMP_TR-100 TITLE Tax Card.pdf</t>
  </si>
  <si>
    <t>COW-FRMP_TR-207 SURVEY Right-of-Entry.pdf</t>
  </si>
  <si>
    <t>COW-FRMP_TR-208 CONTACT Letter of Intent-HDR.pdf</t>
  </si>
  <si>
    <t>COWFRLPHDR-5-751</t>
  </si>
  <si>
    <t>COWFRLPHDR-5-752</t>
  </si>
  <si>
    <t>COWFRLPHDR-5-753</t>
  </si>
  <si>
    <t>COWFRLPHDR-5-754</t>
  </si>
  <si>
    <t>V</t>
  </si>
  <si>
    <t>A</t>
  </si>
  <si>
    <t>Richard McGee</t>
  </si>
  <si>
    <t>57</t>
  </si>
  <si>
    <t>Return to Sender</t>
  </si>
  <si>
    <t>Previous Executed ROE 2/12/2020</t>
  </si>
  <si>
    <t>2 Executed ROE signed</t>
  </si>
  <si>
    <t>No package attached</t>
  </si>
  <si>
    <t>COW-FRMP_TR-002 ENVIRONMENTAL Right-of-Entry Package.pdf</t>
  </si>
  <si>
    <t>COW-FRMP_TR-003 ENVIRONMENTAL Right-of-Entry Package.pdf</t>
  </si>
  <si>
    <t>COW-FRMP_TR-005 ENVIRONMENTAL Right-of-Entry Executed.pdf</t>
  </si>
  <si>
    <t>COW-FRMP_TR-010 ENVIRONMENTAL Right-of-Entry Executed.pdf</t>
  </si>
  <si>
    <t>COW-FRMP_TR-015 ENVIRONMENTAL Right-of-Entry Package.pdf</t>
  </si>
  <si>
    <t>COW-FRMP_TR-016 ENVIRONMENTAL Right-of-Entry Executed.pdf</t>
  </si>
  <si>
    <t>COW-FRMP_TR-017 ENVIRONMENTAL Right-of-Entry Package.pdf</t>
  </si>
  <si>
    <t>COW-FRMP_TR-019 ENVIRONMENTAL Right-of-Entry Package.pdf</t>
  </si>
  <si>
    <t>COW-FRMP_TR-024 ENVIRONMENTAL Right-of-Entry Executed.pdf</t>
  </si>
  <si>
    <t>COW-FRMP_TR-028 ENVIRONMENTAL Right-of-Entry Package.pdf</t>
  </si>
  <si>
    <t>COW-FRMP_TR-031 ENVIRONMENTAL Right-of-Entry Executed.pdf</t>
  </si>
  <si>
    <t>COW-FRMP_TR-031 ENVIRONMENTAL Right-of-Entry Package.pdf</t>
  </si>
  <si>
    <t>COW-FRMP_TR-032 ENVIRONMENTAL Right-of-Entry Executed.pdf</t>
  </si>
  <si>
    <t>COW-FRMP_TR-032 ENVIRONMENTAL Right-of-Entry Package.pdf</t>
  </si>
  <si>
    <t>COW-FRMP_TR-048 ENVIRONMENTAL Right-of-Entry Package.pdf</t>
  </si>
  <si>
    <t>COW-FRMP_TR-049 ENVIRONMENTAL Right-of-Entry Package.pdf</t>
  </si>
  <si>
    <t>COW-FRMP_TR-052 ENVIRONMENTAL Right-of-Entry Executed.pdf</t>
  </si>
  <si>
    <t>COW-FRMP_TR-053 ENVIRONMENTAL Right-of-Entry Executed.pdf</t>
  </si>
  <si>
    <t>COW-FRMP_TR-078 ENVIRONMENTAL Right-of-Entry Executed.pdf</t>
  </si>
  <si>
    <t>COW-FRMP_TR-082 ENVIRONMENTAL Right-of-Entry Package.pdf</t>
  </si>
  <si>
    <t>COW-FRMP_TR-083 ENVIRONMENTAL Right-of-Entry Executed.pdf</t>
  </si>
  <si>
    <t>COW-FRMP_TR-086 ENVIRONMENTAL Right-of-Entry Executed.pdf</t>
  </si>
  <si>
    <t>COW-FRMP_TR-086 ENVIRONMENTAL Right-of-Entry Package.pdf</t>
  </si>
  <si>
    <t>COW-FRMP_TR-087 ENVIRONMENTAL Right-of-Entry Executed.pdf</t>
  </si>
  <si>
    <t>COW-FRMP_TR-087 ENVIRONMENTAL Right-of-Entry Package.pdf</t>
  </si>
  <si>
    <t>COW-FRMP_TR-088 ENVIRONMENTAL Right-of-Entry Executed.pdf</t>
  </si>
  <si>
    <t>COW-FRMP_TR-092 ENVIRONMENTAL Right-of-Entry Executed.pdf</t>
  </si>
  <si>
    <t>COW-FRMP_TR-104 ENVIRONMENTAL Right-of-Entry Package.pdf</t>
  </si>
  <si>
    <t>COW-FRMP_TR-109 ENVIRONMENTAL Right-of-Entry Package.pdf</t>
  </si>
  <si>
    <t>COW-FRMP_TR-112 ENVIRONMENTAL Right-of-Entry Package.pdf</t>
  </si>
  <si>
    <t>COW-FRMP_TR-120 ENVIRONMENTAL Right-of-Entry Executed.pdf</t>
  </si>
  <si>
    <t>COW-FRMP_TR-121 ENVIRONMENTAL Right-of-Entry Executed.pdf</t>
  </si>
  <si>
    <t>COW-FRMP_TR-122 ENVIRONMENTAL Right-of-Entry Executed.pdf</t>
  </si>
  <si>
    <t>COW-FRMP_TR-123 ENVIRONMENTAL Right-of-Entry Package.pdf</t>
  </si>
  <si>
    <t>COW-FRMP_TR-124 ENVIRONMENTAL Right-of-Entry Package.pdf</t>
  </si>
  <si>
    <t>COW-FRMP_TR-125 ENVIRONMENTAL Right-of-Entry Package.pdf</t>
  </si>
  <si>
    <t>COW-FRMP_TR-132 ENVIRONMENTAL Right-of-Entry Package.pdf</t>
  </si>
  <si>
    <t>COW-FRMP_TR-153 ENVIRONMENTAL Right-of-Entry Executed.pdf</t>
  </si>
  <si>
    <t>COW-FRMP_TR-156 ENVIRONMENTAL Right-of-Entry Package.pdf</t>
  </si>
  <si>
    <t>COW-FRMP_TR-166 ENVIRONMENTAL Right-of-Entry Executed.pdf</t>
  </si>
  <si>
    <t>COW-FRMP_TR-180 CONTACT Negotiator Report.docx</t>
  </si>
  <si>
    <t>COW-FRMP_TR-202 ENVIRONMENTAL Right-of-Entry Executed.pdf</t>
  </si>
  <si>
    <t>COW-FRMP_TR-230 ENVIRONMENTAL Right-of-Entry Executed.pdf</t>
  </si>
  <si>
    <t>COW-FRMP_TR-233 ENVIRONMENTAL Right-of-Entry Executed.pdf</t>
  </si>
  <si>
    <t>COWFRLPHDR-13-1268</t>
  </si>
  <si>
    <t>COWFRLPHDR-13-1269</t>
  </si>
  <si>
    <t>COWFRLPHDR-13-1291</t>
  </si>
  <si>
    <t>COWFRLPHDR-13-1292</t>
  </si>
  <si>
    <t>COWFRLPHDR-13-1270</t>
  </si>
  <si>
    <t>COWFRLPHDR-13-1293</t>
  </si>
  <si>
    <t>COWFRLPHDR-13-1271</t>
  </si>
  <si>
    <t>COWFRLPHDR-13-1272</t>
  </si>
  <si>
    <t>COWFRLPHDR-13-1294</t>
  </si>
  <si>
    <t>COWFRLPHDR-13-1288</t>
  </si>
  <si>
    <t>COWFRLPHDR-13-1295</t>
  </si>
  <si>
    <t>COWFRLPHDR-13-1274</t>
  </si>
  <si>
    <t>COWFRLPHDR-13-1296</t>
  </si>
  <si>
    <t>COWFRLPHDR-13-1275</t>
  </si>
  <si>
    <t>COWFRLPHDR-13-1276</t>
  </si>
  <si>
    <t>COWFRLPHDR-13-1277</t>
  </si>
  <si>
    <t>COWFRLPHDR-13-1297</t>
  </si>
  <si>
    <t>COWFRLPHDR-13-1298</t>
  </si>
  <si>
    <t>COWFRLPHDR-13-1319</t>
  </si>
  <si>
    <t>COWFRLPHDR-13-1278</t>
  </si>
  <si>
    <t>COWFRLPHDR-13-1299</t>
  </si>
  <si>
    <t>COWFRLPHDR-13-1300</t>
  </si>
  <si>
    <t>COWFRLPHDR-13-1279</t>
  </si>
  <si>
    <t>COWFRLPHDR-13-1301</t>
  </si>
  <si>
    <t>COWFRLPHDR-13-1280</t>
  </si>
  <si>
    <t>COWFRLPHDR-13-1302</t>
  </si>
  <si>
    <t>COWFRLPHDR-13-1303</t>
  </si>
  <si>
    <t>COWFRLPHDR-13-1283</t>
  </si>
  <si>
    <t>COWFRLPHDR-13-1284</t>
  </si>
  <si>
    <t>COWFRLPHDR-13-1285</t>
  </si>
  <si>
    <t>COWFRLPHDR-13-1304</t>
  </si>
  <si>
    <t>COWFRLPHDR-13-1305</t>
  </si>
  <si>
    <t>COWFRLPHDR-13-1306</t>
  </si>
  <si>
    <t>COWFRLPHDR-13-1286</t>
  </si>
  <si>
    <t>COWFRLPHDR-13-1287</t>
  </si>
  <si>
    <t>COWFRLPHDR-13-1259</t>
  </si>
  <si>
    <t>COWFRLPHDR-13-1260</t>
  </si>
  <si>
    <t>COWFRLPHDR-13-1307</t>
  </si>
  <si>
    <t>COWFRLPHDR-13-1290</t>
  </si>
  <si>
    <t>COWFRLPHDR-13-1320</t>
  </si>
  <si>
    <t>COWFRLPHDR-13-1289</t>
  </si>
  <si>
    <t>COWFRLPHDR-13-1312</t>
  </si>
  <si>
    <t>COWFRLPHDR-13-1255</t>
  </si>
  <si>
    <t>COWFRLPHDR-13-1257</t>
  </si>
  <si>
    <t>COWFRLPHDR-13-1258</t>
  </si>
  <si>
    <t>COWFRLPHDR-13-1314</t>
  </si>
  <si>
    <t>COWFRLPHDR-13-1315</t>
  </si>
  <si>
    <t>COWFRLPHDR-13-1321</t>
  </si>
  <si>
    <t>Combined 4 Tax ID</t>
  </si>
  <si>
    <t>Revised</t>
  </si>
  <si>
    <t>Combined 2 Tax ID</t>
  </si>
  <si>
    <t>GF No.: 2019-0758</t>
  </si>
  <si>
    <t>GF No.: 2020-0332</t>
  </si>
  <si>
    <t>GF NO.: 2020-0332</t>
  </si>
  <si>
    <t>Combined 3 Tax ID</t>
  </si>
  <si>
    <t>GF No.: 2019-0833</t>
  </si>
  <si>
    <t>Combined 10 Owners LOI Documents</t>
  </si>
  <si>
    <t>Return to Sender - Unable to Forward</t>
  </si>
  <si>
    <t>GF No.: 2019-0835</t>
  </si>
  <si>
    <t>Tax ID R013046 on LOBR Document - please verify</t>
  </si>
  <si>
    <t>GF No.: 2019-0837</t>
  </si>
  <si>
    <t>GF No.: 2019-0838</t>
  </si>
  <si>
    <t>GF No. 2019-0758</t>
  </si>
  <si>
    <t>Combined 3 Tax ID - 4 Owners</t>
  </si>
  <si>
    <t>COW-FRMP_TR-208 SURVEY Right-of-Entry.pdf</t>
  </si>
  <si>
    <t>COW-FRMP_TR-208 TITLE Tax Card.pdf</t>
  </si>
  <si>
    <t>COW-FRMP_TR-213 SURVEY Right-of-Entry.pdf</t>
  </si>
  <si>
    <t>COW-FRMP_TR-219 CONTACT Letter of Intent-HDR.pdf</t>
  </si>
  <si>
    <t>COW-FRMP_TR-219 SURVEY Right-of-Entry.pdf</t>
  </si>
  <si>
    <t>COW-FRMP_TR-219 SURVEY Right-of-Entry CMRR.pdf</t>
  </si>
  <si>
    <t>COW-FRMP_TR-220 CONTACT Letter of Intent-HDR.pdf</t>
  </si>
  <si>
    <t>COW-FRMP_TR-220 SURVEY Right-of-Entry.pdf</t>
  </si>
  <si>
    <t>COW-FRMP_TR-224 SURVEY Right-of-Entry.pdf</t>
  </si>
  <si>
    <t>COW-FRMP_TR-224 TITLE Tax Card.pdf</t>
  </si>
  <si>
    <t>COW-FRMP_TR-230 TITLE Commitment.pdf</t>
  </si>
  <si>
    <t>COW-FRMP_TR-230 TITLE Commitment Backup Docs.pdf</t>
  </si>
  <si>
    <t>COW-FRMP_TR-230 TITLE Curative Plan.docx</t>
  </si>
  <si>
    <t>COW-FRMP_TR-304 SURVEY Right-of-Entry.pdf</t>
  </si>
  <si>
    <t>COW-FRMP_TR-304 TITLE Tax Card.pdf</t>
  </si>
  <si>
    <t>COW-FRMP_TR-305 CONTACT Letter of Intent-HDR.pdf</t>
  </si>
  <si>
    <t>COW-FRMP_TR-305 SURVEY Right-of-Entry.pdf</t>
  </si>
  <si>
    <t>COW-FRMP_TR-305 TITLE Tax Card.pdf</t>
  </si>
  <si>
    <t>COW-FRMP_TR-309 CONTACT Pre-Appraisal Contact with Owner.pdf</t>
  </si>
  <si>
    <t>COW-FRMP_TR-310 CONTACT Letter of Intent-HDR.pdf</t>
  </si>
  <si>
    <t>COW-FRMP_TR-310 SURVEY Right-of-Entry.pdf</t>
  </si>
  <si>
    <t>COW-FRMP_TR-313 CONTACT Letter of Intent-HDR.pdf</t>
  </si>
  <si>
    <t>COW-FRMP_TR-313 SURVEY Right-of-Entry.pdf</t>
  </si>
  <si>
    <t>COW-FRMP_TR-313 TITLE Tax Card.pdf</t>
  </si>
  <si>
    <t>COW-FRMP_TR-314 SURVEY Right-of-Entry.pdf</t>
  </si>
  <si>
    <t>COW-FRMP_TR-314 TITLE Tax Card.pdf</t>
  </si>
  <si>
    <t>COW-FRMP_TR-317 CONTACT Letter of Intent-HDR.pdf</t>
  </si>
  <si>
    <t>COW-FRMP_TR-317 SURVEY Right-of-Entry.pdf</t>
  </si>
  <si>
    <t>COW-FRMP_TR-317 TITLE Tax Card.pdf</t>
  </si>
  <si>
    <t>COWFRLPHDR-5-755</t>
  </si>
  <si>
    <t>COWFRLPHDR-5-756</t>
  </si>
  <si>
    <t>COWFRLPHDR-5-757</t>
  </si>
  <si>
    <t>COWFRLPHDR-5-758</t>
  </si>
  <si>
    <t>COWFRLPHDR-5-759</t>
  </si>
  <si>
    <t>COWFRLPHDR-5-760</t>
  </si>
  <si>
    <t>COWFRLPHDR-5-761</t>
  </si>
  <si>
    <t>COWFRLPHDR-5-762</t>
  </si>
  <si>
    <t>COWFRLPHDR-5-763</t>
  </si>
  <si>
    <t>COWFRLPHDR-5-764</t>
  </si>
  <si>
    <t>COWFRLPHDR-5-765</t>
  </si>
  <si>
    <t>COWFRLPHDR-5-766</t>
  </si>
  <si>
    <t>COWFRLPHDR-5-767</t>
  </si>
  <si>
    <t>COWFRLPHDR-5-782</t>
  </si>
  <si>
    <t>COWFRLPHDR-5-783</t>
  </si>
  <si>
    <t>COWFRLPHDR-5-781</t>
  </si>
  <si>
    <t>COWFRLPHDR-5-768</t>
  </si>
  <si>
    <t>COWFRLPHDR-5-769</t>
  </si>
  <si>
    <t>COWFRLPHDR-5-770</t>
  </si>
  <si>
    <t>COWFRLPHDR-5-771</t>
  </si>
  <si>
    <t>COWFRLPHDR-5-772</t>
  </si>
  <si>
    <t>COWFRLPHDR-5-780</t>
  </si>
  <si>
    <t>COWFRLPHDR-5-773</t>
  </si>
  <si>
    <t>COWFRLPHDR-5-774</t>
  </si>
  <si>
    <t>COWFRLPHDR-5-775</t>
  </si>
  <si>
    <t>COWFRLPHDR-5-776</t>
  </si>
  <si>
    <t>COWFRLPHDR-5-777</t>
  </si>
  <si>
    <t>COWFRLPHDR-5-778</t>
  </si>
  <si>
    <t>COWFRLPHDR-5-779</t>
  </si>
  <si>
    <t>616 Bob-O-Link Lane</t>
  </si>
  <si>
    <t>C</t>
  </si>
  <si>
    <t>Y</t>
  </si>
  <si>
    <t>John Lathon Estate</t>
  </si>
  <si>
    <t>John Lathon Estate C/O Vernell Brooks</t>
  </si>
  <si>
    <t>902 Edwards Lane</t>
  </si>
  <si>
    <t>1814 Azalea Drive</t>
  </si>
  <si>
    <t>2020-0332</t>
  </si>
  <si>
    <t>101 Black Street / 2nd Mailing: 123 chip lane, el paso tx 88888</t>
  </si>
  <si>
    <t xml:space="preserve">Schulenburg, TX 78956-2205     </t>
  </si>
  <si>
    <t>PP</t>
  </si>
  <si>
    <t>Attorney Paul Webb to coordinate with prior to negotiations</t>
  </si>
  <si>
    <t xml:space="preserve">Mr. Coleman requested advance notice at 979-559-2009.  Call his phone and leave a message.  He prefers messages on phone instead of texts  </t>
  </si>
  <si>
    <t>LATHON JOHN L EST % VERNELL BROOKS</t>
  </si>
  <si>
    <t>Ruth Ann Gonzales</t>
  </si>
  <si>
    <t>Ruth Ann</t>
  </si>
  <si>
    <t>Gozales</t>
  </si>
  <si>
    <t>Jerry Ramirez</t>
  </si>
  <si>
    <t xml:space="preserve">Jerry </t>
  </si>
  <si>
    <t>Ramirez</t>
  </si>
  <si>
    <t>Oscar Ramirez</t>
  </si>
  <si>
    <t>Oscar</t>
  </si>
  <si>
    <t>Joe Ramirez</t>
  </si>
  <si>
    <t>Joe</t>
  </si>
  <si>
    <t>Olga Ravera</t>
  </si>
  <si>
    <t>Olga</t>
  </si>
  <si>
    <t xml:space="preserve">Elizabeth </t>
  </si>
  <si>
    <r>
      <t xml:space="preserve">TITLE </t>
    </r>
    <r>
      <rPr>
        <b/>
        <sz val="10"/>
        <color theme="1"/>
        <rFont val="Arial Narrow"/>
        <family val="2"/>
      </rPr>
      <t>Commitment Effective Date</t>
    </r>
  </si>
  <si>
    <r>
      <t xml:space="preserve">TITLE </t>
    </r>
    <r>
      <rPr>
        <b/>
        <sz val="10"/>
        <color theme="1"/>
        <rFont val="Arial Narrow"/>
        <family val="2"/>
      </rPr>
      <t>Commitment Issue 
Date</t>
    </r>
  </si>
  <si>
    <t>2 ROE Packages Return to Sender</t>
  </si>
  <si>
    <t>COW-FRMP_TR-044 ENVIRONMENTAL Right-of-Entry Executed.pdf</t>
  </si>
  <si>
    <t>COW-FRMP_TR-045 ENVIRONMENTAL Right-of-Entry Executed.pdf</t>
  </si>
  <si>
    <t>COW-FRMP_TR-063 ENVIRONMENTAL Right-of-Entry Executed.pdf</t>
  </si>
  <si>
    <t>COW-FRMP_TR-064 ENVIRONMENTAL Right-of-Entry Executed.pdf</t>
  </si>
  <si>
    <t>COW-FRMP_TR-098 ENVIRONMENTAL Right-of-Entry Executed.pdf</t>
  </si>
  <si>
    <t>COW-FRMP_TR-156 ENVIRONMENTAL Right-of-Entry Executed.pdf</t>
  </si>
  <si>
    <t>COWFRLPHDR-13-1329</t>
  </si>
  <si>
    <t>COWFRLPHDR-13-1330</t>
  </si>
  <si>
    <t>COWFRLPHDR-13-1331</t>
  </si>
  <si>
    <t>COWFRLPHDR-13-1332</t>
  </si>
  <si>
    <t>COWFRLPHDR-13-1333</t>
  </si>
  <si>
    <t>COWFRLPHDR-13-1334</t>
  </si>
  <si>
    <t>COWFRLPHDR-13-1324</t>
  </si>
  <si>
    <t>COWFRLPHDR-13-1325</t>
  </si>
  <si>
    <t>Returned to Sender</t>
  </si>
  <si>
    <t>3 Combined ROE Packages</t>
  </si>
  <si>
    <t>4 Combined ROE Packages</t>
  </si>
  <si>
    <t>GF No. 2019-0817</t>
  </si>
  <si>
    <t>GF No. 2019-0831</t>
  </si>
  <si>
    <t>Returned to Sender - missing ROE Docs</t>
  </si>
  <si>
    <t>2 Combined ROE - 1 missign ROE Docs</t>
  </si>
  <si>
    <t>2 Combined ROE - 1 ROE missing Docs</t>
  </si>
  <si>
    <t>322</t>
  </si>
  <si>
    <t>GF No. 2019-0875</t>
  </si>
  <si>
    <t>GF No. 2019-0876</t>
  </si>
  <si>
    <t>Missing ROE Docs</t>
  </si>
  <si>
    <t>COW-FRMP_TR-200 SURVEY Description-Plat_USACOE.pdf</t>
  </si>
  <si>
    <t>COW-FRMP_TR-210 SURVEY Right-of-Entry.pdf</t>
  </si>
  <si>
    <t>COW-FRMP_TR-211 SURVEY Right-of-Entry.pdf</t>
  </si>
  <si>
    <t>COW-FRMP_TR-214 SURVEY Right-of-Entry.pdf</t>
  </si>
  <si>
    <t>COW-FRMP_TR-215 SURVEY Right-of-Entry.pdf</t>
  </si>
  <si>
    <t>COW-FRMP_TR-216 SURVEY Right-of-Entry.pdf</t>
  </si>
  <si>
    <t>COW-FRMP_TR-217 SURVEY Right-of-Entry.pdf</t>
  </si>
  <si>
    <t>COW-FRMP_TR-218 SURVEY Right-of-Entry.pdf</t>
  </si>
  <si>
    <t>COW-FRMP_TR-222 SURVEY Description-Plat_CITY.pdf</t>
  </si>
  <si>
    <t>COW-FRMP_TR-222 SURVEY Right-of-Entry CMRR.pdf</t>
  </si>
  <si>
    <t>COW-FRMP_TR-223 SURVEY Description-Plat_CITY.pdf</t>
  </si>
  <si>
    <t>COW-FRMP_TR-223 SURVEY Right-of-Entry CMRR.pdf</t>
  </si>
  <si>
    <t>COW-FRMP_TR-230 SURVEY Right-of-Entry CMRR.pdf</t>
  </si>
  <si>
    <t>COW-FRMP_TR-300 SURVEY Description-Plat_CITY.pdf</t>
  </si>
  <si>
    <t>COW-FRMP_TR-300 SURVEY Right-of-Entry CMRR.pdf</t>
  </si>
  <si>
    <t>COW-FRMP_TR-301 SURVEY Right-of-Entry.pdf</t>
  </si>
  <si>
    <t>COW-FRMP_TR-302 SURVEY Description-Plat_CITY.pdf</t>
  </si>
  <si>
    <t>COW-FRMP_TR-302 SURVEY Right-of-Entry.pdf</t>
  </si>
  <si>
    <t>COW-FRMP_TR-302 SURVEY Right-of-Entry CMRR.pdf</t>
  </si>
  <si>
    <t>COW-FRMP_TR-303 SURVEY Description-Plat_CITY.pdf</t>
  </si>
  <si>
    <t>COW-FRMP_TR-303 SURVEY Right-of-Entry CMRR.pdf</t>
  </si>
  <si>
    <t>COW-FRMP_TR-305MH SURVEY Right-of-Entry CMRR.pdf</t>
  </si>
  <si>
    <t>COW-FRMP_TR-307 SURVEY Right-of-Entry.pdf</t>
  </si>
  <si>
    <t>COW-FRMP_TR-308 SURVEY Right-of-Entry.pdf</t>
  </si>
  <si>
    <t>COW-FRMP_TR-308 SURVEY Right-of-Entry CMRR.pdf</t>
  </si>
  <si>
    <t>COW-FRMP_TR-311 SURVEY Right-of-Entry.pdf</t>
  </si>
  <si>
    <t>COW-FRMP_TR-311 SURVEY Right-of-Entry CMRR.pdf</t>
  </si>
  <si>
    <t>COW-FRMP_TR-312 SURVEY Right-of-Entry.pdf</t>
  </si>
  <si>
    <t>COW-FRMP_TR-314 CONTACT Letter of Intent-HDR.pdf</t>
  </si>
  <si>
    <t>COW-FRMP_TR-315 SURVEY Right-of-Entry.pdf</t>
  </si>
  <si>
    <t>COW-FRMP_TR-316 SURVEY Right-of-Entry.pdf</t>
  </si>
  <si>
    <t>COW-FRMP_TR-316 SURVEY Right-of-Entry CMRR.pdf</t>
  </si>
  <si>
    <t>COW-FRMP_TR-319 SURVEY Right-of-Entry.pdf</t>
  </si>
  <si>
    <t>COW-FRMP_TR-320 SURVEY Right-of-Entry.pdf</t>
  </si>
  <si>
    <t>COW-FRMP_TR-322 SURVEY Right-of-Entry CMRR.pdf</t>
  </si>
  <si>
    <t>COW-FRMP_TR-421A SURVEY Right-of-Entry.pdf</t>
  </si>
  <si>
    <t>COW-FRMP_TR-309 SURVEY Right-of-Entry.pdf</t>
  </si>
  <si>
    <t>COW-FRMP_TR-427 SURVEY Right-of-Entry CMRR.pdf</t>
  </si>
  <si>
    <t>COWFRLPHDR-5-790</t>
  </si>
  <si>
    <t>COWFRLPHDR-5-796</t>
  </si>
  <si>
    <t>COWFRLPHDR-5-797</t>
  </si>
  <si>
    <t>COWFRLPHDR-5-799</t>
  </si>
  <si>
    <t>COWFRLPHDR-5-784</t>
  </si>
  <si>
    <t>COWFRLPHDR-5-785</t>
  </si>
  <si>
    <t>COWFRLPHDR-5-792</t>
  </si>
  <si>
    <t>COWFRLPHDR-5-800</t>
  </si>
  <si>
    <t>COWFRLPHDR-5-795</t>
  </si>
  <si>
    <t>COWFRLPHDR-5-786</t>
  </si>
  <si>
    <t>COWFRLPHDR-5-793</t>
  </si>
  <si>
    <t>COWFRLPHDR-5-801</t>
  </si>
  <si>
    <t>COWFRLPHDR-5-787</t>
  </si>
  <si>
    <t>COWFRLPHDR-5-788</t>
  </si>
  <si>
    <t>COWFRLPHDR-5-802</t>
  </si>
  <si>
    <t>COWFRLPHDR-5-794</t>
  </si>
  <si>
    <t>COWFRLPHDR-5-803</t>
  </si>
  <si>
    <t>COWFRLPHDR-5-791</t>
  </si>
  <si>
    <t>1027 W BURLESON</t>
  </si>
  <si>
    <t>1027 W BURLESON;#94</t>
  </si>
  <si>
    <t>JOHNSON LURLINE;#95</t>
  </si>
  <si>
    <t>1024 W KEARNEY;#95</t>
  </si>
  <si>
    <t>1022 W KEARNEY;#96</t>
  </si>
  <si>
    <t>JOHNSON JAKE HOMER JR;#107</t>
  </si>
  <si>
    <t>1014 W DAMON;#107</t>
  </si>
  <si>
    <t>101</t>
  </si>
  <si>
    <t>Texas Department of Transportation</t>
  </si>
  <si>
    <t>COW-FRMP_TR-101</t>
  </si>
  <si>
    <t>Inactive</t>
  </si>
  <si>
    <t>Mid-Coastal</t>
  </si>
  <si>
    <t>Attn: Jasmine Brown, 7th Floor</t>
  </si>
  <si>
    <t>PO Box 1700</t>
  </si>
  <si>
    <t>None</t>
  </si>
  <si>
    <t>COW-FRMP_TR-322</t>
  </si>
  <si>
    <t>Highway 59</t>
  </si>
  <si>
    <t>Riverbank Area</t>
  </si>
  <si>
    <t>Azalea Dr/Camellia Ave Roadway</t>
  </si>
  <si>
    <t>City Property (No WCAD)
Camellia Ave</t>
  </si>
  <si>
    <t>City Property
Sheppard St
 </t>
  </si>
  <si>
    <t>City Property
Hughes Street</t>
  </si>
  <si>
    <t>City Property
Riverbank Area</t>
  </si>
  <si>
    <t>City Property (No WCAD)
Azalea Drive</t>
  </si>
  <si>
    <t>City Property (No WCAD)
River Area
 </t>
  </si>
  <si>
    <t>Previously was 102 ENV</t>
  </si>
  <si>
    <t>City of Wharton (No WCAD)
Sunset Street</t>
  </si>
  <si>
    <t>4/1/2020 Removed from final map</t>
  </si>
  <si>
    <t>R026698 (Richmond Street)</t>
  </si>
  <si>
    <t>JOHNSON LURLINE</t>
  </si>
  <si>
    <t>1024 W KEARNEY</t>
  </si>
  <si>
    <t>1022 W KEARNEY</t>
  </si>
  <si>
    <t>Co-Owner</t>
  </si>
  <si>
    <t>979-618-1810</t>
  </si>
  <si>
    <t>P.O. Box 1700</t>
  </si>
  <si>
    <t>Houston, TX  77251</t>
  </si>
  <si>
    <t>Annie</t>
  </si>
  <si>
    <t>Torres</t>
  </si>
  <si>
    <t>281-731-9126</t>
  </si>
  <si>
    <t>3410 Van Ness Drive</t>
  </si>
  <si>
    <t>Alvin, TX 78511</t>
  </si>
  <si>
    <t>832-361-1796</t>
  </si>
  <si>
    <t>461 CR 174</t>
  </si>
  <si>
    <t>210-378-0965</t>
  </si>
  <si>
    <t>13700 Tivoli Gardens</t>
  </si>
  <si>
    <t>Live Oak, TX 78233</t>
  </si>
  <si>
    <t>979-551-6364</t>
  </si>
  <si>
    <t>1432 Shady Oak Drive</t>
  </si>
  <si>
    <t>(Ravera) Ortiz</t>
  </si>
  <si>
    <t>979-257-6334</t>
  </si>
  <si>
    <t>1217 Westgate</t>
  </si>
  <si>
    <t>Elizabeth (Silva) Dailey</t>
  </si>
  <si>
    <t>(Silva) Dailey</t>
  </si>
  <si>
    <t>281-818-0091</t>
  </si>
  <si>
    <t>102 OJ Walters Lane</t>
  </si>
  <si>
    <t>Eva Angeline Muniz</t>
  </si>
  <si>
    <t>Eva Angeline</t>
  </si>
  <si>
    <t>Muniz</t>
  </si>
  <si>
    <t>915-731-2256</t>
  </si>
  <si>
    <t>33465 Ebony Road</t>
  </si>
  <si>
    <t>Los Fresnos, TX 78566</t>
  </si>
  <si>
    <t>Sibling/Heir - resides at situs address
Provided addresses/ph for siblings</t>
  </si>
  <si>
    <t>Sibling/Heir
4/1/2020 Address/Ph provided by sister, Brenda Chavanna</t>
  </si>
  <si>
    <t>Sibling/Executor of Estate
4/1/2020 Address/Ph provided by sister, Brenda Chavanna</t>
  </si>
  <si>
    <t>Sibling/Heir 
4/1/2020 Address/Ph provided by sister, Brenda Chavanna</t>
  </si>
  <si>
    <t>10</t>
  </si>
  <si>
    <t>Count in ACQ Status</t>
  </si>
  <si>
    <t>Survey for CITY Approved</t>
  </si>
  <si>
    <t>Survey for USACOE</t>
  </si>
  <si>
    <t>Survey for USACOE Approved</t>
  </si>
  <si>
    <t>COW-FRMP_TR-202 SURVEY Description-Plat_USACOE.pdf</t>
  </si>
  <si>
    <t>COW-FRMP_TR-205 SURVEY Description-Plat_USACOE.pdf</t>
  </si>
  <si>
    <t>COW-FRMP_TR-211 SURVEY Description-Plat_CITY.pdf</t>
  </si>
  <si>
    <t>COW-FRMP_TR-317 SURVEY Description-Plat_CITY.pdf</t>
  </si>
  <si>
    <t>COWFRLPHDR-5-806</t>
  </si>
  <si>
    <t>COWFRLPHDR-5-807</t>
  </si>
  <si>
    <t>COWFRLPHDR-5-804</t>
  </si>
  <si>
    <t>COWFRLPHDR-5-805</t>
  </si>
  <si>
    <t>COW-FRMP_TR-202 TITLE SOS Business Organization Inquiry.pdf</t>
  </si>
  <si>
    <t>GF No. 2019-0757</t>
  </si>
  <si>
    <t>GF No. 2019-0816</t>
  </si>
  <si>
    <t>GF No. 2019-0894</t>
  </si>
  <si>
    <t>GF No. 2019-0761</t>
  </si>
  <si>
    <t>Real Property</t>
  </si>
  <si>
    <t>Neg Log 230.docx</t>
  </si>
  <si>
    <t>COWFRLPHDR-5-808</t>
  </si>
  <si>
    <t>COWFRLPHDR-5-809</t>
  </si>
  <si>
    <t>COW-FRMP_TR-102</t>
  </si>
  <si>
    <t>Nan Ya Plastics Corporation U.S.A.</t>
  </si>
  <si>
    <t>9 Peach Tree Hill Road</t>
  </si>
  <si>
    <t>Livingston, NH 07039</t>
  </si>
  <si>
    <t>323</t>
  </si>
  <si>
    <t>TXDOT</t>
  </si>
  <si>
    <t>COW-FRMP_TR-323</t>
  </si>
  <si>
    <t>324</t>
  </si>
  <si>
    <t>COW-FRMP_TR-324</t>
  </si>
  <si>
    <t>325</t>
  </si>
  <si>
    <t>COW-FRMP_TR-325</t>
  </si>
  <si>
    <t>Previously was 103 ENV</t>
  </si>
  <si>
    <t>Marcelo &amp; Julia Esparza c/o Martha Saenz</t>
  </si>
  <si>
    <t>4336 Otero Vista Point</t>
  </si>
  <si>
    <t>address correction w/WCAD and verified w/agent in Negotiator's Log</t>
  </si>
  <si>
    <t xml:space="preserve">Rosemary </t>
  </si>
  <si>
    <t>Lloyd G. Rust, Jr. Family Limited Partnership</t>
  </si>
  <si>
    <t>General Partner</t>
  </si>
  <si>
    <t>Marcelo &amp; Julia Esparza % Martha Saenz</t>
  </si>
  <si>
    <t>Martha</t>
  </si>
  <si>
    <t>Saenz</t>
  </si>
  <si>
    <t>Daughter</t>
  </si>
  <si>
    <t>719-960-8001</t>
  </si>
  <si>
    <t>Colorado Springs, CO  80916</t>
  </si>
  <si>
    <t>Corporation Service Company dba CSC - Lawyers Incorporating Company</t>
  </si>
  <si>
    <t>902 Edwards Ln</t>
  </si>
  <si>
    <t>Marion W. Mcintosh - possible owner on title also</t>
  </si>
  <si>
    <t>John W. Merck</t>
  </si>
  <si>
    <t>John</t>
  </si>
  <si>
    <t>Merck</t>
  </si>
  <si>
    <t>207 West Jackson</t>
  </si>
  <si>
    <t>El Campo, TX 77437</t>
  </si>
  <si>
    <t>City Survey Needed</t>
  </si>
  <si>
    <t>Land Lease - Robert Nilson - Rancher - Cell 979-541-3777
 </t>
  </si>
  <si>
    <t>USACOE Survey Needed</t>
  </si>
  <si>
    <t># of Interests for USACOE</t>
  </si>
  <si>
    <t>APPRAISAL Appraisal Review</t>
  </si>
  <si>
    <t>Single Family Residential</t>
  </si>
  <si>
    <t>Appraisal Review</t>
  </si>
  <si>
    <t>APPRAISAL Final Appraisal</t>
  </si>
  <si>
    <t>Final Appraisal</t>
  </si>
  <si>
    <t>APPRAISAL Just Compensation Memo</t>
  </si>
  <si>
    <t>Just Compensation Memo</t>
  </si>
  <si>
    <t>COW-FRMP_TR-421A APPRAISAL Appraisal Review.pdf</t>
  </si>
  <si>
    <t>COW-FRMP_TR-421A APPRAISAL Final Appraisal.pdf</t>
  </si>
  <si>
    <t>COW-FRMP_TR-421A APPRAISAL Just Compensation Memo.pdf</t>
  </si>
  <si>
    <t>COWFRLPHDR-5-810</t>
  </si>
  <si>
    <t>COWFRLPHDR-5-811</t>
  </si>
  <si>
    <t>COWFRLPHDR-5-812</t>
  </si>
  <si>
    <t>Nan Ya Plastics Corp, USA</t>
  </si>
  <si>
    <t>Wharton Plant Manager</t>
  </si>
  <si>
    <t>Plant Manager</t>
  </si>
  <si>
    <t>J-M Manufacturing Company</t>
  </si>
  <si>
    <t>Alex</t>
  </si>
  <si>
    <t>Gonzalez</t>
  </si>
  <si>
    <t>AlexGonzalez@jmeagle.com</t>
  </si>
  <si>
    <t>979-532-5640 x 107</t>
  </si>
  <si>
    <t>Robert S. Vinyard</t>
  </si>
  <si>
    <t>Owner/Registered Agent</t>
  </si>
  <si>
    <t>Robert S. Vinyard and Vineyard Cattle Company, Inc</t>
  </si>
  <si>
    <t>979-532-4243</t>
  </si>
  <si>
    <t>713-254-2687</t>
  </si>
  <si>
    <t>Tina</t>
  </si>
  <si>
    <t>Herrington</t>
  </si>
  <si>
    <t>Superintendent</t>
  </si>
  <si>
    <t>therrington@whartonisd.net</t>
  </si>
  <si>
    <t>William A.</t>
  </si>
  <si>
    <t>Harrison, Jr</t>
  </si>
  <si>
    <t>W. A. Harrison Agriculture, LTD</t>
  </si>
  <si>
    <t>Rt 1 Box 5</t>
  </si>
  <si>
    <t>979-487-0031</t>
  </si>
  <si>
    <t>979-238-3613</t>
  </si>
  <si>
    <t>832-696-9312</t>
  </si>
  <si>
    <t>Brenda R. Chavana</t>
  </si>
  <si>
    <t>Brenda R.</t>
  </si>
  <si>
    <t>Clarence Manciaz, Sr</t>
  </si>
  <si>
    <t>Manciaz, Sr</t>
  </si>
  <si>
    <t>410 S. Sheppard</t>
  </si>
  <si>
    <t xml:space="preserve">Barbara Hearne </t>
  </si>
  <si>
    <t>408 S. Sheppard</t>
  </si>
  <si>
    <t>John M. Mason</t>
  </si>
  <si>
    <t>Pendaries LLC</t>
  </si>
  <si>
    <t>gammatorgue@gmail.com</t>
  </si>
  <si>
    <t>713-824-6870</t>
  </si>
  <si>
    <t>4854 Post Oak Timber Drive</t>
  </si>
  <si>
    <t>Corporation Service Company</t>
  </si>
  <si>
    <t>Nan Ya Plastics Corporation USA</t>
  </si>
  <si>
    <t>Lloyd G.Rust Family Limited Partnership</t>
  </si>
  <si>
    <t>Livingston, NJ 07039</t>
  </si>
  <si>
    <t>211 East 7th Street, Suite 620</t>
  </si>
  <si>
    <t>Austin, TX 78701-3218</t>
  </si>
  <si>
    <t>J-M Manufacturing Company c/o Property Tax Department</t>
  </si>
  <si>
    <t>5200 W Century Blvd, 10th Floor</t>
  </si>
  <si>
    <t>Los Angeles, CA 90045</t>
  </si>
  <si>
    <t>Houston, TX 77056</t>
  </si>
  <si>
    <t>Sparks</t>
  </si>
  <si>
    <t>dsparks@FCDesigns.net</t>
  </si>
  <si>
    <t>713-462-1442</t>
  </si>
  <si>
    <t>281-978-0346</t>
  </si>
  <si>
    <t>11440 Brittmoore Park Drive</t>
  </si>
  <si>
    <t>Houston, TX 77041</t>
  </si>
  <si>
    <t>Scott</t>
  </si>
  <si>
    <t>Eichberger</t>
  </si>
  <si>
    <t>seichberger@FCDesigns.net</t>
  </si>
  <si>
    <t>713-724-5547</t>
  </si>
  <si>
    <t>William A. (W.A.)</t>
  </si>
  <si>
    <t>Receptionist on site 281-727-7300</t>
  </si>
  <si>
    <t xml:space="preserve">
          </t>
  </si>
  <si>
    <t>Daughter:  Sandra Curtis</t>
  </si>
  <si>
    <t>Address is invalid - cannot locate</t>
  </si>
  <si>
    <t>Corporate Offices</t>
  </si>
  <si>
    <t>Registered Agent listed for Nan Ya Plastics Corporation USA</t>
  </si>
  <si>
    <t>APPRAISAL Just Compensation Approval</t>
  </si>
  <si>
    <t>Just Compensation Approval</t>
  </si>
  <si>
    <t>Final Appraisal
Effective Date</t>
  </si>
  <si>
    <t>Appraisal Review Approved Date</t>
  </si>
  <si>
    <t>Appraisal Value Amount</t>
  </si>
  <si>
    <t>COW-FRMP_TR-219 SURVEY Description-Plat_CITY.pdf</t>
  </si>
  <si>
    <t>COW-FRMP_TR-220 SURVEY Description-Plat_CITY.pdf</t>
  </si>
  <si>
    <t>COWFRLPHDR-5-816</t>
  </si>
  <si>
    <t>COWFRLPHDR-5-817</t>
  </si>
  <si>
    <t>Whole Fee</t>
  </si>
  <si>
    <t>Heir</t>
  </si>
  <si>
    <t>1120 Milam Street</t>
  </si>
  <si>
    <t>Land &amp; Field Services Contact</t>
  </si>
  <si>
    <t>Right of Way Agent | Land Management</t>
  </si>
  <si>
    <t>281-704-7061</t>
  </si>
  <si>
    <t>Mollie Garza and Raymond Garza</t>
  </si>
  <si>
    <t>979-282-9541</t>
  </si>
  <si>
    <t>Estella Gomez</t>
  </si>
  <si>
    <t>361-652-0434</t>
  </si>
  <si>
    <t>979-318-9348</t>
  </si>
  <si>
    <t>817-403-2973</t>
  </si>
  <si>
    <t>David Showalter, Attorney</t>
  </si>
  <si>
    <t>Gilbert Garza, Jr and Ida Garza</t>
  </si>
  <si>
    <t>Elias and Julia Rodriguez</t>
  </si>
  <si>
    <t>Widow</t>
  </si>
  <si>
    <t>Centerpoint Energy Houston Electric c/o Property Tax Department</t>
  </si>
  <si>
    <t>Houston, TX 77251-1475</t>
  </si>
  <si>
    <t xml:space="preserve">Centerpoint Energy Houston Electric </t>
  </si>
  <si>
    <t>Property Tax Department</t>
  </si>
  <si>
    <t>PO 1475</t>
  </si>
  <si>
    <t>Houston, TX77251-1475</t>
  </si>
  <si>
    <t xml:space="preserve">Eloisa </t>
  </si>
  <si>
    <t>Garza, Et Al</t>
  </si>
  <si>
    <t>Raymond G. Rodriguez and Mollie Garza Life Estate</t>
  </si>
  <si>
    <t>979-257-6734</t>
  </si>
  <si>
    <t>704 Walnut Street</t>
  </si>
  <si>
    <t>Limas</t>
  </si>
  <si>
    <t>616 S. Sunset</t>
  </si>
  <si>
    <t>Mollie Garza Life Estate</t>
  </si>
  <si>
    <t>Spouse:  Danielle Cruz</t>
  </si>
  <si>
    <t>979-531-1355 LIMASMelissa Samples is the ED Legal Assitant and our direct contact for Mr. David Showalter. Attorney Letter of Representation dated 10/29/2019 is on file.</t>
  </si>
  <si>
    <t>WCAD Listing</t>
  </si>
  <si>
    <t>No</t>
  </si>
  <si>
    <t>501-513-7230</t>
  </si>
  <si>
    <t>Domingo</t>
  </si>
  <si>
    <t>Nephew to Manuel Esparza</t>
  </si>
  <si>
    <t>esparzadomingo59@gmail.com</t>
  </si>
  <si>
    <t>903-466-4142</t>
  </si>
  <si>
    <t>Gerald Wayne Segrest, Guy Walker Segrest III Individually and as Trustee for Grayson West Segrest &amp; Dianne Segrest</t>
  </si>
  <si>
    <t>Gerald Wayne</t>
  </si>
  <si>
    <t>Guy Walker</t>
  </si>
  <si>
    <t>Mark</t>
  </si>
  <si>
    <t>Nolte</t>
  </si>
  <si>
    <t>Manager Real Estate Field Services</t>
  </si>
  <si>
    <t>mnolte@kcsouthern.com</t>
  </si>
  <si>
    <t>816-983-1270</t>
  </si>
  <si>
    <t>816-718-1156</t>
  </si>
  <si>
    <t>The Kansas City Southern Railway Company c/o Property Tax Department</t>
  </si>
  <si>
    <t>The Kansas City Southern Railway</t>
  </si>
  <si>
    <t>PO Box 219335</t>
  </si>
  <si>
    <t>Kansas City, MO 64121-9335</t>
  </si>
  <si>
    <t>CT Corporation System</t>
  </si>
  <si>
    <t>1999 Bryan Street, Suite 900</t>
  </si>
  <si>
    <t>Dallas, TX 75201-3136</t>
  </si>
  <si>
    <t>Claims to hold deed but has not provided to agent nor requests for obituary</t>
  </si>
  <si>
    <t>Part of a Trust</t>
  </si>
  <si>
    <t xml:space="preserve">
 </t>
  </si>
  <si>
    <t>COW-FRMP_TR-003 CONTACT Negotiator Report (AutoRecovered).docx</t>
  </si>
  <si>
    <t>COWFRLPHDR-13-1337</t>
  </si>
  <si>
    <t>COW-FRMP_TR-207 SURVEY Description-Plat_USACOE.pdf</t>
  </si>
  <si>
    <t>COW-FRMP_TR-210 SURVEY Description-Plat_USACOE.pdf</t>
  </si>
  <si>
    <t>COW-FRMP_TR-213 SURVEY Description-Plat_USACOE.pdf</t>
  </si>
  <si>
    <t>COW-FRMP_TR-214 SURVEY Description-Plat_USACOE.pdf</t>
  </si>
  <si>
    <t>COWFRLPHDR-5-818</t>
  </si>
  <si>
    <t>COWFRLPHDR-5-819</t>
  </si>
  <si>
    <t>COWFRLPHDR-5-820</t>
  </si>
  <si>
    <t>COWFRLPHDR-5-821</t>
  </si>
  <si>
    <t>TCE</t>
  </si>
  <si>
    <t>Mid-Coast</t>
  </si>
  <si>
    <t>Marcelo Esparza and the Estate of Julia Esparza, deceased</t>
  </si>
  <si>
    <t>Martha Saenz</t>
  </si>
  <si>
    <t>Sri Honnur, P.E., Track &amp; Bridge Construction Director</t>
  </si>
  <si>
    <t>Leovigildo and Prospera</t>
  </si>
  <si>
    <t>Panes</t>
  </si>
  <si>
    <t>Co-Owners</t>
  </si>
  <si>
    <t>281-703-4411</t>
  </si>
  <si>
    <t xml:space="preserve">Leovilgildo &amp; Prospera Panes </t>
  </si>
  <si>
    <t>Leovilgildo and Prospera</t>
  </si>
  <si>
    <t>281-403-9188</t>
  </si>
  <si>
    <t xml:space="preserve">713-791-4141     </t>
  </si>
  <si>
    <t>Stafford, TX 77477</t>
  </si>
  <si>
    <t>Erlinda Panes and Primo Panes</t>
  </si>
  <si>
    <t>Erlinda and Primo</t>
  </si>
  <si>
    <t>Jocelyn Manlongat and Jose Manlongat, Jr</t>
  </si>
  <si>
    <t>Jocelyn and Jose</t>
  </si>
  <si>
    <t>Manlongat</t>
  </si>
  <si>
    <t>6342 Carriagewood Court</t>
  </si>
  <si>
    <t>Richmond, TX 77469</t>
  </si>
  <si>
    <t>Belimo Guzman, Sr and Fe Guzman</t>
  </si>
  <si>
    <t>Belimo and Fe</t>
  </si>
  <si>
    <t>Guzman</t>
  </si>
  <si>
    <t>889 Los Positos Drive</t>
  </si>
  <si>
    <t>Milpitas, CA 95035-4514</t>
  </si>
  <si>
    <t>Belimo and Fe Guzman</t>
  </si>
  <si>
    <t>Appraisal Received</t>
  </si>
  <si>
    <t>Appraisl sent to Reviewer</t>
  </si>
  <si>
    <t>Appraisal Ordered</t>
  </si>
  <si>
    <t>Owner City, ST Zip</t>
  </si>
  <si>
    <t>COW-FRMP_TR-015 CONTACT Negotiator Report (AutoRecovered).docx</t>
  </si>
  <si>
    <t>COWFRLPHDR-13-1338</t>
  </si>
  <si>
    <t>GF No. 2019-0809</t>
  </si>
  <si>
    <t>GF No.: 2019-0761</t>
  </si>
  <si>
    <t>sites/CoW_FRLP/Lists/AcqParDB</t>
  </si>
  <si>
    <t>Erin Newberry</t>
  </si>
  <si>
    <t>No. of Interests for USACOE</t>
  </si>
  <si>
    <t>Appraisal Received2</t>
  </si>
  <si>
    <t>Survey Date</t>
  </si>
  <si>
    <t>Was ENV 102 Parcel</t>
  </si>
  <si>
    <t>Was ENV 103 Parcel</t>
  </si>
  <si>
    <t>COW-FRMP_TR-231 CONTACT Negotiator Report.docx</t>
  </si>
  <si>
    <t>COW-FRMP_TR-231 SURVEY Right-of-Entry.pdf</t>
  </si>
  <si>
    <t>COWFRLPHDR-5-822</t>
  </si>
  <si>
    <t>COWFRLPHDR-5-826</t>
  </si>
  <si>
    <t>COWFRLPHDR-5-825</t>
  </si>
  <si>
    <t>COWFRLPHDR-5-823</t>
  </si>
  <si>
    <t>COW-FRMP_TR-421A APPRAISAL Just Compensation Approval.pdf</t>
  </si>
  <si>
    <t>COWFRLPHDR-5-828</t>
  </si>
  <si>
    <t>COWFRLPHDR-5-829</t>
  </si>
  <si>
    <t>Just Comp Approved Date</t>
  </si>
  <si>
    <t>APPRAISAL USACOE Appraisal Transmittal</t>
  </si>
  <si>
    <t>USACOE Appraisal Transmittal</t>
  </si>
  <si>
    <t>APPRAISAL USACOE Authorization to Proceed with Offer</t>
  </si>
  <si>
    <t>USACOE Authorization to Proceed with Offer</t>
  </si>
  <si>
    <t>COW-FRMP_TR-202 APPRAISAL Appraisal Review.pdf</t>
  </si>
  <si>
    <t>COW-FRMP_TR-202 APPRAISAL Final Appraisal.pdf</t>
  </si>
  <si>
    <t>COW-FRMP_TR-202 APPRAISAL Just Compensation Memo.pdf</t>
  </si>
  <si>
    <t>COW-FRMP_TR-202 APPRAISAL USACOE Appraisal Transmittal.pdf</t>
  </si>
  <si>
    <t>COW-FRMP_TR-202 APPRAISAL USACOE Authorization to Proceed with Offer.pdf</t>
  </si>
  <si>
    <t>COW-FRMP_TR-215 CONTACT Negotiator Report (1).docx</t>
  </si>
  <si>
    <t>COWFRLPHDR-5-835</t>
  </si>
  <si>
    <t>COWFRLPHDR-5-836</t>
  </si>
  <si>
    <t>COWFRLPHDR-5-837</t>
  </si>
  <si>
    <t>COWFRLPHDR-5-838</t>
  </si>
  <si>
    <t>COWFRLPHDR-5-839</t>
  </si>
  <si>
    <t>COWFRLPHDR-5-834</t>
  </si>
  <si>
    <t>APPRAISAL USACOE Authorization to Proceed with Offer Approval</t>
  </si>
  <si>
    <t>USACOE Authorization to Proceed with Offer Approval</t>
  </si>
  <si>
    <t>GF NO. 2019-0807</t>
  </si>
  <si>
    <t>COW-FRMP_TR-216 SURVEY Description-Plat_USACOE.pdf</t>
  </si>
  <si>
    <t>COW-FRMP_TR-217 SURVEY Description-Plat_USACOE.pdf</t>
  </si>
  <si>
    <t>COW-FRMP_TR-219 SURVEY Description-Plat_USACOE.pdf</t>
  </si>
  <si>
    <t>COW-FRMP_TR-220 SURVEY Description-Plat_USACOE.pdf</t>
  </si>
  <si>
    <t>COW-FRMP_TR-222 SURVEY Description-Plat_USACOE.pdf</t>
  </si>
  <si>
    <t>COW-FRMP_TR-223 SURVEY Description-Plat_USACOE.pdf</t>
  </si>
  <si>
    <t>COW-FRMP_TR-226 SURVEY Description-Plat_USACOE.pdf</t>
  </si>
  <si>
    <t>COW-FRMP_TR-227 SURVEY Description-Plat_CITY.PDF</t>
  </si>
  <si>
    <t>COW-FRMP_TR-227 SURVEY Description-Plat_USACOE.pdf</t>
  </si>
  <si>
    <t>COW-FRMP_TR-228 SURVEY Description-Plat_USACOE.pdf</t>
  </si>
  <si>
    <t>COW-FRMP_TR-302 SURVEY Description-Plat_USACOE.pdf</t>
  </si>
  <si>
    <t>COW-FRMP_TR-303 SURVEY Description-Plat_USACOE.pdf</t>
  </si>
  <si>
    <t>COW-FRMP_TR-309 SURVEY Description-Plat_USACOE.pdf</t>
  </si>
  <si>
    <t>COW-FRMP_TR-311 SURVEY Description-Plat_USACOE.pdf</t>
  </si>
  <si>
    <t>COW-FRMP_TR-312 SURVEY Description-Plat_USACOE.pdf</t>
  </si>
  <si>
    <t>COW-FRMP_TR-313 SURVEY Description-Plat_USACOE.pdf</t>
  </si>
  <si>
    <t>COW-FRMP_TR-314 SURVEY Description-Plat_USACOE.pdf</t>
  </si>
  <si>
    <t>COW-FRMP_TR-320 SURVEY Description-Plat_USACOE.pdf</t>
  </si>
  <si>
    <t>COWFRLPHDR-5-840</t>
  </si>
  <si>
    <t>COWFRLPHDR-5-841</t>
  </si>
  <si>
    <t>COWFRLPHDR-5-842</t>
  </si>
  <si>
    <t>COWFRLPHDR-5-843</t>
  </si>
  <si>
    <t>COWFRLPHDR-5-852</t>
  </si>
  <si>
    <t>COWFRLPHDR-5-853</t>
  </si>
  <si>
    <t>COWFRLPHDR-5-857</t>
  </si>
  <si>
    <t>COWFRLPHDR-5-854</t>
  </si>
  <si>
    <t>COWFRLPHDR-5-858</t>
  </si>
  <si>
    <t>COWFRLPHDR-5-855</t>
  </si>
  <si>
    <t>COWFRLPHDR-5-856</t>
  </si>
  <si>
    <t>COWFRLPHDR-5-844</t>
  </si>
  <si>
    <t>COWFRLPHDR-5-845</t>
  </si>
  <si>
    <t>COWFRLPHDR-5-846</t>
  </si>
  <si>
    <t>COWFRLPHDR-5-847</t>
  </si>
  <si>
    <t>COWFRLPHDR-5-848</t>
  </si>
  <si>
    <t>COWFRLPHDR-5-849</t>
  </si>
  <si>
    <t>COWFRLPHDR-5-850</t>
  </si>
  <si>
    <t>COWFRLPHDR-5-851</t>
  </si>
  <si>
    <t>Sump Esmt/Levee Esmt/TCE</t>
  </si>
  <si>
    <t>Lory Johnson, Atrium</t>
  </si>
  <si>
    <t>Levee Esmt/Road Esmt</t>
  </si>
  <si>
    <t>Road Esmt</t>
  </si>
  <si>
    <t>Fee Acq/Flowage Esmt/Levee Esmt</t>
  </si>
  <si>
    <t>Flowage Esmt/Levee Esmt/Drainage Esmt/TCE</t>
  </si>
  <si>
    <t>Fee Acq/Sump Esmt/Levee Esmt</t>
  </si>
  <si>
    <t>Fee Acq/Flowage Esmt/Levee Esmt/Drainage Esmt/Road Esmt/TCE</t>
  </si>
  <si>
    <t>Levee Esmt</t>
  </si>
  <si>
    <t>Flowage Esmt/Levee Esmt</t>
  </si>
  <si>
    <t>Flowage Esmt/Levee Esmn</t>
  </si>
  <si>
    <t>Sump Esmt/Levee Esmt</t>
  </si>
  <si>
    <t>Sump-Flowage Esmt/Levee Esmt/Drainage Esmt</t>
  </si>
  <si>
    <t>Flowage Esmt</t>
  </si>
  <si>
    <t>Drainage Esmt/TCE</t>
  </si>
  <si>
    <t>Flowage Esmt/Flowage &amp; Sump Esmt/Levee Esmt</t>
  </si>
  <si>
    <t>Flowage &amp; Sump Esmt/Levee Esmt</t>
  </si>
  <si>
    <t>Flowage Esmt/Levee Esmt/Road Esmt</t>
  </si>
  <si>
    <t>Flowage Esmt/Levee Esmt/TCE</t>
  </si>
  <si>
    <t>COW-FRMP_TR-028 ENV CONTACT Negotiator Report.docx</t>
  </si>
  <si>
    <t>COWFRLPHDR-13-1339</t>
  </si>
  <si>
    <t>GF No: 2019-0808</t>
  </si>
  <si>
    <t>GF No. 2019-0820</t>
  </si>
  <si>
    <t>5</t>
  </si>
  <si>
    <t>COW-FRMP_TR-002 ENVIRONMENTAL Right-of-Entry Executed.pdf</t>
  </si>
  <si>
    <t>COW-FRMP_TR-015 ENVIRONMENTAL Right-of-Entry Executed.pdf</t>
  </si>
  <si>
    <t>COWFRLPHDR-13-1340</t>
  </si>
  <si>
    <t>COWFRLPHDR-13-1341</t>
  </si>
  <si>
    <t>COW-FRMP_TR-154 ENVIRONMENTAL Right-of-Entry Executed.pdf</t>
  </si>
  <si>
    <t>COW-FRMP_TR-177 ENVIRONMENTAL Right-of-Entry Executed.pdf</t>
  </si>
  <si>
    <t>COW-FRMP_TR-199 ENVIRONMENTAL Right-of-Entry Executed.pdf</t>
  </si>
  <si>
    <t>COWFRLPHDR-13-1342</t>
  </si>
  <si>
    <t>COWFRLPHDR-13-1343</t>
  </si>
  <si>
    <t>COWFRLPHDR-13-1347</t>
  </si>
  <si>
    <t>COW-FRMP_TR-003 ENVIRONMENTAL Right-of-Entry Executed.pdf</t>
  </si>
  <si>
    <t>COW-FRMP_TR-115 ENVIRONMENTAL Right-of-Entry Executed.pdf</t>
  </si>
  <si>
    <t>COWFRLPHDR-13-1350</t>
  </si>
  <si>
    <t>COWFRLPHDR-13-1352</t>
  </si>
  <si>
    <t>COWFRLPHDR-13-1353</t>
  </si>
  <si>
    <t>GF No.: 2019-0818</t>
  </si>
  <si>
    <t>COW-FRMP_TR-100 SURVEY Description-Plat_USACOE.pdf</t>
  </si>
  <si>
    <t>COW-FRMP_TR-304 SURVEY Description-Plat_CITY.pdf</t>
  </si>
  <si>
    <t>COW-FRMP_TR-305 SURVEY Description-Plat_CITY.pdf</t>
  </si>
  <si>
    <t>COW-FRMP_TR-305 SURVEY Description-Plat_USACOE.pdf</t>
  </si>
  <si>
    <t>COW-FRMP_TR-315 SURVEY Description-Plat_USACOE.pdf</t>
  </si>
  <si>
    <t>COW-FRMP_TR-316 SURVEY Description-Plat_USACOE.pdf</t>
  </si>
  <si>
    <t>COWFRLPHDR-5-868</t>
  </si>
  <si>
    <t>COWFRLPHDR-5-867</t>
  </si>
  <si>
    <t>COWFRLPHDR-5-875</t>
  </si>
  <si>
    <t>COWFRLPHDR-5-876</t>
  </si>
  <si>
    <t>COWFRLPHDR-5-869</t>
  </si>
  <si>
    <t>COWFRLPHDR-5-870</t>
  </si>
  <si>
    <t>COWFRLPHDR-5-871</t>
  </si>
  <si>
    <t>COWFRLPHDR-5-872</t>
  </si>
  <si>
    <t>COWFRLPHDR-5-873</t>
  </si>
  <si>
    <t>R020854;#292</t>
  </si>
  <si>
    <t>FEE / EASEMENT</t>
  </si>
  <si>
    <t>RIVERA NATIVIDAD GUADALUPE RIOS &amp; GUTIERREZ MARIA</t>
  </si>
  <si>
    <t>IRWA</t>
  </si>
  <si>
    <t>634 MURPHY</t>
  </si>
  <si>
    <t>MID-COAST TITLE</t>
  </si>
  <si>
    <t>R020855;#293</t>
  </si>
  <si>
    <t>GUTIERREZ MARIA GRISELDA GARCIA</t>
  </si>
  <si>
    <t>628 MURPHY</t>
  </si>
  <si>
    <t>WHARTON, TX 77488</t>
  </si>
  <si>
    <t>R020856;#294</t>
  </si>
  <si>
    <t>RODRIGUEZ AMELIA</t>
  </si>
  <si>
    <t>624 MURPHY</t>
  </si>
  <si>
    <t>Marrero Longoria, Angela</t>
  </si>
  <si>
    <t>R031201;#295</t>
  </si>
  <si>
    <t>HARRISON AGRICULTURE LTD</t>
  </si>
  <si>
    <t>5318 INWOOD</t>
  </si>
  <si>
    <t>HOUSTON, TX 77056-0000</t>
  </si>
  <si>
    <t>R032035;#296</t>
  </si>
  <si>
    <t>1219 FM 102</t>
  </si>
  <si>
    <t>R032147;#297</t>
  </si>
  <si>
    <t>3618 N FULTON</t>
  </si>
  <si>
    <t>R032148;#298</t>
  </si>
  <si>
    <t>GARCIA LIONEL JR &amp; RACHEL M</t>
  </si>
  <si>
    <t>3702 N FULTON</t>
  </si>
  <si>
    <t>R032149;#299</t>
  </si>
  <si>
    <t>CANALES FRANK</t>
  </si>
  <si>
    <t>3710 N FULTON</t>
  </si>
  <si>
    <t>R058366;#300</t>
  </si>
  <si>
    <t>CR 231</t>
  </si>
  <si>
    <t>R020854</t>
  </si>
  <si>
    <t>MT CARMEL BLK 3 LOT 10 ACRES: 0.1468</t>
  </si>
  <si>
    <t>V985 PG944</t>
  </si>
  <si>
    <t>R020855</t>
  </si>
  <si>
    <t>MT. CARMEL BLK 3 LOT 11 ACRES: 0.1468</t>
  </si>
  <si>
    <t>V594 PG154</t>
  </si>
  <si>
    <t>R020856</t>
  </si>
  <si>
    <t>MT. CARMEL BLK 3 LOT 12 ACRES: 0.1197</t>
  </si>
  <si>
    <t>R031201</t>
  </si>
  <si>
    <t>77056-0000</t>
  </si>
  <si>
    <t>A20034 ABST.34 TRACT 43,44 Acres:173.6559</t>
  </si>
  <si>
    <t>AG</t>
  </si>
  <si>
    <t>V1000 PG476</t>
  </si>
  <si>
    <t>R032035</t>
  </si>
  <si>
    <t>A20038 ABST.38 TRACT 45A,51,52 Acres: 272.6525</t>
  </si>
  <si>
    <t>AG/R</t>
  </si>
  <si>
    <t>V1000 PG475</t>
  </si>
  <si>
    <t>R032147</t>
  </si>
  <si>
    <t>TORRES CURTIS M.</t>
  </si>
  <si>
    <t>A20038 ABST.38 TRACT 55F Acres:1.0330</t>
  </si>
  <si>
    <t>V485 PG889</t>
  </si>
  <si>
    <t>R032148</t>
  </si>
  <si>
    <t>A20038 ABST.38 TRACT 55G Acres:0.6890</t>
  </si>
  <si>
    <t>V948 PG800</t>
  </si>
  <si>
    <t>R032149</t>
  </si>
  <si>
    <t>A20038 ABST.38 TRACT 55H,55L Acres:1.0290</t>
  </si>
  <si>
    <t>R058366</t>
  </si>
  <si>
    <t>A20034 ABST.34 TRACT 59 SOUTH Acres:15.3630</t>
  </si>
  <si>
    <t>GF No. 2019-0834</t>
  </si>
  <si>
    <t>COW-FRMP_TR-310 SURVEY Description-Plat_USACOE.pdf</t>
  </si>
  <si>
    <t>COWFRLPHDR-5-877</t>
  </si>
  <si>
    <t>Superseded</t>
  </si>
  <si>
    <t>Lot 16 Blk 4 included</t>
  </si>
  <si>
    <t>COW-FRMP_TR-208 TITLE Commitment Backup Documents.pdf</t>
  </si>
  <si>
    <t>COWFRLPHDR-5-880</t>
  </si>
  <si>
    <t>File Name Convention</t>
  </si>
  <si>
    <t>File Name Match</t>
  </si>
  <si>
    <t>COWFRLPHDR-5-881</t>
  </si>
  <si>
    <t>COWFRLPHDR-5-882</t>
  </si>
  <si>
    <t>COWFRLPHDR-5-883</t>
  </si>
  <si>
    <t>COWFRLPHDR-5-884</t>
  </si>
  <si>
    <t>COWFRLPHDR-5-885</t>
  </si>
  <si>
    <t>COWFRLPHDR-5-886</t>
  </si>
  <si>
    <t>COWFRLPHDR-5-887</t>
  </si>
  <si>
    <t>COWFRLPHDR-5-888</t>
  </si>
  <si>
    <t>COWFRLPHDR-5-889</t>
  </si>
  <si>
    <t>COWFRLPHDR-5-890</t>
  </si>
  <si>
    <t>COWFRLPHDR-5-891</t>
  </si>
  <si>
    <t>COWFRLPHDR-5-892</t>
  </si>
  <si>
    <t>COWFRLPHDR-5-893</t>
  </si>
  <si>
    <t>COWFRLPHDR-5-894</t>
  </si>
  <si>
    <t>COWFRLPHDR-5-895</t>
  </si>
  <si>
    <t>COWFRLPHDR-5-896</t>
  </si>
  <si>
    <t>COWFRLPHDR-5-898</t>
  </si>
  <si>
    <t>COWFRLPHDR-5-900</t>
  </si>
  <si>
    <t>COWFRLPHDR-5-901</t>
  </si>
  <si>
    <t>COWFRLPHDR-5-902</t>
  </si>
  <si>
    <t>COWFRLPHDR-5-904</t>
  </si>
  <si>
    <t>COWFRLPHDR-5-905</t>
  </si>
  <si>
    <t>COWFRLPHDR-5-907</t>
  </si>
  <si>
    <t>COWFRLPHDR-5-908</t>
  </si>
  <si>
    <t>COWFRLPHDR-5-910</t>
  </si>
  <si>
    <t>COWFRLPHDR-5-911</t>
  </si>
  <si>
    <t>COWFRLPHDR-5-913</t>
  </si>
  <si>
    <t>COWFRLPHDR-5-914</t>
  </si>
  <si>
    <t>COWFRLPHDR-5-915</t>
  </si>
  <si>
    <t>COWFRLPHDR-5-917</t>
  </si>
  <si>
    <t>COWFRLPHDR-5-918</t>
  </si>
  <si>
    <t>COWFRLPHDR-5-920</t>
  </si>
  <si>
    <t>COWFRLPHDR-5-921</t>
  </si>
  <si>
    <t>COWFRLPHDR-5-923</t>
  </si>
  <si>
    <t>COWFRLPHDR-5-924</t>
  </si>
  <si>
    <t>COWFRLPHDR-5-925</t>
  </si>
  <si>
    <t>COWFRLPHDR-5-927</t>
  </si>
  <si>
    <t>COWFRLPHDR-5-928</t>
  </si>
  <si>
    <t>COWFRLPHDR-5-929</t>
  </si>
  <si>
    <t>COWFRLPHDR-5-931</t>
  </si>
  <si>
    <t>COWFRLPHDR-5-933</t>
  </si>
  <si>
    <t>COWFRLPHDR-5-935</t>
  </si>
  <si>
    <t>COWFRLPHDR-5-936</t>
  </si>
  <si>
    <t>COWFRLPHDR-5-938</t>
  </si>
  <si>
    <t>COWFRLPHDR-5-939</t>
  </si>
  <si>
    <t>COWFRLPHDR-5-940</t>
  </si>
  <si>
    <t>COWFRLPHDR-5-942</t>
  </si>
  <si>
    <t>COWFRLPHDR-5-943</t>
  </si>
  <si>
    <t>COWFRLPHDR-5-945</t>
  </si>
  <si>
    <t>COWFRLPHDR-5-947</t>
  </si>
  <si>
    <t>COWFRLPHDR-5-948</t>
  </si>
  <si>
    <t>COWFRLPHDR-5-949</t>
  </si>
  <si>
    <t>COWFRLPHDR-5-950</t>
  </si>
  <si>
    <t>COWFRLPHDR-5-951</t>
  </si>
  <si>
    <t>COWFRLPHDR-5-952</t>
  </si>
  <si>
    <t>COWFRLPHDR-5-954</t>
  </si>
  <si>
    <t>COWFRLPHDR-5-955</t>
  </si>
  <si>
    <t>COWFRLPHDR-5-956</t>
  </si>
  <si>
    <t>COWFRLPHDR-5-958</t>
  </si>
  <si>
    <t>COWFRLPHDR-5-959</t>
  </si>
  <si>
    <t>COWFRLPHDR-5-960</t>
  </si>
  <si>
    <t>COWFRLPHDR-5-962</t>
  </si>
  <si>
    <t>COWFRLPHDR-5-963</t>
  </si>
  <si>
    <t>COWFRLPHDR-5-965</t>
  </si>
  <si>
    <t>COWFRLPHDR-5-966</t>
  </si>
  <si>
    <t>COWFRLPHDR-5-967</t>
  </si>
  <si>
    <t>COWFRLPHDR-5-968</t>
  </si>
  <si>
    <t>COWFRLPHDR-5-970</t>
  </si>
  <si>
    <t>COWFRLPHDR-5-971</t>
  </si>
  <si>
    <t>COWFRLPHDR-5-972</t>
  </si>
  <si>
    <t>COWFRLPHDR-5-974</t>
  </si>
  <si>
    <t>COWFRLPHDR-5-975</t>
  </si>
  <si>
    <t>COWFRLPHDR-5-976</t>
  </si>
  <si>
    <t>COWFRLPHDR-5-978</t>
  </si>
  <si>
    <t>COWFRLPHDR-5-979</t>
  </si>
  <si>
    <t>COWFRLPHDR-5-980</t>
  </si>
  <si>
    <t>COWFRLPHDR-5-981</t>
  </si>
  <si>
    <t>COWFRLPHDR-5-982</t>
  </si>
  <si>
    <t>COWFRLPHDR-5-983</t>
  </si>
  <si>
    <t>COWFRLPHDR-5-984</t>
  </si>
  <si>
    <t>COWFRLPHDR-5-986</t>
  </si>
  <si>
    <t>COWFRLPHDR-5-987</t>
  </si>
  <si>
    <t>COWFRLPHDR-5-988</t>
  </si>
  <si>
    <t>COWFRLPHDR-5-989</t>
  </si>
  <si>
    <t>COWFRLPHDR-5-990</t>
  </si>
  <si>
    <t>COWFRLPHDR-5-991</t>
  </si>
  <si>
    <t>COWFRLPHDR-5-992</t>
  </si>
  <si>
    <t>COWFRLPHDR-5-993</t>
  </si>
  <si>
    <t>COWFRLPHDR-5-994</t>
  </si>
  <si>
    <t>COWFRLPHDR-5-995</t>
  </si>
  <si>
    <t>COWFRLPHDR-5-996</t>
  </si>
  <si>
    <t>COWFRLPHDR-5-997</t>
  </si>
  <si>
    <t>COWFRLPHDR-5-998</t>
  </si>
  <si>
    <t>COWFRLPHDR-5-999</t>
  </si>
  <si>
    <t>COWFRLPHDR-5-1000</t>
  </si>
  <si>
    <t>COWFRLPHDR-5-1001</t>
  </si>
  <si>
    <t>COWFRLPHDR-5-1002</t>
  </si>
  <si>
    <t>COWFRLPHDR-5-1003</t>
  </si>
  <si>
    <t>COWFRLPHDR-5-897</t>
  </si>
  <si>
    <t>COWFRLPHDR-5-899</t>
  </si>
  <si>
    <t>COWFRLPHDR-5-903</t>
  </si>
  <si>
    <t>COWFRLPHDR-5-906</t>
  </si>
  <si>
    <t>COWFRLPHDR-5-909</t>
  </si>
  <si>
    <t>COWFRLPHDR-5-912</t>
  </si>
  <si>
    <t>COWFRLPHDR-5-922</t>
  </si>
  <si>
    <t>COWFRLPHDR-5-926</t>
  </si>
  <si>
    <t>COWFRLPHDR-5-930</t>
  </si>
  <si>
    <t>COWFRLPHDR-5-932</t>
  </si>
  <si>
    <t>COWFRLPHDR-5-934</t>
  </si>
  <si>
    <t>COWFRLPHDR-5-941</t>
  </si>
  <si>
    <t>COWFRLPHDR-5-944</t>
  </si>
  <si>
    <t>COWFRLPHDR-5-946</t>
  </si>
  <si>
    <t>COWFRLPHDR-5-953</t>
  </si>
  <si>
    <t>COWFRLPHDR-5-957</t>
  </si>
  <si>
    <t>COWFRLPHDR-5-961</t>
  </si>
  <si>
    <t>COWFRLPHDR-5-964</t>
  </si>
  <si>
    <t>COWFRLPHDR-5-977</t>
  </si>
  <si>
    <t>COWFRLPHDR-5-985</t>
  </si>
  <si>
    <t>T071</t>
  </si>
  <si>
    <t>T091</t>
  </si>
  <si>
    <t>T157</t>
  </si>
  <si>
    <t>T198</t>
  </si>
  <si>
    <t>T256</t>
  </si>
  <si>
    <t>T278</t>
  </si>
  <si>
    <t>T280</t>
  </si>
  <si>
    <t>T281</t>
  </si>
  <si>
    <t>T066</t>
  </si>
  <si>
    <t>COW-FRMP_TR-T066</t>
  </si>
  <si>
    <t>T067</t>
  </si>
  <si>
    <t>COW-FRMP_TR-T067</t>
  </si>
  <si>
    <t>T068</t>
  </si>
  <si>
    <t>COW-FRMP_TR-T068</t>
  </si>
  <si>
    <t>T069</t>
  </si>
  <si>
    <t>COW-FRMP_TR-T069</t>
  </si>
  <si>
    <t>T070</t>
  </si>
  <si>
    <t>COW-FRMP_TR-T070</t>
  </si>
  <si>
    <t>COW-FRMP_TR-T071</t>
  </si>
  <si>
    <t>T072</t>
  </si>
  <si>
    <t>COW-FRMP_TR-T072</t>
  </si>
  <si>
    <t>COW-FRMP_TR-T091</t>
  </si>
  <si>
    <t>COW-FRMP_TR-T157</t>
  </si>
  <si>
    <t>T158</t>
  </si>
  <si>
    <t>COW-FRMP_TR-T158</t>
  </si>
  <si>
    <t>T159</t>
  </si>
  <si>
    <t>COW-FRMP_TR-T159</t>
  </si>
  <si>
    <t>T162</t>
  </si>
  <si>
    <t>COW-FRMP_TR-T162</t>
  </si>
  <si>
    <t>T163</t>
  </si>
  <si>
    <t>COW-FRMP_TR-T163</t>
  </si>
  <si>
    <t>T164</t>
  </si>
  <si>
    <t>COW-FRMP_TR-T164</t>
  </si>
  <si>
    <t>T167</t>
  </si>
  <si>
    <t>COW-FRMP_TR-T167</t>
  </si>
  <si>
    <t>T168</t>
  </si>
  <si>
    <t>COW-FRMP_TR-T168</t>
  </si>
  <si>
    <t>T169</t>
  </si>
  <si>
    <t>COW-FRMP_TR-T169</t>
  </si>
  <si>
    <t>T181</t>
  </si>
  <si>
    <t>COW-FRMP_TR-T181</t>
  </si>
  <si>
    <t>T182</t>
  </si>
  <si>
    <t>COW-FRMP_TR-T182</t>
  </si>
  <si>
    <t>T183</t>
  </si>
  <si>
    <t>COW-FRMP_TR-T183</t>
  </si>
  <si>
    <t>T184</t>
  </si>
  <si>
    <t>COW-FRMP_TR-T184</t>
  </si>
  <si>
    <t>T185</t>
  </si>
  <si>
    <t>COW-FRMP_TR-T185</t>
  </si>
  <si>
    <t>T186</t>
  </si>
  <si>
    <t>COW-FRMP_TR-T186</t>
  </si>
  <si>
    <t>T187</t>
  </si>
  <si>
    <t>COW-FRMP_TR-T187</t>
  </si>
  <si>
    <t>T188</t>
  </si>
  <si>
    <t>COW-FRMP_TR-T188</t>
  </si>
  <si>
    <t>T189</t>
  </si>
  <si>
    <t>COW-FRMP_TR-T189</t>
  </si>
  <si>
    <t>T190</t>
  </si>
  <si>
    <t>COW-FRMP_TR-T190</t>
  </si>
  <si>
    <t>T191</t>
  </si>
  <si>
    <t>COW-FRMP_TR-T191</t>
  </si>
  <si>
    <t>T192</t>
  </si>
  <si>
    <t>COW-FRMP_TR-T192</t>
  </si>
  <si>
    <t>T193</t>
  </si>
  <si>
    <t>COW-FRMP_TR-T193</t>
  </si>
  <si>
    <t>T195</t>
  </si>
  <si>
    <t>COW-FRMP_TR-T195</t>
  </si>
  <si>
    <t>COW-FRMP_TR-T198</t>
  </si>
  <si>
    <t>T200</t>
  </si>
  <si>
    <t>COW-FRMP_TR-T200</t>
  </si>
  <si>
    <t>T205</t>
  </si>
  <si>
    <t>COW-FRMP_TR-T205</t>
  </si>
  <si>
    <t>T206</t>
  </si>
  <si>
    <t>COW-FRMP_TR-T206</t>
  </si>
  <si>
    <t>T207</t>
  </si>
  <si>
    <t>COW-FRMP_TR-T207</t>
  </si>
  <si>
    <t>T210</t>
  </si>
  <si>
    <t>COW-FRMP_TR-T210</t>
  </si>
  <si>
    <t>T211</t>
  </si>
  <si>
    <t>COW-FRMP_TR-T211</t>
  </si>
  <si>
    <t>T212</t>
  </si>
  <si>
    <t>COW-FRMP_TR-T212</t>
  </si>
  <si>
    <t>T213</t>
  </si>
  <si>
    <t>COW-FRMP_TR-T213</t>
  </si>
  <si>
    <t>T215</t>
  </si>
  <si>
    <t>COW-FRMP_TR-T215</t>
  </si>
  <si>
    <t>T227</t>
  </si>
  <si>
    <t>COW-FRMP_TR-T227</t>
  </si>
  <si>
    <t>T228</t>
  </si>
  <si>
    <t>COW-FRMP_TR-T228</t>
  </si>
  <si>
    <t>T234</t>
  </si>
  <si>
    <t>COW-FRMP_TR-T234</t>
  </si>
  <si>
    <t>T236</t>
  </si>
  <si>
    <t>COW-FRMP_TR-T236</t>
  </si>
  <si>
    <t>T237</t>
  </si>
  <si>
    <t>COW-FRMP_TR-T237</t>
  </si>
  <si>
    <t>T238</t>
  </si>
  <si>
    <t>COW-FRMP_TR-T238</t>
  </si>
  <si>
    <t>T241</t>
  </si>
  <si>
    <t>COW-FRMP_TR-T241</t>
  </si>
  <si>
    <t>T242</t>
  </si>
  <si>
    <t>COW-FRMP_TR-T242</t>
  </si>
  <si>
    <t>T243</t>
  </si>
  <si>
    <t>COW-FRMP_TR-T243</t>
  </si>
  <si>
    <t>T253</t>
  </si>
  <si>
    <t>COW-FRMP_TR-T253</t>
  </si>
  <si>
    <t>T254</t>
  </si>
  <si>
    <t>COW-FRMP_TR-T254</t>
  </si>
  <si>
    <t>COW-FRMP_TR-T256</t>
  </si>
  <si>
    <t>T259</t>
  </si>
  <si>
    <t>COW-FRMP_TR-T259</t>
  </si>
  <si>
    <t>T261</t>
  </si>
  <si>
    <t>COW-FRMP_TR-T261</t>
  </si>
  <si>
    <t>T262</t>
  </si>
  <si>
    <t>COW-FRMP_TR-T262</t>
  </si>
  <si>
    <t>T263</t>
  </si>
  <si>
    <t>COW-FRMP_TR-T263</t>
  </si>
  <si>
    <t>T264</t>
  </si>
  <si>
    <t>COW-FRMP_TR-T264</t>
  </si>
  <si>
    <t>T265</t>
  </si>
  <si>
    <t>COW-FRMP_TR-T265</t>
  </si>
  <si>
    <t>T266</t>
  </si>
  <si>
    <t>COW-FRMP_TR-T266</t>
  </si>
  <si>
    <t>T267</t>
  </si>
  <si>
    <t>COW-FRMP_TR-T267</t>
  </si>
  <si>
    <t>T268</t>
  </si>
  <si>
    <t>COW-FRMP_TR-T268</t>
  </si>
  <si>
    <t>T269</t>
  </si>
  <si>
    <t>COW-FRMP_TR-T269</t>
  </si>
  <si>
    <t>T270</t>
  </si>
  <si>
    <t>COW-FRMP_TR-T270</t>
  </si>
  <si>
    <t>T271</t>
  </si>
  <si>
    <t>COW-FRMP_TR-T271</t>
  </si>
  <si>
    <t>T276</t>
  </si>
  <si>
    <t>COW-FRMP_TR-T276</t>
  </si>
  <si>
    <t>COW-FRMP_TR-T278</t>
  </si>
  <si>
    <t>T279</t>
  </si>
  <si>
    <t>COW-FRMP_TR-T279</t>
  </si>
  <si>
    <t>COW-FRMP_TR-T280</t>
  </si>
  <si>
    <t>COW-FRMP_TR-T281</t>
  </si>
  <si>
    <t>Count In Tax Report</t>
  </si>
  <si>
    <t>COW-FRMP_TR-T066 CONTACT Negotiator Report.docx</t>
  </si>
  <si>
    <t>COW-FRMP_TR-T066 TITLE Tax Card.pdf</t>
  </si>
  <si>
    <t>COW-FRMP_TR-T067 CONTACT Negotiator Report.docx</t>
  </si>
  <si>
    <t>COW-FRMP_TR-T067 TITLE Tax Card.pdf</t>
  </si>
  <si>
    <t>COW-FRMP_TR-T068 CONTACT Negotiator Report.docx</t>
  </si>
  <si>
    <t>COW-FRMP_TR-T068 TITLE Tax Card.pdf</t>
  </si>
  <si>
    <t>COW-FRMP_TR-T069 CONTACT Negotiator Report.docx</t>
  </si>
  <si>
    <t>COW-FRMP_TR-T069 NEGOTIATION Owner Representation Letter.pdf</t>
  </si>
  <si>
    <t>COW-FRMP_TR-T069 TITLE Tax Card.pdf</t>
  </si>
  <si>
    <t>COW-FRMP_TR-T070 CONTACT Negotiator Report.docx</t>
  </si>
  <si>
    <t>COW-FRMP_TR-T070 TITLE Tax Card.pdf</t>
  </si>
  <si>
    <t>COW-FRMP_TR-T071 CONTACT Negotiator Report.docx</t>
  </si>
  <si>
    <t>COW-FRMP_TR-T072 CONTACT Negotiator Report.docx</t>
  </si>
  <si>
    <t>COW-FRMP_TR-T072 TITLE Tax Card.pdf</t>
  </si>
  <si>
    <t>COW-FRMP_TR-T157 CONTACT Negotiator Report.docx</t>
  </si>
  <si>
    <t>COW-FRMP_TR-T158 CONTACT Negotiator Report.docx</t>
  </si>
  <si>
    <t>COW-FRMP_TR-T159 CONTACT Negotiator Report.docx</t>
  </si>
  <si>
    <t>COW-FRMP_TR-T159 TITLE Tax Card.pdf</t>
  </si>
  <si>
    <t>COW-FRMP_TR-T162 CONTACT Negotiator Report.docx</t>
  </si>
  <si>
    <t>COW-FRMP_TR-T162 TITLE Tax Card.pdf</t>
  </si>
  <si>
    <t>COW-FRMP_TR-T163 CONTACT Negotiator Report.docx</t>
  </si>
  <si>
    <t>COW-FRMP_TR-T163 TITLE Tax Card.pdf</t>
  </si>
  <si>
    <t>COW-FRMP_TR-T164 CONTACT Negotiator Report.docx</t>
  </si>
  <si>
    <t>COW-FRMP_TR-T164 TITLE Tax Card.pdf</t>
  </si>
  <si>
    <t>COW-FRMP_TR-T167 CONTACT Negotiator Report.docx</t>
  </si>
  <si>
    <t>COW-FRMP_TR-T168 CONTACT Negotiator Report.docx</t>
  </si>
  <si>
    <t>COW-FRMP_TR-T168 TITLE Tax Card.pdf</t>
  </si>
  <si>
    <t>COW-FRMP_TR-T169 CONTACT Negotiator Report.docx</t>
  </si>
  <si>
    <t>COW-FRMP_TR-T169 TITLE Tax Card.pdf</t>
  </si>
  <si>
    <t>COW-FRMP_TR-T181 CONTACT Negotiator Report.docx</t>
  </si>
  <si>
    <t>COW-FRMP_TR-T181 TITLE Tax Card.pdf</t>
  </si>
  <si>
    <t>COW-FRMP_TR-T182 CONTACT Negotiator Report.docx</t>
  </si>
  <si>
    <t>COW-FRMP_TR-T182 TITLE Tax Card.pdf</t>
  </si>
  <si>
    <t>COW-FRMP_TR-T183 CONTACT Negotiator Report.docx</t>
  </si>
  <si>
    <t>COW-FRMP_TR-T183 TITLE Tax Card.pdf</t>
  </si>
  <si>
    <t>COW-FRMP_TR-T184 CONTACT Negotiator Report.docx</t>
  </si>
  <si>
    <t>COW-FRMP_TR-T184 TITLE Tax Card.pdf</t>
  </si>
  <si>
    <t>COW-FRMP_TR-T185 CONTACT Negotiator Report.docx</t>
  </si>
  <si>
    <t>COW-FRMP_TR-T185 TITLE Tax Card.pdf</t>
  </si>
  <si>
    <t>COW-FRMP_TR-T186 CONTACT Negotiator Report.docx</t>
  </si>
  <si>
    <t>COW-FRMP_TR-T186 TITLE Tax Card.pdf</t>
  </si>
  <si>
    <t>COW-FRMP_TR-T187 CONTACT Negotiator Report.docx</t>
  </si>
  <si>
    <t>COW-FRMP_TR-T187 TITLE Tax Card.pdf</t>
  </si>
  <si>
    <t>COW-FRMP_TR-T188 CONTACT Negotiator Report.docx</t>
  </si>
  <si>
    <t>COW-FRMP_TR-T188 TITLE Tax Card.pdf</t>
  </si>
  <si>
    <t>COW-FRMP_TR-T189 CONTACT Negotiator Report.docx</t>
  </si>
  <si>
    <t>COW-FRMP_TR-T189 TITLE Tax Card.pdf</t>
  </si>
  <si>
    <t>COW-FRMP_TR-T190 CONTACT Negotiator Report.docx</t>
  </si>
  <si>
    <t>COW-FRMP_TR-T190 TITLE Tax Card.pdf</t>
  </si>
  <si>
    <t>COW-FRMP_TR-T191 CONTACT Negotiator Report.docx</t>
  </si>
  <si>
    <t>COW-FRMP_TR-T191 TITLE Tax Card.pdf</t>
  </si>
  <si>
    <t>COW-FRMP_TR-T192 CONTACT Negotiator Report.docx</t>
  </si>
  <si>
    <t>COW-FRMP_TR-T192 TITLE Tax Card.pdf</t>
  </si>
  <si>
    <t>COW-FRMP_TR-T193 TITLE Tax Card.pdf</t>
  </si>
  <si>
    <t>COW-FRMP_TR-T195 CONTACT Negotiator Report.docx</t>
  </si>
  <si>
    <t>COW-FRMP_TR-T195 TITLE Tax Card.pdf</t>
  </si>
  <si>
    <t>COW-FRMP_TR-T198 CONTACT Negotiator Report.docx</t>
  </si>
  <si>
    <t>COW-FRMP_TR-T198 NEGOTIATION Owner Representation Letter.pdf</t>
  </si>
  <si>
    <t>COW-FRMP_TR-T198 TITLE Tax Card.pdf</t>
  </si>
  <si>
    <t>COW-FRMP_TR-T200 TITLE Tax Card.pdf</t>
  </si>
  <si>
    <t>COW-FRMP_TR-T205 CONTACT Negotiator Report.docx</t>
  </si>
  <si>
    <t>COW-FRMP_TR-T205 TITLE Tax Card.pdf</t>
  </si>
  <si>
    <t>COW-FRMP_TR-T206 CONTACT Negotiator Report.docx</t>
  </si>
  <si>
    <t>COW-FRMP_TR-T206 TITLE Tax Card.pdf</t>
  </si>
  <si>
    <t>COW-FRMP_TR-T207 CONTACT Negotiator Report.docx</t>
  </si>
  <si>
    <t>COW-FRMP_TR-T207 TITLE Tax Card.pdf</t>
  </si>
  <si>
    <t>COW-FRMP_TR-T210 CONTACT Negotiator Report.docx</t>
  </si>
  <si>
    <t>COW-FRMP_TR-T210 TITLE Tax Card.pdf</t>
  </si>
  <si>
    <t>COW-FRMP_TR-T211 TITLE Tax Card.pdf</t>
  </si>
  <si>
    <t>COW-FRMP_TR-T212 CONTACT Negotiator Report.docx</t>
  </si>
  <si>
    <t>COW-FRMP_TR-T212 TITLE Tax Card.pdf</t>
  </si>
  <si>
    <t>COW-FRMP_TR-T213 CONTACT Negotiator Report.docx</t>
  </si>
  <si>
    <t>COW-FRMP_TR-T213 TITLE Tax Card.pdf</t>
  </si>
  <si>
    <t>COW-FRMP_TR-T215 CONTACT Negotiator Report.docx</t>
  </si>
  <si>
    <t>COW-FRMP_TR-T215 TITLE Tax Card.pdf</t>
  </si>
  <si>
    <t>COW-FRMP_TR-T227 TITLE Tax Card.pdf</t>
  </si>
  <si>
    <t>COW-FRMP_TR-T228 CONTACT Negotiator Report.docx</t>
  </si>
  <si>
    <t>COW-FRMP_TR-T228 TITLE Tax Card.pdf</t>
  </si>
  <si>
    <t>COW-FRMP_TR-T234 TITLE Tax Card.pdf</t>
  </si>
  <si>
    <t>COW-FRMP_TR-T236 TITLE Tax Card.pdf</t>
  </si>
  <si>
    <t>COW-FRMP_TR-T237 TITLE Tax Card.pdf</t>
  </si>
  <si>
    <t>COW-FRMP_TR-T238 TITLE Tax Card.pdf</t>
  </si>
  <si>
    <t>COW-FRMP_TR-T241 TITLE Tax Card.pdf</t>
  </si>
  <si>
    <t>COW-FRMP_TR-T242 TITLE Tax Card.pdf</t>
  </si>
  <si>
    <t>COW-FRMP_TR-T243 TITLE Tax Card.pdf</t>
  </si>
  <si>
    <t>COW-FRMP_TR-T253 TITLE Tax Card.pdf</t>
  </si>
  <si>
    <t>COW-FRMP_TR-T254 TITLE Tax Card.pdf</t>
  </si>
  <si>
    <t>COW-FRMP_TR-T256 NEGOTIATION Owner Representation Letter.pdf</t>
  </si>
  <si>
    <t>COW-FRMP_TR-T256 TITLE Tax Card.pdf</t>
  </si>
  <si>
    <t>COW-FRMP_TR-T259 TITLE Tax Card.pdf</t>
  </si>
  <si>
    <t>COW-FRMP_TR-T261 TITLE Tax Card.pdf</t>
  </si>
  <si>
    <t>COW-FRMP_TR-T276 TITLE Tax Card.pdf</t>
  </si>
  <si>
    <t>COWFRLPHDR-5-1038</t>
  </si>
  <si>
    <t>COWFRLPHDR-5-1039</t>
  </si>
  <si>
    <t>COWFRLPHDR-5-1041</t>
  </si>
  <si>
    <t>COWFRLPHDR-5-1042</t>
  </si>
  <si>
    <t>COWFRLPHDR-5-1043</t>
  </si>
  <si>
    <t>COWFRLPHDR-5-1045</t>
  </si>
  <si>
    <t>COWFRLPHDR-5-1046</t>
  </si>
  <si>
    <t>COWFRLPHDR-5-1047</t>
  </si>
  <si>
    <t>COWFRLPHDR-5-1049</t>
  </si>
  <si>
    <t>COWFRLPHDR-5-1050</t>
  </si>
  <si>
    <t>COWFRLPHDR-5-1052</t>
  </si>
  <si>
    <t>COWFRLPHDR-5-1053</t>
  </si>
  <si>
    <t>COWFRLPHDR-5-1054</t>
  </si>
  <si>
    <t>COWFRLPHDR-5-1056</t>
  </si>
  <si>
    <t>COWFRLPHDR-5-1057</t>
  </si>
  <si>
    <t>COWFRLPHDR-5-1061</t>
  </si>
  <si>
    <t>COWFRLPHDR-5-1062</t>
  </si>
  <si>
    <t>COWFRLPHDR-5-1063</t>
  </si>
  <si>
    <t>COWFRLPHDR-5-1064</t>
  </si>
  <si>
    <t>COWFRLPHDR-5-1065</t>
  </si>
  <si>
    <t>COWFRLPHDR-5-1066</t>
  </si>
  <si>
    <t>COWFRLPHDR-5-1067</t>
  </si>
  <si>
    <t>COWFRLPHDR-5-1068</t>
  </si>
  <si>
    <t>COWFRLPHDR-5-1069</t>
  </si>
  <si>
    <t>COWFRLPHDR-5-1070</t>
  </si>
  <si>
    <t>COWFRLPHDR-5-1071</t>
  </si>
  <si>
    <t>COWFRLPHDR-5-1072</t>
  </si>
  <si>
    <t>COWFRLPHDR-5-1073</t>
  </si>
  <si>
    <t>COWFRLPHDR-5-1074</t>
  </si>
  <si>
    <t>COWFRLPHDR-5-1075</t>
  </si>
  <si>
    <t>COWFRLPHDR-5-1023</t>
  </si>
  <si>
    <t>COWFRLPHDR-5-1024</t>
  </si>
  <si>
    <t>COWFRLPHDR-5-1025</t>
  </si>
  <si>
    <t>COWFRLPHDR-5-1026</t>
  </si>
  <si>
    <t>COWFRLPHDR-5-1027</t>
  </si>
  <si>
    <t>COWFRLPHDR-5-1029</t>
  </si>
  <si>
    <t>COWFRLPHDR-5-1030</t>
  </si>
  <si>
    <t>COWFRLPHDR-5-1031</t>
  </si>
  <si>
    <t>COWFRLPHDR-5-1032</t>
  </si>
  <si>
    <t>COWFRLPHDR-5-1033</t>
  </si>
  <si>
    <t>COWFRLPHDR-5-1034</t>
  </si>
  <si>
    <t>COWFRLPHDR-5-1035</t>
  </si>
  <si>
    <t>COWFRLPHDR-5-1036</t>
  </si>
  <si>
    <t>COWFRLPHDR-5-1058</t>
  </si>
  <si>
    <t>COWFRLPHDR-5-1059</t>
  </si>
  <si>
    <t>COW-FRMP_TR-230 CONTACT Negotiator Report Older+Larger.docx</t>
  </si>
  <si>
    <t>COW-FRMP_TR-230 CONTACT Negotiator Report Newer+Smaller.docx</t>
  </si>
  <si>
    <t>COABUYOUT65-9-40</t>
  </si>
  <si>
    <t>UNK</t>
  </si>
  <si>
    <t>KCSR</t>
  </si>
  <si>
    <t>Combined with R026606</t>
  </si>
  <si>
    <t>T274</t>
  </si>
  <si>
    <t>COW-FRMP_TR-200 TITLE SOS Business Organization Inquiry.pdf</t>
  </si>
  <si>
    <t>COW-FRMP_TR-201 TITLE SOS Business Organization Inquiry.pdf</t>
  </si>
  <si>
    <t>COW-FRMP_TR-212 TITLE Commitment Backup Docs.pdf</t>
  </si>
  <si>
    <t>COW-FRMP_TR-219 CONTACT Initial Interview - Residential.pdf</t>
  </si>
  <si>
    <t>COW-FRMP_TR-222 TITLE Commitment Backup Docs.pdf</t>
  </si>
  <si>
    <t>COW-FRMP_TR-223 TITLE SOS Business Organization Inquiry.pdf</t>
  </si>
  <si>
    <t>COW-FRMP_TR-226 SURVEY Description-Plat_CITY.pdf</t>
  </si>
  <si>
    <t>COW-FRMP_TR-301 TITLE SOS Business Organization Inquiry.pdf</t>
  </si>
  <si>
    <t>COW-FRMP_TR-307 TITLE SOS Business Organization Inquiry.pdf</t>
  </si>
  <si>
    <t>COW-FRMP_TR-322 CONTACT Letter of Intent-HDR.pdf</t>
  </si>
  <si>
    <t>COW-FRMP_TR-322 NEGOTIATION Landowner Bill of Rights Letter.pdf</t>
  </si>
  <si>
    <t>COW-FRMP_TR-322 TITLE Commitment.pdf</t>
  </si>
  <si>
    <t>COW-FRMP_TR-322 TITLE Commitment Backup Docs.pdf</t>
  </si>
  <si>
    <t>COW-FRMP_TR-322 TITLE SOS Business Organization Inquiry.pdf</t>
  </si>
  <si>
    <t>COW-FRMP_TR-T066 ENVIRONMENTAL Right-of-Entry Executed.pdf</t>
  </si>
  <si>
    <t>COW-FRMP_TR-T067 ENVIRONMENTAL Right-of-Entry Executed.pdf</t>
  </si>
  <si>
    <t>COW-FRMP_TR-T067 ENVIRONMENTAL Right-of-Entry Package.pdf</t>
  </si>
  <si>
    <t>COW-FRMP_TR-T068 ENVIRONMENTAL Right-of-Entry Executed.pdf</t>
  </si>
  <si>
    <t>COW-FRMP_TR-T068 ENVIRONMENTAL Right-of-Entry Package.pdf</t>
  </si>
  <si>
    <t>COW-FRMP_TR-T070 ENVIRONMENTAL Right-of-Entry Executed.pdf</t>
  </si>
  <si>
    <t>COW-FRMP_TR-T070 ENVIRONMENTAL Right-of-Entry Package.pdf</t>
  </si>
  <si>
    <t>COW-FRMP_TR-T071 ENVIRONMENTAL Right-of-Entry Package.pdf</t>
  </si>
  <si>
    <t>COW-FRMP_TR-T071 TITLE Tax Card.pdf</t>
  </si>
  <si>
    <t>COW-FRMP_TR-T072 ENVIRONMENTAL Right-of-Entry Package.pdf</t>
  </si>
  <si>
    <t>COW-FRMP_TR-T091 ENVIRONMENTAL Right-of-Entry Package.pdf</t>
  </si>
  <si>
    <t>COW-FRMP_TR-T091 TITLE Tax Card.pdf</t>
  </si>
  <si>
    <t>COW-FRMP_TR-T157 ENVIRONMENTAL Right-of-Entry Package.pdf</t>
  </si>
  <si>
    <t>COW-FRMP_TR-T157 TITLE Tax Card.pdf</t>
  </si>
  <si>
    <t>COW-FRMP_TR-T158 ENVIRONMENTAL Right-of-Entry Executed.pdf</t>
  </si>
  <si>
    <t>COW-FRMP_TR-T158 ENVIRONMENTAL Right-of-Entry Package.pdf</t>
  </si>
  <si>
    <t>COW-FRMP_TR-T158 TITLE Tax Card.pdf</t>
  </si>
  <si>
    <t>COW-FRMP_TR-T159 ENVIRONMENTAL Right-of-Entry Package.pdf</t>
  </si>
  <si>
    <t>COW-FRMP_TR-T162 ENVIRONMENTAL Right-of-Entry Executed.pdf</t>
  </si>
  <si>
    <t>COW-FRMP_TR-T163 ENVIRONMENTAL Right-of-Entry Package.pdf</t>
  </si>
  <si>
    <t>COW-FRMP_TR-T164 ENVIRONMENTAL Right-of-Entry Executed.pdf</t>
  </si>
  <si>
    <t>COW-FRMP_TR-T164 ENVIRONMENTAL Right-of-Entry Package.pdf</t>
  </si>
  <si>
    <t>COW-FRMP_TR-T167 ENVIRONMENTAL Right-of-Entry Executed.pdf</t>
  </si>
  <si>
    <t>COW-FRMP_TR-T167 ENVIRONMENTAL Right-of-Entry Package.pdf</t>
  </si>
  <si>
    <t>COW-FRMP_TR-T168 ENVIRONMENTAL Right-of-Entry Package.pdf</t>
  </si>
  <si>
    <t>COW-FRMP_TR-T169 ENVIRONMENTAL Right-of-Entry Executed.pdf</t>
  </si>
  <si>
    <t>COW-FRMP_TR-T169 ENVIRONMENTAL Right-of-Entry Package.pdf</t>
  </si>
  <si>
    <t>COW-FRMP_TR-T181 ENVIRONMENTAL Right-of-Entry Executed.pdf</t>
  </si>
  <si>
    <t>COW-FRMP_TR-T181 ENVIRONMENTAL Right-of-Entry Package.pdf</t>
  </si>
  <si>
    <t>COW-FRMP_TR-T182 ENVIRONMENTAL Right-of-Entry Executed.pdf</t>
  </si>
  <si>
    <t>COW-FRMP_TR-T184 ENVIRONMENTAL Right-of-Entry Executed.pdf</t>
  </si>
  <si>
    <t>COW-FRMP_TR-T184 ENVIRONMENTAL Right-of-Entry Package.pdf</t>
  </si>
  <si>
    <t>COW-FRMP_TR-T186 ENVIRONMENTAL Right-of-Entry Executed.pdf</t>
  </si>
  <si>
    <t>COW-FRMP_TR-T187 ENVIRONMENTAL Right-of-Entry Executed.pdf</t>
  </si>
  <si>
    <t>COW-FRMP_TR-T187 ENVIRONMENTAL Right-of-Entry Package.pdf</t>
  </si>
  <si>
    <t>COW-FRMP_TR-T188 ENVIRONMENTAL Right-of-Entry Executed.pdf</t>
  </si>
  <si>
    <t>COW-FRMP_TR-T188 ENVIRONMENTAL Right-of-Entry Package.pdf</t>
  </si>
  <si>
    <t>COW-FRMP_TR-T189 ENVIRONMENTAL Right-of-Entry Executed.pdf</t>
  </si>
  <si>
    <t>COW-FRMP_TR-T190 ENVIRONMENTAL Right-of-Entry Package.pdf</t>
  </si>
  <si>
    <t>COW-FRMP_TR-T191 ENVIRONMENTAL Right-of-Entry Executed.pdf</t>
  </si>
  <si>
    <t>COW-FRMP_TR-T192 ENVIRONMENTAL Right-of-Entry Package.pdf</t>
  </si>
  <si>
    <t>COW-FRMP_TR-T193 CONTACT Negotiator Report.docx</t>
  </si>
  <si>
    <t>COW-FRMP_TR-T195 ENVIRONMENTAL Right-of-Entry Executed.pdf</t>
  </si>
  <si>
    <t>COW-FRMP_TR-T195 ENVIRONMENTAL Right-of-Entry Package.pdf</t>
  </si>
  <si>
    <t>COW-FRMP_TR-T198 ENVIRONMENTAL Right-of-Entry Executed.pdf</t>
  </si>
  <si>
    <t>COW-FRMP_TR-T198 ENVIRONMENTAL Right-of-Entry Package.pdf</t>
  </si>
  <si>
    <t>COW-FRMP_TR-T200 ENVIRONMENTAL Right-of-Entry Executed.pdf</t>
  </si>
  <si>
    <t>COW-FRMP_TR-T200 ENVIRONMENTAL Right-of-Entry Package.pdf</t>
  </si>
  <si>
    <t>COW-FRMP_TR-T205 ENVIRONMENTAL Right-of-Entry Executed.pdf</t>
  </si>
  <si>
    <t>COW-FRMP_TR-T205 ENVIRONMENTAL Right-of-Entry Package.pdf</t>
  </si>
  <si>
    <t>COW-FRMP_TR-T206 ENVIRONMENTAL Right-of-Entry Executed.pdf</t>
  </si>
  <si>
    <t>COW-FRMP_TR-T206 ENVIRONMENTAL Right-of-Entry Package.pdf</t>
  </si>
  <si>
    <t>COW-FRMP_TR-T207 ENVIRONMENTAL Right-of-Entry Package.pdf</t>
  </si>
  <si>
    <t>COW-FRMP_TR-T210 ENVIRONMENTAL Right-of-Entry Package.pdf</t>
  </si>
  <si>
    <t>COW-FRMP_TR-T211 ENVIRONMENTAL Right-of-Entry Package.pdf</t>
  </si>
  <si>
    <t>COW-FRMP_TR-T212 ENVIRONMENTAL Right-of-Entry Executed.pdf</t>
  </si>
  <si>
    <t>COW-FRMP_TR-T212 ENVIRONMENTAL Right-of-Entry Package.pdf</t>
  </si>
  <si>
    <t>COW-FRMP_TR-T213 ENVIRONMENTAL Right-of-Entry Executed.pdf</t>
  </si>
  <si>
    <t>COW-FRMP_TR-T213 ENVIRONMENTAL Right-of-Entry Package.pdf</t>
  </si>
  <si>
    <t>COW-FRMP_TR-T215 ENVIRONMENTAL Right-of-Entry Package.pdf</t>
  </si>
  <si>
    <t>COW-FRMP_TR-T227 ENVIRONMENTAL Right-of-Entry Executed.pdf</t>
  </si>
  <si>
    <t>COW-FRMP_TR-T227 ENVIRONMENTAL Right-of-Entry Package.pdf</t>
  </si>
  <si>
    <t>COW-FRMP_TR-T228 ENVIRONMENTAL Right-of-Entry Executed.pdf</t>
  </si>
  <si>
    <t>COW-FRMP_TR-T228 ENVIRONMENTAL Right-of-Entry Package.pdf</t>
  </si>
  <si>
    <t>COW-FRMP_TR-T234 ENVIRONMENTAL Right-of-Entry Executed.pdf</t>
  </si>
  <si>
    <t>COW-FRMP_TR-T234 ENVIRONMENTAL Right-of-Entry Package.pdf</t>
  </si>
  <si>
    <t>COW-FRMP_TR-T236 ENVIRONMENTAL Right-of-Entry Executed.pdf</t>
  </si>
  <si>
    <t>COW-FRMP_TR-T236 ENVIRONMENTAL Right-of-Entry Package.pdf</t>
  </si>
  <si>
    <t>COW-FRMP_TR-T237 ENVIRONMENTAL Right-of-Entry Executed.pdf</t>
  </si>
  <si>
    <t>COW-FRMP_TR-T237 ENVIRONMENTAL Right-of-Entry Package.pdf</t>
  </si>
  <si>
    <t>COW-FRMP_TR-T238 ENVIRONMENTAL Right-of-Entry Executed.pdf</t>
  </si>
  <si>
    <t>COW-FRMP_TR-T238 ENVIRONMENTAL Right-of-Entry Package.pdf</t>
  </si>
  <si>
    <t>COW-FRMP_TR-T241 ENVIRONMENTAL Right-of-Entry Executed.pdf</t>
  </si>
  <si>
    <t>COW-FRMP_TR-T241 ENVIRONMENTAL Right-of-Entry Package.pdf</t>
  </si>
  <si>
    <t>COW-FRMP_TR-T242 ENVIRONMENTAL Right-of-Entry Executed.pdf</t>
  </si>
  <si>
    <t>COW-FRMP_TR-T242 ENVIRONMENTAL Right-of-Entry Package.pdf</t>
  </si>
  <si>
    <t>COW-FRMP_TR-T243 ENVIRONMENTAL Right-of-Entry Package.pdf</t>
  </si>
  <si>
    <t>COW-FRMP_TR-T253 ENVIRONMENTAL Right-of-Entry Package.pdf</t>
  </si>
  <si>
    <t>COW-FRMP_TR-T254 ENVIRONMENTAL Right-of-Entry Executed.pdf</t>
  </si>
  <si>
    <t>COW-FRMP_TR-T254 ENVIRONMENTAL Right-of-Entry Package.pdf</t>
  </si>
  <si>
    <t>COW-FRMP_TR-T256 ENVIRONMENTAL Right-of-Entry Executed.pdf</t>
  </si>
  <si>
    <t>COW-FRMP_TR-T256 ENVIRONMENTAL Right-of-Entry Package.pdf</t>
  </si>
  <si>
    <t>COW-FRMP_TR-T259 ENVIRONMENTAL Right-of-Entry Executed.pdf</t>
  </si>
  <si>
    <t>COW-FRMP_TR-T259 ENVIRONMENTAL Right-of-Entry Package.pdf</t>
  </si>
  <si>
    <t>COW-FRMP_TR-T261 ENVIRONMENTAL Right-of-Entry Executed.pdf</t>
  </si>
  <si>
    <t>COW-FRMP_TR-T261 ENVIRONMENTAL Right-of-Entry Package.pdf</t>
  </si>
  <si>
    <t>COW-FRMP_TR-T274 ENVIRONMENTAL Right-of-Entry Executed.pdf</t>
  </si>
  <si>
    <t>COW-FRMP_TR-T274 TITLE Tax Card.pdf</t>
  </si>
  <si>
    <t>COW-FRMP_TR-T276 ENVIRONMENTAL Right-of-Entry Executed.pdf</t>
  </si>
  <si>
    <t>COWFRLPHDR-5-1076</t>
  </si>
  <si>
    <t>COWFRLPHDR-5-1077</t>
  </si>
  <si>
    <t>Lily Khan / Melissa DeLeon</t>
  </si>
  <si>
    <t>Stateside</t>
  </si>
  <si>
    <t>Suzy Romoser-Broadway</t>
  </si>
  <si>
    <t>Suzy &amp; Melissa</t>
  </si>
  <si>
    <t>COW-FRMP_TR-T274</t>
  </si>
  <si>
    <t>Count in Env Tract Status Report</t>
  </si>
  <si>
    <t>Snow, Darlene</t>
  </si>
  <si>
    <t>COW-FRMP_TR-T267 CONTACT Negotiator Report.docx</t>
  </si>
  <si>
    <t>COW-FRMP_TR-T268 CONTACT Negotiator Report.docx</t>
  </si>
  <si>
    <t>COW-FRMP_TR-T269 CONTACT Negotiator Report.docx</t>
  </si>
  <si>
    <t>COWFRLPHDR-5-1078</t>
  </si>
  <si>
    <t>COWFRLPHDR-5-1079</t>
  </si>
  <si>
    <t>Darlene Snow</t>
  </si>
  <si>
    <t>COW-FRMP_TR-230 SURVEY Right-of-Entry.pdf</t>
  </si>
  <si>
    <t>COWFRLPHDR-5-1083</t>
  </si>
  <si>
    <t>COWFRLPHDR-5-1084</t>
  </si>
  <si>
    <t>% Rosemary Rust on tax card - 68875,68876</t>
  </si>
  <si>
    <t>ROE Right-of-Entry Package</t>
  </si>
  <si>
    <t>ROE Right-of-Entry Executed</t>
  </si>
  <si>
    <t>COW-FRMP_TR-T066 ROE Right-of-Entry Package.pdf</t>
  </si>
  <si>
    <t>COW-FRMP_TR-T067 ROE Right-of-Entry Package.pdf</t>
  </si>
  <si>
    <t>COW-FRMP_TR-T068 ROE Right-of-Entry Package.pdf</t>
  </si>
  <si>
    <t>COW-FRMP_TR-T069 ROE Right-of-Entry Package.pdf</t>
  </si>
  <si>
    <t>COW-FRMP_TR-T070 ROE Right-of-Entry Package.pdf</t>
  </si>
  <si>
    <t>COW-FRMP_TR-T071 ROE Right-of-Entry Package.pdf</t>
  </si>
  <si>
    <t>COW-FRMP_TR-T072 ROE Right-of-Entry Package.pdf</t>
  </si>
  <si>
    <t>COW-FRMP_TR-T091 ROE Right-of-Entry Package.pdf</t>
  </si>
  <si>
    <t>COW-FRMP_TR-T157 ROE Right-of-Entry Package.pdf</t>
  </si>
  <si>
    <t>COW-FRMP_TR-T158 ROE Right-of-Entry Package.pdf</t>
  </si>
  <si>
    <t>COW-FRMP_TR-T159 ROE Right-of-Entry Package.pdf</t>
  </si>
  <si>
    <t>COW-FRMP_TR-T162 ROE Right-of-Entry Package.pdf</t>
  </si>
  <si>
    <t>COW-FRMP_TR-T163 ROE Right-of-Entry Package.pdf</t>
  </si>
  <si>
    <t>COW-FRMP_TR-T164 ROE Right-of-Entry Package.pdf</t>
  </si>
  <si>
    <t>COW-FRMP_TR-T167 ROE Right-of-Entry Package.pdf</t>
  </si>
  <si>
    <t>COW-FRMP_TR-T168 ROE Right-of-Entry Package.pdf</t>
  </si>
  <si>
    <t>COW-FRMP_TR-T181 ROE Right-of-Entry Package.pdf</t>
  </si>
  <si>
    <t>COW-FRMP_TR-T182 ROE Right-of-Entry Package.pdf</t>
  </si>
  <si>
    <t>COW-FRMP_TR-T183 ROE Right-of-Entry Package.pdf</t>
  </si>
  <si>
    <t>COW-FRMP_TR-T184 ROE Right-of-Entry Package.pdf</t>
  </si>
  <si>
    <t>COW-FRMP_TR-T185 ROE Right-of-Entry Package.pdf</t>
  </si>
  <si>
    <t>COW-FRMP_TR-T186 ROE Right-of-Entry Package.pdf</t>
  </si>
  <si>
    <t>COW-FRMP_TR-T274 ROE Right-of-Entry Executed.pdf</t>
  </si>
  <si>
    <t>COW-FRMP_TR-T276 ROE Right-of-Entry Executed.pdf</t>
  </si>
  <si>
    <t>COWFRLPHDR-5-1087</t>
  </si>
  <si>
    <t>COWFRLPHDR-5-1088</t>
  </si>
  <si>
    <t>COWFRLPHDR-5-1089</t>
  </si>
  <si>
    <t>COWFRLPHDR-5-1090</t>
  </si>
  <si>
    <t>COWFRLPHDR-5-1091</t>
  </si>
  <si>
    <t>COWFRLPHDR-5-1092</t>
  </si>
  <si>
    <t>COWFRLPHDR-5-1093</t>
  </si>
  <si>
    <t>COWFRLPHDR-5-1094</t>
  </si>
  <si>
    <t>COWFRLPHDR-5-1095</t>
  </si>
  <si>
    <t>COWFRLPHDR-5-1096</t>
  </si>
  <si>
    <t>COWFRLPHDR-5-1097</t>
  </si>
  <si>
    <t>COWFRLPHDR-5-1098</t>
  </si>
  <si>
    <t>COWFRLPHDR-5-1099</t>
  </si>
  <si>
    <t>COWFRLPHDR-5-1100</t>
  </si>
  <si>
    <t>COWFRLPHDR-5-1101</t>
  </si>
  <si>
    <t>COWFRLPHDR-5-1102</t>
  </si>
  <si>
    <t>COWFRLPHDR-5-1103</t>
  </si>
  <si>
    <t>COWFRLPHDR-5-1104</t>
  </si>
  <si>
    <t>COWFRLPHDR-5-1105</t>
  </si>
  <si>
    <t>COWFRLPHDR-5-1106</t>
  </si>
  <si>
    <t>COWFRLPHDR-5-1107</t>
  </si>
  <si>
    <t>PH2 ROE</t>
  </si>
  <si>
    <t>ROE - PH1</t>
  </si>
  <si>
    <t>44</t>
  </si>
  <si>
    <t>CMRR - PH1</t>
  </si>
  <si>
    <t>T272</t>
  </si>
  <si>
    <t>R068877;#305</t>
  </si>
  <si>
    <t>RUST LLOYD FAMILY LMT PRNSHP &amp; RUST TM FAMILY LLC</t>
  </si>
  <si>
    <t>0 HWY 59</t>
  </si>
  <si>
    <t>COW-FRMP_TR-T272</t>
  </si>
  <si>
    <t>T273</t>
  </si>
  <si>
    <t>R020858;#302</t>
  </si>
  <si>
    <t>CITY OF WHARTON</t>
  </si>
  <si>
    <t>0 COLLINS</t>
  </si>
  <si>
    <t>COW-FRMP_TR-T273</t>
  </si>
  <si>
    <t>T275</t>
  </si>
  <si>
    <t>R062755;#303</t>
  </si>
  <si>
    <t>0 E ELM</t>
  </si>
  <si>
    <t>COW-FRMP_TR-T275</t>
  </si>
  <si>
    <t>T277</t>
  </si>
  <si>
    <t>R062995;#304</t>
  </si>
  <si>
    <t>900 S E AVE</t>
  </si>
  <si>
    <t>COW-FRMP_TR-T277</t>
  </si>
  <si>
    <t>R020858</t>
  </si>
  <si>
    <t>MT.CARMEL BLK 4 LOT 1,2,3 WHARTON BLK 59, TR 12F WHARTON OUTLOT 24 LOT 1</t>
  </si>
  <si>
    <t>R062755</t>
  </si>
  <si>
    <t>WHARTON BLOCK 19-OUT LOT 1,2,3,4,5,6,7,BLK20--OUT LOT 1,2, 3,4,5,6,7,BLK21--</t>
  </si>
  <si>
    <t>R062995</t>
  </si>
  <si>
    <t>WHARTON BLK 59 LOT 12,12F MT CARMEL BLK 5</t>
  </si>
  <si>
    <t>R068877</t>
  </si>
  <si>
    <t>A20003 ABST.3 TRACT 33 PT. (SOUTH) </t>
  </si>
  <si>
    <t>PH2 
Right-of-Entry Executed</t>
  </si>
  <si>
    <t>PH1
Right-of-Entry Executed</t>
  </si>
  <si>
    <t>PH2
Right-of-Entry Package</t>
  </si>
  <si>
    <t>PH1
Right-of-Entry Package</t>
  </si>
  <si>
    <t>ROE 6 months extenstion exp on 12/3/2020</t>
  </si>
  <si>
    <t>CMRR Green Card - USPS tracking sheet</t>
  </si>
  <si>
    <t>COW-FRMP_TR-T200 ROE Right-of-Entry Executed.pdf</t>
  </si>
  <si>
    <t>COW-FRMP_TR-T236 ROE Right-of-Entry Executed.pdf</t>
  </si>
  <si>
    <t>COW-FRMP_TR-T271 ROE Right-of-Entry Executed.pdf</t>
  </si>
  <si>
    <t>COW-FRMP_TR-T272 ROE Right-of-Entry Executed.pdf</t>
  </si>
  <si>
    <t>COW-FRMP_TR-T278 ROE Right-of-Entry Executed.pdf</t>
  </si>
  <si>
    <t>COW-FRMP_TR-T278 ROE Right-of-Entry Package.pdf</t>
  </si>
  <si>
    <t>COW-FRMP_TR-T279 ROE Right-of-Entry Executed.pdf</t>
  </si>
  <si>
    <t>COWFRLPHDR-5-1108</t>
  </si>
  <si>
    <t>COWFRLPHDR-5-1109</t>
  </si>
  <si>
    <t>COWFRLPHDR-5-1110</t>
  </si>
  <si>
    <t>COWFRLPHDR-5-1111</t>
  </si>
  <si>
    <t>COWFRLPHDR-5-1112</t>
  </si>
  <si>
    <t>CAROL A. CURRY, TRUSTEE</t>
  </si>
  <si>
    <t>1659 2ND STREET</t>
  </si>
  <si>
    <t>MANHATTAN BEACH, CA 90266</t>
  </si>
  <si>
    <t>Mattax Family Trust, A Trust Under the Will of Calvin C Mattax, dcsd, David C Mattax Trustee</t>
  </si>
  <si>
    <t>COW-FRMP_TR-178 ENVIRONMENTAL Right-of-Entry Executed.pdf</t>
  </si>
  <si>
    <t>COWFRLPHDR-13-1354</t>
  </si>
  <si>
    <t>COW-FRMP_TR-T187 ROE Right-of-Entry Package.pdf</t>
  </si>
  <si>
    <t>COW-FRMP_TR-T188 ROE Right-of-Entry Package.pdf</t>
  </si>
  <si>
    <t>COW-FRMP_TR-T189 ROE Right-of-Entry Package.pdf</t>
  </si>
  <si>
    <t>COW-FRMP_TR-T190 ROE Right-of-Entry Package.pdf</t>
  </si>
  <si>
    <t>COW-FRMP_TR-T191 ROE Right-of-Entry Package.pdf</t>
  </si>
  <si>
    <t>COW-FRMP_TR-T193 ROE Right-of-Entry Package.pdf</t>
  </si>
  <si>
    <t>COW-FRMP_TR-T195 ROE Right-of-Entry Package.pdf</t>
  </si>
  <si>
    <t>COW-FRMP_TR-T205 ROE Right-of-Entry Package.pdf</t>
  </si>
  <si>
    <t>COW-FRMP_TR-T206 ROE Right-of-Entry Package.pdf</t>
  </si>
  <si>
    <t>COW-FRMP_TR-T210 ROE Right-of-Entry Package.pdf</t>
  </si>
  <si>
    <t>COW-FRMP_TR-T211 ROE Right-of-Entry Package.pdf</t>
  </si>
  <si>
    <t>COW-FRMP_TR-T212 ROE Right-of-Entry Package.pdf</t>
  </si>
  <si>
    <t>COW-FRMP_TR-T213 ROE Right-of-Entry Package.pdf</t>
  </si>
  <si>
    <t>COW-FRMP_TR-T215 ROE Right-of-Entry Package.pdf</t>
  </si>
  <si>
    <t>COW-FRMP_TR-T227 ROE Right-of-Entry Package.pdf</t>
  </si>
  <si>
    <t>COW-FRMP_TR-T228 ROE Right-of-Entry Package.pdf</t>
  </si>
  <si>
    <t>COW-FRMP_TR-T234 ROE Right-of-Entry Package.pdf</t>
  </si>
  <si>
    <t>COW-FRMP_TR-T237 ROE Right-of-Entry Package.pdf</t>
  </si>
  <si>
    <t>COW-FRMP_TR-T238 ROE Right-of-Entry Package.pdf</t>
  </si>
  <si>
    <t>COW-FRMP_TR-T241 ROE Right-of-Entry Package.pdf</t>
  </si>
  <si>
    <t>COW-FRMP_TR-T242 ROE Right-of-Entry Package.pdf</t>
  </si>
  <si>
    <t>COW-FRMP_TR-T243 ROE Right-of-Entry Package.pdf</t>
  </si>
  <si>
    <t>COW-FRMP_TR-T259 ROE Right-of-Entry Package.pdf</t>
  </si>
  <si>
    <t>COW-FRMP_TR-T261 ROE Right-of-Entry Package.pdf</t>
  </si>
  <si>
    <t>COW-FRMP_TR-T262 ROE Right-of-Entry Package.pdf</t>
  </si>
  <si>
    <t>COW-FRMP_TR-T263 ROE Right-of-Entry Package.pdf</t>
  </si>
  <si>
    <t>COW-FRMP_TR-T264 ROE Right-of-Entry Package.pdf</t>
  </si>
  <si>
    <t>COW-FRMP_TR-T267 ROE Right-of-Entry Package.pdf</t>
  </si>
  <si>
    <t>COW-FRMP_TR-T268 ROE Right-of-Entry Package.pdf</t>
  </si>
  <si>
    <t>COW-FRMP_TR-T269 ROE Right-of-Entry Package.pdf</t>
  </si>
  <si>
    <t>COW-FRMP_TR-T280 ROE Right-of-Entry Package.pdf</t>
  </si>
  <si>
    <t>COW-FRMP_TR-T281 ROE Right-of-Entry Package.pdf</t>
  </si>
  <si>
    <t>COWFRLPHDR-5-1127</t>
  </si>
  <si>
    <t>COWFRLPHDR-5-1128</t>
  </si>
  <si>
    <t>COWFRLPHDR-5-1129</t>
  </si>
  <si>
    <t>COWFRLPHDR-5-1130</t>
  </si>
  <si>
    <t>COWFRLPHDR-5-1131</t>
  </si>
  <si>
    <t>COWFRLPHDR-5-1132</t>
  </si>
  <si>
    <t>COWFRLPHDR-5-1133</t>
  </si>
  <si>
    <t>COWFRLPHDR-5-1134</t>
  </si>
  <si>
    <t>COWFRLPHDR-5-1135</t>
  </si>
  <si>
    <t>COWFRLPHDR-5-1136</t>
  </si>
  <si>
    <t>COWFRLPHDR-5-1137</t>
  </si>
  <si>
    <t>COWFRLPHDR-5-1138</t>
  </si>
  <si>
    <t>COWFRLPHDR-5-1139</t>
  </si>
  <si>
    <t>COWFRLPHDR-5-1122</t>
  </si>
  <si>
    <t>COWFRLPHDR-5-1123</t>
  </si>
  <si>
    <t>COWFRLPHDR-5-1124</t>
  </si>
  <si>
    <t>COWFRLPHDR-5-1125</t>
  </si>
  <si>
    <t>COWFRLPHDR-5-1126</t>
  </si>
  <si>
    <t>COWFRLPHDR-5-1140</t>
  </si>
  <si>
    <t>COWFRLPHDR-5-1141</t>
  </si>
  <si>
    <t>COWFRLPHDR-5-1142</t>
  </si>
  <si>
    <t>COWFRLPHDR-5-1143</t>
  </si>
  <si>
    <t>COWFRLPHDR-5-1144</t>
  </si>
  <si>
    <t>COWFRLPHDR-5-1113</t>
  </si>
  <si>
    <t>COWFRLPHDR-5-1114</t>
  </si>
  <si>
    <t>COWFRLPHDR-5-1115</t>
  </si>
  <si>
    <t>COWFRLPHDR-5-1116</t>
  </si>
  <si>
    <t>COWFRLPHDR-5-1117</t>
  </si>
  <si>
    <t>COWFRLPHDR-5-1118</t>
  </si>
  <si>
    <t>COWFRLPHDR-5-1119</t>
  </si>
  <si>
    <t>COWFRLPHDR-5-1121</t>
  </si>
  <si>
    <t>55</t>
  </si>
  <si>
    <t>A20034 Abst .34 Tract 69 PT(South)  This tract is found in both phsases and is represented in PH1 as R-68875</t>
  </si>
  <si>
    <t>A20034 Abst .34 Tract 69 PT(South)  This tract is found in both phases &amp; is represented in PH2 as R068875</t>
  </si>
  <si>
    <t>COW-FRMP_TR-T091 CONTACT Negotiator Report.docx</t>
  </si>
  <si>
    <t>COW-FRMP_TR-T211 CONTACT Negotiator Report.docx</t>
  </si>
  <si>
    <t>COW-FRMP_TR-T234 CONTACT Negotiator Report.docx</t>
  </si>
  <si>
    <t>COW-FRMP_TR-T237 CONTACT Negotiator Report.docx</t>
  </si>
  <si>
    <t>COW-FRMP_TR-T238 CONTACT Negotiator Report.docx</t>
  </si>
  <si>
    <t>COW-FRMP_TR-T241 CONTACT Negotiator Report.docx</t>
  </si>
  <si>
    <t>COW-FRMP_TR-T242 CONTACT Negotiator Report.docx</t>
  </si>
  <si>
    <t>COW-FRMP_TR-T243 CONTACT Negotiator Report.docx</t>
  </si>
  <si>
    <t>COW-FRMP_TR-T259 CONTACT Negotiator Report.docx</t>
  </si>
  <si>
    <t>COWFRLPHDR-5-1146</t>
  </si>
  <si>
    <t>COWFRLPHDR-5-1147</t>
  </si>
  <si>
    <t>COWFRLPHDR-5-1148</t>
  </si>
  <si>
    <t>COWFRLPHDR-5-1149</t>
  </si>
  <si>
    <t>COWFRLPHDR-5-1150</t>
  </si>
  <si>
    <t>COWFRLPHDR-5-1145</t>
  </si>
  <si>
    <t>COWFRLPHDR-5-1151</t>
  </si>
  <si>
    <t>COWFRLPHDR-5-1152</t>
  </si>
  <si>
    <t>COWFRLPHDR-5-1153</t>
  </si>
  <si>
    <t>Ro68875;#301</t>
  </si>
  <si>
    <t>Ro68876;#2</t>
  </si>
  <si>
    <t>COW-FRMP_TR-205 APPRAISAL Appraisal Review.pdf</t>
  </si>
  <si>
    <t>COW-FRMP_TR-205 APPRAISAL Final Appraisal.pdf</t>
  </si>
  <si>
    <t>COW-FRMP_TR-205 APPRAISAL Just Compensation Memo.pdf</t>
  </si>
  <si>
    <t>COW-FRMP_TR-205 APPRAISAL USACOE Authorization to Proceed with Offer.pdf</t>
  </si>
  <si>
    <t>COW-FRMP_TR-214 APPRAISAL Appraisal Review.pdf</t>
  </si>
  <si>
    <t>COW-FRMP_TR-214 APPRAISAL Final Appraisal.pdf</t>
  </si>
  <si>
    <t>COW-FRMP_TR-214 APPRAISAL Just Compensation Memo.pdf</t>
  </si>
  <si>
    <t>COW-FRMP_TR-214 APPRAISAL USACOE Authorization to Proceed with Offer.pdf</t>
  </si>
  <si>
    <t>COW-FRMP_TR-216 APPRAISAL Final Appraisal.pdf</t>
  </si>
  <si>
    <t>COW-FRMP_TR-216 APPRAISAL Just Compensation Memo.pdf</t>
  </si>
  <si>
    <t>COW-FRMP_TR-216 APPRAISAL USACOE Authorization to Proceed with Offer.pdf</t>
  </si>
  <si>
    <t>COW-FRMP_TR-316 APPRAISAL Final Appraisal.pdf</t>
  </si>
  <si>
    <t>COW-FRMP_TR-316 APPRAISAL Just Compensation Memo.pdf</t>
  </si>
  <si>
    <t>COW-FRMP_TR-316 APPRAISAL USACOE Authorization to Proceed with Offer.pdf</t>
  </si>
  <si>
    <t>COWFRLPHDR-5-1158</t>
  </si>
  <si>
    <t>COWFRLPHDR-5-1159</t>
  </si>
  <si>
    <t>COWFRLPHDR-5-1160</t>
  </si>
  <si>
    <t>COWFRLPHDR-5-1161</t>
  </si>
  <si>
    <t>COWFRLPHDR-5-1162</t>
  </si>
  <si>
    <t>COWFRLPHDR-5-1163</t>
  </si>
  <si>
    <t>COWFRLPHDR-5-1164</t>
  </si>
  <si>
    <t>COWFRLPHDR-5-1165</t>
  </si>
  <si>
    <t>COWFRLPHDR-5-1155</t>
  </si>
  <si>
    <t>COWFRLPHDR-5-1156</t>
  </si>
  <si>
    <t>COWFRLPHDR-5-1157</t>
  </si>
  <si>
    <t>COWFRLPHDR-5-1167</t>
  </si>
  <si>
    <t>COWFRLPHDR-5-1168</t>
  </si>
  <si>
    <t>COWFRLPHDR-5-1169</t>
  </si>
  <si>
    <t>Offer Pkge Documents Requested</t>
  </si>
  <si>
    <t>Offer Pkge QC Approved</t>
  </si>
  <si>
    <t>R068875;#1;#R068876;#306</t>
  </si>
  <si>
    <t>Please see Temporary Right of Entry Agreement dtd May 15, 2019 - Easement
 </t>
  </si>
  <si>
    <t>Lloyd Rust Family Limited Partnership &amp; Rust TMLLC 5 Rosemary Rust</t>
  </si>
  <si>
    <t>A20003 Abst .3 Tract 33 PT (South)</t>
  </si>
  <si>
    <t>Ro68875</t>
  </si>
  <si>
    <t>Ro68876</t>
  </si>
  <si>
    <t xml:space="preserve"> Initial Offer 
Package Sent </t>
  </si>
  <si>
    <t>326</t>
  </si>
  <si>
    <t>COW-FRMP_TR-326 APPRAISAL Just Compensation Approval.pdf</t>
  </si>
  <si>
    <t>COW-FRMP_TR-326 CONTACT Letter of Intent-HDR.pdf</t>
  </si>
  <si>
    <t>COW-FRMP_TR-326 CONTACT Negotiator Report.docx</t>
  </si>
  <si>
    <t>COW-FRMP_TR-326 NEGOTIATION Landowner Bill of Rights Letter.pdf</t>
  </si>
  <si>
    <t>COW-FRMP_TR-326 SURVEY Description-Plat_CITY.pdf</t>
  </si>
  <si>
    <t>COW-FRMP_TR-326 SURVEY Right-of-Entry.pdf</t>
  </si>
  <si>
    <t>COW-FRMP_TR-326 TITLE Commitment.pdf</t>
  </si>
  <si>
    <t>COW-FRMP_TR-326 TITLE Commitment Backup Docs.pdf</t>
  </si>
  <si>
    <t>COW-FRMP_TR-326 TITLE Curative Plan.docx</t>
  </si>
  <si>
    <t>Whole Fee, TCE</t>
  </si>
  <si>
    <t>COW-FRMP_TR-326</t>
  </si>
  <si>
    <t>Call 501-513-7230 for each occurance
Was Tract 421B</t>
  </si>
  <si>
    <t>COW-FRMP_TR-200 APPRAISAL Appraisal Review.pdf</t>
  </si>
  <si>
    <t>COW-FRMP_TR-200 APPRAISAL Final Appraisal.pdf</t>
  </si>
  <si>
    <t>COW-FRMP_TR-200 APPRAISAL Just Compensation Memo.pdf</t>
  </si>
  <si>
    <t>COW-FRMP_TR-200 APPRAISAL USACOE Authorization to Proceed with Offer.pdf</t>
  </si>
  <si>
    <t>COW-FRMP_TR-304 SURVEY Description-Plat_USACOE.pdf</t>
  </si>
  <si>
    <t>COW-FRMP_TR-T067 ROE Right-of-Entry Executed.pdf</t>
  </si>
  <si>
    <t>COWFRLPHDR-5-1174</t>
  </si>
  <si>
    <t>COWFRLPHDR-5-1171</t>
  </si>
  <si>
    <t>COWFRLPHDR-5-1175</t>
  </si>
  <si>
    <t>COWFRLPHDR-5-1176</t>
  </si>
  <si>
    <t>COWFRLPHDR-5-1172</t>
  </si>
  <si>
    <t>COWFRLPHDR-5-1173</t>
  </si>
  <si>
    <t>Appraisal being revised - Adding USACOE TCE</t>
  </si>
  <si>
    <t>GF No.: 2019-0760</t>
  </si>
  <si>
    <t>Verbal extension for 6 months per CoW email dtd 6/3/2020</t>
  </si>
  <si>
    <t>Verbal extension for 6 months per CoW email dtd 6/4/2020</t>
  </si>
  <si>
    <t>COW-FRMP_TR-T281 ROE Right-of-Entry Executed.pdf</t>
  </si>
  <si>
    <t>COWFRLPHDR-5-1177</t>
  </si>
  <si>
    <t>COWFRLPHDR-5-1178</t>
  </si>
  <si>
    <t>COWFRLPHDR-5-1179</t>
  </si>
  <si>
    <t>Raymond G. Rodriguez and Mollie Garza (as her interest may appear) and Julian Cantero (as his interest may appear)</t>
  </si>
  <si>
    <t>Joe Rodriguez Sr.</t>
  </si>
  <si>
    <t>Rodriguez Sr</t>
  </si>
  <si>
    <t>922 Cr 188 Rd</t>
  </si>
  <si>
    <t>Wharton, Tx 77488</t>
  </si>
  <si>
    <t>Juan Garcia Jr</t>
  </si>
  <si>
    <t>Juan</t>
  </si>
  <si>
    <t>Garcia Jr</t>
  </si>
  <si>
    <t>979.282.1364</t>
  </si>
  <si>
    <t>John M Greenwood Jr And Virginia Greenwood</t>
  </si>
  <si>
    <t>John &amp; Virginia</t>
  </si>
  <si>
    <t>Greenwood</t>
  </si>
  <si>
    <t>410 Wild Oak</t>
  </si>
  <si>
    <t>Euless, Tx 76039</t>
  </si>
  <si>
    <t>Linda Frazier Ullman</t>
  </si>
  <si>
    <t>Linda</t>
  </si>
  <si>
    <t>Frazier Ullman</t>
  </si>
  <si>
    <t>400 E Caney</t>
  </si>
  <si>
    <t>Juvenal Lopez</t>
  </si>
  <si>
    <t>Juvenal</t>
  </si>
  <si>
    <t>Lopez</t>
  </si>
  <si>
    <t>420 E Wayside</t>
  </si>
  <si>
    <t>Natividad Garcia, Heir Of Jesus Garcia-Decd</t>
  </si>
  <si>
    <t>1264 Cr 188 Rd</t>
  </si>
  <si>
    <t>Ricardo E Gomez And Erminia L Gomez</t>
  </si>
  <si>
    <t>Ricardo &amp; Erminia</t>
  </si>
  <si>
    <t>914 Cr 188 Rd</t>
  </si>
  <si>
    <t>Richard Keith Worth</t>
  </si>
  <si>
    <t>Richard</t>
  </si>
  <si>
    <t>Worth</t>
  </si>
  <si>
    <t>7930 Corporate Dr #187</t>
  </si>
  <si>
    <t>Houston, Tx 77036</t>
  </si>
  <si>
    <t>Estate Of Ira L Donahue C/O Donahue Allen</t>
  </si>
  <si>
    <t>Donahue</t>
  </si>
  <si>
    <t>PO Box 703</t>
  </si>
  <si>
    <t>Lizbeth Ochoa</t>
  </si>
  <si>
    <t>Lizabeth</t>
  </si>
  <si>
    <t>Ochoa</t>
  </si>
  <si>
    <t>Houston, Tx 77077</t>
  </si>
  <si>
    <t>Helena Baker</t>
  </si>
  <si>
    <t>Helena</t>
  </si>
  <si>
    <t>Baker</t>
  </si>
  <si>
    <t>400 S East Ave</t>
  </si>
  <si>
    <t>William A Gordon C/O Ruby Palmer</t>
  </si>
  <si>
    <t>12526 Sorsby Way</t>
  </si>
  <si>
    <t>Houston, Tx 77047</t>
  </si>
  <si>
    <t>Haywood Mack Ross</t>
  </si>
  <si>
    <t>Haywood</t>
  </si>
  <si>
    <t>Ross</t>
  </si>
  <si>
    <t>PO Box 2</t>
  </si>
  <si>
    <t>William Gordon</t>
  </si>
  <si>
    <t>William</t>
  </si>
  <si>
    <t>PO Box 814</t>
  </si>
  <si>
    <t>Smithville, Tx 78957</t>
  </si>
  <si>
    <t>David E Fellhauer Most Rev Bishop Of Diocese Of Victoria</t>
  </si>
  <si>
    <t>David E</t>
  </si>
  <si>
    <t>Fellhauer</t>
  </si>
  <si>
    <t>FBO:Mt Carmel PO Box 4070</t>
  </si>
  <si>
    <t>Victoria, Tx 77903</t>
  </si>
  <si>
    <t>Delores Aubrey</t>
  </si>
  <si>
    <t>Delores</t>
  </si>
  <si>
    <t>Aubrey</t>
  </si>
  <si>
    <t>Harrison Marjorie Gordon %Dunbar J V</t>
  </si>
  <si>
    <t>Harrison</t>
  </si>
  <si>
    <t>Frank J Felcman And Judy M Felcman</t>
  </si>
  <si>
    <t>Frank &amp; Judy</t>
  </si>
  <si>
    <t>Felcman</t>
  </si>
  <si>
    <t>Joe Urbanovsky Jr &amp; Clement Ann C</t>
  </si>
  <si>
    <t>Joe &amp; Clement</t>
  </si>
  <si>
    <t>Urbanovsky</t>
  </si>
  <si>
    <t>Sara F Lopez</t>
  </si>
  <si>
    <t>Sara</t>
  </si>
  <si>
    <t>Jake M Popp</t>
  </si>
  <si>
    <t>Jake</t>
  </si>
  <si>
    <t>Popp</t>
  </si>
  <si>
    <t>Forrest W Lewis  &amp; Julia W</t>
  </si>
  <si>
    <t>Forrest &amp; Julia</t>
  </si>
  <si>
    <t>Lewis</t>
  </si>
  <si>
    <t>Tilford G Horelica</t>
  </si>
  <si>
    <t>Tilford</t>
  </si>
  <si>
    <t>Horelica</t>
  </si>
  <si>
    <t>Trey And Sarah Porter</t>
  </si>
  <si>
    <t>Trey &amp; Sarah</t>
  </si>
  <si>
    <t>Porter</t>
  </si>
  <si>
    <t>Robert J Zahradnik &amp; Wf</t>
  </si>
  <si>
    <t>Zahradnik</t>
  </si>
  <si>
    <t>Joseph D Kolodziejcyk &amp; Kevin M  Kolodziejcyk Exec</t>
  </si>
  <si>
    <t>Kolodziejcyk</t>
  </si>
  <si>
    <t>Robert J &amp; Mary J Zahradnik</t>
  </si>
  <si>
    <t>Robert &amp; Mary</t>
  </si>
  <si>
    <t>Melissa Miller &amp; Gary Gilbert</t>
  </si>
  <si>
    <t>Melissa &amp; Gary</t>
  </si>
  <si>
    <t>Gilbert</t>
  </si>
  <si>
    <t>Estate Of Johnnie Maxey, C/O James Maxey</t>
  </si>
  <si>
    <t>James</t>
  </si>
  <si>
    <t>Maxey</t>
  </si>
  <si>
    <t>William G Horelica</t>
  </si>
  <si>
    <t>Ann L Witt &amp; Raymond R</t>
  </si>
  <si>
    <t>Ann &amp; Raymond</t>
  </si>
  <si>
    <t>Witt</t>
  </si>
  <si>
    <t>39</t>
  </si>
  <si>
    <t>PH2 
Right-of-Entry Expired Date</t>
  </si>
  <si>
    <t>COW-FRMP_TR-102 SURVEY Description-Plat_USACOE.pdf</t>
  </si>
  <si>
    <t>COW-FRMP_TR-201 SURVEY Description-Plat_USACOE.pdf</t>
  </si>
  <si>
    <t>COW-FRMP_TR-206 SURVEY Description-Plat_USACOE.pdf</t>
  </si>
  <si>
    <t>COW-FRMP_TR-208 SURVEY Description-Plat_CITY.pdf</t>
  </si>
  <si>
    <t>COW-FRMP_TR-208 SURVEY Description-Plat_USACOE.pdf</t>
  </si>
  <si>
    <t>COW-FRMP_TR-209 SURVEY Description-Plat_USACOE.pdf</t>
  </si>
  <si>
    <t>COW-FRMP_TR-211 SURVEY Description-Plat_USACOE.pdf</t>
  </si>
  <si>
    <t>COW-FRMP_TR-212 SURVEY Description-Plat_USACOE.pdf</t>
  </si>
  <si>
    <t>COW-FRMP_TR-215 SURVEY Description-Plat_USACOE.pdf</t>
  </si>
  <si>
    <t>COW-FRMP_TR-225 SURVEY Description-Plat_USACOE.pdf</t>
  </si>
  <si>
    <t>COW-FRMP_TR-T227 CONTACT Negotiator Report.docx</t>
  </si>
  <si>
    <t>COW-FRMP_TR-300 SURVEY Description-Plat_USACOE.pdf</t>
  </si>
  <si>
    <t>COW-FRMP_TR-301 SURVEY Description-Plat_USACOE.pdf</t>
  </si>
  <si>
    <t>COW-FRMP_TR-306 SURVEY Description-Plat_USACOE.pdf</t>
  </si>
  <si>
    <t>COW-FRMP_TR-308 SURVEY Description-Plat_USACOE.pdf</t>
  </si>
  <si>
    <t>COW-FRMP_TR-317 SURVEY Description-Plat_USACOE.pdf</t>
  </si>
  <si>
    <t>COW-FRMP_TR-319 SURVEY Description-Plat_USACOE.pdf</t>
  </si>
  <si>
    <t>COW-FRMP_TR-321 SURVEY Description-Plat_USACOE.pdf</t>
  </si>
  <si>
    <t>COW-FRMP_TR-325 SURVEY Description-Plat_USACOE.pdf</t>
  </si>
  <si>
    <t>COW-FRMP_TR-T261 CONTACT Negotiator Report.docx</t>
  </si>
  <si>
    <t>COW-FRMP_TR-T262 CONTACT Negotiator Report.docx</t>
  </si>
  <si>
    <t>COW-FRMP_TR-T263 CONTACT Negotiator Report.docx</t>
  </si>
  <si>
    <t>COWFRLPHDR-5-1182</t>
  </si>
  <si>
    <t>COWFRLPHDR-5-1183</t>
  </si>
  <si>
    <t>COWFRLPHDR-5-1184</t>
  </si>
  <si>
    <t>COWFRLPHDR-5-1185</t>
  </si>
  <si>
    <t>COWFRLPHDR-5-1186</t>
  </si>
  <si>
    <t>COWFRLPHDR-5-1187</t>
  </si>
  <si>
    <t>COWFRLPHDR-5-1188</t>
  </si>
  <si>
    <t>COWFRLPHDR-5-1189</t>
  </si>
  <si>
    <t>COWFRLPHDR-5-1190</t>
  </si>
  <si>
    <t>COWFRLPHDR-5-1180</t>
  </si>
  <si>
    <t>COWFRLPHDR-5-1191</t>
  </si>
  <si>
    <t>COWFRLPHDR-5-1192</t>
  </si>
  <si>
    <t>COWFRLPHDR-5-1193</t>
  </si>
  <si>
    <t>COWFRLPHDR-5-1194</t>
  </si>
  <si>
    <t>COWFRLPHDR-5-1195</t>
  </si>
  <si>
    <t>COWFRLPHDR-5-1196</t>
  </si>
  <si>
    <t>COWFRLPHDR-5-1197</t>
  </si>
  <si>
    <t>COWFRLPHDR-5-1198</t>
  </si>
  <si>
    <r>
      <t xml:space="preserve">Call Mr. Garza Prior to entering the property - Cell </t>
    </r>
    <r>
      <rPr>
        <b/>
        <sz val="10"/>
        <color theme="1"/>
        <rFont val="Arial"/>
      </rPr>
      <t>979-282-1302</t>
    </r>
  </si>
  <si>
    <t>664 Cr 241</t>
  </si>
  <si>
    <t>715 Cr 241 Rd</t>
  </si>
  <si>
    <t>677 Cr 241</t>
  </si>
  <si>
    <t>12750 Briar Forest Dr Apt #1914</t>
  </si>
  <si>
    <t>8210 Gulf Tree Ln</t>
  </si>
  <si>
    <t>Houston, Tx 77075</t>
  </si>
  <si>
    <t>1575 California Trl</t>
  </si>
  <si>
    <t>Brentwood, Ca 94513</t>
  </si>
  <si>
    <t>PO Box 722</t>
  </si>
  <si>
    <t>1804 Bay Hill Dr</t>
  </si>
  <si>
    <t>Austin, Tx 78746</t>
  </si>
  <si>
    <t>378 Cr 150</t>
  </si>
  <si>
    <t>3898 Cr 135</t>
  </si>
  <si>
    <t>468 Cr 150 Rd</t>
  </si>
  <si>
    <t>PO Box 570</t>
  </si>
  <si>
    <t>Matagorda, Tx 77457</t>
  </si>
  <si>
    <t>3920 Cr 135</t>
  </si>
  <si>
    <t>3822 Cr 135 Rd</t>
  </si>
  <si>
    <t>10622 Fm 1726</t>
  </si>
  <si>
    <t>Goliad, Tx 77963</t>
  </si>
  <si>
    <t>1321 Crestmont</t>
  </si>
  <si>
    <t>2851 S King Dr Apt 406</t>
  </si>
  <si>
    <t>Chicago, Il 60616</t>
  </si>
  <si>
    <t>307 Cr 150 Rd</t>
  </si>
  <si>
    <t>PO Box 266</t>
  </si>
  <si>
    <t>El Campo, Tx 77437</t>
  </si>
  <si>
    <t>5651 Chevy Chase</t>
  </si>
  <si>
    <t>Houston, Tx 77056</t>
  </si>
  <si>
    <t>June Jansky</t>
  </si>
  <si>
    <t>June</t>
  </si>
  <si>
    <t>Jansky</t>
  </si>
  <si>
    <t>4238 Cr 131 Rd</t>
  </si>
  <si>
    <t>Barbara Louise Hawes Trust Dated 8-17-81</t>
  </si>
  <si>
    <t>Hawes</t>
  </si>
  <si>
    <t>PO Box 707</t>
  </si>
  <si>
    <t>Nandan P Gad</t>
  </si>
  <si>
    <t>Nandan</t>
  </si>
  <si>
    <t>Gad</t>
  </si>
  <si>
    <t>1006 Staford St</t>
  </si>
  <si>
    <t>Houston, Tx 77019</t>
  </si>
  <si>
    <t>George R Guttenberger</t>
  </si>
  <si>
    <t>George</t>
  </si>
  <si>
    <t>Guttenberger</t>
  </si>
  <si>
    <t>311 Margaret</t>
  </si>
  <si>
    <t>Ninfa R Luera Life Estate</t>
  </si>
  <si>
    <t>Ninfa</t>
  </si>
  <si>
    <t>Luera</t>
  </si>
  <si>
    <t>3510 N Fulton</t>
  </si>
  <si>
    <t>Ernestine Nelson</t>
  </si>
  <si>
    <t>Ernestine</t>
  </si>
  <si>
    <t>3322 Junior College Blvd</t>
  </si>
  <si>
    <t>Jeff Davis</t>
  </si>
  <si>
    <t>Jeff</t>
  </si>
  <si>
    <t>Davis</t>
  </si>
  <si>
    <t>PO Box 647</t>
  </si>
  <si>
    <t>Larry J And Diane Kalina</t>
  </si>
  <si>
    <t>Larry &amp; Diane</t>
  </si>
  <si>
    <t>Kalina</t>
  </si>
  <si>
    <t>3225 N Richmond Rd</t>
  </si>
  <si>
    <t>Robert Mitchell</t>
  </si>
  <si>
    <t>Mitchell</t>
  </si>
  <si>
    <t>3500 Junior College Blvd</t>
  </si>
  <si>
    <t>Michael Mitchell</t>
  </si>
  <si>
    <t>Michael</t>
  </si>
  <si>
    <t>442 Woodrail Dr</t>
  </si>
  <si>
    <t>Webster, Tx 77598</t>
  </si>
  <si>
    <t>Russell A And Jacquelin Jurasek</t>
  </si>
  <si>
    <t>Russell &amp; Jacquelin</t>
  </si>
  <si>
    <t>Jurasek</t>
  </si>
  <si>
    <t>1500 Fm 1299</t>
  </si>
  <si>
    <t>Sorrella Switch LLC</t>
  </si>
  <si>
    <t>3601 Lauren Dr</t>
  </si>
  <si>
    <t>Stephanie L Mowels</t>
  </si>
  <si>
    <t>Stephanie</t>
  </si>
  <si>
    <t>Mowels</t>
  </si>
  <si>
    <t>3802 Cr 135 Rd</t>
  </si>
  <si>
    <t>Adam &amp; Kerry Jo Kocian</t>
  </si>
  <si>
    <t>Adam &amp; Kerry</t>
  </si>
  <si>
    <t>Kocian</t>
  </si>
  <si>
    <t>439 Cr 150 Rd</t>
  </si>
  <si>
    <t>Natividad Rivera, Guadalupe Rios &amp; Maria Gutierrez</t>
  </si>
  <si>
    <t>634 Murphy</t>
  </si>
  <si>
    <t>Maria Gutierrez &amp; Griselda Garcia</t>
  </si>
  <si>
    <t>628 Murphy Av</t>
  </si>
  <si>
    <t>Amelia Rodriguez</t>
  </si>
  <si>
    <t>Amelia</t>
  </si>
  <si>
    <t>624 Murphy Av</t>
  </si>
  <si>
    <t>W A Harrison Agriculture Ltd</t>
  </si>
  <si>
    <t>Curtis M Torres</t>
  </si>
  <si>
    <t>3618 N Fulton</t>
  </si>
  <si>
    <t>Lionel Garcia Jr &amp; Rachel M Garcia</t>
  </si>
  <si>
    <t>Lionel &amp; Rachel</t>
  </si>
  <si>
    <t>3702 N Fulton</t>
  </si>
  <si>
    <t>Frank Canales</t>
  </si>
  <si>
    <t>Frank</t>
  </si>
  <si>
    <t>Canales</t>
  </si>
  <si>
    <t>3710 N Fulton</t>
  </si>
  <si>
    <t>R068875;#1</t>
  </si>
  <si>
    <t>Rust Lloyd Family Lmt Prnshp &amp; Rust Tm Family Llc</t>
  </si>
  <si>
    <t>City Of Wharton</t>
  </si>
  <si>
    <t>R068876;#306</t>
  </si>
  <si>
    <t>0 Fm 102 Wharton</t>
  </si>
  <si>
    <t>Mattax Family Trust, David C Mattax Trustee</t>
  </si>
  <si>
    <t>1659 2Nd St</t>
  </si>
  <si>
    <t>Manhattan Beach, Ca 90266</t>
  </si>
  <si>
    <t>PO Box 1066</t>
  </si>
  <si>
    <t>GF No. 2019-0837 - One of Multiple Tracts on this GF No.</t>
  </si>
  <si>
    <t>No CMRR Green Card - USPS Tracking Delivered - 6/3/2020 ROE package sent in error.</t>
  </si>
  <si>
    <t>CMRR Green Card</t>
  </si>
  <si>
    <t>COW-FRMP_TR-311 APPRAISAL Appraisal Review.pdf</t>
  </si>
  <si>
    <t>COW-FRMP_TR-311 APPRAISAL Final Appraisal.pdf</t>
  </si>
  <si>
    <t>COW-FRMP_TR-311 APPRAISAL Just Compensation Memo.pdf</t>
  </si>
  <si>
    <t>COW-FRMP_TR-311 APPRAISAL USACOE Authorization to Proceed with Offer.pdf</t>
  </si>
  <si>
    <t>COW-FRMP_TR-421A NEGOTIATION Initial Offer Package.pdf</t>
  </si>
  <si>
    <t>COW-FRMP_TR-T280 ROE Right-of-Entry Executed.pdf</t>
  </si>
  <si>
    <t>COWFRLPHDR-5-1201</t>
  </si>
  <si>
    <t>COWFRLPHDR-5-1202</t>
  </si>
  <si>
    <t>COWFRLPHDR-5-1203</t>
  </si>
  <si>
    <t>COWFRLPHDR-5-1204</t>
  </si>
  <si>
    <t>COWFRLPHDR-5-1200</t>
  </si>
  <si>
    <t>Rodriguez Joe Sr</t>
  </si>
  <si>
    <t>Garcia Juan Jr</t>
  </si>
  <si>
    <t>Greenwood John M Jr Etux Virginia</t>
  </si>
  <si>
    <t>Ullmann Linda Frazier</t>
  </si>
  <si>
    <t>Lopez Juvenal</t>
  </si>
  <si>
    <t>Garcia Natividad Heir Of Jesus Garcia-Decd</t>
  </si>
  <si>
    <t>Gomez Ricardo E Etux Erminia L</t>
  </si>
  <si>
    <t>Worth Richard Keith</t>
  </si>
  <si>
    <t>Donahue Ira L Est %Donahue Allen</t>
  </si>
  <si>
    <t>Ochoa Lizbeth</t>
  </si>
  <si>
    <t>Baker Helena</t>
  </si>
  <si>
    <t>Gordon William A</t>
  </si>
  <si>
    <t>Ross Haywood Mack</t>
  </si>
  <si>
    <t>Gordon William</t>
  </si>
  <si>
    <t>Fellhauer David E Most Rev Bishop Of Diocese Of Victoria</t>
  </si>
  <si>
    <t>Aubrey Delores</t>
  </si>
  <si>
    <t>Felcman Frank J Etux Judy M</t>
  </si>
  <si>
    <t>Urbanovsky Joe Jr &amp; Clement Ann C</t>
  </si>
  <si>
    <t>Lopez Daimus</t>
  </si>
  <si>
    <t>Popp Jake M</t>
  </si>
  <si>
    <t>Lewis Forrest W &amp; Julia W</t>
  </si>
  <si>
    <t>Horelica Tilford G</t>
  </si>
  <si>
    <t>Porter Trey And Sarah</t>
  </si>
  <si>
    <t>Zahradnik Robert J &amp; Wf</t>
  </si>
  <si>
    <t>Kolodziejcyk Joseph D &amp; Kevin M Exec</t>
  </si>
  <si>
    <t>Zahradnik Robert J &amp; Mary J</t>
  </si>
  <si>
    <t>Miller Melissa &amp; Gilbert Gary</t>
  </si>
  <si>
    <t>Maxey Johnnie Est Etal %Maxey James</t>
  </si>
  <si>
    <t>Horelica William G</t>
  </si>
  <si>
    <t>Clinton D. Koehler</t>
  </si>
  <si>
    <t>Witt Ann L &amp; Raymond R</t>
  </si>
  <si>
    <t>Jansky June</t>
  </si>
  <si>
    <t>Hawes Barbara Louise Trust Dated 8-17-81</t>
  </si>
  <si>
    <t>Gad Nandan P</t>
  </si>
  <si>
    <t>Guttenberger George R</t>
  </si>
  <si>
    <t>Luera Ninfa R Life Estate</t>
  </si>
  <si>
    <t>Nelson Ernestine</t>
  </si>
  <si>
    <t>Kalina Larry J Etux Diane</t>
  </si>
  <si>
    <t>Nilson Robert L</t>
  </si>
  <si>
    <t>Mitchell Robert</t>
  </si>
  <si>
    <t>Mitchell Michael</t>
  </si>
  <si>
    <t>Jurasek Russell A Etux Jacquelin</t>
  </si>
  <si>
    <t>Mowels Stephanie L</t>
  </si>
  <si>
    <t>Kocian Adam &amp; Kerry Jo</t>
  </si>
  <si>
    <t>Rivera Natividad Guadalupe Rios &amp; Gutierrez Maria</t>
  </si>
  <si>
    <t>Gutierrez Maria Griselda Garcia</t>
  </si>
  <si>
    <t>Rodriguez Amelia</t>
  </si>
  <si>
    <t>Harrison Agriculture LTD</t>
  </si>
  <si>
    <t>Torres Curtis M</t>
  </si>
  <si>
    <t>Garcia Lionel Jr &amp; Rachel M</t>
  </si>
  <si>
    <t>Canales Frank</t>
  </si>
  <si>
    <t>Rust Lloyd Family Lmt Prnshp &amp; Rust Tm Family LLC</t>
  </si>
  <si>
    <t>Wharton City Of %Cabrera Sergio</t>
  </si>
  <si>
    <t>Mattax Family Trust, A Test Trst Under The Will Of Calvin C Mattax, Dcsd, David C Mattax Trustee</t>
  </si>
  <si>
    <t>GF No.: 2019-0836  TR 1: Fee Simplet  TR 2: Easement</t>
  </si>
  <si>
    <t>GF No.: 2019-0842 TR 1: Fee Simple TR 2: Easement  TR 3: Levee Easememnt</t>
  </si>
  <si>
    <t>COWFRLPHDR-5-1205</t>
  </si>
  <si>
    <t>USPS - Return to Sender, Unable to Forward</t>
  </si>
  <si>
    <t>COW-FRMP_TR-207 APPRAISAL Final Appraisal.pdf</t>
  </si>
  <si>
    <t>COW-FRMP_TR-207 APPRAISAL Just Compensation Memo.pdf</t>
  </si>
  <si>
    <t>COW-FRMP_TR-207 APPRAISAL USACOE Authorization to Proceed with Offer.pdf</t>
  </si>
  <si>
    <t>COW-FRMP_TR-213 APPRAISAL Final Appraisal.pdf</t>
  </si>
  <si>
    <t>COW-FRMP_TR-213 APPRAISAL Just Compensation Memo.pdf</t>
  </si>
  <si>
    <t>COW-FRMP_TR-213 APPRAISAL USACOE Authorization to Proceed with Offer.pdf</t>
  </si>
  <si>
    <t>COW-FRMP_TR-309 APPRAISAL Appraisal Review.pdf</t>
  </si>
  <si>
    <t>COW-FRMP_TR-309 APPRAISAL Final Appraisal.pdf</t>
  </si>
  <si>
    <t>COW-FRMP_TR-309 APPRAISAL Just Compensation Memo.pdf</t>
  </si>
  <si>
    <t>COW-FRMP_TR-309 APPRAISAL USACOE Authorization to Proceed with Offer.pdf</t>
  </si>
  <si>
    <t>COW-FRMP_TR-T264 CONTACT Negotiator Report.docx</t>
  </si>
  <si>
    <t>COWFRLPHDR-5-1211</t>
  </si>
  <si>
    <t>COWFRLPHDR-5-1212</t>
  </si>
  <si>
    <t>COWFRLPHDR-5-1213</t>
  </si>
  <si>
    <t>COWFRLPHDR-5-1214</t>
  </si>
  <si>
    <t>COWFRLPHDR-5-1215</t>
  </si>
  <si>
    <t>COWFRLPHDR-5-1216</t>
  </si>
  <si>
    <t>COWFRLPHDR-5-1217</t>
  </si>
  <si>
    <t>COWFRLPHDR-5-1206</t>
  </si>
  <si>
    <t>COWFRLPHDR-5-1207</t>
  </si>
  <si>
    <t>COWFRLPHDR-5-1208</t>
  </si>
  <si>
    <t>COWFRLPHDR-5-1209</t>
  </si>
  <si>
    <t>COWFRLPHDR-5-1210</t>
  </si>
  <si>
    <t>817.929.6348</t>
  </si>
  <si>
    <t>979.541.7753</t>
  </si>
  <si>
    <t>David Noel</t>
  </si>
  <si>
    <t>Noel</t>
  </si>
  <si>
    <t>Son In Law to Property Owner</t>
  </si>
  <si>
    <t xml:space="preserve">David Noel is the point of contact. He is Mrs. Greenwood's son in law. </t>
  </si>
  <si>
    <t>Just Comp
Approval Memo 
Sent to City</t>
  </si>
  <si>
    <t>City Sent Appraisal/ATP to USACOE for Approval</t>
  </si>
  <si>
    <t>USACOE Appraisal/ATP
 w/Offer 
Approved Date</t>
  </si>
  <si>
    <t>Revised - corrected name</t>
  </si>
  <si>
    <t>COW-FRMP_TR-313 APPRAISAL Final Appraisal.pdf</t>
  </si>
  <si>
    <t>COW-FRMP_TR-313 APPRAISAL Just Compensation Memo.pdf</t>
  </si>
  <si>
    <t>COW-FRMP_TR-313 APPRAISAL USACOE Authorization to Proceed with Offer.pdf</t>
  </si>
  <si>
    <t>COWFRLPHDR-5-1218</t>
  </si>
  <si>
    <t>COWFRLPHDR-5-1219</t>
  </si>
  <si>
    <t>COWFRLPHDR-5-1220</t>
  </si>
  <si>
    <t>P O Box 647</t>
  </si>
  <si>
    <t>DAVIS JEFF</t>
  </si>
  <si>
    <t>PO BOX 647</t>
  </si>
  <si>
    <t>P O BOX 647</t>
  </si>
  <si>
    <t>720-322-5742</t>
  </si>
  <si>
    <t>Jeremy Curtis</t>
  </si>
  <si>
    <t>Jeremy</t>
  </si>
  <si>
    <t>grandson</t>
  </si>
  <si>
    <t>USACOE ATP 
Sent to City</t>
  </si>
  <si>
    <t>GF No. 2020-0643</t>
  </si>
  <si>
    <t>GF No. 2020-0644</t>
  </si>
  <si>
    <t>Non Profit Doc and WCRT Bylaws included in Backup Docs</t>
  </si>
  <si>
    <t>R023700;#31</t>
  </si>
  <si>
    <t>GF No. 2020-0645</t>
  </si>
  <si>
    <t>COW-FRMP_TR-101 TITLE Commitment.pdf</t>
  </si>
  <si>
    <t>COW-FRMP_TR-101 TITLE Curative Plan.docx</t>
  </si>
  <si>
    <t>COW-FRMP_TR-102 TITLE Commitment.pdf</t>
  </si>
  <si>
    <t>COW-FRMP_TR-102 TITLE Curative Plan.docx</t>
  </si>
  <si>
    <t>COW-FRMP_TR-200 APPRAISAL Just Compensation Approval.pdf</t>
  </si>
  <si>
    <t>COW-FRMP_TR-200 APPRAISAL USACOE Authorization to Proceed with Offer Approval.pdf</t>
  </si>
  <si>
    <t>COW-FRMP_TR-202 APPRAISAL Just Compensation Approval.pdf</t>
  </si>
  <si>
    <t>COW-FRMP_TR-202 APPRAISAL USACOE Authorization to Proceed with Offer Approval.pdf</t>
  </si>
  <si>
    <t>COW-FRMP_TR-205 APPRAISAL Just Compensation Approval.pdf</t>
  </si>
  <si>
    <t>COW-FRMP_TR-205 APPRAISAL USACOE Authorization to Proceed with Offer Approval.pdf</t>
  </si>
  <si>
    <t>COW-FRMP_TR-210 APPRAISAL Final Appraisal.pdf</t>
  </si>
  <si>
    <t>COW-FRMP_TR-210 APPRAISAL Just Compensation Memo.pdf</t>
  </si>
  <si>
    <t>COW-FRMP_TR-210 APPRAISAL USACOE Authorization to Proceed with Offer.pdf</t>
  </si>
  <si>
    <t>COW-FRMP_TR-214 APPRAISAL Just Compensation Approval.pdf</t>
  </si>
  <si>
    <t>COW-FRMP_TR-214 APPRAISAL USACOE Authorization to Proceed with Offer Approval.pdf</t>
  </si>
  <si>
    <t>COW-FRMP_TR-217 APPRAISAL Final Appraisal.pdf</t>
  </si>
  <si>
    <t>COW-FRMP_TR-217 APPRAISAL Just Compensation Memo.pdf</t>
  </si>
  <si>
    <t>COW-FRMP_TR-217 APPRAISAL USACOE Authorization to Proceed with Offer.pdf</t>
  </si>
  <si>
    <t>COW-FRMP_TR-219 APPRAISAL Final Appraisal.pdf</t>
  </si>
  <si>
    <t>COW-FRMP_TR-219 APPRAISAL Just Compensation Memo.pdf</t>
  </si>
  <si>
    <t>COW-FRMP_TR-219 APPRAISAL USACOE Authorization to Proceed with Offer.pdf</t>
  </si>
  <si>
    <t>COW-FRMP_TR-222 APPRAISAL Final Appraisal.pdf</t>
  </si>
  <si>
    <t>COW-FRMP_TR-222 APPRAISAL Just Compensation Memo.pdf</t>
  </si>
  <si>
    <t>COW-FRMP_TR-222 APPRAISAL USACOE Authorization to Proceed with Offer.pdf</t>
  </si>
  <si>
    <t>COW-FRMP_TR-223 APPRAISAL Final Appraisal.pdf</t>
  </si>
  <si>
    <t>COW-FRMP_TR-223 APPRAISAL Just Compensation Memo.pdf</t>
  </si>
  <si>
    <t>COW-FRMP_TR-223 APPRAISAL USACOE Authorization to Proceed with Offer.pdf</t>
  </si>
  <si>
    <t>COW-FRMP_TR-231 TITLE Commitment.pdf</t>
  </si>
  <si>
    <t>COW-FRMP_TR-302 APPRAISAL Final Appraisal.pdf</t>
  </si>
  <si>
    <t>COW-FRMP_TR-302 APPRAISAL Just Compensation Memo.pdf</t>
  </si>
  <si>
    <t>COW-FRMP_TR-302 APPRAISAL USACOE Authorization to Proceed with Offer.pdf</t>
  </si>
  <si>
    <t>COW-FRMP_TR-303 APPRAISAL Final Appraisal.pdf</t>
  </si>
  <si>
    <t>COW-FRMP_TR-303 APPRAISAL Just Compensation Memo.pdf</t>
  </si>
  <si>
    <t>COW-FRMP_TR-303 APPRAISAL USACOE Authorization to Proceed with Offer.pdf</t>
  </si>
  <si>
    <t>COW-FRMP_TR-305 APPRAISAL Final Appraisal.pdf</t>
  </si>
  <si>
    <t>COW-FRMP_TR-305 APPRAISAL Just Compensation Memo.pdf</t>
  </si>
  <si>
    <t>COW-FRMP_TR-305 APPRAISAL USACOE Authorization to Proceed with Offer.pdf</t>
  </si>
  <si>
    <t>COW-FRMP_TR-309 APPRAISAL Just Compensation Approval.pdf</t>
  </si>
  <si>
    <t>COW-FRMP_TR-309 APPRAISAL USACOE Authorization to Proceed with Offer Approval.pdf</t>
  </si>
  <si>
    <t>COW-FRMP_TR-310 APPRAISAL Final Appraisal.pdf</t>
  </si>
  <si>
    <t>COW-FRMP_TR-310 APPRAISAL Just Compensation Memo.pdf</t>
  </si>
  <si>
    <t>COW-FRMP_TR-310 APPRAISAL USACOE Authorization to Proceed with Offer.pdf</t>
  </si>
  <si>
    <t>COW-FRMP_TR-315 APPRAISAL Final Appraisal.pdf</t>
  </si>
  <si>
    <t>COW-FRMP_TR-315 APPRAISAL Just Compensation Memo.pdf</t>
  </si>
  <si>
    <t>COW-FRMP_TR-315 APPRAISAL USACOE Authorization to Proceed with Offer.pdf</t>
  </si>
  <si>
    <t>COW-FRMP_TR-421A NEGOTIATION Initial Offer Package CMRR.pdf</t>
  </si>
  <si>
    <t>COW-FRMP_TR-T066 ROE Right-of-Entry Executed.pdf</t>
  </si>
  <si>
    <t>COW-FRMP_TR-T068 ROE Right-of-Entry Executed.pdf</t>
  </si>
  <si>
    <t>T157.docx</t>
  </si>
  <si>
    <t>T158.docx</t>
  </si>
  <si>
    <t>COW-FRMP_TR-T162 ROE Right-of-Entry Executed.pdf</t>
  </si>
  <si>
    <t>COW-FRMP_TR-T164 ROE Right-of-Entry Executed.pdf</t>
  </si>
  <si>
    <t>COW-FRMP_TR-T167 ROE Right-of-Entry Executed.pdf</t>
  </si>
  <si>
    <t>COW-FRMP_TR-T182 ROE Right-of-Entry Executed.pdf</t>
  </si>
  <si>
    <t>COW-FRMP_TR-T186 ROE Right-of-Entry Executed.pdf</t>
  </si>
  <si>
    <t>COW-FRMP_TR-T189 ROE Right-of-Entry Executed.pdf</t>
  </si>
  <si>
    <t>COW-FRMP_TR-T191 ROE Right-of-Entry Executed.pdf</t>
  </si>
  <si>
    <t>COW-FRMP_TR-T195 ROE Right-of-Entry Executed.pdf</t>
  </si>
  <si>
    <t>COW-FRMP_TR-T213 ROE Right-of-Entry Executed.pdf</t>
  </si>
  <si>
    <t>COW-FRMP_TR-T227 ROE Right-of-Entry Executed.pdf</t>
  </si>
  <si>
    <t>COW-FRMP_TR-T228 ROE Right-of-Entry Executed.pdf</t>
  </si>
  <si>
    <t>COW-FRMP_TR-T242 ROE Right-of-Entry Executed.pdf</t>
  </si>
  <si>
    <t>COW-FRMP_TR-T254 ROE Right-of-Entry Executed.pdf</t>
  </si>
  <si>
    <t>COW-FRMP_TR-T259 ROE Right-of-Entry Executed.pdf</t>
  </si>
  <si>
    <t>COW-FRMP_TR-T264 ROE Right-of-Entry Executed.pdf</t>
  </si>
  <si>
    <t>COW-FRMP_TR-T269 ROE Right-of-Entry Executed.pdf</t>
  </si>
  <si>
    <t>COW-FRMP_TR-T273 ROE Right-of-Entry Executed.pdf</t>
  </si>
  <si>
    <t>COW-FRMP_TR-T275 ROE Right-of-Entry Executed.pdf</t>
  </si>
  <si>
    <t>COW-FRMP_TR-T277 ROE Right-of-Entry Executed.pdf</t>
  </si>
  <si>
    <t>COWFRLPHDR-5-1240</t>
  </si>
  <si>
    <t>COWFRLPHDR-5-1258</t>
  </si>
  <si>
    <t>COWFRLPHDR-5-1259</t>
  </si>
  <si>
    <t>COWFRLPHDR-5-1260</t>
  </si>
  <si>
    <t>COWFRLPHDR-5-1265</t>
  </si>
  <si>
    <t>COWFRLPHDR-5-1266</t>
  </si>
  <si>
    <t>COWFRLPHDR-5-1267</t>
  </si>
  <si>
    <t>COWFRLPHDR-5-1268</t>
  </si>
  <si>
    <t>COWFRLPHDR-5-1269</t>
  </si>
  <si>
    <t>COWFRLPHDR-5-1270</t>
  </si>
  <si>
    <t>COWFRLPHDR-5-1261</t>
  </si>
  <si>
    <t>COWFRLPHDR-5-1262</t>
  </si>
  <si>
    <t>COWFRLPHDR-5-1263</t>
  </si>
  <si>
    <t>COWFRLPHDR-5-1271</t>
  </si>
  <si>
    <t>COWFRLPHDR-5-1272</t>
  </si>
  <si>
    <t>COWFRLPHDR-5-1287</t>
  </si>
  <si>
    <t>COWFRLPHDR-5-1288</t>
  </si>
  <si>
    <t>COWFRLPHDR-5-1289</t>
  </si>
  <si>
    <t>COWFRLPHDR-5-1234</t>
  </si>
  <si>
    <t>COWFRLPHDR-5-1235</t>
  </si>
  <si>
    <t>COWFRLPHDR-5-1236</t>
  </si>
  <si>
    <t>COWFRLPHDR-5-1237</t>
  </si>
  <si>
    <t>COWFRLPHDR-5-1238</t>
  </si>
  <si>
    <t>COWFRLPHDR-5-1239</t>
  </si>
  <si>
    <t>COWFRLPHDR-5-1249</t>
  </si>
  <si>
    <t>COWFRLPHDR-5-1250</t>
  </si>
  <si>
    <t>COWFRLPHDR-5-1251</t>
  </si>
  <si>
    <t>COWFRLPHDR-5-1221</t>
  </si>
  <si>
    <t>COWFRLPHDR-5-1252</t>
  </si>
  <si>
    <t>COWFRLPHDR-5-1253</t>
  </si>
  <si>
    <t>COWFRLPHDR-5-1254</t>
  </si>
  <si>
    <t>COWFRLPHDR-5-1255</t>
  </si>
  <si>
    <t>COWFRLPHDR-5-1256</t>
  </si>
  <si>
    <t>COWFRLPHDR-5-1257</t>
  </si>
  <si>
    <t>COWFRLPHDR-5-1227</t>
  </si>
  <si>
    <t>COWFRLPHDR-5-1228</t>
  </si>
  <si>
    <t>COWFRLPHDR-5-1229</t>
  </si>
  <si>
    <t>COWFRLPHDR-5-1273</t>
  </si>
  <si>
    <t>COWFRLPHDR-5-1274</t>
  </si>
  <si>
    <t>COWFRLPHDR-5-1284</t>
  </si>
  <si>
    <t>COWFRLPHDR-5-1285</t>
  </si>
  <si>
    <t>COWFRLPHDR-5-1286</t>
  </si>
  <si>
    <t>COWFRLPHDR-5-1224</t>
  </si>
  <si>
    <t>COWFRLPHDR-5-1225</t>
  </si>
  <si>
    <t>COWFRLPHDR-5-1226</t>
  </si>
  <si>
    <t>COWFRLPHDR-5-1264</t>
  </si>
  <si>
    <t>COWFRLPHDR-5-1275</t>
  </si>
  <si>
    <t>COWFRLPHDR-5-1230</t>
  </si>
  <si>
    <t>COWFRLPHDR-5-1223</t>
  </si>
  <si>
    <t>COWFRLPHDR-5-1222</t>
  </si>
  <si>
    <t>COWFRLPHDR-5-1276</t>
  </si>
  <si>
    <t>COWFRLPHDR-5-1277</t>
  </si>
  <si>
    <t>COWFRLPHDR-5-1241</t>
  </si>
  <si>
    <t>COWFRLPHDR-5-1278</t>
  </si>
  <si>
    <t>COWFRLPHDR-5-1242</t>
  </si>
  <si>
    <t>COWFRLPHDR-5-1231</t>
  </si>
  <si>
    <t>COWFRLPHDR-5-1232</t>
  </si>
  <si>
    <t>COWFRLPHDR-5-1243</t>
  </si>
  <si>
    <t>COWFRLPHDR-5-1279</t>
  </si>
  <si>
    <t>COWFRLPHDR-5-1280</t>
  </si>
  <si>
    <t>COWFRLPHDR-5-1281</t>
  </si>
  <si>
    <t>COWFRLPHDR-5-1282</t>
  </si>
  <si>
    <t>COWFRLPHDR-5-1244</t>
  </si>
  <si>
    <t>COWFRLPHDR-5-1283</t>
  </si>
  <si>
    <t>COWFRLPHDR-5-1245</t>
  </si>
  <si>
    <t>COWFRLPHDR-5-1233</t>
  </si>
  <si>
    <t>COWFRLPHDR-5-1246</t>
  </si>
  <si>
    <t>COWFRLPHDR-5-1247</t>
  </si>
  <si>
    <t>COWFRLPHDR-5-1248</t>
  </si>
  <si>
    <t>2020-0643</t>
  </si>
  <si>
    <t>Pandaries, LLC</t>
  </si>
  <si>
    <t>John Lathon Estate c/o Larry Lathon</t>
  </si>
  <si>
    <t>Lathon</t>
  </si>
  <si>
    <t>bigjoesr51@gmail.com</t>
  </si>
  <si>
    <t>979.453.0053</t>
  </si>
  <si>
    <t>512-589-8154</t>
  </si>
  <si>
    <t>512-769-6460</t>
  </si>
  <si>
    <t>210-385-3966</t>
  </si>
  <si>
    <t>979-475-4378</t>
  </si>
  <si>
    <t>McKinney, TX 75070</t>
  </si>
  <si>
    <t>Philip Hundl</t>
  </si>
  <si>
    <t>Philip</t>
  </si>
  <si>
    <t>Hundl</t>
  </si>
  <si>
    <t>Wadler Perches Hundl Kerlick</t>
  </si>
  <si>
    <t>phundl@wphk-law.com</t>
  </si>
  <si>
    <t>979.532.3871</t>
  </si>
  <si>
    <t>101 West Burleson</t>
  </si>
  <si>
    <t>Annie Garza</t>
  </si>
  <si>
    <t xml:space="preserve">Annie </t>
  </si>
  <si>
    <t>Mgr/Tenant</t>
  </si>
  <si>
    <t>979.533.2329</t>
  </si>
  <si>
    <t>117 N. East Avenue</t>
  </si>
  <si>
    <t>Ms. Garza is the contact for Mr. Lopez.</t>
  </si>
  <si>
    <t>50</t>
  </si>
  <si>
    <t>COW-FRMP_TR-312 APPRAISAL Final Appraisal.pdf</t>
  </si>
  <si>
    <t>COW-FRMP_TR-312 APPRAISAL Just Compensation Memo.pdf</t>
  </si>
  <si>
    <t>COW-FRMP_TR-312 APPRAISAL USACOE Authorization to Proceed with Offer.pdf</t>
  </si>
  <si>
    <t>COWFRLPHDR-5-1290</t>
  </si>
  <si>
    <t>COWFRLPHDR-5-1291</t>
  </si>
  <si>
    <t>COWFRLPHDR-5-1292</t>
  </si>
  <si>
    <t>Mobile Home - was PH1 T219</t>
  </si>
  <si>
    <t>50% Ownership - was PH1 T202</t>
  </si>
  <si>
    <t>CLOSING Purchase and Sale Agreement Executed</t>
  </si>
  <si>
    <t>Purchase and Sale Agreement Executed</t>
  </si>
  <si>
    <t>PSA &amp; General Warranty Deed</t>
  </si>
  <si>
    <t>Elizabeth Taylor</t>
  </si>
  <si>
    <t>979.453.1698</t>
  </si>
  <si>
    <t>713.772.8911</t>
  </si>
  <si>
    <t>979.863.2217</t>
  </si>
  <si>
    <t>Possible numbers listed on contact logs dated 6/19/2020
 </t>
  </si>
  <si>
    <t>FINAL</t>
  </si>
  <si>
    <t>COW-FRMP_TR-421A CLOSING Purchase and Sale Agreement Executed.pdf</t>
  </si>
  <si>
    <t>COWFRLPHDR-5-1293</t>
  </si>
  <si>
    <t>979.533.060</t>
  </si>
  <si>
    <t>361.515.4741</t>
  </si>
  <si>
    <t>361.573.0828 x2229</t>
  </si>
  <si>
    <t>832.876.3654</t>
  </si>
  <si>
    <t>979.559.2950</t>
  </si>
  <si>
    <t>Point of contact for Mr. Lopez is Annie Garza</t>
  </si>
  <si>
    <t>Rev. Brendan J. Cahill is the current contact</t>
  </si>
  <si>
    <t>WCAD No. R054004 &amp; R068877 also</t>
  </si>
  <si>
    <t>Fee Simple Only</t>
  </si>
  <si>
    <t>GF No.: 2020-0645</t>
  </si>
  <si>
    <t>GF No.: 2019-0924</t>
  </si>
  <si>
    <t>Taylor, Elizabeth</t>
  </si>
  <si>
    <t>T194</t>
  </si>
  <si>
    <t>COW-FRMP_TR-100 APPRAISAL Final Appraisal.pdf</t>
  </si>
  <si>
    <t>COW-FRMP_TR-100 APPRAISAL Just Compensation Memo.pdf</t>
  </si>
  <si>
    <t>COW-FRMP_TR-100 APPRAISAL USACOE Authorization to Proceed with Offer.pdf</t>
  </si>
  <si>
    <t>COW-FRMP_TR-200 NEGOTIATION Initial Offer Package.pdf</t>
  </si>
  <si>
    <t>COW-FRMP_TR-200 NEGOTIATION Initial Offer Package CMRR.pdf</t>
  </si>
  <si>
    <t>COW-FRMP_TR-202 NEGOTIATION Initial Offer Package.pdf</t>
  </si>
  <si>
    <t>COW-FRMP_TR-202 NEGOTIATION Initial Offer Package CMRR.pdf</t>
  </si>
  <si>
    <t>COW-FRMP_TR-205 NEGOTIATION Initial Offer Package.pdf</t>
  </si>
  <si>
    <t>COW-FRMP_TR-205 NEGOTIATION Initial Offer Package CMRR.pdf</t>
  </si>
  <si>
    <t>COW-FRMP_TR-207 APPRAISAL Appraisal Review.pdf</t>
  </si>
  <si>
    <t>COW-FRMP_TR-207 APPRAISAL Just Compensation Approval.pdf</t>
  </si>
  <si>
    <t>COW-FRMP_TR-207 APPRAISAL USACOE Authorization to Proceed with Offer Approval.pdf</t>
  </si>
  <si>
    <t>COW-FRMP_TR-207 NEGOTIATION Initial Offer Package.pdf</t>
  </si>
  <si>
    <t>COW-FRMP_TR-207 NEGOTIATION Initial Offer Package CMRR.pdf</t>
  </si>
  <si>
    <t>COW-FRMP_TR-210 APPRAISAL Appraisal Review.pdf</t>
  </si>
  <si>
    <t>COW-FRMP_TR-210 APPRAISAL Just Compensation Approval.pdf</t>
  </si>
  <si>
    <t>COW-FRMP_TR-210 APPRAISAL USACOE Authorization to Proceed with Offer Approval.pdf</t>
  </si>
  <si>
    <t>COW-FRMP_TR-210 NEGOTIATION Initial Offer Package.pdf</t>
  </si>
  <si>
    <t>COW-FRMP_TR-210 NEGOTIATION Initial Offer Package CMRR.pdf</t>
  </si>
  <si>
    <t>COW-FRMP_TR-213 APPRAISAL Appraisal Review.pdf</t>
  </si>
  <si>
    <t>COW-FRMP_TR-213 APPRAISAL Just Compensation Approval.pdf</t>
  </si>
  <si>
    <t>COW-FRMP_TR-213 APPRAISAL USACOE Authorization to Proceed with Offer Approval.pdf</t>
  </si>
  <si>
    <t>COW-FRMP_TR-215 APPRAISAL Final Appraisal.pdf</t>
  </si>
  <si>
    <t>COW-FRMP_TR-215 APPRAISAL Just Compensation Memo.pdf</t>
  </si>
  <si>
    <t>COW-FRMP_TR-215 APPRAISAL USACOE Authorization to Proceed with Offer.pdf</t>
  </si>
  <si>
    <t>COW-FRMP_TR-220 APPRAISAL Final Appraisal.pdf</t>
  </si>
  <si>
    <t>COW-FRMP_TR-220 APPRAISAL Just Compensation Memo.pdf</t>
  </si>
  <si>
    <t>COW-FRMP_TR-220 APPRAISAL USACOE Authorization to Proceed with Offer.pdf</t>
  </si>
  <si>
    <t>COW-FRMP_TR-231 TITLE Commitment Backup Docs.pdf</t>
  </si>
  <si>
    <t>COW-FRMP_TR-231 TITLE Curative Plan.docx</t>
  </si>
  <si>
    <t>COW-FRMP_TR-301 APPRAISAL Final Appraisal.pdf</t>
  </si>
  <si>
    <t>COW-FRMP_TR-301 APPRAISAL Just Compensation Memo.pdf</t>
  </si>
  <si>
    <t>COW-FRMP_TR-301 APPRAISAL USACOE Authorization to Proceed with Offer.pdf</t>
  </si>
  <si>
    <t>COW-FRMP_TR-309 NEGOTIATION Initial Offer Package.pdf</t>
  </si>
  <si>
    <t>COW-FRMP_TR-309 NEGOTIATION Initial Offer Package CMRR.pdf</t>
  </si>
  <si>
    <t>COW-FRMP_TR-311 APPRAISAL Just Compensation Approval.pdf</t>
  </si>
  <si>
    <t>COW-FRMP_TR-311 APPRAISAL USACOE Authorization to Proceed with Offer Approval.pdf</t>
  </si>
  <si>
    <t>COW-FRMP_TR-311 NEGOTIATION Initial Offer Package.pdf</t>
  </si>
  <si>
    <t>COW-FRMP_TR-311 NEGOTIATION Initial Offer Package CMRR.pdf</t>
  </si>
  <si>
    <t>COW-FRMP_TR-313 APPRAISAL Appraisal Review.pdf</t>
  </si>
  <si>
    <t>COW-FRMP_TR-313 APPRAISAL Just Compensation Approval.pdf</t>
  </si>
  <si>
    <t>COW-FRMP_TR-313 APPRAISAL USACOE Authorization to Proceed with Offer Approval.pdf</t>
  </si>
  <si>
    <t>COW-FRMP_TR-314 APPRAISAL Final Appraisal.pdf</t>
  </si>
  <si>
    <t>COW-FRMP_TR-314 APPRAISAL Just Compensation Memo.pdf</t>
  </si>
  <si>
    <t>COW-FRMP_TR-314 APPRAISAL USACOE Authorization to Proceed with Offer.pdf</t>
  </si>
  <si>
    <t>COW-FRMP_TR-315 APPRAISAL Appraisal Review.pdf</t>
  </si>
  <si>
    <t>COW-FRMP_TR-315 APPRAISAL Just Compensation Approval.pdf</t>
  </si>
  <si>
    <t>COW-FRMP_TR-315 APPRAISAL USACOE Authorization to Proceed with Offer Approval.pdf</t>
  </si>
  <si>
    <t>COW-FRMP_TR-315 NEGOTIATION Initial Offer Package.pdf</t>
  </si>
  <si>
    <t>COW-FRMP_TR-315 NEGOTIATION Initial Offer Package CMRR.pdf</t>
  </si>
  <si>
    <t>COW-FRMP_TR-KCSR TITLE Commitment.pdf</t>
  </si>
  <si>
    <t>COW-FRMP_TR-322 TITLE Curative Plan.docx</t>
  </si>
  <si>
    <t>COW-FRMP_TR-323 SURVEY Description-Plat_USACOE.pdf</t>
  </si>
  <si>
    <t>COW-FRMP_TR-324 SURVEY Description-Plat_USACOE.pdf</t>
  </si>
  <si>
    <t>COW-FRMP_TR-T158 ROE Right-of-Entry Executed.pdf</t>
  </si>
  <si>
    <t>COW-FRMP_TR-T194 CONTACT Negotiator Report.docx</t>
  </si>
  <si>
    <t>COW-FRMP_TR-T194 ENVIRONMENTAL Right-of-Entry Package.pdf</t>
  </si>
  <si>
    <t>COW-FRMP_TR-T194 TITLE Tax Card.pdf</t>
  </si>
  <si>
    <t>COW-FRMP_TR-T212 ROE Right-of-Entry Executed.pdf</t>
  </si>
  <si>
    <t>COW-FRMP_TR-T215 ROE Right-of-Entry Executed.PDF</t>
  </si>
  <si>
    <t>COW-FRMP_TR-T256 ROE Right-of-Entry Executed.pdf</t>
  </si>
  <si>
    <t>COW-FRMP_TR-T267 ROE Right-of-Entry Executed.pdf</t>
  </si>
  <si>
    <t>COW-FRMP_TR-T268 ROE Right-of-Entry Executed.pdf</t>
  </si>
  <si>
    <t>COWFRLPHDR-5-1338</t>
  </si>
  <si>
    <t>COWFRLPHDR-5-1339</t>
  </si>
  <si>
    <t>COWFRLPHDR-5-1340</t>
  </si>
  <si>
    <t>COWFRLPHDR-5-1301</t>
  </si>
  <si>
    <t>COWFRLPHDR-5-1300</t>
  </si>
  <si>
    <t>COWFRLPHDR-5-1303</t>
  </si>
  <si>
    <t>COWFRLPHDR-5-1302</t>
  </si>
  <si>
    <t>COWFRLPHDR-5-1359</t>
  </si>
  <si>
    <t>COWFRLPHDR-5-1358</t>
  </si>
  <si>
    <t>COWFRLPHDR-5-1317</t>
  </si>
  <si>
    <t>COWFRLPHDR-5-1305</t>
  </si>
  <si>
    <t>COWFRLPHDR-5-1306</t>
  </si>
  <si>
    <t>COWFRLPHDR-5-1355</t>
  </si>
  <si>
    <t>COWFRLPHDR-5-1349</t>
  </si>
  <si>
    <t>COWFRLPHDR-5-1318</t>
  </si>
  <si>
    <t>COWFRLPHDR-5-1307</t>
  </si>
  <si>
    <t>COWFRLPHDR-5-1308</t>
  </si>
  <si>
    <t>COWFRLPHDR-5-1352</t>
  </si>
  <si>
    <t>COWFRLPHDR-5-1351</t>
  </si>
  <si>
    <t>COWFRLPHDR-5-1319</t>
  </si>
  <si>
    <t>COWFRLPHDR-5-1315</t>
  </si>
  <si>
    <t>COWFRLPHDR-5-1316</t>
  </si>
  <si>
    <t>COWFRLPHDR-5-1321</t>
  </si>
  <si>
    <t>COWFRLPHDR-5-1322</t>
  </si>
  <si>
    <t>COWFRLPHDR-5-1323</t>
  </si>
  <si>
    <t>COWFRLPHDR-5-1299</t>
  </si>
  <si>
    <t>COWFRLPHDR-5-1297</t>
  </si>
  <si>
    <t>COWFRLPHDR-5-1298</t>
  </si>
  <si>
    <t>COWFRLPHDR-5-1365</t>
  </si>
  <si>
    <t>COWFRLPHDR-5-1329</t>
  </si>
  <si>
    <t>COWFRLPHDR-5-1342</t>
  </si>
  <si>
    <t>COWFRLPHDR-5-1343</t>
  </si>
  <si>
    <t>COWFRLPHDR-5-1344</t>
  </si>
  <si>
    <t>COWFRLPHDR-5-1325</t>
  </si>
  <si>
    <t>COWFRLPHDR-5-1324</t>
  </si>
  <si>
    <t>COWFRLPHDR-5-1309</t>
  </si>
  <si>
    <t>COWFRLPHDR-5-1310</t>
  </si>
  <si>
    <t>COWFRLPHDR-5-1354</t>
  </si>
  <si>
    <t>COWFRLPHDR-5-1353</t>
  </si>
  <si>
    <t>COWFRLPHDR-5-1326</t>
  </si>
  <si>
    <t>COWFRLPHDR-5-1311</t>
  </si>
  <si>
    <t>COWFRLPHDR-5-1312</t>
  </si>
  <si>
    <t>COWFRLPHDR-5-1346</t>
  </si>
  <si>
    <t>COWFRLPHDR-5-1347</t>
  </si>
  <si>
    <t>COWFRLPHDR-5-1348</t>
  </si>
  <si>
    <t>COWFRLPHDR-5-1327</t>
  </si>
  <si>
    <t>COWFRLPHDR-5-1313</t>
  </si>
  <si>
    <t>COWFRLPHDR-5-1314</t>
  </si>
  <si>
    <t>COWFRLPHDR-5-1361</t>
  </si>
  <si>
    <t>COWFRLPHDR-5-1360</t>
  </si>
  <si>
    <t>COWFRLPHDR-5-1356</t>
  </si>
  <si>
    <t>COWFRLPHDR-5-1357</t>
  </si>
  <si>
    <t>COWFRLPHDR-5-1330</t>
  </si>
  <si>
    <t>COWFRLPHDR-5-1331</t>
  </si>
  <si>
    <t>COWFRLPHDR-5-1304</t>
  </si>
  <si>
    <t>COWFRLPHDR-5-1332</t>
  </si>
  <si>
    <t>COWFRLPHDR-5-1362</t>
  </si>
  <si>
    <t>COWFRLPHDR-5-1363</t>
  </si>
  <si>
    <t>COWFRLPHDR-5-1364</t>
  </si>
  <si>
    <t>COWFRLPHDR-5-1333</t>
  </si>
  <si>
    <t>COWFRLPHDR-5-1336</t>
  </si>
  <si>
    <t>COWFRLPHDR-5-1328</t>
  </si>
  <si>
    <t>COWFRLPHDR-5-1334</t>
  </si>
  <si>
    <t>COWFRLPHDR-5-1335</t>
  </si>
  <si>
    <t>12750 Briar Forest Drive Apt 1914</t>
  </si>
  <si>
    <t>Houston, TX 77077</t>
  </si>
  <si>
    <t>COW-FRMP_TR-T194</t>
  </si>
  <si>
    <t>682-465-6225</t>
  </si>
  <si>
    <t>Cynthia</t>
  </si>
  <si>
    <t>Natividad’s daughter</t>
  </si>
  <si>
    <t>cynevee@gmail.com</t>
  </si>
  <si>
    <t xml:space="preserve">979-559-1184 </t>
  </si>
  <si>
    <t>donahueallen696@yahoo.com</t>
  </si>
  <si>
    <t>832-265-7037</t>
  </si>
  <si>
    <t>ochoalizbeth90@yahoo.com</t>
  </si>
  <si>
    <t>832-286-2787</t>
  </si>
  <si>
    <t>979-532-1973</t>
  </si>
  <si>
    <t>979-253-4893</t>
  </si>
  <si>
    <t>713-899-2761 Frank</t>
  </si>
  <si>
    <t>jakepopp@yahoo.com</t>
  </si>
  <si>
    <t xml:space="preserve">979-453-0030 </t>
  </si>
  <si>
    <t xml:space="preserve">979-533-2526 </t>
  </si>
  <si>
    <t>979-531-9416</t>
  </si>
  <si>
    <t>832-612-1752</t>
  </si>
  <si>
    <t>832-612-1751</t>
  </si>
  <si>
    <t>Kevin</t>
  </si>
  <si>
    <t>Kevin.Kolodziejcyk@eotools.com</t>
  </si>
  <si>
    <t>361-935-7909</t>
  </si>
  <si>
    <t>annlipscombwitt@gmail.com</t>
  </si>
  <si>
    <t>832-654-0358</t>
  </si>
  <si>
    <t>tjjansky@yahoo.com</t>
  </si>
  <si>
    <t>979-533-2115</t>
  </si>
  <si>
    <t xml:space="preserve">713-668-8413 </t>
  </si>
  <si>
    <t xml:space="preserve">713-823-4086 </t>
  </si>
  <si>
    <t>larrykalina2013@yahoo.com</t>
  </si>
  <si>
    <t>979.533.1504</t>
  </si>
  <si>
    <t>281.460.3221</t>
  </si>
  <si>
    <t>281.352.2201</t>
  </si>
  <si>
    <t>713.516.0420 Jacquelin</t>
  </si>
  <si>
    <t>ballejo_stephanie@yahoo.com</t>
  </si>
  <si>
    <t>979.257.3837</t>
  </si>
  <si>
    <t>979-453-0584</t>
  </si>
  <si>
    <t>979-253-4959</t>
  </si>
  <si>
    <t>979.533.7204</t>
  </si>
  <si>
    <t>Raymond Rodriguez</t>
  </si>
  <si>
    <t xml:space="preserve">Raymond </t>
  </si>
  <si>
    <t xml:space="preserve">Julian </t>
  </si>
  <si>
    <t>Cantero</t>
  </si>
  <si>
    <t>Owner (Life Estate)</t>
  </si>
  <si>
    <t>14316 Lark Meadow Drive</t>
  </si>
  <si>
    <t>Venus, TX 76084</t>
  </si>
  <si>
    <t>Phone numbers above, belong to Ms. Nelson's daughter, Sandra Bryant.</t>
  </si>
  <si>
    <t>Wife's name is Julie Torres - Owner stated that he does not want any vehicles on his yard, per Lily.
 </t>
  </si>
  <si>
    <r>
      <t xml:space="preserve">Possible phone numbers for Lionel </t>
    </r>
    <r>
      <rPr>
        <b/>
        <sz val="10"/>
        <color theme="1"/>
        <rFont val="Arial"/>
      </rPr>
      <t>979.533.4703, 979.282.9198</t>
    </r>
    <r>
      <rPr>
        <sz val="10"/>
        <color theme="1"/>
        <rFont val="Arial"/>
        <family val="2"/>
      </rPr>
      <t xml:space="preserve">, 979.532.5496 - Rachel - </t>
    </r>
    <r>
      <rPr>
        <b/>
        <sz val="10"/>
        <color theme="1"/>
        <rFont val="Arial"/>
      </rPr>
      <t>979.533.9290,</t>
    </r>
    <r>
      <rPr>
        <sz val="10"/>
        <color theme="1"/>
        <rFont val="Arial"/>
        <family val="2"/>
      </rPr>
      <t xml:space="preserve"> 979.532.8226, 409.532.8226, </t>
    </r>
    <r>
      <rPr>
        <b/>
        <sz val="10"/>
        <color theme="1"/>
        <rFont val="Arial"/>
      </rPr>
      <t xml:space="preserve">979.533.3507, </t>
    </r>
    <r>
      <rPr>
        <sz val="10"/>
        <color theme="1"/>
        <rFont val="Arial"/>
        <family val="2"/>
      </rPr>
      <t>979.282.9198</t>
    </r>
  </si>
  <si>
    <t>12</t>
  </si>
  <si>
    <t>13</t>
  </si>
  <si>
    <t>49</t>
  </si>
  <si>
    <t>51</t>
  </si>
  <si>
    <t>6/30/20 Property Owner received</t>
  </si>
  <si>
    <t>Initial Offer 
Package
Delivered USPS Date</t>
  </si>
  <si>
    <t>NEGOTIATION Information About Brokerage Services Acknowledgment</t>
  </si>
  <si>
    <t>Information About Brokerage Services Acknowledgment</t>
  </si>
  <si>
    <t>NEGOTIATION Initial Offer Package Acknowledgment</t>
  </si>
  <si>
    <t>Initial Offer Package Acknowledgment</t>
  </si>
  <si>
    <t>PO received on 7/7/20</t>
  </si>
  <si>
    <t>COW-FRMP_TR-309 NEGOTIATION Information About Brokerage Services Acknowledgment.pdf</t>
  </si>
  <si>
    <t>COW-FRMP_TR-309 NEGOTIATION Initial Offer Package Acknowledgment.pdf</t>
  </si>
  <si>
    <t>COWFRLPHDR-5-1366</t>
  </si>
  <si>
    <t>COWFRLPHDR-5-1367</t>
  </si>
  <si>
    <t>IABS - TREC</t>
  </si>
  <si>
    <t>Info About Brokerage Services Acknowledgment</t>
  </si>
  <si>
    <t>Julian Cantero signed 7-9-20</t>
  </si>
  <si>
    <t>COW-FRMP_TR-208 APPRAISAL Final Appraisal.pdf</t>
  </si>
  <si>
    <t>COW-FRMP_TR-208 APPRAISAL Just Compensation Memo.pdf</t>
  </si>
  <si>
    <t>COW-FRMP_TR-208 APPRAISAL USACOE Authorization to Proceed with Offer.pdf</t>
  </si>
  <si>
    <t>COW-FRMP_TR-304 APPRAISAL Final Appraisal.pdf</t>
  </si>
  <si>
    <t>COW-FRMP_TR-304 APPRAISAL Just Compensation Memo.pdf</t>
  </si>
  <si>
    <t>COW-FRMP_TR-304 APPRAISAL USACOE Authorization to Proceed with Offer.pdf</t>
  </si>
  <si>
    <t>COW-FRMP_TR-308 APPRAISAL Final Appraisal.pdf</t>
  </si>
  <si>
    <t>COW-FRMP_TR-308 APPRAISAL Just Compensation Memo.pdf</t>
  </si>
  <si>
    <t>COW-FRMP_TR-308 APPRAISAL USACOE Authorization to Proceed with Offer.pdf</t>
  </si>
  <si>
    <t>COW-FRMP_TR-T190 ROE Right-of-Entry Executed.pdf</t>
  </si>
  <si>
    <t>COWFRLPHDR-5-1369</t>
  </si>
  <si>
    <t>COWFRLPHDR-5-1370</t>
  </si>
  <si>
    <t>COWFRLPHDR-5-1371</t>
  </si>
  <si>
    <t>COWFRLPHDR-5-1372</t>
  </si>
  <si>
    <t>COWFRLPHDR-5-1373</t>
  </si>
  <si>
    <t>COWFRLPHDR-5-1374</t>
  </si>
  <si>
    <t>COWFRLPHDR-5-1375</t>
  </si>
  <si>
    <t>COWFRLPHDR-5-1376</t>
  </si>
  <si>
    <t>COWFRLPHDR-5-1377</t>
  </si>
  <si>
    <t>COWFRLPHDR-5-1368</t>
  </si>
  <si>
    <t>31</t>
  </si>
  <si>
    <t>ADMIN STLMNT Evaluation and Approval Form</t>
  </si>
  <si>
    <t>ADMIN STLMNT</t>
  </si>
  <si>
    <t>Evaluation and Approval Form</t>
  </si>
  <si>
    <t xml:space="preserve">Property Owner's Counter Offer </t>
  </si>
  <si>
    <t>R013050;#54</t>
  </si>
  <si>
    <t>COW-FRMP_TR-313 NEGOTIATION Initial Offer Package.pdf</t>
  </si>
  <si>
    <t>COW-FRMP_TR-313 NEGOTIATION Initial Offer Package CMRR.pdf</t>
  </si>
  <si>
    <t>COWFRLPHDR-5-1379</t>
  </si>
  <si>
    <t>COWFRLPHDR-5-1378</t>
  </si>
  <si>
    <t>COW-FRMP_TR-319 APPRAISAL Final Appraisal.pdf</t>
  </si>
  <si>
    <t>COW-FRMP_TR-319 APPRAISAL Just Compensation Memo.pdf</t>
  </si>
  <si>
    <t>COW-FRMP_TR-319 APPRAISAL USACOE Authorization to Proceed with Offer.pdf</t>
  </si>
  <si>
    <t>COWFRLPHDR-5-1380</t>
  </si>
  <si>
    <t>COWFRLPHDR-5-1381</t>
  </si>
  <si>
    <t>COWFRLPHDR-5-1382</t>
  </si>
  <si>
    <t>David Mowels</t>
  </si>
  <si>
    <t xml:space="preserve">David </t>
  </si>
  <si>
    <t>Owner/Spouse</t>
  </si>
  <si>
    <t>32</t>
  </si>
  <si>
    <t>ENV 103 - Hayes Charlston</t>
  </si>
  <si>
    <t>ENV 103_Return to Sender - Vacant</t>
  </si>
  <si>
    <t>COW-FRMP_TR-231 ENVIRONMENTAL Right-of-Entry Executed.pdf</t>
  </si>
  <si>
    <t>COW-FRMP_TR-T238 ROE Right-of-Entry Executed.pdf</t>
  </si>
  <si>
    <t>COWFRLPHDR-5-1385</t>
  </si>
  <si>
    <t>COWFRLPHDR-5-1383</t>
  </si>
  <si>
    <t>COWFRLPHDR-5-1384</t>
  </si>
  <si>
    <t>Wharton City as Trustee % Wharaton County Tax Office</t>
  </si>
  <si>
    <t>PO Box 189</t>
  </si>
  <si>
    <t>1810 Azalea Dr., Wharton, TX 77488</t>
  </si>
  <si>
    <t>Wharton City as Trustee % Wharton County Tax Office</t>
  </si>
  <si>
    <t>40</t>
  </si>
  <si>
    <t>29</t>
  </si>
  <si>
    <t>The City of Wharton, Texas, as Trustee % Wharton County Tax Office</t>
  </si>
  <si>
    <t xml:space="preserve">Raymond Limas </t>
  </si>
  <si>
    <t>2 pkgs delivered 7/13/2020</t>
  </si>
</sst>
</file>

<file path=xl/styles.xml><?xml version="1.0" encoding="utf-8"?>
<styleSheet xmlns="http://schemas.openxmlformats.org/spreadsheetml/2006/main" xmlns:mc="http://schemas.openxmlformats.org/markup-compatibility/2006" xmlns:x14ac="http://schemas.microsoft.com/office/spreadsheetml/2009/9/ac" mc:Ignorable="x14ac">
  <numFmts count="8">
    <numFmt numFmtId="44" formatCode="_(&quot;$&quot;* #,##0.00_);_(&quot;$&quot;* \(#,##0.00\);_(&quot;$&quot;* &quot;-&quot;??_);_(@_)"/>
    <numFmt numFmtId="164" formatCode="#,##0.0000"/>
    <numFmt numFmtId="165" formatCode="mm/dd/yy\ hh:mm"/>
    <numFmt numFmtId="166" formatCode="m/dd/yy_);@"/>
    <numFmt numFmtId="167" formatCode="[$$-409]#,##0.00_);\([$$-409]#,##0.00\)"/>
    <numFmt numFmtId="168" formatCode="0.0"/>
    <numFmt numFmtId="169" formatCode="_([$$-409]* #,##0.00_);_([$$-409]* \(#,##0.00\);_([$$-409]* &quot;-&quot;??_);_(@_)"/>
    <numFmt numFmtId="170" formatCode="0.0000"/>
  </numFmts>
  <fonts count="79" x14ac:knownFonts="1">
    <font>
      <sz val="10"/>
      <color theme="1"/>
      <name val="Arial"/>
      <family val="2"/>
    </font>
    <font>
      <sz val="10"/>
      <color theme="1"/>
      <name val="Arial"/>
      <family val="2"/>
    </font>
    <font>
      <sz val="18"/>
      <color theme="3"/>
      <name val="Calibri Light"/>
      <family val="2"/>
      <scheme val="major"/>
    </font>
    <font>
      <b/>
      <sz val="15"/>
      <color theme="3"/>
      <name val="Arial"/>
      <family val="2"/>
    </font>
    <font>
      <b/>
      <sz val="13"/>
      <color theme="3"/>
      <name val="Arial"/>
      <family val="2"/>
    </font>
    <font>
      <b/>
      <sz val="11"/>
      <color theme="3"/>
      <name val="Arial"/>
      <family val="2"/>
    </font>
    <font>
      <sz val="10"/>
      <color rgb="FF006100"/>
      <name val="Arial"/>
      <family val="2"/>
    </font>
    <font>
      <sz val="10"/>
      <color rgb="FF9C0006"/>
      <name val="Arial"/>
      <family val="2"/>
    </font>
    <font>
      <sz val="10"/>
      <color rgb="FF9C6500"/>
      <name val="Arial"/>
      <family val="2"/>
    </font>
    <font>
      <sz val="10"/>
      <color rgb="FF3F3F76"/>
      <name val="Arial"/>
      <family val="2"/>
    </font>
    <font>
      <b/>
      <sz val="10"/>
      <color rgb="FF3F3F3F"/>
      <name val="Arial"/>
      <family val="2"/>
    </font>
    <font>
      <b/>
      <sz val="10"/>
      <color rgb="FFFA7D00"/>
      <name val="Arial"/>
      <family val="2"/>
    </font>
    <font>
      <sz val="10"/>
      <color rgb="FFFA7D00"/>
      <name val="Arial"/>
      <family val="2"/>
    </font>
    <font>
      <b/>
      <sz val="10"/>
      <color theme="0"/>
      <name val="Arial"/>
      <family val="2"/>
    </font>
    <font>
      <sz val="10"/>
      <color rgb="FFFF0000"/>
      <name val="Arial"/>
      <family val="2"/>
    </font>
    <font>
      <i/>
      <sz val="10"/>
      <color rgb="FF7F7F7F"/>
      <name val="Arial"/>
      <family val="2"/>
    </font>
    <font>
      <b/>
      <sz val="10"/>
      <color theme="1"/>
      <name val="Arial"/>
      <family val="2"/>
    </font>
    <font>
      <sz val="10"/>
      <color theme="0"/>
      <name val="Arial"/>
      <family val="2"/>
    </font>
    <font>
      <sz val="11"/>
      <color theme="1"/>
      <name val="Arial"/>
      <family val="2"/>
    </font>
    <font>
      <sz val="12"/>
      <color theme="1"/>
      <name val="Arial"/>
      <family val="2"/>
    </font>
    <font>
      <u/>
      <sz val="10"/>
      <color theme="10"/>
      <name val="Arial"/>
      <family val="2"/>
    </font>
    <font>
      <b/>
      <sz val="11"/>
      <color theme="1"/>
      <name val="Arial"/>
      <family val="2"/>
    </font>
    <font>
      <sz val="8"/>
      <color theme="1"/>
      <name val="Arial"/>
      <family val="2"/>
    </font>
    <font>
      <sz val="10"/>
      <name val="Arial"/>
      <family val="2"/>
    </font>
    <font>
      <sz val="12"/>
      <color theme="1"/>
      <name val="Arial"/>
      <family val="2"/>
    </font>
    <font>
      <b/>
      <sz val="11"/>
      <color theme="1"/>
      <name val="Arial"/>
      <family val="2"/>
    </font>
    <font>
      <sz val="8"/>
      <color theme="1"/>
      <name val="Arial"/>
      <family val="2"/>
    </font>
    <font>
      <b/>
      <sz val="12"/>
      <color theme="0"/>
      <name val="Arial"/>
      <family val="2"/>
    </font>
    <font>
      <sz val="12"/>
      <color rgb="FFC00000"/>
      <name val="Arial Rounded MT Bold"/>
      <family val="2"/>
    </font>
    <font>
      <sz val="12"/>
      <color rgb="FFC00000"/>
      <name val="Wingdings"/>
      <charset val="2"/>
    </font>
    <font>
      <sz val="20"/>
      <color theme="1"/>
      <name val="Arial Rounded MT Bold"/>
      <family val="2"/>
    </font>
    <font>
      <sz val="12"/>
      <color rgb="FFC00000"/>
      <name val="Arial"/>
      <family val="2"/>
    </font>
    <font>
      <sz val="16"/>
      <color theme="1"/>
      <name val="Arial Rounded MT Bold"/>
      <family val="2"/>
    </font>
    <font>
      <sz val="10"/>
      <color rgb="FF0000FF"/>
      <name val="Arial"/>
      <family val="2"/>
    </font>
    <font>
      <sz val="14"/>
      <color rgb="FFC00000"/>
      <name val="Arial Rounded MT Bold"/>
      <family val="2"/>
    </font>
    <font>
      <sz val="14"/>
      <color rgb="FFC00000"/>
      <name val="Wingdings"/>
      <charset val="2"/>
    </font>
    <font>
      <sz val="14"/>
      <color rgb="FF0000FF"/>
      <name val="Arial Rounded MT Bold"/>
      <family val="2"/>
    </font>
    <font>
      <b/>
      <sz val="12"/>
      <color rgb="FF0000FF"/>
      <name val="Arial"/>
      <family val="2"/>
    </font>
    <font>
      <i/>
      <sz val="12"/>
      <color theme="1"/>
      <name val="Arial"/>
      <family val="2"/>
    </font>
    <font>
      <b/>
      <sz val="12"/>
      <color theme="1"/>
      <name val="Arial"/>
      <family val="2"/>
    </font>
    <font>
      <sz val="9"/>
      <name val="Arial Narrow"/>
      <family val="2"/>
    </font>
    <font>
      <sz val="12"/>
      <color theme="1"/>
      <name val="Arial"/>
      <family val="2"/>
    </font>
    <font>
      <b/>
      <sz val="11"/>
      <color theme="1"/>
      <name val="Arial"/>
      <family val="2"/>
    </font>
    <font>
      <sz val="8"/>
      <color theme="1"/>
      <name val="Arial"/>
      <family val="2"/>
    </font>
    <font>
      <sz val="10"/>
      <name val="Arial"/>
      <family val="2"/>
    </font>
    <font>
      <sz val="9"/>
      <color theme="1"/>
      <name val="Arial"/>
      <family val="2"/>
    </font>
    <font>
      <sz val="10"/>
      <color theme="1"/>
      <name val="Arial Narrow"/>
      <family val="2"/>
    </font>
    <font>
      <b/>
      <sz val="9"/>
      <color theme="0"/>
      <name val="Arial Narrow"/>
      <family val="2"/>
    </font>
    <font>
      <b/>
      <sz val="9"/>
      <color theme="0"/>
      <name val="Arial"/>
      <family val="2"/>
    </font>
    <font>
      <b/>
      <sz val="10"/>
      <color theme="1"/>
      <name val="Arial Narrow"/>
      <family val="2"/>
    </font>
    <font>
      <sz val="8"/>
      <color theme="1"/>
      <name val="Arial Narrow"/>
      <family val="2"/>
    </font>
    <font>
      <b/>
      <sz val="11"/>
      <color theme="0"/>
      <name val="Arial"/>
      <family val="2"/>
    </font>
    <font>
      <b/>
      <sz val="14"/>
      <color theme="0"/>
      <name val="Arial"/>
      <family val="2"/>
    </font>
    <font>
      <sz val="8"/>
      <color theme="0"/>
      <name val="Arial"/>
      <family val="2"/>
    </font>
    <font>
      <sz val="11"/>
      <color rgb="FFC00000"/>
      <name val="Arial Rounded MT Bold"/>
      <family val="2"/>
    </font>
    <font>
      <b/>
      <sz val="12"/>
      <color rgb="FFC00000"/>
      <name val="Arial"/>
      <family val="2"/>
    </font>
    <font>
      <sz val="11"/>
      <color rgb="FFC00000"/>
      <name val="Arial"/>
      <family val="2"/>
    </font>
    <font>
      <i/>
      <sz val="12"/>
      <color rgb="FFC00000"/>
      <name val="Arial"/>
      <family val="2"/>
    </font>
    <font>
      <b/>
      <sz val="9"/>
      <color theme="1"/>
      <name val="Arial"/>
      <family val="2"/>
    </font>
    <font>
      <sz val="9"/>
      <color theme="0"/>
      <name val="Arial"/>
      <family val="2"/>
    </font>
    <font>
      <sz val="8"/>
      <name val="Arial Narrow"/>
      <family val="2"/>
    </font>
    <font>
      <u/>
      <sz val="8"/>
      <name val="Arial Narrow"/>
      <family val="2"/>
    </font>
    <font>
      <sz val="12"/>
      <color theme="1"/>
      <name val="Arial"/>
      <family val="2"/>
    </font>
    <font>
      <b/>
      <sz val="11"/>
      <color theme="1"/>
      <name val="Arial"/>
      <family val="2"/>
    </font>
    <font>
      <sz val="8"/>
      <color theme="1"/>
      <name val="Arial"/>
      <family val="2"/>
    </font>
    <font>
      <sz val="8"/>
      <name val="Arial"/>
      <family val="2"/>
    </font>
    <font>
      <sz val="12"/>
      <color theme="1"/>
      <name val="Arial"/>
      <family val="2"/>
    </font>
    <font>
      <b/>
      <sz val="11"/>
      <color theme="1"/>
      <name val="Arial"/>
      <family val="2"/>
    </font>
    <font>
      <sz val="8"/>
      <color theme="1"/>
      <name val="Arial"/>
      <family val="2"/>
    </font>
    <font>
      <sz val="12"/>
      <color theme="1"/>
      <name val="Arial"/>
      <family val="2"/>
    </font>
    <font>
      <b/>
      <sz val="11"/>
      <color theme="1"/>
      <name val="Arial"/>
      <family val="2"/>
    </font>
    <font>
      <sz val="8"/>
      <color theme="1"/>
      <name val="Arial"/>
      <family val="2"/>
    </font>
    <font>
      <sz val="10"/>
      <name val="Arial Narrow"/>
    </font>
    <font>
      <sz val="12"/>
      <color theme="1"/>
      <name val="Arial"/>
    </font>
    <font>
      <b/>
      <sz val="11"/>
      <color theme="1"/>
      <name val="Arial"/>
    </font>
    <font>
      <sz val="11"/>
      <color theme="1"/>
      <name val="Arial"/>
    </font>
    <font>
      <sz val="8"/>
      <color theme="1"/>
      <name val="Arial"/>
    </font>
    <font>
      <sz val="14"/>
      <color theme="1"/>
      <name val="Arial"/>
    </font>
    <font>
      <b/>
      <sz val="10"/>
      <color theme="1"/>
      <name val="Arial"/>
    </font>
  </fonts>
  <fills count="51">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2"/>
        <bgColor indexed="64"/>
      </patternFill>
    </fill>
    <fill>
      <patternFill patternType="solid">
        <fgColor theme="2" tint="-0.499984740745262"/>
        <bgColor indexed="64"/>
      </patternFill>
    </fill>
    <fill>
      <patternFill patternType="solid">
        <fgColor theme="2" tint="-0.499984740745262"/>
        <bgColor theme="4"/>
      </patternFill>
    </fill>
    <fill>
      <patternFill patternType="solid">
        <fgColor theme="2" tint="-9.9978637043366805E-2"/>
        <bgColor theme="4" tint="0.59999389629810485"/>
      </patternFill>
    </fill>
    <fill>
      <patternFill patternType="solid">
        <fgColor theme="7"/>
        <bgColor theme="7"/>
      </patternFill>
    </fill>
    <fill>
      <patternFill patternType="solid">
        <fgColor theme="8"/>
        <bgColor theme="8"/>
      </patternFill>
    </fill>
    <fill>
      <patternFill patternType="solid">
        <fgColor theme="4"/>
        <bgColor theme="4"/>
      </patternFill>
    </fill>
    <fill>
      <patternFill patternType="solid">
        <fgColor theme="1"/>
        <bgColor indexed="64"/>
      </patternFill>
    </fill>
    <fill>
      <patternFill patternType="solid">
        <fgColor rgb="FF8064A2"/>
        <bgColor theme="7"/>
      </patternFill>
    </fill>
    <fill>
      <patternFill patternType="solid">
        <fgColor rgb="FF8064A2"/>
        <bgColor indexed="64"/>
      </patternFill>
    </fill>
    <fill>
      <patternFill patternType="solid">
        <fgColor theme="5" tint="0.39997558519241921"/>
        <bgColor indexed="64"/>
      </patternFill>
    </fill>
    <fill>
      <patternFill patternType="solid">
        <fgColor theme="5" tint="0.39997558519241921"/>
        <bgColor theme="4"/>
      </patternFill>
    </fill>
    <fill>
      <patternFill patternType="solid">
        <fgColor theme="5" tint="0.79998168889431442"/>
        <bgColor theme="4" tint="0.59999389629810485"/>
      </patternFill>
    </fill>
    <fill>
      <patternFill patternType="solid">
        <fgColor theme="5" tint="0.79998168889431442"/>
        <bgColor indexed="64"/>
      </patternFill>
    </fill>
    <fill>
      <patternFill patternType="solid">
        <fgColor theme="3"/>
        <bgColor theme="4"/>
      </patternFill>
    </fill>
    <fill>
      <patternFill patternType="solid">
        <fgColor theme="4"/>
        <bgColor theme="8"/>
      </patternFill>
    </fill>
    <fill>
      <patternFill patternType="solid">
        <fgColor theme="3"/>
        <bgColor theme="8"/>
      </patternFill>
    </fill>
    <fill>
      <patternFill patternType="solid">
        <fgColor theme="4"/>
        <bgColor indexed="64"/>
      </patternFill>
    </fill>
  </fills>
  <borders count="38">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right style="thin">
        <color theme="0"/>
      </right>
      <top/>
      <bottom style="thick">
        <color theme="0"/>
      </bottom>
      <diagonal/>
    </border>
    <border>
      <left style="thin">
        <color indexed="64"/>
      </left>
      <right style="dashed">
        <color indexed="64"/>
      </right>
      <top style="thin">
        <color indexed="64"/>
      </top>
      <bottom style="thin">
        <color indexed="64"/>
      </bottom>
      <diagonal/>
    </border>
    <border>
      <left style="dashed">
        <color indexed="64"/>
      </left>
      <right style="thin">
        <color indexed="64"/>
      </right>
      <top style="thin">
        <color indexed="64"/>
      </top>
      <bottom style="thin">
        <color indexed="64"/>
      </bottom>
      <diagonal/>
    </border>
    <border>
      <left style="thin">
        <color indexed="64"/>
      </left>
      <right style="dashed">
        <color indexed="64"/>
      </right>
      <top/>
      <bottom/>
      <diagonal/>
    </border>
    <border>
      <left style="dashed">
        <color indexed="64"/>
      </left>
      <right style="thin">
        <color indexed="64"/>
      </right>
      <top/>
      <bottom/>
      <diagonal/>
    </border>
    <border>
      <left style="thin">
        <color indexed="64"/>
      </left>
      <right/>
      <top/>
      <bottom/>
      <diagonal/>
    </border>
    <border>
      <left/>
      <right style="thin">
        <color indexed="64"/>
      </right>
      <top/>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medium">
        <color indexed="64"/>
      </bottom>
      <diagonal/>
    </border>
    <border>
      <left style="medium">
        <color auto="1"/>
      </left>
      <right/>
      <top/>
      <bottom/>
      <diagonal/>
    </border>
    <border>
      <left/>
      <right style="medium">
        <color auto="1"/>
      </right>
      <top/>
      <bottom/>
      <diagonal/>
    </border>
    <border>
      <left style="thin">
        <color indexed="64"/>
      </left>
      <right style="medium">
        <color auto="1"/>
      </right>
      <top style="thin">
        <color indexed="64"/>
      </top>
      <bottom style="thin">
        <color indexed="64"/>
      </bottom>
      <diagonal/>
    </border>
    <border>
      <left style="thin">
        <color indexed="64"/>
      </left>
      <right style="medium">
        <color auto="1"/>
      </right>
      <top style="thin">
        <color indexed="64"/>
      </top>
      <bottom/>
      <diagonal/>
    </border>
    <border>
      <left style="thin">
        <color indexed="64"/>
      </left>
      <right style="medium">
        <color auto="1"/>
      </right>
      <top/>
      <bottom style="medium">
        <color indexed="64"/>
      </bottom>
      <diagonal/>
    </border>
    <border>
      <left style="thin">
        <color indexed="64"/>
      </left>
      <right style="medium">
        <color auto="1"/>
      </right>
      <top/>
      <bottom style="thin">
        <color indexed="64"/>
      </bottom>
      <diagonal/>
    </border>
    <border>
      <left style="medium">
        <color auto="1"/>
      </left>
      <right style="thin">
        <color indexed="64"/>
      </right>
      <top/>
      <bottom style="thin">
        <color indexed="64"/>
      </bottom>
      <diagonal/>
    </border>
    <border>
      <left style="medium">
        <color auto="1"/>
      </left>
      <right style="thin">
        <color indexed="64"/>
      </right>
      <top style="thin">
        <color indexed="64"/>
      </top>
      <bottom style="thin">
        <color indexed="64"/>
      </bottom>
      <diagonal/>
    </border>
    <border>
      <left style="medium">
        <color auto="1"/>
      </left>
      <right style="thin">
        <color indexed="64"/>
      </right>
      <top/>
      <bottom style="medium">
        <color indexed="64"/>
      </bottom>
      <diagonal/>
    </border>
    <border>
      <left style="medium">
        <color auto="1"/>
      </left>
      <right style="thin">
        <color indexed="64"/>
      </right>
      <top style="thin">
        <color indexed="64"/>
      </top>
      <bottom/>
      <diagonal/>
    </border>
    <border>
      <left style="thin">
        <color indexed="64"/>
      </left>
      <right/>
      <top/>
      <bottom style="medium">
        <color indexed="64"/>
      </bottom>
      <diagonal/>
    </border>
    <border>
      <left style="thin">
        <color indexed="64"/>
      </left>
      <right/>
      <top/>
      <bottom style="thin">
        <color indexed="64"/>
      </bottom>
      <diagonal/>
    </border>
    <border>
      <left/>
      <right style="thick">
        <color theme="0"/>
      </right>
      <top/>
      <bottom/>
      <diagonal/>
    </border>
    <border>
      <left style="thick">
        <color theme="0"/>
      </left>
      <right/>
      <top/>
      <bottom/>
      <diagonal/>
    </border>
    <border>
      <left/>
      <right style="thick">
        <color auto="1"/>
      </right>
      <top/>
      <bottom/>
      <diagonal/>
    </border>
  </borders>
  <cellStyleXfs count="47">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xf numFmtId="0" fontId="20" fillId="0" borderId="0" applyNumberFormat="0" applyFill="0" applyBorder="0" applyAlignment="0" applyProtection="0"/>
    <xf numFmtId="0" fontId="23" fillId="0" borderId="0"/>
    <xf numFmtId="0" fontId="1" fillId="0" borderId="0"/>
    <xf numFmtId="0" fontId="44" fillId="0" borderId="0"/>
    <xf numFmtId="44" fontId="1" fillId="0" borderId="0" applyFont="0" applyFill="0" applyBorder="0" applyAlignment="0" applyProtection="0"/>
  </cellStyleXfs>
  <cellXfs count="278">
    <xf numFmtId="0" fontId="0" fillId="0" borderId="0" xfId="0"/>
    <xf numFmtId="0" fontId="0" fillId="0" borderId="0" xfId="0" applyAlignment="1">
      <alignment wrapText="1"/>
    </xf>
    <xf numFmtId="0" fontId="0" fillId="0" borderId="0" xfId="0" applyAlignment="1">
      <alignment horizontal="center" vertical="top" wrapText="1"/>
    </xf>
    <xf numFmtId="49" fontId="0" fillId="0" borderId="0" xfId="0" applyNumberFormat="1" applyAlignment="1">
      <alignment vertical="center"/>
    </xf>
    <xf numFmtId="3" fontId="0" fillId="0" borderId="0" xfId="0" applyNumberFormat="1" applyAlignment="1">
      <alignment vertical="center"/>
    </xf>
    <xf numFmtId="164" fontId="0" fillId="0" borderId="0" xfId="0" applyNumberFormat="1" applyAlignment="1">
      <alignment vertical="center"/>
    </xf>
    <xf numFmtId="49" fontId="19" fillId="0" borderId="0" xfId="0" applyNumberFormat="1" applyFont="1" applyAlignment="1">
      <alignment horizontal="center" vertical="center"/>
    </xf>
    <xf numFmtId="49" fontId="0" fillId="0" borderId="0" xfId="0" applyNumberFormat="1" applyAlignment="1">
      <alignment horizontal="center" vertical="center"/>
    </xf>
    <xf numFmtId="49" fontId="0" fillId="0" borderId="0" xfId="0" applyNumberFormat="1" applyAlignment="1">
      <alignment vertical="center" shrinkToFit="1"/>
    </xf>
    <xf numFmtId="0" fontId="18" fillId="0" borderId="0" xfId="0" applyFont="1" applyAlignment="1">
      <alignment horizontal="center" vertical="top" wrapText="1"/>
    </xf>
    <xf numFmtId="0" fontId="19" fillId="0" borderId="0" xfId="0" applyFont="1" applyAlignment="1">
      <alignment horizontal="center" vertical="top" wrapText="1"/>
    </xf>
    <xf numFmtId="165" fontId="0" fillId="0" borderId="0" xfId="0" applyNumberFormat="1" applyAlignment="1">
      <alignment vertical="center"/>
    </xf>
    <xf numFmtId="0" fontId="0" fillId="0" borderId="0" xfId="0" applyAlignment="1">
      <alignment vertical="center" shrinkToFit="1"/>
    </xf>
    <xf numFmtId="0" fontId="0" fillId="0" borderId="0" xfId="0" applyNumberFormat="1" applyAlignment="1">
      <alignment vertical="center"/>
    </xf>
    <xf numFmtId="0" fontId="20" fillId="0" borderId="0" xfId="42" applyAlignment="1">
      <alignment vertical="center" shrinkToFit="1"/>
    </xf>
    <xf numFmtId="49" fontId="21" fillId="0" borderId="0" xfId="0" applyNumberFormat="1" applyFont="1" applyAlignment="1">
      <alignment horizontal="center" vertical="center"/>
    </xf>
    <xf numFmtId="166" fontId="0" fillId="0" borderId="0" xfId="0" applyNumberFormat="1" applyAlignment="1">
      <alignment vertical="center"/>
    </xf>
    <xf numFmtId="167" fontId="0" fillId="0" borderId="0" xfId="0" applyNumberFormat="1" applyAlignment="1">
      <alignment vertical="center"/>
    </xf>
    <xf numFmtId="1" fontId="0" fillId="0" borderId="0" xfId="0" applyNumberFormat="1" applyAlignment="1">
      <alignment horizontal="center" vertical="center"/>
    </xf>
    <xf numFmtId="49" fontId="22" fillId="0" borderId="0" xfId="0" applyNumberFormat="1" applyFont="1" applyAlignment="1">
      <alignment vertical="center" shrinkToFit="1"/>
    </xf>
    <xf numFmtId="49" fontId="16" fillId="0" borderId="0" xfId="0" applyNumberFormat="1" applyFont="1" applyAlignment="1">
      <alignment horizontal="center" vertical="center"/>
    </xf>
    <xf numFmtId="49" fontId="25" fillId="0" borderId="0" xfId="0" applyNumberFormat="1" applyFont="1" applyAlignment="1">
      <alignment horizontal="center" vertical="center"/>
    </xf>
    <xf numFmtId="49" fontId="26" fillId="0" borderId="0" xfId="0" applyNumberFormat="1" applyFont="1" applyAlignment="1">
      <alignment vertical="center" shrinkToFit="1"/>
    </xf>
    <xf numFmtId="49" fontId="24" fillId="0" borderId="0" xfId="0" applyNumberFormat="1" applyFont="1" applyAlignment="1">
      <alignment horizontal="center" vertical="center"/>
    </xf>
    <xf numFmtId="0" fontId="19" fillId="0" borderId="0" xfId="0" applyFont="1" applyAlignment="1">
      <alignment horizontal="left" vertical="center" indent="1" shrinkToFit="1"/>
    </xf>
    <xf numFmtId="0" fontId="16" fillId="0" borderId="0" xfId="0" applyFont="1" applyAlignment="1">
      <alignment horizontal="left" vertical="center" indent="1" shrinkToFit="1"/>
    </xf>
    <xf numFmtId="165" fontId="0" fillId="0" borderId="0" xfId="0" applyNumberFormat="1" applyAlignment="1">
      <alignment vertical="center" shrinkToFit="1"/>
    </xf>
    <xf numFmtId="0" fontId="28" fillId="33" borderId="11" xfId="44" applyFont="1" applyFill="1" applyBorder="1" applyAlignment="1" applyProtection="1">
      <alignment horizontal="right" vertical="center" indent="1"/>
    </xf>
    <xf numFmtId="0" fontId="30" fillId="0" borderId="12" xfId="44" applyFont="1" applyBorder="1" applyAlignment="1" applyProtection="1">
      <alignment horizontal="left" vertical="center" indent="4"/>
      <protection locked="0"/>
    </xf>
    <xf numFmtId="0" fontId="1" fillId="0" borderId="0" xfId="44"/>
    <xf numFmtId="0" fontId="31" fillId="34" borderId="13" xfId="44" applyFont="1" applyFill="1" applyBorder="1" applyAlignment="1" applyProtection="1">
      <alignment horizontal="right" indent="1"/>
    </xf>
    <xf numFmtId="0" fontId="1" fillId="34" borderId="14" xfId="44" applyFill="1" applyBorder="1" applyProtection="1"/>
    <xf numFmtId="0" fontId="32" fillId="0" borderId="12" xfId="44" applyFont="1" applyBorder="1" applyAlignment="1" applyProtection="1">
      <alignment horizontal="left" vertical="center" indent="2"/>
      <protection locked="0"/>
    </xf>
    <xf numFmtId="0" fontId="34" fillId="33" borderId="11" xfId="44" applyFont="1" applyFill="1" applyBorder="1" applyAlignment="1" applyProtection="1">
      <alignment horizontal="right" vertical="center" indent="1"/>
    </xf>
    <xf numFmtId="0" fontId="36" fillId="0" borderId="12" xfId="44" applyFont="1" applyBorder="1" applyAlignment="1" applyProtection="1">
      <alignment horizontal="left" vertical="center" indent="1" shrinkToFit="1"/>
      <protection hidden="1"/>
    </xf>
    <xf numFmtId="0" fontId="1" fillId="34" borderId="15" xfId="44" applyFill="1" applyBorder="1" applyProtection="1"/>
    <xf numFmtId="0" fontId="1" fillId="34" borderId="16" xfId="44" applyFill="1" applyBorder="1" applyProtection="1"/>
    <xf numFmtId="0" fontId="13" fillId="35" borderId="11" xfId="44" applyFont="1" applyFill="1" applyBorder="1" applyAlignment="1" applyProtection="1">
      <alignment horizontal="right" vertical="center" wrapText="1" indent="1"/>
    </xf>
    <xf numFmtId="0" fontId="38" fillId="36" borderId="12" xfId="44" applyNumberFormat="1" applyFont="1" applyFill="1" applyBorder="1" applyAlignment="1" applyProtection="1">
      <alignment horizontal="left" vertical="center" indent="1" shrinkToFit="1"/>
      <protection hidden="1"/>
    </xf>
    <xf numFmtId="0" fontId="39" fillId="36" borderId="12" xfId="44" applyNumberFormat="1" applyFont="1" applyFill="1" applyBorder="1" applyAlignment="1" applyProtection="1">
      <alignment horizontal="left" vertical="center" wrapText="1" indent="1" shrinkToFit="1"/>
      <protection hidden="1"/>
    </xf>
    <xf numFmtId="0" fontId="18" fillId="36" borderId="12" xfId="44" applyNumberFormat="1" applyFont="1" applyFill="1" applyBorder="1" applyAlignment="1" applyProtection="1">
      <alignment horizontal="left" vertical="center" indent="1" shrinkToFit="1"/>
      <protection hidden="1"/>
    </xf>
    <xf numFmtId="0" fontId="18" fillId="36" borderId="12" xfId="44" applyNumberFormat="1" applyFont="1" applyFill="1" applyBorder="1" applyAlignment="1" applyProtection="1">
      <alignment horizontal="left" vertical="center" indent="1"/>
      <protection hidden="1"/>
    </xf>
    <xf numFmtId="0" fontId="1" fillId="34" borderId="17" xfId="44" applyFill="1" applyBorder="1" applyProtection="1"/>
    <xf numFmtId="0" fontId="1" fillId="34" borderId="18" xfId="44" applyFill="1" applyBorder="1" applyProtection="1"/>
    <xf numFmtId="0" fontId="41" fillId="0" borderId="0" xfId="0" applyFont="1" applyAlignment="1">
      <alignment horizontal="left" vertical="center" indent="1" shrinkToFit="1"/>
    </xf>
    <xf numFmtId="49" fontId="42" fillId="0" borderId="0" xfId="0" applyNumberFormat="1" applyFont="1" applyAlignment="1">
      <alignment horizontal="center" vertical="center"/>
    </xf>
    <xf numFmtId="49" fontId="43" fillId="0" borderId="0" xfId="0" applyNumberFormat="1" applyFont="1" applyAlignment="1">
      <alignment vertical="center" shrinkToFit="1"/>
    </xf>
    <xf numFmtId="49" fontId="41" fillId="0" borderId="0" xfId="0" applyNumberFormat="1" applyFont="1" applyAlignment="1">
      <alignment horizontal="center" vertical="center"/>
    </xf>
    <xf numFmtId="0" fontId="0" fillId="0" borderId="0" xfId="0" applyNumberFormat="1" applyAlignment="1">
      <alignment horizontal="center" vertical="center"/>
    </xf>
    <xf numFmtId="0" fontId="22" fillId="0" borderId="0" xfId="0" applyNumberFormat="1" applyFont="1" applyAlignment="1">
      <alignment vertical="center"/>
    </xf>
    <xf numFmtId="0" fontId="46" fillId="0" borderId="0" xfId="0" applyFont="1" applyAlignment="1">
      <alignment horizontal="center" vertical="top" wrapText="1"/>
    </xf>
    <xf numFmtId="0" fontId="45" fillId="0" borderId="0" xfId="0" applyFont="1" applyAlignment="1">
      <alignment horizontal="center" vertical="top" wrapText="1"/>
    </xf>
    <xf numFmtId="49" fontId="0" fillId="0" borderId="0" xfId="0" applyNumberFormat="1" applyAlignment="1">
      <alignment horizontal="center" vertical="center" shrinkToFit="1"/>
    </xf>
    <xf numFmtId="0" fontId="47" fillId="38" borderId="19" xfId="0" applyFont="1" applyFill="1" applyBorder="1" applyAlignment="1">
      <alignment horizontal="center" vertical="top" wrapText="1"/>
    </xf>
    <xf numFmtId="0" fontId="0" fillId="0" borderId="0" xfId="0" applyNumberFormat="1" applyAlignment="1">
      <alignment horizontal="center" vertical="center" shrinkToFit="1"/>
    </xf>
    <xf numFmtId="0" fontId="0" fillId="0" borderId="0" xfId="0" applyAlignment="1">
      <alignment vertical="center"/>
    </xf>
    <xf numFmtId="0" fontId="47" fillId="39" borderId="19" xfId="0" applyFont="1" applyFill="1" applyBorder="1" applyAlignment="1">
      <alignment horizontal="center" vertical="top" wrapText="1"/>
    </xf>
    <xf numFmtId="166" fontId="0" fillId="0" borderId="0" xfId="0" applyNumberFormat="1" applyAlignment="1">
      <alignment vertical="center" shrinkToFit="1"/>
    </xf>
    <xf numFmtId="0" fontId="0" fillId="0" borderId="0" xfId="0" applyFont="1" applyAlignment="1">
      <alignment horizontal="center" vertical="top" wrapText="1"/>
    </xf>
    <xf numFmtId="0" fontId="48" fillId="37" borderId="10" xfId="0" applyFont="1" applyFill="1" applyBorder="1" applyAlignment="1">
      <alignment horizontal="center" vertical="top"/>
    </xf>
    <xf numFmtId="0" fontId="27" fillId="38" borderId="21" xfId="0" applyFont="1" applyFill="1" applyBorder="1" applyAlignment="1">
      <alignment horizontal="center" vertical="center"/>
    </xf>
    <xf numFmtId="0" fontId="0" fillId="40" borderId="0" xfId="0" applyFill="1" applyBorder="1"/>
    <xf numFmtId="0" fontId="47" fillId="38" borderId="25" xfId="0" applyFont="1" applyFill="1" applyBorder="1" applyAlignment="1">
      <alignment horizontal="center" vertical="top" wrapText="1"/>
    </xf>
    <xf numFmtId="0" fontId="0" fillId="40" borderId="24" xfId="0" applyFill="1" applyBorder="1"/>
    <xf numFmtId="0" fontId="0" fillId="40" borderId="23" xfId="0" applyFill="1" applyBorder="1"/>
    <xf numFmtId="0" fontId="0" fillId="0" borderId="0" xfId="0" applyNumberFormat="1" applyAlignment="1">
      <alignment vertical="center" shrinkToFit="1"/>
    </xf>
    <xf numFmtId="0" fontId="0" fillId="0" borderId="24" xfId="0" applyBorder="1"/>
    <xf numFmtId="0" fontId="21" fillId="0" borderId="19" xfId="0" applyFont="1" applyBorder="1" applyAlignment="1">
      <alignment horizontal="center" vertical="center"/>
    </xf>
    <xf numFmtId="0" fontId="0" fillId="0" borderId="19" xfId="0" applyBorder="1" applyAlignment="1">
      <alignment horizontal="center" vertical="center"/>
    </xf>
    <xf numFmtId="0" fontId="0" fillId="0" borderId="19" xfId="0" applyBorder="1" applyAlignment="1">
      <alignment vertical="center" shrinkToFit="1"/>
    </xf>
    <xf numFmtId="0" fontId="47" fillId="39" borderId="30" xfId="0" applyFont="1" applyFill="1" applyBorder="1" applyAlignment="1">
      <alignment horizontal="center" vertical="top" wrapText="1"/>
    </xf>
    <xf numFmtId="0" fontId="0" fillId="0" borderId="25" xfId="0" applyBorder="1" applyAlignment="1">
      <alignment vertical="center" shrinkToFit="1"/>
    </xf>
    <xf numFmtId="0" fontId="0" fillId="0" borderId="30" xfId="0" applyBorder="1" applyAlignment="1">
      <alignment horizontal="center" vertical="center"/>
    </xf>
    <xf numFmtId="0" fontId="0" fillId="0" borderId="19" xfId="0" applyBorder="1" applyAlignment="1">
      <alignment horizontal="center" vertical="center" shrinkToFit="1"/>
    </xf>
    <xf numFmtId="166" fontId="0" fillId="0" borderId="19" xfId="0" applyNumberFormat="1" applyBorder="1" applyAlignment="1">
      <alignment vertical="center"/>
    </xf>
    <xf numFmtId="0" fontId="47" fillId="41" borderId="19" xfId="0" applyFont="1" applyFill="1" applyBorder="1" applyAlignment="1">
      <alignment horizontal="center" vertical="top" wrapText="1"/>
    </xf>
    <xf numFmtId="0" fontId="53" fillId="41" borderId="19" xfId="0" applyFont="1" applyFill="1" applyBorder="1" applyAlignment="1">
      <alignment horizontal="center" vertical="top" wrapText="1"/>
    </xf>
    <xf numFmtId="0" fontId="53" fillId="41" borderId="30" xfId="0" applyFont="1" applyFill="1" applyBorder="1" applyAlignment="1">
      <alignment horizontal="center" vertical="top" wrapText="1"/>
    </xf>
    <xf numFmtId="0" fontId="47" fillId="39" borderId="25" xfId="0" applyFont="1" applyFill="1" applyBorder="1" applyAlignment="1">
      <alignment horizontal="center" vertical="top" wrapText="1"/>
    </xf>
    <xf numFmtId="0" fontId="47" fillId="41" borderId="30" xfId="0" applyFont="1" applyFill="1" applyBorder="1" applyAlignment="1">
      <alignment horizontal="center" vertical="top" wrapText="1"/>
    </xf>
    <xf numFmtId="0" fontId="0" fillId="0" borderId="25" xfId="0" applyBorder="1" applyAlignment="1">
      <alignment horizontal="center" vertical="center"/>
    </xf>
    <xf numFmtId="166" fontId="0" fillId="0" borderId="30" xfId="0" applyNumberFormat="1" applyBorder="1" applyAlignment="1">
      <alignment vertical="center"/>
    </xf>
    <xf numFmtId="0" fontId="53" fillId="41" borderId="25" xfId="0" applyFont="1" applyFill="1" applyBorder="1" applyAlignment="1">
      <alignment horizontal="center" vertical="top" wrapText="1"/>
    </xf>
    <xf numFmtId="0" fontId="47" fillId="41" borderId="25" xfId="0" applyFont="1" applyFill="1" applyBorder="1" applyAlignment="1">
      <alignment horizontal="center" vertical="top" wrapText="1"/>
    </xf>
    <xf numFmtId="166" fontId="0" fillId="0" borderId="25" xfId="0" applyNumberFormat="1" applyBorder="1" applyAlignment="1">
      <alignment vertical="center"/>
    </xf>
    <xf numFmtId="0" fontId="51" fillId="42" borderId="32" xfId="0" applyFont="1" applyFill="1" applyBorder="1" applyAlignment="1">
      <alignment horizontal="center" vertical="center"/>
    </xf>
    <xf numFmtId="0" fontId="51" fillId="42" borderId="21" xfId="0" applyFont="1" applyFill="1" applyBorder="1" applyAlignment="1">
      <alignment horizontal="center" vertical="center"/>
    </xf>
    <xf numFmtId="0" fontId="51" fillId="42" borderId="26" xfId="0" applyFont="1" applyFill="1" applyBorder="1" applyAlignment="1">
      <alignment horizontal="center" vertical="center"/>
    </xf>
    <xf numFmtId="0" fontId="52" fillId="38" borderId="21" xfId="0" applyFont="1" applyFill="1" applyBorder="1" applyAlignment="1">
      <alignment horizontal="center" vertical="center"/>
    </xf>
    <xf numFmtId="0" fontId="47" fillId="38" borderId="21" xfId="0" applyFont="1" applyFill="1" applyBorder="1" applyAlignment="1">
      <alignment horizontal="center" vertical="center"/>
    </xf>
    <xf numFmtId="0" fontId="47" fillId="38" borderId="26" xfId="0" applyFont="1" applyFill="1" applyBorder="1" applyAlignment="1">
      <alignment horizontal="center" vertical="center"/>
    </xf>
    <xf numFmtId="0" fontId="47" fillId="39" borderId="32" xfId="0" applyFont="1" applyFill="1" applyBorder="1" applyAlignment="1">
      <alignment horizontal="center" vertical="center"/>
    </xf>
    <xf numFmtId="0" fontId="47" fillId="39" borderId="21" xfId="0" applyFont="1" applyFill="1" applyBorder="1" applyAlignment="1">
      <alignment horizontal="center" vertical="center"/>
    </xf>
    <xf numFmtId="0" fontId="47" fillId="39" borderId="26" xfId="0" applyFont="1" applyFill="1" applyBorder="1" applyAlignment="1">
      <alignment horizontal="center" vertical="center"/>
    </xf>
    <xf numFmtId="0" fontId="33" fillId="0" borderId="19" xfId="44" applyFont="1" applyBorder="1" applyAlignment="1">
      <alignment horizontal="center" vertical="center" wrapText="1"/>
    </xf>
    <xf numFmtId="0" fontId="1" fillId="0" borderId="19" xfId="44" applyBorder="1"/>
    <xf numFmtId="0" fontId="37" fillId="0" borderId="19" xfId="44" applyFont="1" applyBorder="1" applyAlignment="1" applyProtection="1">
      <alignment horizontal="center" vertical="center"/>
      <protection hidden="1"/>
    </xf>
    <xf numFmtId="0" fontId="43" fillId="0" borderId="0" xfId="0" applyNumberFormat="1" applyFont="1" applyAlignment="1">
      <alignment vertical="center"/>
    </xf>
    <xf numFmtId="0" fontId="31" fillId="43" borderId="13" xfId="44" applyFont="1" applyFill="1" applyBorder="1" applyAlignment="1" applyProtection="1">
      <alignment horizontal="right" indent="1"/>
    </xf>
    <xf numFmtId="0" fontId="1" fillId="43" borderId="14" xfId="44" applyFill="1" applyBorder="1" applyProtection="1"/>
    <xf numFmtId="0" fontId="1" fillId="43" borderId="15" xfId="44" applyFill="1" applyBorder="1" applyProtection="1"/>
    <xf numFmtId="0" fontId="1" fillId="43" borderId="16" xfId="44" applyFill="1" applyBorder="1" applyProtection="1"/>
    <xf numFmtId="0" fontId="1" fillId="43" borderId="17" xfId="44" applyFill="1" applyBorder="1" applyProtection="1"/>
    <xf numFmtId="0" fontId="1" fillId="43" borderId="18" xfId="44" applyFill="1" applyBorder="1" applyProtection="1"/>
    <xf numFmtId="0" fontId="16" fillId="44" borderId="11" xfId="44" applyFont="1" applyFill="1" applyBorder="1" applyAlignment="1" applyProtection="1">
      <alignment horizontal="right" vertical="center" wrapText="1" indent="1"/>
    </xf>
    <xf numFmtId="0" fontId="28" fillId="46" borderId="11" xfId="44" applyFont="1" applyFill="1" applyBorder="1" applyAlignment="1" applyProtection="1">
      <alignment horizontal="right" vertical="center" indent="1"/>
    </xf>
    <xf numFmtId="0" fontId="34" fillId="46" borderId="11" xfId="44" applyFont="1" applyFill="1" applyBorder="1" applyAlignment="1" applyProtection="1">
      <alignment horizontal="right" vertical="center" indent="1"/>
    </xf>
    <xf numFmtId="0" fontId="55" fillId="45" borderId="12" xfId="44" applyNumberFormat="1" applyFont="1" applyFill="1" applyBorder="1" applyAlignment="1" applyProtection="1">
      <alignment horizontal="left" vertical="center" wrapText="1" indent="1" shrinkToFit="1"/>
      <protection hidden="1"/>
    </xf>
    <xf numFmtId="0" fontId="56" fillId="45" borderId="12" xfId="44" applyNumberFormat="1" applyFont="1" applyFill="1" applyBorder="1" applyAlignment="1" applyProtection="1">
      <alignment horizontal="left" vertical="center" indent="1" shrinkToFit="1"/>
      <protection hidden="1"/>
    </xf>
    <xf numFmtId="0" fontId="57" fillId="45" borderId="12" xfId="44" applyNumberFormat="1" applyFont="1" applyFill="1" applyBorder="1" applyAlignment="1" applyProtection="1">
      <alignment horizontal="left" vertical="center" indent="1" shrinkToFit="1"/>
      <protection hidden="1"/>
    </xf>
    <xf numFmtId="0" fontId="56" fillId="45" borderId="12" xfId="44" applyNumberFormat="1" applyFont="1" applyFill="1" applyBorder="1" applyAlignment="1" applyProtection="1">
      <alignment horizontal="left" vertical="center" indent="1"/>
      <protection hidden="1"/>
    </xf>
    <xf numFmtId="49" fontId="0" fillId="0" borderId="0" xfId="0" applyNumberFormat="1" applyAlignment="1"/>
    <xf numFmtId="0" fontId="21" fillId="0" borderId="20" xfId="0" applyFont="1" applyBorder="1" applyAlignment="1">
      <alignment horizontal="center" vertical="center"/>
    </xf>
    <xf numFmtId="0" fontId="0" fillId="0" borderId="20" xfId="0" applyBorder="1" applyAlignment="1">
      <alignment horizontal="center" vertical="center"/>
    </xf>
    <xf numFmtId="0" fontId="0" fillId="0" borderId="20" xfId="0" applyBorder="1" applyAlignment="1">
      <alignment vertical="center" shrinkToFit="1"/>
    </xf>
    <xf numFmtId="0" fontId="0" fillId="0" borderId="28" xfId="0" applyBorder="1" applyAlignment="1">
      <alignment vertical="center" shrinkToFit="1"/>
    </xf>
    <xf numFmtId="0" fontId="0" fillId="0" borderId="29" xfId="0" applyBorder="1" applyAlignment="1">
      <alignment horizontal="center" vertical="center"/>
    </xf>
    <xf numFmtId="0" fontId="0" fillId="0" borderId="20" xfId="0" applyBorder="1" applyAlignment="1">
      <alignment horizontal="center" vertical="center" shrinkToFit="1"/>
    </xf>
    <xf numFmtId="166" fontId="0" fillId="0" borderId="20" xfId="0" applyNumberFormat="1" applyBorder="1" applyAlignment="1">
      <alignment vertical="center"/>
    </xf>
    <xf numFmtId="0" fontId="0" fillId="0" borderId="28" xfId="0" applyBorder="1" applyAlignment="1">
      <alignment horizontal="center" vertical="center"/>
    </xf>
    <xf numFmtId="166" fontId="0" fillId="0" borderId="29" xfId="0" applyNumberFormat="1" applyBorder="1" applyAlignment="1">
      <alignment vertical="center"/>
    </xf>
    <xf numFmtId="166" fontId="0" fillId="0" borderId="28" xfId="0" applyNumberFormat="1" applyBorder="1" applyAlignment="1">
      <alignment vertical="center"/>
    </xf>
    <xf numFmtId="0" fontId="39" fillId="0" borderId="22" xfId="0" applyFont="1" applyBorder="1" applyAlignment="1">
      <alignment horizontal="center" vertical="top" wrapText="1"/>
    </xf>
    <xf numFmtId="0" fontId="21" fillId="0" borderId="22" xfId="0" applyFont="1" applyBorder="1" applyAlignment="1">
      <alignment horizontal="center" vertical="top" wrapText="1"/>
    </xf>
    <xf numFmtId="0" fontId="16" fillId="0" borderId="22" xfId="0" applyFont="1" applyBorder="1" applyAlignment="1">
      <alignment horizontal="center" vertical="top" wrapText="1"/>
    </xf>
    <xf numFmtId="0" fontId="16" fillId="0" borderId="27" xfId="0" applyFont="1" applyBorder="1" applyAlignment="1">
      <alignment horizontal="center" vertical="top" wrapText="1"/>
    </xf>
    <xf numFmtId="0" fontId="49" fillId="0" borderId="31" xfId="0" applyFont="1" applyBorder="1" applyAlignment="1">
      <alignment horizontal="center" vertical="top" wrapText="1"/>
    </xf>
    <xf numFmtId="0" fontId="16" fillId="0" borderId="31" xfId="0" applyFont="1" applyBorder="1" applyAlignment="1">
      <alignment horizontal="center" vertical="top" wrapText="1"/>
    </xf>
    <xf numFmtId="0" fontId="39" fillId="0" borderId="20" xfId="0" applyNumberFormat="1" applyFont="1" applyBorder="1" applyAlignment="1">
      <alignment horizontal="center" vertical="center"/>
    </xf>
    <xf numFmtId="0" fontId="39" fillId="0" borderId="19" xfId="0" applyNumberFormat="1" applyFont="1" applyBorder="1" applyAlignment="1">
      <alignment horizontal="center" vertical="center"/>
    </xf>
    <xf numFmtId="0" fontId="21" fillId="0" borderId="0" xfId="0" applyFont="1" applyAlignment="1">
      <alignment horizontal="center"/>
    </xf>
    <xf numFmtId="14" fontId="0" fillId="0" borderId="0" xfId="0" applyNumberFormat="1" applyAlignment="1">
      <alignment vertical="center"/>
    </xf>
    <xf numFmtId="0" fontId="0" fillId="0" borderId="0" xfId="0" applyAlignment="1">
      <alignment vertical="center" wrapText="1"/>
    </xf>
    <xf numFmtId="0" fontId="58" fillId="0" borderId="31" xfId="0" applyFont="1" applyBorder="1" applyAlignment="1">
      <alignment horizontal="center" vertical="top" wrapText="1"/>
    </xf>
    <xf numFmtId="0" fontId="53" fillId="39" borderId="19" xfId="0" applyFont="1" applyFill="1" applyBorder="1" applyAlignment="1">
      <alignment horizontal="center" vertical="center" wrapText="1"/>
    </xf>
    <xf numFmtId="0" fontId="53" fillId="39" borderId="25" xfId="0" applyFont="1" applyFill="1" applyBorder="1" applyAlignment="1">
      <alignment horizontal="center" vertical="center" wrapText="1"/>
    </xf>
    <xf numFmtId="0" fontId="53" fillId="41" borderId="30" xfId="0" applyFont="1" applyFill="1" applyBorder="1" applyAlignment="1">
      <alignment horizontal="center" vertical="center" wrapText="1"/>
    </xf>
    <xf numFmtId="0" fontId="53" fillId="41" borderId="19" xfId="0" applyFont="1" applyFill="1" applyBorder="1" applyAlignment="1">
      <alignment horizontal="center" vertical="center" wrapText="1"/>
    </xf>
    <xf numFmtId="0" fontId="53" fillId="41" borderId="25" xfId="0" applyFont="1" applyFill="1" applyBorder="1" applyAlignment="1">
      <alignment horizontal="center" vertical="center" wrapText="1"/>
    </xf>
    <xf numFmtId="0" fontId="53" fillId="48" borderId="19" xfId="0" applyFont="1" applyFill="1" applyBorder="1" applyAlignment="1">
      <alignment horizontal="center" vertical="center" wrapText="1"/>
    </xf>
    <xf numFmtId="0" fontId="27" fillId="48" borderId="21" xfId="0" applyFont="1" applyFill="1" applyBorder="1" applyAlignment="1">
      <alignment horizontal="center" vertical="center"/>
    </xf>
    <xf numFmtId="0" fontId="49" fillId="0" borderId="22" xfId="0" applyFont="1" applyBorder="1" applyAlignment="1">
      <alignment horizontal="center" vertical="top" wrapText="1"/>
    </xf>
    <xf numFmtId="0" fontId="58" fillId="0" borderId="22" xfId="0" applyFont="1" applyBorder="1" applyAlignment="1">
      <alignment horizontal="center" vertical="top" wrapText="1"/>
    </xf>
    <xf numFmtId="0" fontId="59" fillId="47" borderId="20" xfId="0" applyFont="1" applyFill="1" applyBorder="1" applyAlignment="1">
      <alignment horizontal="center" vertical="center" wrapText="1"/>
    </xf>
    <xf numFmtId="0" fontId="27" fillId="49" borderId="21" xfId="0" applyFont="1" applyFill="1" applyBorder="1" applyAlignment="1">
      <alignment horizontal="center" vertical="center"/>
    </xf>
    <xf numFmtId="0" fontId="47" fillId="49" borderId="19" xfId="0" applyFont="1" applyFill="1" applyBorder="1" applyAlignment="1">
      <alignment horizontal="center" vertical="top" wrapText="1"/>
    </xf>
    <xf numFmtId="0" fontId="52" fillId="49" borderId="21" xfId="0" applyFont="1" applyFill="1" applyBorder="1" applyAlignment="1">
      <alignment horizontal="center" vertical="center"/>
    </xf>
    <xf numFmtId="0" fontId="47" fillId="49" borderId="21" xfId="0" applyFont="1" applyFill="1" applyBorder="1" applyAlignment="1">
      <alignment horizontal="center" vertical="center"/>
    </xf>
    <xf numFmtId="0" fontId="58" fillId="0" borderId="27" xfId="0" applyFont="1" applyBorder="1" applyAlignment="1">
      <alignment horizontal="center" vertical="top" wrapText="1"/>
    </xf>
    <xf numFmtId="0" fontId="47" fillId="47" borderId="19" xfId="0" applyFont="1" applyFill="1" applyBorder="1" applyAlignment="1">
      <alignment horizontal="center" vertical="top" wrapText="1"/>
    </xf>
    <xf numFmtId="0" fontId="47" fillId="47" borderId="25" xfId="0" applyFont="1" applyFill="1" applyBorder="1" applyAlignment="1">
      <alignment horizontal="center" vertical="top" wrapText="1"/>
    </xf>
    <xf numFmtId="0" fontId="47" fillId="47" borderId="21" xfId="0" applyFont="1" applyFill="1" applyBorder="1" applyAlignment="1">
      <alignment horizontal="center" vertical="center"/>
    </xf>
    <xf numFmtId="0" fontId="47" fillId="47" borderId="26" xfId="0" applyFont="1" applyFill="1" applyBorder="1" applyAlignment="1">
      <alignment horizontal="center" vertical="center"/>
    </xf>
    <xf numFmtId="0" fontId="16" fillId="0" borderId="20" xfId="0" applyNumberFormat="1" applyFont="1" applyBorder="1" applyAlignment="1">
      <alignment horizontal="center" vertical="center"/>
    </xf>
    <xf numFmtId="0" fontId="16" fillId="0" borderId="19" xfId="0" applyNumberFormat="1" applyFont="1" applyBorder="1" applyAlignment="1">
      <alignment horizontal="center" vertical="center"/>
    </xf>
    <xf numFmtId="0" fontId="45" fillId="0" borderId="20" xfId="0" applyFont="1" applyBorder="1" applyAlignment="1">
      <alignment vertical="center" shrinkToFit="1"/>
    </xf>
    <xf numFmtId="0" fontId="45" fillId="0" borderId="19" xfId="0" applyFont="1" applyBorder="1" applyAlignment="1">
      <alignment vertical="center" shrinkToFit="1"/>
    </xf>
    <xf numFmtId="0" fontId="40" fillId="0" borderId="0" xfId="42" applyNumberFormat="1" applyFont="1" applyAlignment="1" applyProtection="1">
      <alignment vertical="center" shrinkToFit="1"/>
    </xf>
    <xf numFmtId="0" fontId="53" fillId="41" borderId="17" xfId="0" applyFont="1" applyFill="1" applyBorder="1" applyAlignment="1">
      <alignment horizontal="center" vertical="top" wrapText="1"/>
    </xf>
    <xf numFmtId="0" fontId="53" fillId="41" borderId="17" xfId="0" applyFont="1" applyFill="1" applyBorder="1" applyAlignment="1">
      <alignment horizontal="center" vertical="center" wrapText="1"/>
    </xf>
    <xf numFmtId="0" fontId="16" fillId="0" borderId="33" xfId="0" applyFont="1" applyBorder="1" applyAlignment="1">
      <alignment horizontal="center" vertical="top" wrapText="1"/>
    </xf>
    <xf numFmtId="0" fontId="0" fillId="0" borderId="35" xfId="0" applyBorder="1" applyAlignment="1">
      <alignment horizontal="center" vertical="top" wrapText="1"/>
    </xf>
    <xf numFmtId="0" fontId="45" fillId="0" borderId="36" xfId="0" applyFont="1" applyBorder="1" applyAlignment="1">
      <alignment horizontal="center" vertical="top" wrapText="1"/>
    </xf>
    <xf numFmtId="1" fontId="0" fillId="0" borderId="35" xfId="0" applyNumberFormat="1" applyBorder="1" applyAlignment="1">
      <alignment horizontal="center" vertical="center"/>
    </xf>
    <xf numFmtId="0" fontId="50" fillId="0" borderId="36" xfId="0" applyNumberFormat="1" applyFont="1" applyBorder="1" applyAlignment="1">
      <alignment horizontal="left" vertical="center" shrinkToFit="1"/>
    </xf>
    <xf numFmtId="0" fontId="60" fillId="0" borderId="0" xfId="42" applyFont="1" applyAlignment="1">
      <alignment vertical="center" shrinkToFit="1"/>
    </xf>
    <xf numFmtId="49" fontId="0" fillId="0" borderId="0" xfId="0" applyNumberFormat="1" applyAlignment="1">
      <alignment horizontal="right" vertical="center" shrinkToFit="1"/>
    </xf>
    <xf numFmtId="169" fontId="0" fillId="0" borderId="0" xfId="0" applyNumberFormat="1" applyAlignment="1">
      <alignment vertical="center" shrinkToFit="1"/>
    </xf>
    <xf numFmtId="1" fontId="0" fillId="0" borderId="0" xfId="0" applyNumberFormat="1" applyAlignment="1">
      <alignment vertical="center" shrinkToFit="1"/>
    </xf>
    <xf numFmtId="49" fontId="21" fillId="0" borderId="0" xfId="0" applyNumberFormat="1" applyFont="1" applyAlignment="1">
      <alignment horizontal="center" vertical="center" shrinkToFit="1"/>
    </xf>
    <xf numFmtId="0" fontId="61" fillId="0" borderId="0" xfId="42" applyFont="1" applyAlignment="1">
      <alignment vertical="center" shrinkToFit="1"/>
    </xf>
    <xf numFmtId="166" fontId="45" fillId="0" borderId="20" xfId="0" applyNumberFormat="1" applyFont="1" applyBorder="1" applyAlignment="1">
      <alignment horizontal="center" vertical="center"/>
    </xf>
    <xf numFmtId="166" fontId="45" fillId="0" borderId="19" xfId="0" applyNumberFormat="1" applyFont="1" applyBorder="1" applyAlignment="1">
      <alignment horizontal="center" vertical="center"/>
    </xf>
    <xf numFmtId="3" fontId="0" fillId="0" borderId="0" xfId="0" applyNumberFormat="1"/>
    <xf numFmtId="3" fontId="53" fillId="39" borderId="19" xfId="0" applyNumberFormat="1" applyFont="1" applyFill="1" applyBorder="1" applyAlignment="1">
      <alignment horizontal="center" vertical="center" wrapText="1"/>
    </xf>
    <xf numFmtId="3" fontId="0" fillId="40" borderId="0" xfId="0" applyNumberFormat="1" applyFill="1" applyBorder="1"/>
    <xf numFmtId="3" fontId="16" fillId="0" borderId="22" xfId="0" applyNumberFormat="1" applyFont="1" applyBorder="1" applyAlignment="1">
      <alignment horizontal="center" vertical="top" wrapText="1"/>
    </xf>
    <xf numFmtId="0" fontId="47" fillId="39" borderId="21" xfId="0" applyFont="1" applyFill="1" applyBorder="1" applyAlignment="1">
      <alignment horizontal="center" vertical="center" wrapText="1"/>
    </xf>
    <xf numFmtId="0" fontId="0" fillId="40" borderId="0" xfId="0" applyFill="1" applyBorder="1" applyAlignment="1">
      <alignment wrapText="1"/>
    </xf>
    <xf numFmtId="49" fontId="19" fillId="0" borderId="0" xfId="0" applyNumberFormat="1" applyFont="1" applyAlignment="1">
      <alignment vertical="center" shrinkToFit="1"/>
    </xf>
    <xf numFmtId="0" fontId="0" fillId="0" borderId="0" xfId="0" applyAlignment="1">
      <alignment horizontal="left"/>
    </xf>
    <xf numFmtId="0" fontId="0" fillId="0" borderId="0" xfId="0" applyAlignment="1">
      <alignment horizontal="left" wrapText="1"/>
    </xf>
    <xf numFmtId="3" fontId="0" fillId="0" borderId="0" xfId="0" applyNumberFormat="1" applyAlignment="1">
      <alignment horizontal="left"/>
    </xf>
    <xf numFmtId="49" fontId="63" fillId="0" borderId="0" xfId="0" applyNumberFormat="1" applyFont="1" applyAlignment="1">
      <alignment horizontal="center" vertical="center"/>
    </xf>
    <xf numFmtId="49" fontId="64" fillId="0" borderId="0" xfId="0" applyNumberFormat="1" applyFont="1" applyAlignment="1">
      <alignment vertical="center" shrinkToFit="1"/>
    </xf>
    <xf numFmtId="49" fontId="62" fillId="0" borderId="0" xfId="0" applyNumberFormat="1" applyFont="1" applyAlignment="1">
      <alignment horizontal="center" vertical="center"/>
    </xf>
    <xf numFmtId="0" fontId="62" fillId="0" borderId="0" xfId="0" applyFont="1" applyAlignment="1">
      <alignment horizontal="left" vertical="center" indent="1" shrinkToFit="1"/>
    </xf>
    <xf numFmtId="0" fontId="64" fillId="0" borderId="0" xfId="0" applyNumberFormat="1" applyFont="1" applyAlignment="1">
      <alignment vertical="center"/>
    </xf>
    <xf numFmtId="0" fontId="0" fillId="0" borderId="36" xfId="0" applyNumberFormat="1" applyBorder="1" applyAlignment="1">
      <alignment vertical="center" shrinkToFit="1"/>
    </xf>
    <xf numFmtId="12" fontId="0" fillId="0" borderId="0" xfId="0" applyNumberFormat="1" applyAlignment="1">
      <alignment vertical="center"/>
    </xf>
    <xf numFmtId="1" fontId="0" fillId="0" borderId="0" xfId="0" applyNumberFormat="1" applyAlignment="1">
      <alignment horizontal="center" vertical="center" shrinkToFit="1"/>
    </xf>
    <xf numFmtId="0" fontId="39" fillId="0" borderId="20" xfId="0" applyFont="1" applyBorder="1" applyAlignment="1">
      <alignment horizontal="center" vertical="center"/>
    </xf>
    <xf numFmtId="0" fontId="39" fillId="0" borderId="19" xfId="0" applyFont="1" applyBorder="1" applyAlignment="1">
      <alignment horizontal="center" vertical="center"/>
    </xf>
    <xf numFmtId="49" fontId="67" fillId="0" borderId="0" xfId="0" applyNumberFormat="1" applyFont="1" applyAlignment="1">
      <alignment horizontal="center" vertical="center"/>
    </xf>
    <xf numFmtId="49" fontId="68" fillId="0" borderId="0" xfId="0" applyNumberFormat="1" applyFont="1" applyAlignment="1">
      <alignment vertical="center" shrinkToFit="1"/>
    </xf>
    <xf numFmtId="49" fontId="66" fillId="0" borderId="0" xfId="0" applyNumberFormat="1" applyFont="1" applyAlignment="1">
      <alignment horizontal="center" vertical="center"/>
    </xf>
    <xf numFmtId="0" fontId="66" fillId="0" borderId="0" xfId="0" applyFont="1" applyAlignment="1">
      <alignment horizontal="left" vertical="center" indent="1" shrinkToFit="1"/>
    </xf>
    <xf numFmtId="0" fontId="68" fillId="0" borderId="0" xfId="0" applyNumberFormat="1" applyFont="1" applyAlignment="1">
      <alignment vertical="center"/>
    </xf>
    <xf numFmtId="44" fontId="53" fillId="41" borderId="30" xfId="46" applyFont="1" applyFill="1" applyBorder="1" applyAlignment="1">
      <alignment horizontal="center" vertical="top" wrapText="1"/>
    </xf>
    <xf numFmtId="44" fontId="53" fillId="41" borderId="30" xfId="46" applyFont="1" applyFill="1" applyBorder="1" applyAlignment="1">
      <alignment horizontal="center" vertical="center" wrapText="1"/>
    </xf>
    <xf numFmtId="44" fontId="0" fillId="40" borderId="23" xfId="46" applyFont="1" applyFill="1" applyBorder="1"/>
    <xf numFmtId="44" fontId="16" fillId="0" borderId="31" xfId="46" applyFont="1" applyBorder="1" applyAlignment="1">
      <alignment horizontal="center" vertical="top" wrapText="1"/>
    </xf>
    <xf numFmtId="44" fontId="0" fillId="0" borderId="0" xfId="46" applyFont="1" applyAlignment="1">
      <alignment horizontal="left"/>
    </xf>
    <xf numFmtId="44" fontId="0" fillId="0" borderId="0" xfId="46" applyFont="1"/>
    <xf numFmtId="0" fontId="0" fillId="0" borderId="20" xfId="0" applyFont="1" applyBorder="1" applyAlignment="1">
      <alignment horizontal="center" vertical="center" shrinkToFit="1"/>
    </xf>
    <xf numFmtId="166" fontId="0" fillId="0" borderId="34" xfId="0" applyNumberFormat="1" applyFont="1" applyBorder="1" applyAlignment="1">
      <alignment horizontal="center" vertical="center"/>
    </xf>
    <xf numFmtId="166" fontId="0" fillId="0" borderId="28" xfId="0" applyNumberFormat="1" applyFont="1" applyBorder="1" applyAlignment="1">
      <alignment horizontal="center" vertical="center"/>
    </xf>
    <xf numFmtId="0" fontId="0" fillId="0" borderId="28" xfId="0" applyFont="1" applyBorder="1" applyAlignment="1">
      <alignment horizontal="center" vertical="center"/>
    </xf>
    <xf numFmtId="0" fontId="0" fillId="0" borderId="19" xfId="0" applyFont="1" applyBorder="1" applyAlignment="1">
      <alignment horizontal="center" vertical="center" shrinkToFit="1"/>
    </xf>
    <xf numFmtId="166" fontId="0" fillId="0" borderId="25" xfId="0" applyNumberFormat="1" applyFont="1" applyBorder="1" applyAlignment="1">
      <alignment horizontal="center" vertical="center"/>
    </xf>
    <xf numFmtId="0" fontId="0" fillId="0" borderId="25" xfId="0" applyFont="1" applyBorder="1" applyAlignment="1">
      <alignment horizontal="center" vertical="center"/>
    </xf>
    <xf numFmtId="49" fontId="0" fillId="0" borderId="0" xfId="0" applyNumberFormat="1"/>
    <xf numFmtId="0" fontId="0" fillId="0" borderId="0" xfId="0" applyBorder="1" applyAlignment="1">
      <alignment horizontal="center" vertical="top" wrapText="1"/>
    </xf>
    <xf numFmtId="14" fontId="0" fillId="0" borderId="0" xfId="0" applyNumberFormat="1"/>
    <xf numFmtId="164" fontId="0" fillId="0" borderId="0" xfId="0" applyNumberFormat="1"/>
    <xf numFmtId="22" fontId="0" fillId="0" borderId="0" xfId="0" applyNumberFormat="1"/>
    <xf numFmtId="1" fontId="0" fillId="0" borderId="0" xfId="0" applyNumberFormat="1" applyBorder="1" applyAlignment="1">
      <alignment vertical="center"/>
    </xf>
    <xf numFmtId="0" fontId="0" fillId="0" borderId="37" xfId="0" applyBorder="1" applyAlignment="1">
      <alignment horizontal="center" vertical="top" wrapText="1"/>
    </xf>
    <xf numFmtId="3" fontId="27" fillId="39" borderId="21" xfId="0" applyNumberFormat="1" applyFont="1" applyFill="1" applyBorder="1" applyAlignment="1">
      <alignment horizontal="center" vertical="center"/>
    </xf>
    <xf numFmtId="0" fontId="27" fillId="39" borderId="21" xfId="0" applyFont="1" applyFill="1" applyBorder="1" applyAlignment="1">
      <alignment horizontal="center" vertical="center" wrapText="1"/>
    </xf>
    <xf numFmtId="0" fontId="0" fillId="0" borderId="20" xfId="0" applyFont="1" applyBorder="1" applyAlignment="1">
      <alignment horizontal="center" vertical="center" wrapText="1" shrinkToFit="1"/>
    </xf>
    <xf numFmtId="0" fontId="0" fillId="0" borderId="20" xfId="0" applyFont="1" applyBorder="1" applyAlignment="1">
      <alignment horizontal="center" vertical="center"/>
    </xf>
    <xf numFmtId="1" fontId="0" fillId="0" borderId="20" xfId="0" applyNumberFormat="1" applyFont="1" applyBorder="1" applyAlignment="1">
      <alignment horizontal="center" vertical="center" shrinkToFit="1"/>
    </xf>
    <xf numFmtId="3" fontId="0" fillId="0" borderId="20" xfId="0" applyNumberFormat="1" applyFont="1" applyBorder="1" applyAlignment="1">
      <alignment horizontal="center" vertical="center"/>
    </xf>
    <xf numFmtId="166" fontId="0" fillId="0" borderId="29" xfId="0" applyNumberFormat="1" applyFont="1" applyBorder="1" applyAlignment="1">
      <alignment horizontal="center" vertical="center"/>
    </xf>
    <xf numFmtId="44" fontId="0" fillId="0" borderId="29" xfId="46" applyFont="1" applyBorder="1" applyAlignment="1">
      <alignment horizontal="center" vertical="center"/>
    </xf>
    <xf numFmtId="0" fontId="0" fillId="0" borderId="0" xfId="0" applyAlignment="1">
      <alignment horizontal="center" vertical="center"/>
    </xf>
    <xf numFmtId="0" fontId="0" fillId="0" borderId="19" xfId="0" applyFont="1" applyBorder="1" applyAlignment="1">
      <alignment horizontal="center" vertical="center" wrapText="1" shrinkToFit="1"/>
    </xf>
    <xf numFmtId="0" fontId="0" fillId="0" borderId="19" xfId="0" applyFont="1" applyBorder="1" applyAlignment="1">
      <alignment horizontal="center" vertical="center"/>
    </xf>
    <xf numFmtId="3" fontId="0" fillId="0" borderId="19" xfId="0" applyNumberFormat="1" applyFont="1" applyBorder="1" applyAlignment="1">
      <alignment horizontal="center" vertical="center"/>
    </xf>
    <xf numFmtId="14" fontId="0" fillId="0" borderId="0" xfId="0" applyNumberFormat="1" applyBorder="1" applyAlignment="1">
      <alignment vertical="center"/>
    </xf>
    <xf numFmtId="14" fontId="0" fillId="0" borderId="19" xfId="0" applyNumberFormat="1" applyFont="1" applyBorder="1" applyAlignment="1">
      <alignment horizontal="center" vertical="center" wrapText="1" shrinkToFit="1"/>
    </xf>
    <xf numFmtId="1" fontId="0" fillId="0" borderId="0" xfId="0" applyNumberFormat="1" applyAlignment="1">
      <alignment vertical="center"/>
    </xf>
    <xf numFmtId="14" fontId="0" fillId="0" borderId="0" xfId="0" applyNumberFormat="1" applyAlignment="1">
      <alignment vertical="center"/>
    </xf>
    <xf numFmtId="1" fontId="27" fillId="48" borderId="21" xfId="0" applyNumberFormat="1" applyFont="1" applyFill="1" applyBorder="1" applyAlignment="1">
      <alignment horizontal="center" vertical="center"/>
    </xf>
    <xf numFmtId="0" fontId="51" fillId="50" borderId="21" xfId="0" applyFont="1" applyFill="1" applyBorder="1" applyAlignment="1">
      <alignment horizontal="center" vertical="center"/>
    </xf>
    <xf numFmtId="170" fontId="0" fillId="0" borderId="20" xfId="0" applyNumberFormat="1" applyFont="1" applyBorder="1" applyAlignment="1">
      <alignment horizontal="center" vertical="center"/>
    </xf>
    <xf numFmtId="170" fontId="0" fillId="0" borderId="19" xfId="0" applyNumberFormat="1" applyFont="1" applyBorder="1" applyAlignment="1">
      <alignment horizontal="center" vertical="center"/>
    </xf>
    <xf numFmtId="0" fontId="22" fillId="0" borderId="0" xfId="0" applyNumberFormat="1" applyFont="1" applyAlignment="1">
      <alignment vertical="center" shrinkToFit="1"/>
    </xf>
    <xf numFmtId="0" fontId="0" fillId="0" borderId="0" xfId="0" applyNumberFormat="1" applyFont="1" applyAlignment="1">
      <alignment horizontal="center" vertical="center"/>
    </xf>
    <xf numFmtId="0" fontId="0" fillId="0" borderId="19" xfId="0" applyBorder="1"/>
    <xf numFmtId="0" fontId="0" fillId="0" borderId="25" xfId="0" applyBorder="1"/>
    <xf numFmtId="0" fontId="0" fillId="0" borderId="30" xfId="0" applyBorder="1"/>
    <xf numFmtId="0" fontId="22" fillId="0" borderId="0" xfId="0" applyFont="1" applyAlignment="1">
      <alignment horizontal="center" vertical="top" wrapText="1"/>
    </xf>
    <xf numFmtId="0" fontId="45" fillId="0" borderId="0" xfId="0" applyNumberFormat="1" applyFont="1" applyAlignment="1">
      <alignment vertical="center" shrinkToFit="1"/>
    </xf>
    <xf numFmtId="49" fontId="70" fillId="0" borderId="0" xfId="0" applyNumberFormat="1" applyFont="1" applyAlignment="1">
      <alignment horizontal="center" vertical="center"/>
    </xf>
    <xf numFmtId="49" fontId="71" fillId="0" borderId="0" xfId="0" applyNumberFormat="1" applyFont="1" applyAlignment="1">
      <alignment vertical="center" shrinkToFit="1"/>
    </xf>
    <xf numFmtId="0" fontId="0" fillId="0" borderId="0" xfId="0" applyNumberFormat="1"/>
    <xf numFmtId="49" fontId="69" fillId="0" borderId="0" xfId="0" applyNumberFormat="1" applyFont="1" applyAlignment="1">
      <alignment horizontal="center" vertical="center"/>
    </xf>
    <xf numFmtId="14" fontId="0" fillId="0" borderId="20" xfId="0" applyNumberFormat="1" applyFont="1" applyBorder="1" applyAlignment="1">
      <alignment horizontal="center" vertical="center"/>
    </xf>
    <xf numFmtId="14" fontId="0" fillId="0" borderId="19" xfId="0" applyNumberFormat="1" applyFont="1" applyBorder="1" applyAlignment="1">
      <alignment horizontal="center" vertical="center"/>
    </xf>
    <xf numFmtId="14" fontId="0" fillId="0" borderId="29" xfId="0" applyNumberFormat="1" applyFont="1" applyBorder="1" applyAlignment="1">
      <alignment horizontal="center" vertical="center"/>
    </xf>
    <xf numFmtId="14" fontId="0" fillId="0" borderId="30" xfId="0" applyNumberFormat="1" applyFont="1" applyBorder="1" applyAlignment="1">
      <alignment horizontal="center" vertical="center"/>
    </xf>
    <xf numFmtId="14" fontId="0" fillId="0" borderId="34" xfId="0" applyNumberFormat="1" applyFont="1" applyBorder="1" applyAlignment="1">
      <alignment horizontal="center" vertical="center"/>
    </xf>
    <xf numFmtId="0" fontId="72" fillId="0" borderId="0" xfId="0" applyFont="1" applyAlignment="1">
      <alignment vertical="center" shrinkToFit="1"/>
    </xf>
    <xf numFmtId="0" fontId="73" fillId="0" borderId="0" xfId="0" applyFont="1" applyAlignment="1">
      <alignment horizontal="center" shrinkToFit="1"/>
    </xf>
    <xf numFmtId="0" fontId="74" fillId="0" borderId="0" xfId="0" applyFont="1" applyAlignment="1">
      <alignment horizontal="center" shrinkToFit="1"/>
    </xf>
    <xf numFmtId="0" fontId="75" fillId="0" borderId="0" xfId="0" applyFont="1" applyAlignment="1">
      <alignment horizontal="center" shrinkToFit="1"/>
    </xf>
    <xf numFmtId="165" fontId="75" fillId="0" borderId="0" xfId="0" applyNumberFormat="1" applyFont="1" applyAlignment="1">
      <alignment horizontal="center" shrinkToFit="1"/>
    </xf>
    <xf numFmtId="0" fontId="75" fillId="0" borderId="0" xfId="0" applyFont="1" applyAlignment="1">
      <alignment horizontal="center"/>
    </xf>
    <xf numFmtId="0" fontId="73" fillId="0" borderId="0" xfId="0" applyFont="1" applyAlignment="1">
      <alignment horizontal="center"/>
    </xf>
    <xf numFmtId="0" fontId="75" fillId="0" borderId="35" xfId="0" applyFont="1" applyBorder="1" applyAlignment="1">
      <alignment horizontal="center"/>
    </xf>
    <xf numFmtId="0" fontId="75" fillId="0" borderId="36" xfId="0" applyFont="1" applyBorder="1" applyAlignment="1">
      <alignment horizontal="center"/>
    </xf>
    <xf numFmtId="49" fontId="74" fillId="0" borderId="0" xfId="0" applyNumberFormat="1" applyFont="1" applyAlignment="1">
      <alignment horizontal="center" vertical="center"/>
    </xf>
    <xf numFmtId="49" fontId="76" fillId="0" borderId="0" xfId="0" applyNumberFormat="1" applyFont="1" applyAlignment="1">
      <alignment vertical="center" shrinkToFit="1"/>
    </xf>
    <xf numFmtId="0" fontId="75" fillId="0" borderId="0" xfId="0" applyFont="1" applyAlignment="1">
      <alignment horizontal="center" wrapText="1"/>
    </xf>
    <xf numFmtId="0" fontId="75" fillId="0" borderId="0" xfId="0" applyNumberFormat="1" applyFont="1" applyAlignment="1">
      <alignment horizontal="center"/>
    </xf>
    <xf numFmtId="0" fontId="77" fillId="0" borderId="0" xfId="0" applyFont="1" applyAlignment="1">
      <alignment horizontal="center"/>
    </xf>
    <xf numFmtId="0" fontId="77" fillId="0" borderId="0" xfId="0" applyFont="1" applyBorder="1" applyAlignment="1">
      <alignment horizontal="center"/>
    </xf>
    <xf numFmtId="0" fontId="77" fillId="0" borderId="37" xfId="0" applyFont="1" applyBorder="1" applyAlignment="1">
      <alignment horizontal="center"/>
    </xf>
    <xf numFmtId="168" fontId="73" fillId="0" borderId="0" xfId="0" applyNumberFormat="1" applyFont="1" applyAlignment="1">
      <alignment horizontal="center"/>
    </xf>
    <xf numFmtId="1" fontId="73" fillId="0" borderId="0" xfId="0" applyNumberFormat="1" applyFont="1" applyAlignment="1">
      <alignment horizontal="center"/>
    </xf>
    <xf numFmtId="165" fontId="75" fillId="0" borderId="0" xfId="0" applyNumberFormat="1" applyFont="1" applyAlignment="1">
      <alignment horizontal="center"/>
    </xf>
    <xf numFmtId="1" fontId="75" fillId="0" borderId="0" xfId="0" applyNumberFormat="1" applyFont="1" applyAlignment="1">
      <alignment horizontal="center"/>
    </xf>
    <xf numFmtId="0" fontId="73" fillId="0" borderId="0" xfId="0" applyFont="1" applyAlignment="1">
      <alignment horizontal="left" vertical="center" indent="1" shrinkToFit="1"/>
    </xf>
    <xf numFmtId="0" fontId="76" fillId="0" borderId="0" xfId="0" applyNumberFormat="1" applyFont="1" applyAlignment="1">
      <alignment vertical="center"/>
    </xf>
    <xf numFmtId="0" fontId="74" fillId="0" borderId="0" xfId="0" applyFont="1" applyAlignment="1">
      <alignment horizontal="center"/>
    </xf>
    <xf numFmtId="49" fontId="73" fillId="0" borderId="0" xfId="0" applyNumberFormat="1" applyFont="1" applyAlignment="1">
      <alignment horizontal="center" vertical="center"/>
    </xf>
  </cellXfs>
  <cellStyles count="47">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Currency" xfId="46" builtinId="4"/>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Hyperlink" xfId="42" builtinId="8"/>
    <cellStyle name="Input" xfId="9" builtinId="20" customBuiltin="1"/>
    <cellStyle name="Linked Cell" xfId="12" builtinId="24" customBuiltin="1"/>
    <cellStyle name="Neutral" xfId="8" builtinId="28" customBuiltin="1"/>
    <cellStyle name="Normal" xfId="0" builtinId="0"/>
    <cellStyle name="Normal 2" xfId="43"/>
    <cellStyle name="Normal 3" xfId="45"/>
    <cellStyle name="Normal 8" xfId="44"/>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392">
    <dxf>
      <numFmt numFmtId="30" formatCode="@"/>
      <alignment horizontal="general" vertical="center" textRotation="0" wrapText="0" indent="0" justifyLastLine="0" shrinkToFit="0" readingOrder="0"/>
    </dxf>
    <dxf>
      <numFmt numFmtId="166" formatCode="m/dd/yy_);@"/>
      <alignment horizontal="general" vertical="center" textRotation="0" wrapText="0" indent="0" justifyLastLine="0" shrinkToFit="0" readingOrder="0"/>
    </dxf>
    <dxf>
      <numFmt numFmtId="30" formatCode="@"/>
      <alignment horizontal="general" vertical="center" textRotation="0" wrapText="0" indent="0" justifyLastLine="0" shrinkToFit="0" readingOrder="0"/>
    </dxf>
    <dxf>
      <numFmt numFmtId="166" formatCode="m/dd/yy_);@"/>
      <alignment horizontal="general" vertical="center" textRotation="0" wrapText="0" indent="0" justifyLastLine="0" shrinkToFit="0" readingOrder="0"/>
    </dxf>
    <dxf>
      <numFmt numFmtId="30" formatCode="@"/>
      <alignment horizontal="center" vertical="center" textRotation="0" wrapText="0" indent="0" justifyLastLine="0" shrinkToFit="0" readingOrder="0"/>
    </dxf>
    <dxf>
      <numFmt numFmtId="30" formatCode="@"/>
      <alignment horizontal="general" vertical="center" textRotation="0" wrapText="0" indent="0" justifyLastLine="0" shrinkToFit="0" readingOrder="0"/>
    </dxf>
    <dxf>
      <numFmt numFmtId="30" formatCode="@"/>
      <alignment horizontal="general" vertical="center" textRotation="0" wrapText="0" indent="0" justifyLastLine="0" shrinkToFit="0" readingOrder="0"/>
    </dxf>
    <dxf>
      <numFmt numFmtId="30" formatCode="@"/>
      <alignment horizontal="general" vertical="center" textRotation="0" wrapText="0" indent="0" justifyLastLine="0" shrinkToFit="0" readingOrder="0"/>
    </dxf>
    <dxf>
      <numFmt numFmtId="30" formatCode="@"/>
      <alignment horizontal="general" vertical="center" textRotation="0" wrapText="0" indent="0" justifyLastLine="0" shrinkToFit="0" readingOrder="0"/>
    </dxf>
    <dxf>
      <font>
        <b val="0"/>
        <i val="0"/>
        <strike val="0"/>
        <condense val="0"/>
        <extend val="0"/>
        <outline val="0"/>
        <shadow val="0"/>
        <u val="none"/>
        <vertAlign val="baseline"/>
        <sz val="12"/>
        <color theme="1"/>
        <name val="Arial"/>
        <scheme val="none"/>
      </font>
      <alignment horizontal="center" vertical="bottom" textRotation="0" wrapText="0" indent="0" justifyLastLine="0" shrinkToFit="0" readingOrder="0"/>
    </dxf>
    <dxf>
      <alignment horizontal="general" vertical="center" textRotation="0" wrapText="0" indent="0" justifyLastLine="0" shrinkToFit="0" readingOrder="0"/>
    </dxf>
    <dxf>
      <alignment horizontal="general" vertical="center" textRotation="0" wrapText="0" indent="0" justifyLastLine="0" shrinkToFit="0" readingOrder="0"/>
    </dxf>
    <dxf>
      <alignment horizontal="general" vertical="center" textRotation="0" wrapText="0" indent="0" justifyLastLine="0" shrinkToFit="0" readingOrder="0"/>
    </dxf>
    <dxf>
      <font>
        <b/>
        <i val="0"/>
        <strike val="0"/>
        <condense val="0"/>
        <extend val="0"/>
        <outline val="0"/>
        <shadow val="0"/>
        <u val="none"/>
        <vertAlign val="baseline"/>
        <sz val="11"/>
        <color theme="1"/>
        <name val="Arial"/>
        <scheme val="none"/>
      </font>
      <alignment horizontal="center" vertical="bottom" textRotation="0" wrapText="0" indent="0" justifyLastLine="0" shrinkToFit="0" readingOrder="0"/>
    </dxf>
    <dxf>
      <alignment horizontal="general" vertical="center" textRotation="0" wrapText="0" indent="0" justifyLastLine="0" shrinkToFit="0" readingOrder="0"/>
    </dxf>
    <dxf>
      <alignment horizontal="general" vertical="center" textRotation="0" wrapText="0" indent="0" justifyLastLine="0" shrinkToFit="0" readingOrder="0"/>
    </dxf>
    <dxf>
      <alignment horizontal="general" vertical="center" textRotation="0" wrapText="0" indent="0" justifyLastLine="0" shrinkToFit="0" readingOrder="0"/>
    </dxf>
    <dxf>
      <alignment horizontal="general" vertical="center" textRotation="0" wrapText="0" indent="0" justifyLastLine="0" shrinkToFit="0" readingOrder="0"/>
    </dxf>
    <dxf>
      <numFmt numFmtId="1" formatCode="0"/>
      <alignment horizontal="center" vertical="center" textRotation="0" wrapText="0" indent="0" justifyLastLine="0" shrinkToFit="0" readingOrder="0"/>
    </dxf>
    <dxf>
      <numFmt numFmtId="165" formatCode="mm/dd/yy\ hh:mm"/>
      <alignment horizontal="general" vertical="center" textRotation="0" wrapText="0" indent="0" justifyLastLine="0" shrinkToFit="1" readingOrder="0"/>
    </dxf>
    <dxf>
      <numFmt numFmtId="30" formatCode="@"/>
      <alignment horizontal="general" vertical="center" textRotation="0" wrapText="0" indent="0" justifyLastLine="0" shrinkToFit="1" readingOrder="0"/>
    </dxf>
    <dxf>
      <numFmt numFmtId="165" formatCode="mm/dd/yy\ hh:mm"/>
      <alignment horizontal="general" vertical="center" textRotation="0" wrapText="0" indent="0" justifyLastLine="0" shrinkToFit="1" readingOrder="0"/>
    </dxf>
    <dxf>
      <numFmt numFmtId="30" formatCode="@"/>
      <alignment horizontal="general" vertical="center" textRotation="0" wrapText="0" indent="0" justifyLastLine="0" shrinkToFit="1" readingOrder="0"/>
    </dxf>
    <dxf>
      <numFmt numFmtId="30" formatCode="@"/>
      <alignment horizontal="general" vertical="center" textRotation="0" wrapText="0" indent="0" justifyLastLine="0" shrinkToFit="1" readingOrder="0"/>
    </dxf>
    <dxf>
      <numFmt numFmtId="30" formatCode="@"/>
      <alignment horizontal="general" vertical="center" textRotation="0" wrapText="0" indent="0" justifyLastLine="0" shrinkToFit="1" readingOrder="0"/>
    </dxf>
    <dxf>
      <numFmt numFmtId="30" formatCode="@"/>
      <alignment horizontal="general" vertical="center" textRotation="0" wrapText="0" indent="0" justifyLastLine="0" shrinkToFit="1" readingOrder="0"/>
    </dxf>
    <dxf>
      <numFmt numFmtId="30" formatCode="@"/>
      <alignment horizontal="general" vertical="center" textRotation="0" wrapText="0" indent="0" justifyLastLine="0" shrinkToFit="1" readingOrder="0"/>
    </dxf>
    <dxf>
      <numFmt numFmtId="30" formatCode="@"/>
      <alignment horizontal="general" vertical="center" textRotation="0" wrapText="0" indent="0" justifyLastLine="0" shrinkToFit="1" readingOrder="0"/>
    </dxf>
    <dxf>
      <numFmt numFmtId="30" formatCode="@"/>
      <alignment horizontal="general" vertical="center" textRotation="0" wrapText="0" indent="0" justifyLastLine="0" shrinkToFit="1" readingOrder="0"/>
    </dxf>
    <dxf>
      <numFmt numFmtId="30" formatCode="@"/>
      <alignment horizontal="general" vertical="center" textRotation="0" wrapText="0" indent="0" justifyLastLine="0" shrinkToFit="1" readingOrder="0"/>
    </dxf>
    <dxf>
      <font>
        <strike val="0"/>
        <outline val="0"/>
        <shadow val="0"/>
        <u val="none"/>
        <vertAlign val="baseline"/>
        <sz val="8"/>
        <color theme="1"/>
        <name val="Arial"/>
        <scheme val="none"/>
      </font>
      <numFmt numFmtId="0" formatCode="General"/>
      <alignment horizontal="general" vertical="center" textRotation="0" wrapText="0" indent="0" justifyLastLine="0" shrinkToFit="0" readingOrder="0"/>
    </dxf>
    <dxf>
      <numFmt numFmtId="30" formatCode="@"/>
      <alignment horizontal="general" vertical="center" textRotation="0" wrapText="0" indent="0" justifyLastLine="0" shrinkToFit="1" readingOrder="0"/>
    </dxf>
    <dxf>
      <numFmt numFmtId="30" formatCode="@"/>
      <alignment horizontal="general" vertical="center" textRotation="0" wrapText="0" indent="0" justifyLastLine="0" shrinkToFit="1" readingOrder="0"/>
    </dxf>
    <dxf>
      <numFmt numFmtId="30" formatCode="@"/>
      <alignment horizontal="general" vertical="center" textRotation="0" wrapText="0" indent="0" justifyLastLine="0" shrinkToFit="1" readingOrder="0"/>
    </dxf>
    <dxf>
      <numFmt numFmtId="30" formatCode="@"/>
      <alignment horizontal="general" vertical="center" textRotation="0" wrapText="0" indent="0" justifyLastLine="0" shrinkToFit="1" readingOrder="0"/>
    </dxf>
    <dxf>
      <font>
        <b/>
      </font>
      <alignment horizontal="left" vertical="center" textRotation="0" wrapText="0" indent="1" justifyLastLine="0" shrinkToFit="1" readingOrder="0"/>
    </dxf>
    <dxf>
      <font>
        <strike val="0"/>
        <outline val="0"/>
        <shadow val="0"/>
        <u val="none"/>
        <vertAlign val="baseline"/>
        <sz val="12"/>
        <color theme="1"/>
        <name val="Arial"/>
        <scheme val="none"/>
      </font>
      <alignment horizontal="left" vertical="center" textRotation="0" wrapText="0" indent="1" justifyLastLine="0" shrinkToFit="1" readingOrder="0"/>
    </dxf>
    <dxf>
      <font>
        <b val="0"/>
        <i val="0"/>
        <strike val="0"/>
        <condense val="0"/>
        <extend val="0"/>
        <outline val="0"/>
        <shadow val="0"/>
        <u val="none"/>
        <vertAlign val="baseline"/>
        <sz val="12"/>
        <color theme="1"/>
        <name val="Arial"/>
        <scheme val="none"/>
      </font>
      <alignment horizontal="center" vertical="bottom" textRotation="0" wrapText="0" indent="0" justifyLastLine="0" shrinkToFit="0" readingOrder="0"/>
    </dxf>
    <dxf>
      <font>
        <b val="0"/>
        <i val="0"/>
        <strike val="0"/>
        <condense val="0"/>
        <extend val="0"/>
        <outline val="0"/>
        <shadow val="0"/>
        <u val="none"/>
        <vertAlign val="baseline"/>
        <sz val="12"/>
        <color theme="1"/>
        <name val="Arial"/>
        <scheme val="none"/>
      </font>
      <alignment horizontal="center" vertical="bottom" textRotation="0" wrapText="0" indent="0" justifyLastLine="0" shrinkToFit="0" readingOrder="0"/>
    </dxf>
    <dxf>
      <font>
        <b val="0"/>
        <i val="0"/>
        <strike val="0"/>
        <condense val="0"/>
        <extend val="0"/>
        <outline val="0"/>
        <shadow val="0"/>
        <u val="none"/>
        <vertAlign val="baseline"/>
        <sz val="11"/>
        <color theme="1"/>
        <name val="Arial"/>
        <scheme val="none"/>
      </font>
      <alignment horizontal="center" vertical="bottom" textRotation="0" wrapText="0" indent="0" justifyLastLine="0" shrinkToFit="0" readingOrder="0"/>
    </dxf>
    <dxf>
      <font>
        <b val="0"/>
        <i val="0"/>
        <strike val="0"/>
        <condense val="0"/>
        <extend val="0"/>
        <outline val="0"/>
        <shadow val="0"/>
        <u val="none"/>
        <vertAlign val="baseline"/>
        <sz val="11"/>
        <color theme="1"/>
        <name val="Arial"/>
        <scheme val="none"/>
      </font>
      <alignment horizontal="center" vertical="bottom" textRotation="0" wrapText="0" indent="0" justifyLastLine="0" shrinkToFit="0" readingOrder="0"/>
    </dxf>
    <dxf>
      <font>
        <b val="0"/>
        <i val="0"/>
        <strike val="0"/>
        <condense val="0"/>
        <extend val="0"/>
        <outline val="0"/>
        <shadow val="0"/>
        <u val="none"/>
        <vertAlign val="baseline"/>
        <sz val="11"/>
        <color theme="1"/>
        <name val="Arial"/>
        <scheme val="none"/>
      </font>
      <alignment horizontal="center" vertical="bottom" textRotation="0" wrapText="0" indent="0" justifyLastLine="0" shrinkToFit="0" readingOrder="0"/>
    </dxf>
    <dxf>
      <font>
        <b val="0"/>
        <i val="0"/>
        <strike val="0"/>
        <condense val="0"/>
        <extend val="0"/>
        <outline val="0"/>
        <shadow val="0"/>
        <u val="none"/>
        <vertAlign val="baseline"/>
        <sz val="11"/>
        <color theme="1"/>
        <name val="Arial"/>
        <scheme val="none"/>
      </font>
      <alignment horizontal="center" vertical="bottom" textRotation="0" wrapText="0" indent="0" justifyLastLine="0" shrinkToFit="0" readingOrder="0"/>
    </dxf>
    <dxf>
      <font>
        <b val="0"/>
        <i val="0"/>
        <strike val="0"/>
        <condense val="0"/>
        <extend val="0"/>
        <outline val="0"/>
        <shadow val="0"/>
        <u val="none"/>
        <vertAlign val="baseline"/>
        <sz val="11"/>
        <color theme="1"/>
        <name val="Arial"/>
        <scheme val="none"/>
      </font>
      <alignment horizontal="center" vertical="bottom" textRotation="0" wrapText="0" indent="0" justifyLastLine="0" shrinkToFit="0" readingOrder="0"/>
    </dxf>
    <dxf>
      <font>
        <b val="0"/>
        <i val="0"/>
        <strike val="0"/>
        <condense val="0"/>
        <extend val="0"/>
        <outline val="0"/>
        <shadow val="0"/>
        <u val="none"/>
        <vertAlign val="baseline"/>
        <sz val="11"/>
        <color theme="1"/>
        <name val="Arial"/>
        <scheme val="none"/>
      </font>
      <alignment horizontal="center" vertical="bottom" textRotation="0" wrapText="0" indent="0" justifyLastLine="0" shrinkToFit="0" readingOrder="0"/>
    </dxf>
    <dxf>
      <font>
        <b val="0"/>
        <i val="0"/>
        <strike val="0"/>
        <condense val="0"/>
        <extend val="0"/>
        <outline val="0"/>
        <shadow val="0"/>
        <u val="none"/>
        <vertAlign val="baseline"/>
        <sz val="11"/>
        <color theme="1"/>
        <name val="Arial"/>
        <scheme val="none"/>
      </font>
      <alignment horizontal="center" vertical="bottom" textRotation="0" wrapText="0" indent="0" justifyLastLine="0" shrinkToFit="0" readingOrder="0"/>
    </dxf>
    <dxf>
      <font>
        <b val="0"/>
        <i val="0"/>
        <strike val="0"/>
        <condense val="0"/>
        <extend val="0"/>
        <outline val="0"/>
        <shadow val="0"/>
        <u val="none"/>
        <vertAlign val="baseline"/>
        <sz val="11"/>
        <color theme="1"/>
        <name val="Arial"/>
        <scheme val="none"/>
      </font>
      <alignment horizontal="center" vertical="bottom" textRotation="0" wrapText="0" indent="0" justifyLastLine="0" shrinkToFit="0" readingOrder="0"/>
    </dxf>
    <dxf>
      <font>
        <b val="0"/>
        <i val="0"/>
        <strike val="0"/>
        <condense val="0"/>
        <extend val="0"/>
        <outline val="0"/>
        <shadow val="0"/>
        <u val="none"/>
        <vertAlign val="baseline"/>
        <sz val="11"/>
        <color theme="1"/>
        <name val="Arial"/>
        <scheme val="none"/>
      </font>
      <alignment horizontal="center" vertical="bottom" textRotation="0" wrapText="0" indent="0" justifyLastLine="0" shrinkToFit="0" readingOrder="0"/>
    </dxf>
    <dxf>
      <font>
        <b val="0"/>
        <i val="0"/>
        <strike val="0"/>
        <condense val="0"/>
        <extend val="0"/>
        <outline val="0"/>
        <shadow val="0"/>
        <u val="none"/>
        <vertAlign val="baseline"/>
        <sz val="11"/>
        <color theme="1"/>
        <name val="Arial"/>
        <scheme val="none"/>
      </font>
      <alignment horizontal="center" vertical="bottom" textRotation="0" wrapText="0" indent="0" justifyLastLine="0" shrinkToFit="0" readingOrder="0"/>
    </dxf>
    <dxf>
      <font>
        <b val="0"/>
        <i val="0"/>
        <strike val="0"/>
        <condense val="0"/>
        <extend val="0"/>
        <outline val="0"/>
        <shadow val="0"/>
        <u val="none"/>
        <vertAlign val="baseline"/>
        <sz val="11"/>
        <color theme="1"/>
        <name val="Arial"/>
        <scheme val="none"/>
      </font>
      <alignment horizontal="center" vertical="bottom" textRotation="0" wrapText="0" indent="0" justifyLastLine="0" shrinkToFit="0" readingOrder="0"/>
    </dxf>
    <dxf>
      <font>
        <b val="0"/>
        <i val="0"/>
        <strike val="0"/>
        <condense val="0"/>
        <extend val="0"/>
        <outline val="0"/>
        <shadow val="0"/>
        <u val="none"/>
        <vertAlign val="baseline"/>
        <sz val="11"/>
        <color theme="1"/>
        <name val="Arial"/>
        <scheme val="none"/>
      </font>
      <alignment horizontal="center" vertical="bottom" textRotation="0" wrapText="0" indent="0" justifyLastLine="0" shrinkToFit="0" readingOrder="0"/>
    </dxf>
    <dxf>
      <font>
        <b val="0"/>
        <i val="0"/>
        <strike val="0"/>
        <condense val="0"/>
        <extend val="0"/>
        <outline val="0"/>
        <shadow val="0"/>
        <u val="none"/>
        <vertAlign val="baseline"/>
        <sz val="11"/>
        <color theme="1"/>
        <name val="Arial"/>
        <scheme val="none"/>
      </font>
      <alignment horizontal="center" vertical="bottom" textRotation="0" wrapText="1" indent="0" justifyLastLine="0" shrinkToFit="0" readingOrder="0"/>
    </dxf>
    <dxf>
      <font>
        <b val="0"/>
        <i val="0"/>
        <strike val="0"/>
        <condense val="0"/>
        <extend val="0"/>
        <outline val="0"/>
        <shadow val="0"/>
        <u val="none"/>
        <vertAlign val="baseline"/>
        <sz val="11"/>
        <color theme="1"/>
        <name val="Arial"/>
        <scheme val="none"/>
      </font>
      <alignment horizontal="center" vertical="bottom" textRotation="0" wrapText="0" indent="0" justifyLastLine="0" shrinkToFit="0" readingOrder="0"/>
    </dxf>
    <dxf>
      <font>
        <b val="0"/>
        <i val="0"/>
        <strike val="0"/>
        <condense val="0"/>
        <extend val="0"/>
        <outline val="0"/>
        <shadow val="0"/>
        <u val="none"/>
        <vertAlign val="baseline"/>
        <sz val="11"/>
        <color theme="1"/>
        <name val="Arial"/>
        <scheme val="none"/>
      </font>
      <numFmt numFmtId="165" formatCode="mm/dd/yy\ hh:mm"/>
      <alignment horizontal="center" vertical="bottom" textRotation="0" wrapText="0" indent="0" justifyLastLine="0" shrinkToFit="0" readingOrder="0"/>
    </dxf>
    <dxf>
      <font>
        <b val="0"/>
        <i val="0"/>
        <strike val="0"/>
        <condense val="0"/>
        <extend val="0"/>
        <outline val="0"/>
        <shadow val="0"/>
        <u val="none"/>
        <vertAlign val="baseline"/>
        <sz val="11"/>
        <color theme="1"/>
        <name val="Arial"/>
        <scheme val="none"/>
      </font>
      <alignment horizontal="center" vertical="bottom" textRotation="0" wrapText="0" indent="0" justifyLastLine="0" shrinkToFit="0" readingOrder="0"/>
    </dxf>
    <dxf>
      <font>
        <b val="0"/>
        <i val="0"/>
        <strike val="0"/>
        <condense val="0"/>
        <extend val="0"/>
        <outline val="0"/>
        <shadow val="0"/>
        <u val="none"/>
        <vertAlign val="baseline"/>
        <sz val="11"/>
        <color theme="1"/>
        <name val="Arial"/>
        <scheme val="none"/>
      </font>
      <numFmt numFmtId="165" formatCode="mm/dd/yy\ hh:mm"/>
      <alignment horizontal="center" vertical="bottom" textRotation="0" wrapText="0" indent="0" justifyLastLine="0" shrinkToFit="0" readingOrder="0"/>
    </dxf>
    <dxf>
      <font>
        <b val="0"/>
        <i val="0"/>
        <strike val="0"/>
        <condense val="0"/>
        <extend val="0"/>
        <outline val="0"/>
        <shadow val="0"/>
        <u val="none"/>
        <vertAlign val="baseline"/>
        <sz val="11"/>
        <color theme="1"/>
        <name val="Arial"/>
        <scheme val="none"/>
      </font>
      <numFmt numFmtId="1" formatCode="0"/>
      <alignment horizontal="center" vertical="bottom" textRotation="0" wrapText="0" indent="0" justifyLastLine="0" shrinkToFit="0" readingOrder="0"/>
    </dxf>
    <dxf>
      <numFmt numFmtId="0" formatCode="General"/>
      <alignment horizontal="general" vertical="center" textRotation="0" wrapText="0" indent="0" justifyLastLine="0" shrinkToFit="0" readingOrder="0"/>
    </dxf>
    <dxf>
      <numFmt numFmtId="30" formatCode="@"/>
      <alignment horizontal="center" vertical="center" textRotation="0" wrapText="0" indent="0" justifyLastLine="0" shrinkToFit="0" readingOrder="0"/>
    </dxf>
    <dxf>
      <numFmt numFmtId="165" formatCode="mm/dd/yy\ hh:mm"/>
      <alignment horizontal="general" vertical="center" textRotation="0" wrapText="0" indent="0" justifyLastLine="0" shrinkToFit="0" readingOrder="0"/>
    </dxf>
    <dxf>
      <numFmt numFmtId="30" formatCode="@"/>
      <alignment horizontal="general" vertical="center" textRotation="0" wrapText="0" indent="0" justifyLastLine="0" shrinkToFit="0" readingOrder="0"/>
    </dxf>
    <dxf>
      <numFmt numFmtId="165" formatCode="mm/dd/yy\ hh:mm"/>
      <alignment horizontal="general" vertical="center" textRotation="0" wrapText="0" indent="0" justifyLastLine="0" shrinkToFit="0" readingOrder="0"/>
    </dxf>
    <dxf>
      <numFmt numFmtId="30" formatCode="@"/>
      <alignment horizontal="general" vertical="center" textRotation="0" wrapText="0" indent="0" justifyLastLine="0" shrinkToFit="0" readingOrder="0"/>
    </dxf>
    <dxf>
      <numFmt numFmtId="30" formatCode="@"/>
      <alignment horizontal="general" vertical="center" textRotation="0" wrapText="0" indent="0" justifyLastLine="0" shrinkToFit="1" readingOrder="0"/>
    </dxf>
    <dxf>
      <numFmt numFmtId="30" formatCode="@"/>
      <alignment horizontal="general" vertical="center" textRotation="0" wrapText="0" indent="0" justifyLastLine="0" shrinkToFit="1" readingOrder="0"/>
    </dxf>
    <dxf>
      <numFmt numFmtId="30" formatCode="@"/>
      <alignment horizontal="general" vertical="center" textRotation="0" wrapText="0" indent="0" justifyLastLine="0" shrinkToFit="1" readingOrder="0"/>
    </dxf>
    <dxf>
      <numFmt numFmtId="0" formatCode="General"/>
      <alignment horizontal="general" vertical="center" textRotation="0" wrapText="0" indent="0" justifyLastLine="0" shrinkToFit="0" readingOrder="0"/>
    </dxf>
    <dxf>
      <alignment horizontal="general" vertical="center" textRotation="0" wrapText="0" indent="0" justifyLastLine="0" shrinkToFit="1" readingOrder="0"/>
    </dxf>
    <dxf>
      <numFmt numFmtId="30" formatCode="@"/>
      <alignment horizontal="general" vertical="center" textRotation="0" wrapText="0" indent="0" justifyLastLine="0" shrinkToFit="1" readingOrder="0"/>
    </dxf>
    <dxf>
      <numFmt numFmtId="30" formatCode="@"/>
      <alignment horizontal="general" vertical="center" textRotation="0" wrapText="0" indent="0" justifyLastLine="0" shrinkToFit="1" readingOrder="0"/>
    </dxf>
    <dxf>
      <numFmt numFmtId="30" formatCode="@"/>
      <alignment horizontal="general" vertical="center" textRotation="0" wrapText="0" indent="0" justifyLastLine="0" shrinkToFit="0" readingOrder="0"/>
    </dxf>
    <dxf>
      <numFmt numFmtId="30" formatCode="@"/>
      <alignment horizontal="general" vertical="center" textRotation="0" wrapText="0" indent="0" justifyLastLine="0" shrinkToFit="1" readingOrder="0"/>
    </dxf>
    <dxf>
      <numFmt numFmtId="30" formatCode="@"/>
      <alignment horizontal="general" vertical="center" textRotation="0" wrapText="0" indent="0" justifyLastLine="0" shrinkToFit="1" readingOrder="0"/>
    </dxf>
    <dxf>
      <numFmt numFmtId="30" formatCode="@"/>
      <alignment horizontal="general" vertical="center" textRotation="0" wrapText="0" indent="0" justifyLastLine="0" shrinkToFit="1" readingOrder="0"/>
    </dxf>
    <dxf>
      <font>
        <b/>
      </font>
      <numFmt numFmtId="30" formatCode="@"/>
      <alignment horizontal="center" vertical="center" textRotation="0" wrapText="0" indent="0" justifyLastLine="0" shrinkToFit="0" readingOrder="0"/>
    </dxf>
    <dxf>
      <font>
        <b/>
        <strike val="0"/>
        <outline val="0"/>
        <shadow val="0"/>
        <u val="none"/>
        <vertAlign val="baseline"/>
        <sz val="11"/>
        <color theme="1"/>
        <name val="Arial"/>
        <scheme val="none"/>
      </font>
      <numFmt numFmtId="30" formatCode="@"/>
      <alignment horizontal="center" vertical="center" textRotation="0" wrapText="0" indent="0" justifyLastLine="0" shrinkToFit="0" readingOrder="0"/>
    </dxf>
    <dxf>
      <font>
        <b/>
        <strike val="0"/>
        <outline val="0"/>
        <shadow val="0"/>
        <u val="none"/>
        <vertAlign val="baseline"/>
        <sz val="11"/>
        <color theme="1"/>
        <name val="Arial"/>
        <scheme val="none"/>
      </font>
      <numFmt numFmtId="30" formatCode="@"/>
      <alignment horizontal="center" vertical="center" textRotation="0" wrapText="0" indent="0" justifyLastLine="0" shrinkToFit="0" readingOrder="0"/>
    </dxf>
    <dxf>
      <font>
        <strike val="0"/>
        <outline val="0"/>
        <shadow val="0"/>
        <u val="none"/>
        <vertAlign val="baseline"/>
        <sz val="12"/>
        <color theme="1"/>
        <name val="Arial"/>
        <scheme val="none"/>
      </font>
      <numFmt numFmtId="30" formatCode="@"/>
      <alignment horizontal="center" vertical="center" textRotation="0" wrapText="0" indent="0" justifyLastLine="0" shrinkToFit="0" readingOrder="0"/>
    </dxf>
    <dxf>
      <font>
        <b val="0"/>
        <i val="0"/>
        <strike val="0"/>
        <condense val="0"/>
        <extend val="0"/>
        <outline val="0"/>
        <shadow val="0"/>
        <u val="none"/>
        <vertAlign val="baseline"/>
        <sz val="12"/>
        <color theme="1"/>
        <name val="Arial"/>
        <scheme val="none"/>
      </font>
      <alignment horizontal="center" vertical="bottom" textRotation="0" wrapText="0" indent="0" justifyLastLine="0" shrinkToFit="0" readingOrder="0"/>
    </dxf>
    <dxf>
      <font>
        <b val="0"/>
        <i val="0"/>
        <strike val="0"/>
        <condense val="0"/>
        <extend val="0"/>
        <outline val="0"/>
        <shadow val="0"/>
        <u val="none"/>
        <vertAlign val="baseline"/>
        <sz val="11"/>
        <color theme="1"/>
        <name val="Arial"/>
        <scheme val="none"/>
      </font>
      <alignment horizontal="center" vertical="bottom" textRotation="0" wrapText="0" indent="0" justifyLastLine="0" shrinkToFit="0" readingOrder="0"/>
    </dxf>
    <dxf>
      <font>
        <b val="0"/>
        <i val="0"/>
        <strike val="0"/>
        <condense val="0"/>
        <extend val="0"/>
        <outline val="0"/>
        <shadow val="0"/>
        <u val="none"/>
        <vertAlign val="baseline"/>
        <sz val="11"/>
        <color theme="1"/>
        <name val="Arial"/>
        <scheme val="none"/>
      </font>
      <alignment horizontal="center" vertical="bottom" textRotation="0" wrapText="0" indent="0" justifyLastLine="0" shrinkToFit="0" readingOrder="0"/>
    </dxf>
    <dxf>
      <font>
        <b val="0"/>
        <i val="0"/>
        <strike val="0"/>
        <condense val="0"/>
        <extend val="0"/>
        <outline val="0"/>
        <shadow val="0"/>
        <u val="none"/>
        <vertAlign val="baseline"/>
        <sz val="11"/>
        <color theme="1"/>
        <name val="Arial"/>
        <scheme val="none"/>
      </font>
      <alignment horizontal="center" vertical="bottom" textRotation="0" wrapText="0" indent="0" justifyLastLine="0" shrinkToFit="0" readingOrder="0"/>
    </dxf>
    <dxf>
      <font>
        <b val="0"/>
        <i val="0"/>
        <strike val="0"/>
        <condense val="0"/>
        <extend val="0"/>
        <outline val="0"/>
        <shadow val="0"/>
        <u val="none"/>
        <vertAlign val="baseline"/>
        <sz val="11"/>
        <color theme="1"/>
        <name val="Arial"/>
        <scheme val="none"/>
      </font>
      <alignment horizontal="center" vertical="bottom" textRotation="0" wrapText="0" indent="0" justifyLastLine="0" shrinkToFit="0" readingOrder="0"/>
    </dxf>
    <dxf>
      <font>
        <b val="0"/>
        <i val="0"/>
        <strike val="0"/>
        <condense val="0"/>
        <extend val="0"/>
        <outline val="0"/>
        <shadow val="0"/>
        <u val="none"/>
        <vertAlign val="baseline"/>
        <sz val="11"/>
        <color theme="1"/>
        <name val="Arial"/>
        <scheme val="none"/>
      </font>
      <alignment horizontal="center" vertical="bottom" textRotation="0" wrapText="0" indent="0" justifyLastLine="0" shrinkToFit="0" readingOrder="0"/>
    </dxf>
    <dxf>
      <font>
        <b val="0"/>
        <i val="0"/>
        <strike val="0"/>
        <condense val="0"/>
        <extend val="0"/>
        <outline val="0"/>
        <shadow val="0"/>
        <u val="none"/>
        <vertAlign val="baseline"/>
        <sz val="11"/>
        <color theme="1"/>
        <name val="Arial"/>
        <scheme val="none"/>
      </font>
      <alignment horizontal="center" vertical="bottom" textRotation="0" wrapText="0" indent="0" justifyLastLine="0" shrinkToFit="0" readingOrder="0"/>
    </dxf>
    <dxf>
      <font>
        <b val="0"/>
        <i val="0"/>
        <strike val="0"/>
        <condense val="0"/>
        <extend val="0"/>
        <outline val="0"/>
        <shadow val="0"/>
        <u val="none"/>
        <vertAlign val="baseline"/>
        <sz val="11"/>
        <color theme="1"/>
        <name val="Arial"/>
        <scheme val="none"/>
      </font>
      <alignment horizontal="center" vertical="bottom" textRotation="0" wrapText="0" indent="0" justifyLastLine="0" shrinkToFit="0" readingOrder="0"/>
    </dxf>
    <dxf>
      <font>
        <b val="0"/>
        <i val="0"/>
        <strike val="0"/>
        <condense val="0"/>
        <extend val="0"/>
        <outline val="0"/>
        <shadow val="0"/>
        <u val="none"/>
        <vertAlign val="baseline"/>
        <sz val="11"/>
        <color theme="1"/>
        <name val="Arial"/>
        <scheme val="none"/>
      </font>
      <alignment horizontal="center" vertical="bottom" textRotation="0" wrapText="0" indent="0" justifyLastLine="0" shrinkToFit="0" readingOrder="0"/>
    </dxf>
    <dxf>
      <font>
        <b val="0"/>
        <i val="0"/>
        <strike val="0"/>
        <condense val="0"/>
        <extend val="0"/>
        <outline val="0"/>
        <shadow val="0"/>
        <u val="none"/>
        <vertAlign val="baseline"/>
        <sz val="11"/>
        <color theme="1"/>
        <name val="Arial"/>
        <scheme val="none"/>
      </font>
      <alignment horizontal="center" vertical="bottom" textRotation="0" wrapText="0" indent="0" justifyLastLine="0" shrinkToFit="0" readingOrder="0"/>
    </dxf>
    <dxf>
      <font>
        <b val="0"/>
        <i val="0"/>
        <strike val="0"/>
        <condense val="0"/>
        <extend val="0"/>
        <outline val="0"/>
        <shadow val="0"/>
        <u val="none"/>
        <vertAlign val="baseline"/>
        <sz val="11"/>
        <color theme="1"/>
        <name val="Arial"/>
        <scheme val="none"/>
      </font>
      <alignment horizontal="center" vertical="bottom" textRotation="0" wrapText="1" indent="0" justifyLastLine="0" shrinkToFit="0" readingOrder="0"/>
    </dxf>
    <dxf>
      <font>
        <b val="0"/>
        <i val="0"/>
        <strike val="0"/>
        <condense val="0"/>
        <extend val="0"/>
        <outline val="0"/>
        <shadow val="0"/>
        <u val="none"/>
        <vertAlign val="baseline"/>
        <sz val="11"/>
        <color theme="1"/>
        <name val="Arial"/>
        <scheme val="none"/>
      </font>
      <alignment horizontal="center" vertical="bottom" textRotation="0" wrapText="0" indent="0" justifyLastLine="0" shrinkToFit="0" readingOrder="0"/>
    </dxf>
    <dxf>
      <font>
        <b val="0"/>
        <i val="0"/>
        <strike val="0"/>
        <condense val="0"/>
        <extend val="0"/>
        <outline val="0"/>
        <shadow val="0"/>
        <u val="none"/>
        <vertAlign val="baseline"/>
        <sz val="11"/>
        <color theme="1"/>
        <name val="Arial"/>
        <scheme val="none"/>
      </font>
      <alignment horizontal="center" vertical="bottom" textRotation="0" wrapText="0" indent="0" justifyLastLine="0" shrinkToFit="0" readingOrder="0"/>
    </dxf>
    <dxf>
      <font>
        <b val="0"/>
        <i val="0"/>
        <strike val="0"/>
        <condense val="0"/>
        <extend val="0"/>
        <outline val="0"/>
        <shadow val="0"/>
        <u val="none"/>
        <vertAlign val="baseline"/>
        <sz val="11"/>
        <color theme="1"/>
        <name val="Arial"/>
        <scheme val="none"/>
      </font>
      <alignment horizontal="center" vertical="bottom" textRotation="0" wrapText="0" indent="0" justifyLastLine="0" shrinkToFit="0" readingOrder="0"/>
    </dxf>
    <dxf>
      <font>
        <b val="0"/>
        <i val="0"/>
        <strike val="0"/>
        <condense val="0"/>
        <extend val="0"/>
        <outline val="0"/>
        <shadow val="0"/>
        <u val="none"/>
        <vertAlign val="baseline"/>
        <sz val="11"/>
        <color theme="1"/>
        <name val="Arial"/>
        <scheme val="none"/>
      </font>
      <alignment horizontal="center" vertical="bottom" textRotation="0" wrapText="0" indent="0" justifyLastLine="0" shrinkToFit="0" readingOrder="0"/>
    </dxf>
    <dxf>
      <font>
        <b val="0"/>
        <i val="0"/>
        <strike val="0"/>
        <condense val="0"/>
        <extend val="0"/>
        <outline val="0"/>
        <shadow val="0"/>
        <u val="none"/>
        <vertAlign val="baseline"/>
        <sz val="11"/>
        <color theme="1"/>
        <name val="Arial"/>
        <scheme val="none"/>
      </font>
      <alignment horizontal="center" vertical="bottom" textRotation="0" wrapText="0" indent="0" justifyLastLine="0" shrinkToFit="0" readingOrder="0"/>
    </dxf>
    <dxf>
      <font>
        <b val="0"/>
        <i val="0"/>
        <strike val="0"/>
        <condense val="0"/>
        <extend val="0"/>
        <outline val="0"/>
        <shadow val="0"/>
        <u val="none"/>
        <vertAlign val="baseline"/>
        <sz val="11"/>
        <color theme="1"/>
        <name val="Arial"/>
        <scheme val="none"/>
      </font>
      <numFmt numFmtId="165" formatCode="mm/dd/yy\ hh:mm"/>
      <alignment horizontal="center" vertical="bottom" textRotation="0" wrapText="0" indent="0" justifyLastLine="0" shrinkToFit="1" readingOrder="0"/>
    </dxf>
    <dxf>
      <font>
        <b val="0"/>
        <i val="0"/>
        <strike val="0"/>
        <condense val="0"/>
        <extend val="0"/>
        <outline val="0"/>
        <shadow val="0"/>
        <u val="none"/>
        <vertAlign val="baseline"/>
        <sz val="11"/>
        <color theme="1"/>
        <name val="Arial"/>
        <scheme val="none"/>
      </font>
      <alignment horizontal="center" vertical="bottom" textRotation="0" wrapText="0" indent="0" justifyLastLine="0" shrinkToFit="0" readingOrder="0"/>
    </dxf>
    <dxf>
      <font>
        <b val="0"/>
        <i val="0"/>
        <strike val="0"/>
        <condense val="0"/>
        <extend val="0"/>
        <outline val="0"/>
        <shadow val="0"/>
        <u val="none"/>
        <vertAlign val="baseline"/>
        <sz val="11"/>
        <color theme="1"/>
        <name val="Arial"/>
        <scheme val="none"/>
      </font>
      <numFmt numFmtId="165" formatCode="mm/dd/yy\ hh:mm"/>
      <alignment horizontal="center" vertical="bottom" textRotation="0" wrapText="0" indent="0" justifyLastLine="0" shrinkToFit="1" readingOrder="0"/>
    </dxf>
    <dxf>
      <font>
        <b val="0"/>
        <i val="0"/>
        <strike val="0"/>
        <condense val="0"/>
        <extend val="0"/>
        <outline val="0"/>
        <shadow val="0"/>
        <u val="none"/>
        <vertAlign val="baseline"/>
        <sz val="11"/>
        <color theme="1"/>
        <name val="Arial"/>
        <scheme val="none"/>
      </font>
      <alignment horizontal="center" vertical="bottom" textRotation="0" wrapText="0" indent="0" justifyLastLine="0" shrinkToFit="0" readingOrder="0"/>
    </dxf>
    <dxf>
      <font>
        <b val="0"/>
        <i val="0"/>
        <strike val="0"/>
        <condense val="0"/>
        <extend val="0"/>
        <outline val="0"/>
        <shadow val="0"/>
        <u val="none"/>
        <vertAlign val="baseline"/>
        <sz val="11"/>
        <color theme="1"/>
        <name val="Arial"/>
        <scheme val="none"/>
      </font>
      <alignment horizontal="center" vertical="bottom" textRotation="0" wrapText="0" indent="0" justifyLastLine="0" shrinkToFit="0" readingOrder="0"/>
    </dxf>
    <dxf>
      <numFmt numFmtId="19" formatCode="m/d/yyyy"/>
      <alignment horizontal="general" vertical="center" textRotation="0" wrapText="0" indent="0" justifyLastLine="0" shrinkToFit="0" readingOrder="0"/>
    </dxf>
    <dxf>
      <numFmt numFmtId="19" formatCode="m/d/yyyy"/>
      <alignment horizontal="general" vertical="center" textRotation="0" wrapText="0" indent="0" justifyLastLine="0" shrinkToFit="0" readingOrder="0"/>
    </dxf>
    <dxf>
      <numFmt numFmtId="19" formatCode="m/d/yyyy"/>
      <alignment horizontal="general" vertical="center" textRotation="0" wrapText="0" indent="0" justifyLastLine="0" shrinkToFit="0" readingOrder="0"/>
    </dxf>
    <dxf>
      <numFmt numFmtId="1" formatCode="0"/>
      <alignment horizontal="general" vertical="center" textRotation="0" wrapText="0" indent="0" justifyLastLine="0" shrinkToFit="0" readingOrder="0"/>
    </dxf>
    <dxf>
      <numFmt numFmtId="1" formatCode="0"/>
      <alignment horizontal="general" vertical="center" textRotation="0" wrapText="0" indent="0" justifyLastLine="0" shrinkToFit="0" readingOrder="0"/>
    </dxf>
    <dxf>
      <numFmt numFmtId="1" formatCode="0"/>
      <alignment horizontal="general" vertical="center" textRotation="0" wrapText="0" indent="0" justifyLastLine="0" shrinkToFit="0" readingOrder="0"/>
    </dxf>
    <dxf>
      <numFmt numFmtId="1" formatCode="0"/>
      <alignment horizontal="general" vertical="center" textRotation="0" wrapText="0" indent="0" justifyLastLine="0" shrinkToFit="0" readingOrder="0"/>
    </dxf>
    <dxf>
      <numFmt numFmtId="1" formatCode="0"/>
      <alignment horizontal="general" vertical="center" textRotation="0" wrapText="0" indent="0" justifyLastLine="0" shrinkToFit="0" readingOrder="0"/>
    </dxf>
    <dxf>
      <numFmt numFmtId="1" formatCode="0"/>
      <alignment horizontal="general" vertical="center" textRotation="0" wrapText="0" indent="0" justifyLastLine="0" shrinkToFit="0" readingOrder="0"/>
    </dxf>
    <dxf>
      <numFmt numFmtId="165" formatCode="mm/dd/yy\ hh:mm"/>
      <alignment horizontal="general" vertical="center" textRotation="0" wrapText="0" indent="0" justifyLastLine="0" shrinkToFit="1" readingOrder="0"/>
    </dxf>
    <dxf>
      <numFmt numFmtId="30" formatCode="@"/>
      <alignment horizontal="general" vertical="center" textRotation="0" wrapText="0" indent="0" justifyLastLine="0" shrinkToFit="1" readingOrder="0"/>
    </dxf>
    <dxf>
      <numFmt numFmtId="165" formatCode="mm/dd/yy\ hh:mm"/>
      <alignment horizontal="general" vertical="center" textRotation="0" wrapText="0" indent="0" justifyLastLine="0" shrinkToFit="1" readingOrder="0"/>
    </dxf>
    <dxf>
      <numFmt numFmtId="30" formatCode="@"/>
      <alignment horizontal="general" vertical="center" textRotation="0" wrapText="0" indent="0" justifyLastLine="0" shrinkToFit="1" readingOrder="0"/>
    </dxf>
    <dxf>
      <numFmt numFmtId="30" formatCode="@"/>
      <alignment horizontal="general" vertical="center" textRotation="0" wrapText="0" indent="0" justifyLastLine="0" shrinkToFit="1" readingOrder="0"/>
    </dxf>
    <dxf>
      <numFmt numFmtId="30" formatCode="@"/>
      <alignment horizontal="center" vertical="center" textRotation="0" wrapText="0" indent="0" justifyLastLine="0" shrinkToFit="0" readingOrder="0"/>
    </dxf>
    <dxf>
      <numFmt numFmtId="30" formatCode="@"/>
      <alignment horizontal="center" vertical="center" textRotation="0" wrapText="0" indent="0" justifyLastLine="0" shrinkToFit="0" readingOrder="0"/>
    </dxf>
    <dxf>
      <numFmt numFmtId="30" formatCode="@"/>
      <alignment horizontal="general" vertical="center" textRotation="0" wrapText="0" indent="0" justifyLastLine="0" shrinkToFit="1" readingOrder="0"/>
    </dxf>
    <dxf>
      <numFmt numFmtId="30" formatCode="@"/>
      <alignment horizontal="general" vertical="center" textRotation="0" wrapText="0" indent="0" justifyLastLine="0" shrinkToFit="1" readingOrder="0"/>
    </dxf>
    <dxf>
      <numFmt numFmtId="30" formatCode="@"/>
      <alignment horizontal="general" vertical="center" textRotation="0" wrapText="0" indent="0" justifyLastLine="0" shrinkToFit="1" readingOrder="0"/>
    </dxf>
    <dxf>
      <numFmt numFmtId="166" formatCode="m/dd/yy_);@"/>
      <alignment horizontal="general" vertical="center" textRotation="0" wrapText="0" indent="0" justifyLastLine="0" shrinkToFit="1" readingOrder="0"/>
    </dxf>
    <dxf>
      <numFmt numFmtId="3" formatCode="#,##0"/>
      <alignment horizontal="general" vertical="center" textRotation="0" wrapText="0" indent="0" justifyLastLine="0" shrinkToFit="0" readingOrder="0"/>
    </dxf>
    <dxf>
      <numFmt numFmtId="164" formatCode="#,##0.0000"/>
      <alignment horizontal="general" vertical="center" textRotation="0" wrapText="0" indent="0" justifyLastLine="0" shrinkToFit="0" readingOrder="0"/>
    </dxf>
    <dxf>
      <numFmt numFmtId="166" formatCode="m/dd/yy_);@"/>
      <alignment horizontal="general" vertical="center" textRotation="0" wrapText="0" indent="0" justifyLastLine="0" shrinkToFit="0" readingOrder="0"/>
    </dxf>
    <dxf>
      <numFmt numFmtId="30" formatCode="@"/>
      <alignment horizontal="general" vertical="center" textRotation="0" wrapText="0" indent="0" justifyLastLine="0" shrinkToFit="0" readingOrder="0"/>
    </dxf>
    <dxf>
      <numFmt numFmtId="30" formatCode="@"/>
      <alignment horizontal="center" vertical="center" textRotation="0" wrapText="0" indent="0" justifyLastLine="0" shrinkToFit="0" readingOrder="0"/>
    </dxf>
    <dxf>
      <numFmt numFmtId="166" formatCode="m/dd/yy_);@"/>
      <alignment horizontal="general" vertical="center" textRotation="0" wrapText="0" indent="0" justifyLastLine="0" shrinkToFit="1" readingOrder="0"/>
    </dxf>
    <dxf>
      <numFmt numFmtId="30" formatCode="@"/>
      <alignment horizontal="general" vertical="center" textRotation="0" wrapText="0" indent="0" justifyLastLine="0" shrinkToFit="1" readingOrder="0"/>
    </dxf>
    <dxf>
      <numFmt numFmtId="30" formatCode="@"/>
      <alignment horizontal="general" vertical="center" textRotation="0" wrapText="0" indent="0" justifyLastLine="0" shrinkToFit="1" readingOrder="0"/>
    </dxf>
    <dxf>
      <numFmt numFmtId="30" formatCode="@"/>
      <alignment horizontal="general" vertical="center" textRotation="0" wrapText="0" indent="0" justifyLastLine="0" shrinkToFit="1" readingOrder="0"/>
    </dxf>
    <dxf>
      <numFmt numFmtId="30" formatCode="@"/>
      <alignment horizontal="general" vertical="center" textRotation="0" wrapText="0" indent="0" justifyLastLine="0" shrinkToFit="1" readingOrder="0"/>
    </dxf>
    <dxf>
      <numFmt numFmtId="30" formatCode="@"/>
      <alignment horizontal="general" vertical="center" textRotation="0" wrapText="0" indent="0" justifyLastLine="0" shrinkToFit="1" readingOrder="0"/>
    </dxf>
    <dxf>
      <numFmt numFmtId="30" formatCode="@"/>
      <alignment horizontal="general" vertical="center" textRotation="0" wrapText="0" indent="0" justifyLastLine="0" shrinkToFit="1" readingOrder="0"/>
    </dxf>
    <dxf>
      <numFmt numFmtId="30" formatCode="@"/>
      <alignment horizontal="general" vertical="center" textRotation="0" wrapText="0" indent="0" justifyLastLine="0" shrinkToFit="1" readingOrder="0"/>
    </dxf>
    <dxf>
      <numFmt numFmtId="30" formatCode="@"/>
      <alignment horizontal="general" vertical="center" textRotation="0" wrapText="0" indent="0" justifyLastLine="0" shrinkToFit="1" readingOrder="0"/>
    </dxf>
    <dxf>
      <numFmt numFmtId="30" formatCode="@"/>
      <alignment horizontal="center" vertical="center" textRotation="0" wrapText="0" indent="0" justifyLastLine="0" shrinkToFit="1" readingOrder="0"/>
    </dxf>
    <dxf>
      <numFmt numFmtId="30" formatCode="@"/>
      <alignment horizontal="center" vertical="center" textRotation="0" wrapText="0" indent="0" justifyLastLine="0" shrinkToFit="1" readingOrder="0"/>
    </dxf>
    <dxf>
      <numFmt numFmtId="30" formatCode="@"/>
      <alignment horizontal="center" vertical="center" textRotation="0" wrapText="0" indent="0" justifyLastLine="0" shrinkToFit="1" readingOrder="0"/>
    </dxf>
    <dxf>
      <numFmt numFmtId="30" formatCode="@"/>
      <alignment horizontal="center" vertical="center" textRotation="0" wrapText="0" indent="0" justifyLastLine="0" shrinkToFit="0" readingOrder="0"/>
    </dxf>
    <dxf>
      <font>
        <sz val="12"/>
      </font>
      <numFmt numFmtId="30" formatCode="@"/>
      <alignment horizontal="general" vertical="center" textRotation="0" wrapText="0" indent="0" justifyLastLine="0" shrinkToFit="1" readingOrder="0"/>
    </dxf>
    <dxf>
      <font>
        <strike val="0"/>
        <outline val="0"/>
        <shadow val="0"/>
        <u val="none"/>
        <vertAlign val="baseline"/>
        <sz val="12"/>
        <color theme="1"/>
        <name val="Arial"/>
        <scheme val="none"/>
      </font>
      <numFmt numFmtId="30" formatCode="@"/>
      <alignment horizontal="center" vertical="center" textRotation="0" wrapText="0" indent="0" justifyLastLine="0" shrinkToFit="0" readingOrder="0"/>
    </dxf>
    <dxf>
      <font>
        <b val="0"/>
        <i val="0"/>
        <strike val="0"/>
        <condense val="0"/>
        <extend val="0"/>
        <outline val="0"/>
        <shadow val="0"/>
        <u val="none"/>
        <vertAlign val="baseline"/>
        <sz val="14"/>
        <color theme="1"/>
        <name val="Arial"/>
        <scheme val="none"/>
      </font>
      <alignment horizontal="center" vertical="bottom" textRotation="0" wrapText="0" indent="0" justifyLastLine="0" shrinkToFit="0" readingOrder="0"/>
    </dxf>
    <dxf>
      <font>
        <b val="0"/>
        <i val="0"/>
        <strike val="0"/>
        <condense val="0"/>
        <extend val="0"/>
        <outline val="0"/>
        <shadow val="0"/>
        <u val="none"/>
        <vertAlign val="baseline"/>
        <sz val="14"/>
        <color theme="1"/>
        <name val="Arial"/>
        <scheme val="none"/>
      </font>
      <alignment horizontal="center" vertical="bottom" textRotation="0" wrapText="0" indent="0" justifyLastLine="0" shrinkToFit="0" readingOrder="0"/>
    </dxf>
    <dxf>
      <font>
        <b val="0"/>
        <i val="0"/>
        <strike val="0"/>
        <condense val="0"/>
        <extend val="0"/>
        <outline val="0"/>
        <shadow val="0"/>
        <u val="none"/>
        <vertAlign val="baseline"/>
        <sz val="14"/>
        <color theme="1"/>
        <name val="Arial"/>
        <scheme val="none"/>
      </font>
      <alignment horizontal="center" vertical="bottom" textRotation="0" wrapText="0" indent="0" justifyLastLine="0" shrinkToFit="0" readingOrder="0"/>
    </dxf>
    <dxf>
      <font>
        <b val="0"/>
        <i val="0"/>
        <strike val="0"/>
        <condense val="0"/>
        <extend val="0"/>
        <outline val="0"/>
        <shadow val="0"/>
        <u val="none"/>
        <vertAlign val="baseline"/>
        <sz val="14"/>
        <color theme="1"/>
        <name val="Arial"/>
        <scheme val="none"/>
      </font>
      <alignment horizontal="center" vertical="bottom" textRotation="0" wrapText="0" indent="0" justifyLastLine="0" shrinkToFit="0" readingOrder="0"/>
    </dxf>
    <dxf>
      <font>
        <b val="0"/>
        <i val="0"/>
        <strike val="0"/>
        <condense val="0"/>
        <extend val="0"/>
        <outline val="0"/>
        <shadow val="0"/>
        <u val="none"/>
        <vertAlign val="baseline"/>
        <sz val="14"/>
        <color theme="1"/>
        <name val="Arial"/>
        <scheme val="none"/>
      </font>
      <alignment horizontal="center" vertical="bottom" textRotation="0" wrapText="0" indent="0" justifyLastLine="0" shrinkToFit="0" readingOrder="0"/>
    </dxf>
    <dxf>
      <font>
        <b val="0"/>
        <i val="0"/>
        <strike val="0"/>
        <condense val="0"/>
        <extend val="0"/>
        <outline val="0"/>
        <shadow val="0"/>
        <u val="none"/>
        <vertAlign val="baseline"/>
        <sz val="14"/>
        <color theme="1"/>
        <name val="Arial"/>
        <scheme val="none"/>
      </font>
      <alignment horizontal="center" vertical="bottom" textRotation="0" wrapText="0" indent="0" justifyLastLine="0" shrinkToFit="0" readingOrder="0"/>
    </dxf>
    <dxf>
      <font>
        <b val="0"/>
        <i val="0"/>
        <strike val="0"/>
        <condense val="0"/>
        <extend val="0"/>
        <outline val="0"/>
        <shadow val="0"/>
        <u val="none"/>
        <vertAlign val="baseline"/>
        <sz val="14"/>
        <color theme="1"/>
        <name val="Arial"/>
        <scheme val="none"/>
      </font>
      <alignment horizontal="center" vertical="bottom" textRotation="0" wrapText="0" indent="0" justifyLastLine="0" shrinkToFit="0" readingOrder="0"/>
    </dxf>
    <dxf>
      <font>
        <b val="0"/>
        <i val="0"/>
        <strike val="0"/>
        <condense val="0"/>
        <extend val="0"/>
        <outline val="0"/>
        <shadow val="0"/>
        <u val="none"/>
        <vertAlign val="baseline"/>
        <sz val="14"/>
        <color theme="1"/>
        <name val="Arial"/>
        <scheme val="none"/>
      </font>
      <alignment horizontal="center" vertical="bottom" textRotation="0" wrapText="0" indent="0" justifyLastLine="0" shrinkToFit="0" readingOrder="0"/>
    </dxf>
    <dxf>
      <font>
        <b val="0"/>
        <i val="0"/>
        <strike val="0"/>
        <condense val="0"/>
        <extend val="0"/>
        <outline val="0"/>
        <shadow val="0"/>
        <u val="none"/>
        <vertAlign val="baseline"/>
        <sz val="14"/>
        <color theme="1"/>
        <name val="Arial"/>
        <scheme val="none"/>
      </font>
      <alignment horizontal="center" vertical="bottom" textRotation="0" wrapText="0" indent="0" justifyLastLine="0" shrinkToFit="0" readingOrder="0"/>
    </dxf>
    <dxf>
      <font>
        <b val="0"/>
        <i val="0"/>
        <strike val="0"/>
        <condense val="0"/>
        <extend val="0"/>
        <outline val="0"/>
        <shadow val="0"/>
        <u val="none"/>
        <vertAlign val="baseline"/>
        <sz val="14"/>
        <color theme="1"/>
        <name val="Arial"/>
        <scheme val="none"/>
      </font>
      <alignment horizontal="center" vertical="bottom" textRotation="0" wrapText="0" indent="0" justifyLastLine="0" shrinkToFit="0" readingOrder="0"/>
    </dxf>
    <dxf>
      <font>
        <b val="0"/>
        <i val="0"/>
        <strike val="0"/>
        <condense val="0"/>
        <extend val="0"/>
        <outline val="0"/>
        <shadow val="0"/>
        <u val="none"/>
        <vertAlign val="baseline"/>
        <sz val="14"/>
        <color theme="1"/>
        <name val="Arial"/>
        <scheme val="none"/>
      </font>
      <alignment horizontal="center" vertical="bottom" textRotation="0" wrapText="0" indent="0" justifyLastLine="0" shrinkToFit="0" readingOrder="0"/>
    </dxf>
    <dxf>
      <font>
        <b val="0"/>
        <i val="0"/>
        <strike val="0"/>
        <condense val="0"/>
        <extend val="0"/>
        <outline val="0"/>
        <shadow val="0"/>
        <u val="none"/>
        <vertAlign val="baseline"/>
        <sz val="14"/>
        <color theme="1"/>
        <name val="Arial"/>
        <scheme val="none"/>
      </font>
      <alignment horizontal="center" vertical="bottom" textRotation="0" wrapText="0" indent="0" justifyLastLine="0" shrinkToFit="0" readingOrder="0"/>
    </dxf>
    <dxf>
      <font>
        <b val="0"/>
        <i val="0"/>
        <strike val="0"/>
        <condense val="0"/>
        <extend val="0"/>
        <outline val="0"/>
        <shadow val="0"/>
        <u val="none"/>
        <vertAlign val="baseline"/>
        <sz val="14"/>
        <color theme="1"/>
        <name val="Arial"/>
        <scheme val="none"/>
      </font>
      <alignment horizontal="center" vertical="bottom" textRotation="0" wrapText="0" indent="0" justifyLastLine="0" shrinkToFit="0" readingOrder="0"/>
    </dxf>
    <dxf>
      <font>
        <b val="0"/>
        <i val="0"/>
        <strike val="0"/>
        <condense val="0"/>
        <extend val="0"/>
        <outline val="0"/>
        <shadow val="0"/>
        <u val="none"/>
        <vertAlign val="baseline"/>
        <sz val="14"/>
        <color theme="1"/>
        <name val="Arial"/>
        <scheme val="none"/>
      </font>
      <alignment horizontal="center" vertical="bottom" textRotation="0" wrapText="0" indent="0" justifyLastLine="0" shrinkToFit="0" readingOrder="0"/>
    </dxf>
    <dxf>
      <font>
        <b val="0"/>
        <i val="0"/>
        <strike val="0"/>
        <condense val="0"/>
        <extend val="0"/>
        <outline val="0"/>
        <shadow val="0"/>
        <u val="none"/>
        <vertAlign val="baseline"/>
        <sz val="14"/>
        <color theme="1"/>
        <name val="Arial"/>
        <scheme val="none"/>
      </font>
      <alignment horizontal="center" vertical="bottom" textRotation="0" wrapText="0" indent="0" justifyLastLine="0" shrinkToFit="0" readingOrder="0"/>
    </dxf>
    <dxf>
      <font>
        <b val="0"/>
        <i val="0"/>
        <strike val="0"/>
        <condense val="0"/>
        <extend val="0"/>
        <outline val="0"/>
        <shadow val="0"/>
        <u val="none"/>
        <vertAlign val="baseline"/>
        <sz val="14"/>
        <color theme="1"/>
        <name val="Arial"/>
        <scheme val="none"/>
      </font>
      <alignment horizontal="center" vertical="bottom" textRotation="0" wrapText="0" indent="0" justifyLastLine="0" shrinkToFit="0" readingOrder="0"/>
    </dxf>
    <dxf>
      <font>
        <b val="0"/>
        <i val="0"/>
        <strike val="0"/>
        <condense val="0"/>
        <extend val="0"/>
        <outline val="0"/>
        <shadow val="0"/>
        <u val="none"/>
        <vertAlign val="baseline"/>
        <sz val="14"/>
        <color theme="1"/>
        <name val="Arial"/>
        <scheme val="none"/>
      </font>
      <alignment horizontal="center" vertical="bottom" textRotation="0" wrapText="0" indent="0" justifyLastLine="0" shrinkToFit="0" readingOrder="0"/>
    </dxf>
    <dxf>
      <font>
        <b val="0"/>
        <i val="0"/>
        <strike val="0"/>
        <condense val="0"/>
        <extend val="0"/>
        <outline val="0"/>
        <shadow val="0"/>
        <u val="none"/>
        <vertAlign val="baseline"/>
        <sz val="14"/>
        <color theme="1"/>
        <name val="Arial"/>
        <scheme val="none"/>
      </font>
      <alignment horizontal="center" vertical="bottom" textRotation="0" wrapText="0" indent="0" justifyLastLine="0" shrinkToFit="0" readingOrder="0"/>
    </dxf>
    <dxf>
      <font>
        <b val="0"/>
        <i val="0"/>
        <strike val="0"/>
        <condense val="0"/>
        <extend val="0"/>
        <outline val="0"/>
        <shadow val="0"/>
        <u val="none"/>
        <vertAlign val="baseline"/>
        <sz val="14"/>
        <color theme="1"/>
        <name val="Arial"/>
        <scheme val="none"/>
      </font>
      <alignment horizontal="center" vertical="bottom" textRotation="0" wrapText="0" indent="0" justifyLastLine="0" shrinkToFit="0" readingOrder="0"/>
    </dxf>
    <dxf>
      <font>
        <b val="0"/>
        <i val="0"/>
        <strike val="0"/>
        <condense val="0"/>
        <extend val="0"/>
        <outline val="0"/>
        <shadow val="0"/>
        <u val="none"/>
        <vertAlign val="baseline"/>
        <sz val="14"/>
        <color theme="1"/>
        <name val="Arial"/>
        <scheme val="none"/>
      </font>
      <alignment horizontal="center" vertical="bottom" textRotation="0" wrapText="0" indent="0" justifyLastLine="0" shrinkToFit="0" readingOrder="0"/>
    </dxf>
    <dxf>
      <font>
        <b val="0"/>
        <i val="0"/>
        <strike val="0"/>
        <condense val="0"/>
        <extend val="0"/>
        <outline val="0"/>
        <shadow val="0"/>
        <u val="none"/>
        <vertAlign val="baseline"/>
        <sz val="14"/>
        <color theme="1"/>
        <name val="Arial"/>
        <scheme val="none"/>
      </font>
      <alignment horizontal="center" vertical="bottom" textRotation="0" wrapText="0" indent="0" justifyLastLine="0" shrinkToFit="0" readingOrder="0"/>
    </dxf>
    <dxf>
      <font>
        <b val="0"/>
        <i val="0"/>
        <strike val="0"/>
        <condense val="0"/>
        <extend val="0"/>
        <outline val="0"/>
        <shadow val="0"/>
        <u val="none"/>
        <vertAlign val="baseline"/>
        <sz val="14"/>
        <color theme="1"/>
        <name val="Arial"/>
        <scheme val="none"/>
      </font>
      <alignment horizontal="center" vertical="bottom" textRotation="0" wrapText="0" indent="0" justifyLastLine="0" shrinkToFit="0" readingOrder="0"/>
    </dxf>
    <dxf>
      <font>
        <b val="0"/>
        <i val="0"/>
        <strike val="0"/>
        <condense val="0"/>
        <extend val="0"/>
        <outline val="0"/>
        <shadow val="0"/>
        <u val="none"/>
        <vertAlign val="baseline"/>
        <sz val="14"/>
        <color theme="1"/>
        <name val="Arial"/>
        <scheme val="none"/>
      </font>
      <alignment horizontal="center" vertical="bottom" textRotation="0" wrapText="0" indent="0" justifyLastLine="0" shrinkToFit="0" readingOrder="0"/>
    </dxf>
    <dxf>
      <font>
        <b val="0"/>
        <i val="0"/>
        <strike val="0"/>
        <condense val="0"/>
        <extend val="0"/>
        <outline val="0"/>
        <shadow val="0"/>
        <u val="none"/>
        <vertAlign val="baseline"/>
        <sz val="14"/>
        <color theme="1"/>
        <name val="Arial"/>
        <scheme val="none"/>
      </font>
      <alignment horizontal="center" vertical="bottom" textRotation="0" wrapText="0" indent="0" justifyLastLine="0" shrinkToFit="0" readingOrder="0"/>
    </dxf>
    <dxf>
      <font>
        <b val="0"/>
        <i val="0"/>
        <strike val="0"/>
        <condense val="0"/>
        <extend val="0"/>
        <outline val="0"/>
        <shadow val="0"/>
        <u val="none"/>
        <vertAlign val="baseline"/>
        <sz val="14"/>
        <color theme="1"/>
        <name val="Arial"/>
        <scheme val="none"/>
      </font>
      <alignment horizontal="center" vertical="bottom" textRotation="0" wrapText="0" indent="0" justifyLastLine="0" shrinkToFit="0" readingOrder="0"/>
    </dxf>
    <dxf>
      <font>
        <b val="0"/>
        <i val="0"/>
        <strike val="0"/>
        <condense val="0"/>
        <extend val="0"/>
        <outline val="0"/>
        <shadow val="0"/>
        <u val="none"/>
        <vertAlign val="baseline"/>
        <sz val="14"/>
        <color theme="1"/>
        <name val="Arial"/>
        <scheme val="none"/>
      </font>
      <alignment horizontal="center" vertical="bottom" textRotation="0" wrapText="0" indent="0" justifyLastLine="0" shrinkToFit="0" readingOrder="0"/>
    </dxf>
    <dxf>
      <font>
        <b val="0"/>
        <i val="0"/>
        <strike val="0"/>
        <condense val="0"/>
        <extend val="0"/>
        <outline val="0"/>
        <shadow val="0"/>
        <u val="none"/>
        <vertAlign val="baseline"/>
        <sz val="14"/>
        <color theme="1"/>
        <name val="Arial"/>
        <scheme val="none"/>
      </font>
      <alignment horizontal="center" vertical="bottom" textRotation="0" wrapText="0" indent="0" justifyLastLine="0" shrinkToFit="0" readingOrder="0"/>
    </dxf>
    <dxf>
      <font>
        <b val="0"/>
        <i val="0"/>
        <strike val="0"/>
        <condense val="0"/>
        <extend val="0"/>
        <outline val="0"/>
        <shadow val="0"/>
        <u val="none"/>
        <vertAlign val="baseline"/>
        <sz val="14"/>
        <color theme="1"/>
        <name val="Arial"/>
        <scheme val="none"/>
      </font>
      <alignment horizontal="center" vertical="bottom" textRotation="0" wrapText="0" indent="0" justifyLastLine="0" shrinkToFit="0" readingOrder="0"/>
    </dxf>
    <dxf>
      <font>
        <b val="0"/>
        <i val="0"/>
        <strike val="0"/>
        <condense val="0"/>
        <extend val="0"/>
        <outline val="0"/>
        <shadow val="0"/>
        <u val="none"/>
        <vertAlign val="baseline"/>
        <sz val="14"/>
        <color theme="1"/>
        <name val="Arial"/>
        <scheme val="none"/>
      </font>
      <alignment horizontal="center" vertical="bottom" textRotation="0" wrapText="0" indent="0" justifyLastLine="0" shrinkToFit="0" readingOrder="0"/>
    </dxf>
    <dxf>
      <font>
        <b val="0"/>
        <i val="0"/>
        <strike val="0"/>
        <condense val="0"/>
        <extend val="0"/>
        <outline val="0"/>
        <shadow val="0"/>
        <u val="none"/>
        <vertAlign val="baseline"/>
        <sz val="14"/>
        <color theme="1"/>
        <name val="Arial"/>
        <scheme val="none"/>
      </font>
      <alignment horizontal="center" vertical="bottom" textRotation="0" wrapText="0" indent="0" justifyLastLine="0" shrinkToFit="0" readingOrder="0"/>
    </dxf>
    <dxf>
      <font>
        <b val="0"/>
        <i val="0"/>
        <strike val="0"/>
        <condense val="0"/>
        <extend val="0"/>
        <outline val="0"/>
        <shadow val="0"/>
        <u val="none"/>
        <vertAlign val="baseline"/>
        <sz val="14"/>
        <color theme="1"/>
        <name val="Arial"/>
        <scheme val="none"/>
      </font>
      <alignment horizontal="center" vertical="bottom" textRotation="0" wrapText="0" indent="0" justifyLastLine="0" shrinkToFit="0" readingOrder="0"/>
    </dxf>
    <dxf>
      <font>
        <b val="0"/>
        <i val="0"/>
        <strike val="0"/>
        <condense val="0"/>
        <extend val="0"/>
        <outline val="0"/>
        <shadow val="0"/>
        <u val="none"/>
        <vertAlign val="baseline"/>
        <sz val="14"/>
        <color theme="1"/>
        <name val="Arial"/>
        <scheme val="none"/>
      </font>
      <alignment horizontal="center" vertical="bottom" textRotation="0" wrapText="0" indent="0" justifyLastLine="0" shrinkToFit="0" readingOrder="0"/>
    </dxf>
    <dxf>
      <font>
        <b val="0"/>
        <i val="0"/>
        <strike val="0"/>
        <condense val="0"/>
        <extend val="0"/>
        <outline val="0"/>
        <shadow val="0"/>
        <u val="none"/>
        <vertAlign val="baseline"/>
        <sz val="14"/>
        <color theme="1"/>
        <name val="Arial"/>
        <scheme val="none"/>
      </font>
      <alignment horizontal="center" vertical="bottom" textRotation="0" wrapText="0" indent="0" justifyLastLine="0" shrinkToFit="0" readingOrder="0"/>
    </dxf>
    <dxf>
      <font>
        <b val="0"/>
        <i val="0"/>
        <strike val="0"/>
        <condense val="0"/>
        <extend val="0"/>
        <outline val="0"/>
        <shadow val="0"/>
        <u val="none"/>
        <vertAlign val="baseline"/>
        <sz val="14"/>
        <color theme="1"/>
        <name val="Arial"/>
        <scheme val="none"/>
      </font>
      <alignment horizontal="center" vertical="bottom" textRotation="0" wrapText="0" indent="0" justifyLastLine="0" shrinkToFit="0" readingOrder="0"/>
    </dxf>
    <dxf>
      <font>
        <b val="0"/>
        <i val="0"/>
        <strike val="0"/>
        <condense val="0"/>
        <extend val="0"/>
        <outline val="0"/>
        <shadow val="0"/>
        <u val="none"/>
        <vertAlign val="baseline"/>
        <sz val="14"/>
        <color theme="1"/>
        <name val="Arial"/>
        <scheme val="none"/>
      </font>
      <alignment horizontal="center" vertical="bottom" textRotation="0" wrapText="0" indent="0" justifyLastLine="0" shrinkToFit="0" readingOrder="0"/>
      <border diagonalUp="0" diagonalDown="0" outline="0">
        <left/>
        <right/>
        <top/>
        <bottom/>
      </border>
    </dxf>
    <dxf>
      <font>
        <b val="0"/>
        <i val="0"/>
        <strike val="0"/>
        <condense val="0"/>
        <extend val="0"/>
        <outline val="0"/>
        <shadow val="0"/>
        <u val="none"/>
        <vertAlign val="baseline"/>
        <sz val="14"/>
        <color theme="1"/>
        <name val="Arial"/>
        <scheme val="none"/>
      </font>
      <alignment horizontal="center" vertical="bottom" textRotation="0" wrapText="0" indent="0" justifyLastLine="0" shrinkToFit="0" readingOrder="0"/>
      <border diagonalUp="0" diagonalDown="0" outline="0">
        <left/>
        <right/>
        <top/>
        <bottom/>
      </border>
    </dxf>
    <dxf>
      <font>
        <b val="0"/>
        <i val="0"/>
        <strike val="0"/>
        <condense val="0"/>
        <extend val="0"/>
        <outline val="0"/>
        <shadow val="0"/>
        <u val="none"/>
        <vertAlign val="baseline"/>
        <sz val="14"/>
        <color theme="1"/>
        <name val="Arial"/>
        <scheme val="none"/>
      </font>
      <alignment horizontal="center" vertical="bottom" textRotation="0" wrapText="0" indent="0" justifyLastLine="0" shrinkToFit="0" readingOrder="0"/>
      <border diagonalUp="0" diagonalDown="0" outline="0">
        <left/>
        <right/>
        <top/>
        <bottom/>
      </border>
    </dxf>
    <dxf>
      <font>
        <b val="0"/>
        <i val="0"/>
        <strike val="0"/>
        <condense val="0"/>
        <extend val="0"/>
        <outline val="0"/>
        <shadow val="0"/>
        <u val="none"/>
        <vertAlign val="baseline"/>
        <sz val="14"/>
        <color theme="1"/>
        <name val="Arial"/>
        <scheme val="none"/>
      </font>
      <alignment horizontal="center" vertical="bottom" textRotation="0" wrapText="0" indent="0" justifyLastLine="0" shrinkToFit="0" readingOrder="0"/>
      <border diagonalUp="0" diagonalDown="0" outline="0">
        <left/>
        <right/>
        <top/>
        <bottom/>
      </border>
    </dxf>
    <dxf>
      <font>
        <b val="0"/>
        <i val="0"/>
        <strike val="0"/>
        <condense val="0"/>
        <extend val="0"/>
        <outline val="0"/>
        <shadow val="0"/>
        <u val="none"/>
        <vertAlign val="baseline"/>
        <sz val="14"/>
        <color theme="1"/>
        <name val="Arial"/>
        <scheme val="none"/>
      </font>
      <alignment horizontal="center" vertical="bottom" textRotation="0" wrapText="0" indent="0" justifyLastLine="0" shrinkToFit="0" readingOrder="0"/>
      <border diagonalUp="0" diagonalDown="0" outline="0">
        <left/>
        <right/>
        <top/>
        <bottom/>
      </border>
    </dxf>
    <dxf>
      <font>
        <b val="0"/>
        <i val="0"/>
        <strike val="0"/>
        <condense val="0"/>
        <extend val="0"/>
        <outline val="0"/>
        <shadow val="0"/>
        <u val="none"/>
        <vertAlign val="baseline"/>
        <sz val="14"/>
        <color theme="1"/>
        <name val="Arial"/>
        <scheme val="none"/>
      </font>
      <alignment horizontal="center" vertical="bottom" textRotation="0" wrapText="0" indent="0" justifyLastLine="0" shrinkToFit="0" readingOrder="0"/>
      <border diagonalUp="0" diagonalDown="0" outline="0">
        <left/>
        <right/>
        <top/>
        <bottom/>
      </border>
    </dxf>
    <dxf>
      <font>
        <b val="0"/>
        <i val="0"/>
        <strike val="0"/>
        <condense val="0"/>
        <extend val="0"/>
        <outline val="0"/>
        <shadow val="0"/>
        <u val="none"/>
        <vertAlign val="baseline"/>
        <sz val="14"/>
        <color theme="1"/>
        <name val="Arial"/>
        <scheme val="none"/>
      </font>
      <alignment horizontal="center" vertical="bottom" textRotation="0" wrapText="0" indent="0" justifyLastLine="0" shrinkToFit="0" readingOrder="0"/>
      <border diagonalUp="0" diagonalDown="0" outline="0">
        <left/>
        <right/>
        <top/>
        <bottom/>
      </border>
    </dxf>
    <dxf>
      <font>
        <b val="0"/>
        <i val="0"/>
        <strike val="0"/>
        <condense val="0"/>
        <extend val="0"/>
        <outline val="0"/>
        <shadow val="0"/>
        <u val="none"/>
        <vertAlign val="baseline"/>
        <sz val="14"/>
        <color theme="1"/>
        <name val="Arial"/>
        <scheme val="none"/>
      </font>
      <alignment horizontal="center" vertical="bottom" textRotation="0" wrapText="0" indent="0" justifyLastLine="0" shrinkToFit="0" readingOrder="0"/>
      <border diagonalUp="0" diagonalDown="0" outline="0">
        <left/>
        <right/>
        <top/>
        <bottom/>
      </border>
    </dxf>
    <dxf>
      <font>
        <b val="0"/>
        <i val="0"/>
        <strike val="0"/>
        <condense val="0"/>
        <extend val="0"/>
        <outline val="0"/>
        <shadow val="0"/>
        <u val="none"/>
        <vertAlign val="baseline"/>
        <sz val="14"/>
        <color theme="1"/>
        <name val="Arial"/>
        <scheme val="none"/>
      </font>
      <alignment horizontal="center" vertical="bottom" textRotation="0" wrapText="0" indent="0" justifyLastLine="0" shrinkToFit="0" readingOrder="0"/>
      <border diagonalUp="0" diagonalDown="0" outline="0">
        <left/>
        <right style="thick">
          <color auto="1"/>
        </right>
        <top/>
        <bottom/>
      </border>
    </dxf>
    <dxf>
      <font>
        <b val="0"/>
        <i val="0"/>
        <strike val="0"/>
        <condense val="0"/>
        <extend val="0"/>
        <outline val="0"/>
        <shadow val="0"/>
        <u val="none"/>
        <vertAlign val="baseline"/>
        <sz val="11"/>
        <color theme="1"/>
        <name val="Arial"/>
        <scheme val="none"/>
      </font>
      <alignment horizontal="center" vertical="bottom" textRotation="0" wrapText="0" indent="0" justifyLastLine="0" shrinkToFit="0" readingOrder="0"/>
      <border diagonalUp="0" diagonalDown="0" outline="0">
        <left style="thick">
          <color theme="0"/>
        </left>
        <right/>
        <top/>
        <bottom/>
      </border>
    </dxf>
    <dxf>
      <font>
        <b val="0"/>
        <i val="0"/>
        <strike val="0"/>
        <condense val="0"/>
        <extend val="0"/>
        <outline val="0"/>
        <shadow val="0"/>
        <u val="none"/>
        <vertAlign val="baseline"/>
        <sz val="11"/>
        <color theme="1"/>
        <name val="Arial"/>
        <scheme val="none"/>
      </font>
      <alignment horizontal="center" vertical="bottom" textRotation="0" wrapText="0" indent="0" justifyLastLine="0" shrinkToFit="0" readingOrder="0"/>
    </dxf>
    <dxf>
      <font>
        <b val="0"/>
        <i val="0"/>
        <strike val="0"/>
        <condense val="0"/>
        <extend val="0"/>
        <outline val="0"/>
        <shadow val="0"/>
        <u val="none"/>
        <vertAlign val="baseline"/>
        <sz val="12"/>
        <color theme="1"/>
        <name val="Arial"/>
        <scheme val="none"/>
      </font>
      <numFmt numFmtId="168" formatCode="0.0"/>
      <alignment horizontal="center" vertical="bottom" textRotation="0" wrapText="0" indent="0" justifyLastLine="0" shrinkToFit="0" readingOrder="0"/>
    </dxf>
    <dxf>
      <font>
        <b val="0"/>
        <i val="0"/>
        <strike val="0"/>
        <condense val="0"/>
        <extend val="0"/>
        <outline val="0"/>
        <shadow val="0"/>
        <u val="none"/>
        <vertAlign val="baseline"/>
        <sz val="12"/>
        <color theme="1"/>
        <name val="Arial"/>
        <scheme val="none"/>
      </font>
      <numFmt numFmtId="1" formatCode="0"/>
      <alignment horizontal="center" vertical="bottom" textRotation="0" wrapText="0" indent="0" justifyLastLine="0" shrinkToFit="0" readingOrder="0"/>
    </dxf>
    <dxf>
      <font>
        <sz val="9"/>
      </font>
      <numFmt numFmtId="165" formatCode="mm/dd/yy\ hh:mm"/>
      <alignment horizontal="general" vertical="center" textRotation="0" wrapText="0" indent="0" justifyLastLine="0" shrinkToFit="1" readingOrder="0"/>
    </dxf>
    <dxf>
      <font>
        <sz val="9"/>
      </font>
      <numFmt numFmtId="30" formatCode="@"/>
      <alignment horizontal="general" vertical="center" textRotation="0" wrapText="0" indent="0" justifyLastLine="0" shrinkToFit="1" readingOrder="0"/>
    </dxf>
    <dxf>
      <font>
        <sz val="9"/>
      </font>
      <numFmt numFmtId="165" formatCode="mm/dd/yy\ hh:mm"/>
      <alignment horizontal="general" vertical="center" textRotation="0" wrapText="0" indent="0" justifyLastLine="0" shrinkToFit="1" readingOrder="0"/>
    </dxf>
    <dxf>
      <font>
        <sz val="9"/>
      </font>
      <numFmt numFmtId="30" formatCode="@"/>
      <alignment horizontal="general" vertical="center" textRotation="0" wrapText="0" indent="0" justifyLastLine="0" shrinkToFit="1" readingOrder="0"/>
    </dxf>
    <dxf>
      <numFmt numFmtId="30" formatCode="@"/>
      <alignment horizontal="general" vertical="center" textRotation="0" wrapText="0" indent="0" justifyLastLine="0" shrinkToFit="0" readingOrder="0"/>
    </dxf>
    <dxf>
      <numFmt numFmtId="30" formatCode="@"/>
      <alignment horizontal="general" vertical="center" textRotation="0" wrapText="0" indent="0" justifyLastLine="0" shrinkToFit="0" readingOrder="0"/>
    </dxf>
    <dxf>
      <numFmt numFmtId="30" formatCode="@"/>
      <alignment horizontal="general" vertical="center" textRotation="0" wrapText="0" indent="0" justifyLastLine="0" shrinkToFit="0" readingOrder="0"/>
    </dxf>
    <dxf>
      <numFmt numFmtId="30" formatCode="@"/>
      <alignment horizontal="general" vertical="center" textRotation="0" wrapText="0" indent="0" justifyLastLine="0" shrinkToFit="0" readingOrder="0"/>
    </dxf>
    <dxf>
      <alignment horizontal="general" vertical="center" textRotation="0" wrapText="1" indent="0" justifyLastLine="0" shrinkToFit="0" readingOrder="0"/>
    </dxf>
    <dxf>
      <numFmt numFmtId="30" formatCode="@"/>
      <alignment horizontal="general" vertical="center" textRotation="0" wrapText="0" indent="0" justifyLastLine="0" shrinkToFit="0" readingOrder="0"/>
    </dxf>
    <dxf>
      <numFmt numFmtId="30" formatCode="@"/>
      <alignment horizontal="general" vertical="center" textRotation="0" wrapText="0" indent="0" justifyLastLine="0" shrinkToFit="0" readingOrder="0"/>
    </dxf>
    <dxf>
      <numFmt numFmtId="19" formatCode="m/d/yyyy"/>
      <alignment horizontal="general" vertical="center" textRotation="0" wrapText="0" indent="0" justifyLastLine="0" shrinkToFit="0" readingOrder="0"/>
    </dxf>
    <dxf>
      <numFmt numFmtId="164" formatCode="#,##0.0000"/>
      <alignment horizontal="general" vertical="center" textRotation="0" wrapText="0" indent="0" justifyLastLine="0" shrinkToFit="0" readingOrder="0"/>
    </dxf>
    <dxf>
      <numFmt numFmtId="3" formatCode="#,##0"/>
      <alignment horizontal="general" vertical="center" textRotation="0" wrapText="0" indent="0" justifyLastLine="0" shrinkToFit="0" readingOrder="0"/>
    </dxf>
    <dxf>
      <numFmt numFmtId="19" formatCode="m/d/yyyy"/>
      <alignment horizontal="general" vertical="center" textRotation="0" wrapText="0" indent="0" justifyLastLine="0" shrinkToFit="0" readingOrder="0"/>
    </dxf>
    <dxf>
      <numFmt numFmtId="30" formatCode="@"/>
      <alignment horizontal="general" vertical="center" textRotation="0" wrapText="0" indent="0" justifyLastLine="0" shrinkToFit="0" readingOrder="0"/>
    </dxf>
    <dxf>
      <numFmt numFmtId="30" formatCode="@"/>
      <alignment horizontal="general" vertical="center" textRotation="0" wrapText="0" indent="0" justifyLastLine="0" shrinkToFit="0" readingOrder="0"/>
    </dxf>
    <dxf>
      <numFmt numFmtId="19" formatCode="m/d/yyyy"/>
      <alignment horizontal="general" vertical="center" textRotation="0" wrapText="0" indent="0" justifyLastLine="0" shrinkToFit="0" readingOrder="0"/>
    </dxf>
    <dxf>
      <numFmt numFmtId="30" formatCode="@"/>
      <alignment horizontal="general" vertical="center" textRotation="0" wrapText="0" indent="0" justifyLastLine="0" shrinkToFit="0" readingOrder="0"/>
    </dxf>
    <dxf>
      <numFmt numFmtId="30" formatCode="@"/>
      <alignment horizontal="general" vertical="center" textRotation="0" wrapText="0" indent="0" justifyLastLine="0" shrinkToFit="0" readingOrder="0"/>
    </dxf>
    <dxf>
      <numFmt numFmtId="30" formatCode="@"/>
      <alignment horizontal="general" vertical="center" textRotation="0" wrapText="0" indent="0" justifyLastLine="0" shrinkToFit="0" readingOrder="0"/>
    </dxf>
    <dxf>
      <numFmt numFmtId="30" formatCode="@"/>
      <alignment horizontal="general" vertical="center" textRotation="0" wrapText="0" indent="0" justifyLastLine="0" shrinkToFit="0" readingOrder="0"/>
    </dxf>
    <dxf>
      <numFmt numFmtId="30" formatCode="@"/>
      <alignment horizontal="general" vertical="center" textRotation="0" wrapText="0" indent="0" justifyLastLine="0" shrinkToFit="0" readingOrder="0"/>
    </dxf>
    <dxf>
      <numFmt numFmtId="30" formatCode="@"/>
      <alignment horizontal="general" vertical="center" textRotation="0" wrapText="0" indent="0" justifyLastLine="0" shrinkToFit="0" readingOrder="0"/>
    </dxf>
    <dxf>
      <numFmt numFmtId="30" formatCode="@"/>
      <alignment horizontal="center" vertical="center" textRotation="0" wrapText="0" indent="0" justifyLastLine="0" shrinkToFit="0" readingOrder="0"/>
    </dxf>
    <dxf>
      <numFmt numFmtId="30" formatCode="@"/>
      <alignment horizontal="general" vertical="center" textRotation="0" wrapText="0" indent="0" justifyLastLine="0" shrinkToFit="0" readingOrder="0"/>
    </dxf>
    <dxf>
      <numFmt numFmtId="30" formatCode="@"/>
      <alignment horizontal="general" vertical="center" textRotation="0" wrapText="0" indent="0" justifyLastLine="0" shrinkToFit="0" readingOrder="0"/>
    </dxf>
    <dxf>
      <font>
        <sz val="9"/>
      </font>
      <alignment horizontal="general" vertical="center" textRotation="0" wrapText="0" indent="0" justifyLastLine="0" shrinkToFit="0" readingOrder="0"/>
    </dxf>
    <dxf>
      <font>
        <sz val="9"/>
      </font>
      <alignment horizontal="general" vertical="center" textRotation="0" wrapText="0" indent="0" justifyLastLine="0" shrinkToFit="0" readingOrder="0"/>
    </dxf>
    <dxf>
      <alignment horizontal="general" vertical="center" textRotation="0" wrapText="0" indent="0" justifyLastLine="0" shrinkToFit="0" readingOrder="0"/>
    </dxf>
    <dxf>
      <numFmt numFmtId="30" formatCode="@"/>
      <alignment horizontal="general" vertical="bottom" textRotation="0" wrapText="0" indent="0" justifyLastLine="0" shrinkToFit="0" readingOrder="0"/>
    </dxf>
    <dxf>
      <font>
        <b/>
        <strike val="0"/>
        <outline val="0"/>
        <shadow val="0"/>
        <u val="none"/>
        <vertAlign val="baseline"/>
        <sz val="11"/>
        <color theme="1"/>
        <name val="Arial"/>
        <scheme val="none"/>
      </font>
      <numFmt numFmtId="30" formatCode="@"/>
      <alignment horizontal="center" vertical="bottom" textRotation="0" wrapText="0" indent="0" justifyLastLine="0" shrinkToFit="0" readingOrder="0"/>
    </dxf>
    <dxf>
      <font>
        <b val="0"/>
        <i val="0"/>
        <strike val="0"/>
        <condense val="0"/>
        <extend val="0"/>
        <outline val="0"/>
        <shadow val="0"/>
        <u val="none"/>
        <vertAlign val="baseline"/>
        <sz val="12"/>
        <color theme="1"/>
        <name val="Arial"/>
        <scheme val="none"/>
      </font>
      <alignment horizontal="center" vertical="bottom" textRotation="0" wrapText="0" indent="0" justifyLastLine="0" shrinkToFit="0" readingOrder="0"/>
    </dxf>
    <dxf>
      <font>
        <b val="0"/>
        <i val="0"/>
        <strike val="0"/>
        <condense val="0"/>
        <extend val="0"/>
        <outline val="0"/>
        <shadow val="0"/>
        <u val="none"/>
        <vertAlign val="baseline"/>
        <sz val="11"/>
        <color theme="1"/>
        <name val="Arial"/>
        <scheme val="none"/>
      </font>
      <alignment horizontal="center" vertical="bottom" textRotation="0" wrapText="0" indent="0" justifyLastLine="0" shrinkToFit="0" readingOrder="0"/>
    </dxf>
    <dxf>
      <font>
        <b val="0"/>
        <i val="0"/>
        <strike val="0"/>
        <condense val="0"/>
        <extend val="0"/>
        <outline val="0"/>
        <shadow val="0"/>
        <u val="none"/>
        <vertAlign val="baseline"/>
        <sz val="11"/>
        <color theme="1"/>
        <name val="Arial"/>
        <scheme val="none"/>
      </font>
      <alignment horizontal="center" vertical="bottom" textRotation="0" wrapText="1" indent="0" justifyLastLine="0" shrinkToFit="0" readingOrder="0"/>
    </dxf>
    <dxf>
      <font>
        <b val="0"/>
        <i val="0"/>
        <strike val="0"/>
        <condense val="0"/>
        <extend val="0"/>
        <outline val="0"/>
        <shadow val="0"/>
        <u val="none"/>
        <vertAlign val="baseline"/>
        <sz val="11"/>
        <color theme="1"/>
        <name val="Arial"/>
        <scheme val="none"/>
      </font>
      <alignment horizontal="center" vertical="bottom" textRotation="0" wrapText="0" indent="0" justifyLastLine="0" shrinkToFit="0" readingOrder="0"/>
    </dxf>
    <dxf>
      <font>
        <b val="0"/>
        <i val="0"/>
        <strike val="0"/>
        <condense val="0"/>
        <extend val="0"/>
        <outline val="0"/>
        <shadow val="0"/>
        <u val="none"/>
        <vertAlign val="baseline"/>
        <sz val="11"/>
        <color theme="1"/>
        <name val="Arial"/>
        <scheme val="none"/>
      </font>
      <alignment horizontal="center" vertical="bottom" textRotation="0" wrapText="0" indent="0" justifyLastLine="0" shrinkToFit="0" readingOrder="0"/>
    </dxf>
    <dxf>
      <font>
        <b val="0"/>
        <i val="0"/>
        <strike val="0"/>
        <condense val="0"/>
        <extend val="0"/>
        <outline val="0"/>
        <shadow val="0"/>
        <u val="none"/>
        <vertAlign val="baseline"/>
        <sz val="11"/>
        <color theme="1"/>
        <name val="Arial"/>
        <scheme val="none"/>
      </font>
      <alignment horizontal="center" vertical="bottom" textRotation="0" wrapText="0" indent="0" justifyLastLine="0" shrinkToFit="0" readingOrder="0"/>
    </dxf>
    <dxf>
      <font>
        <b val="0"/>
        <i val="0"/>
        <strike val="0"/>
        <condense val="0"/>
        <extend val="0"/>
        <outline val="0"/>
        <shadow val="0"/>
        <u val="none"/>
        <vertAlign val="baseline"/>
        <sz val="11"/>
        <color theme="1"/>
        <name val="Arial"/>
        <scheme val="none"/>
      </font>
      <alignment horizontal="center" vertical="bottom" textRotation="0" wrapText="0" indent="0" justifyLastLine="0" shrinkToFit="0" readingOrder="0"/>
    </dxf>
    <dxf>
      <font>
        <b val="0"/>
        <i val="0"/>
        <strike val="0"/>
        <condense val="0"/>
        <extend val="0"/>
        <outline val="0"/>
        <shadow val="0"/>
        <u val="none"/>
        <vertAlign val="baseline"/>
        <sz val="11"/>
        <color theme="1"/>
        <name val="Arial"/>
        <scheme val="none"/>
      </font>
      <alignment horizontal="center" vertical="bottom" textRotation="0" wrapText="0" indent="0" justifyLastLine="0" shrinkToFit="0" readingOrder="0"/>
    </dxf>
    <dxf>
      <font>
        <b val="0"/>
        <i val="0"/>
        <strike val="0"/>
        <condense val="0"/>
        <extend val="0"/>
        <outline val="0"/>
        <shadow val="0"/>
        <u val="none"/>
        <vertAlign val="baseline"/>
        <sz val="11"/>
        <color theme="1"/>
        <name val="Arial"/>
        <scheme val="none"/>
      </font>
      <alignment horizontal="center" vertical="bottom" textRotation="0" wrapText="0" indent="0" justifyLastLine="0" shrinkToFit="0" readingOrder="0"/>
    </dxf>
    <dxf>
      <font>
        <b val="0"/>
        <i val="0"/>
        <strike val="0"/>
        <condense val="0"/>
        <extend val="0"/>
        <outline val="0"/>
        <shadow val="0"/>
        <u val="none"/>
        <vertAlign val="baseline"/>
        <sz val="11"/>
        <color theme="1"/>
        <name val="Arial"/>
        <scheme val="none"/>
      </font>
      <alignment horizontal="center" vertical="bottom" textRotation="0" wrapText="0" indent="0" justifyLastLine="0" shrinkToFit="0" readingOrder="0"/>
    </dxf>
    <dxf>
      <font>
        <b val="0"/>
        <i val="0"/>
        <strike val="0"/>
        <condense val="0"/>
        <extend val="0"/>
        <outline val="0"/>
        <shadow val="0"/>
        <u val="none"/>
        <vertAlign val="baseline"/>
        <sz val="11"/>
        <color theme="1"/>
        <name val="Arial"/>
        <scheme val="none"/>
      </font>
      <alignment horizontal="center" vertical="bottom" textRotation="0" wrapText="0" indent="0" justifyLastLine="0" shrinkToFit="0" readingOrder="0"/>
    </dxf>
    <dxf>
      <font>
        <b val="0"/>
        <i val="0"/>
        <strike val="0"/>
        <condense val="0"/>
        <extend val="0"/>
        <outline val="0"/>
        <shadow val="0"/>
        <u val="none"/>
        <vertAlign val="baseline"/>
        <sz val="11"/>
        <color theme="1"/>
        <name val="Arial"/>
        <scheme val="none"/>
      </font>
      <alignment horizontal="center" vertical="bottom" textRotation="0" wrapText="0" indent="0" justifyLastLine="0" shrinkToFit="0" readingOrder="0"/>
    </dxf>
    <dxf>
      <font>
        <b val="0"/>
        <i val="0"/>
        <strike val="0"/>
        <condense val="0"/>
        <extend val="0"/>
        <outline val="0"/>
        <shadow val="0"/>
        <u val="none"/>
        <vertAlign val="baseline"/>
        <sz val="11"/>
        <color theme="1"/>
        <name val="Arial"/>
        <scheme val="none"/>
      </font>
      <alignment horizontal="center" vertical="bottom" textRotation="0" wrapText="0" indent="0" justifyLastLine="0" shrinkToFit="0" readingOrder="0"/>
    </dxf>
    <dxf>
      <font>
        <b val="0"/>
        <i val="0"/>
        <strike val="0"/>
        <condense val="0"/>
        <extend val="0"/>
        <outline val="0"/>
        <shadow val="0"/>
        <u val="none"/>
        <vertAlign val="baseline"/>
        <sz val="11"/>
        <color theme="1"/>
        <name val="Arial"/>
        <scheme val="none"/>
      </font>
      <alignment horizontal="center" vertical="bottom" textRotation="0" wrapText="0" indent="0" justifyLastLine="0" shrinkToFit="0" readingOrder="0"/>
    </dxf>
    <dxf>
      <font>
        <b val="0"/>
        <i val="0"/>
        <strike val="0"/>
        <condense val="0"/>
        <extend val="0"/>
        <outline val="0"/>
        <shadow val="0"/>
        <u val="none"/>
        <vertAlign val="baseline"/>
        <sz val="11"/>
        <color theme="1"/>
        <name val="Arial"/>
        <scheme val="none"/>
      </font>
      <alignment horizontal="center" vertical="bottom" textRotation="0" wrapText="0" indent="0" justifyLastLine="0" shrinkToFit="0" readingOrder="0"/>
    </dxf>
    <dxf>
      <font>
        <b val="0"/>
        <i val="0"/>
        <strike val="0"/>
        <condense val="0"/>
        <extend val="0"/>
        <outline val="0"/>
        <shadow val="0"/>
        <u val="none"/>
        <vertAlign val="baseline"/>
        <sz val="11"/>
        <color theme="1"/>
        <name val="Arial"/>
        <scheme val="none"/>
      </font>
      <alignment horizontal="center" vertical="bottom" textRotation="0" wrapText="0" indent="0" justifyLastLine="0" shrinkToFit="0" readingOrder="0"/>
    </dxf>
    <dxf>
      <font>
        <b val="0"/>
        <i val="0"/>
        <strike val="0"/>
        <condense val="0"/>
        <extend val="0"/>
        <outline val="0"/>
        <shadow val="0"/>
        <u val="none"/>
        <vertAlign val="baseline"/>
        <sz val="11"/>
        <color theme="1"/>
        <name val="Arial"/>
        <scheme val="none"/>
      </font>
      <alignment horizontal="center" vertical="bottom" textRotation="0" wrapText="0" indent="0" justifyLastLine="0" shrinkToFit="0" readingOrder="0"/>
    </dxf>
    <dxf>
      <font>
        <b val="0"/>
        <i val="0"/>
        <strike val="0"/>
        <condense val="0"/>
        <extend val="0"/>
        <outline val="0"/>
        <shadow val="0"/>
        <u val="none"/>
        <vertAlign val="baseline"/>
        <sz val="11"/>
        <color theme="1"/>
        <name val="Arial"/>
        <scheme val="none"/>
      </font>
      <alignment horizontal="center" vertical="bottom" textRotation="0" wrapText="0" indent="0" justifyLastLine="0" shrinkToFit="0" readingOrder="0"/>
    </dxf>
    <dxf>
      <font>
        <b val="0"/>
        <i val="0"/>
        <strike val="0"/>
        <condense val="0"/>
        <extend val="0"/>
        <outline val="0"/>
        <shadow val="0"/>
        <u val="none"/>
        <vertAlign val="baseline"/>
        <sz val="11"/>
        <color theme="1"/>
        <name val="Arial"/>
        <scheme val="none"/>
      </font>
      <alignment horizontal="center" vertical="bottom" textRotation="0" wrapText="0" indent="0" justifyLastLine="0" shrinkToFit="0" readingOrder="0"/>
    </dxf>
    <dxf>
      <font>
        <b val="0"/>
        <i val="0"/>
        <strike val="0"/>
        <condense val="0"/>
        <extend val="0"/>
        <outline val="0"/>
        <shadow val="0"/>
        <u val="none"/>
        <vertAlign val="baseline"/>
        <sz val="11"/>
        <color theme="1"/>
        <name val="Arial"/>
        <scheme val="none"/>
      </font>
      <alignment horizontal="center" vertical="bottom" textRotation="0" wrapText="0" indent="0" justifyLastLine="0" shrinkToFit="0" readingOrder="0"/>
    </dxf>
    <dxf>
      <font>
        <b val="0"/>
        <i val="0"/>
        <strike val="0"/>
        <condense val="0"/>
        <extend val="0"/>
        <outline val="0"/>
        <shadow val="0"/>
        <u val="none"/>
        <vertAlign val="baseline"/>
        <sz val="11"/>
        <color theme="1"/>
        <name val="Arial"/>
        <scheme val="none"/>
      </font>
      <alignment horizontal="center" vertical="bottom" textRotation="0" wrapText="0" indent="0" justifyLastLine="0" shrinkToFit="0" readingOrder="0"/>
    </dxf>
    <dxf>
      <font>
        <b val="0"/>
        <i val="0"/>
        <strike val="0"/>
        <condense val="0"/>
        <extend val="0"/>
        <outline val="0"/>
        <shadow val="0"/>
        <u val="none"/>
        <vertAlign val="baseline"/>
        <sz val="11"/>
        <color theme="1"/>
        <name val="Arial"/>
        <scheme val="none"/>
      </font>
      <alignment horizontal="center" vertical="bottom" textRotation="0" wrapText="0" indent="0" justifyLastLine="0" shrinkToFit="0" readingOrder="0"/>
    </dxf>
    <dxf>
      <font>
        <b val="0"/>
        <i val="0"/>
        <strike val="0"/>
        <condense val="0"/>
        <extend val="0"/>
        <outline val="0"/>
        <shadow val="0"/>
        <u val="none"/>
        <vertAlign val="baseline"/>
        <sz val="11"/>
        <color theme="1"/>
        <name val="Arial"/>
        <scheme val="none"/>
      </font>
      <alignment horizontal="center" vertical="bottom" textRotation="0" wrapText="0" indent="0" justifyLastLine="0" shrinkToFit="0" readingOrder="0"/>
    </dxf>
    <dxf>
      <font>
        <b val="0"/>
        <i val="0"/>
        <strike val="0"/>
        <condense val="0"/>
        <extend val="0"/>
        <outline val="0"/>
        <shadow val="0"/>
        <u val="none"/>
        <vertAlign val="baseline"/>
        <sz val="11"/>
        <color theme="1"/>
        <name val="Arial"/>
        <scheme val="none"/>
      </font>
      <alignment horizontal="center" vertical="bottom" textRotation="0" wrapText="0" indent="0" justifyLastLine="0" shrinkToFit="0" readingOrder="0"/>
    </dxf>
    <dxf>
      <font>
        <b val="0"/>
        <i val="0"/>
        <strike val="0"/>
        <condense val="0"/>
        <extend val="0"/>
        <outline val="0"/>
        <shadow val="0"/>
        <u val="none"/>
        <vertAlign val="baseline"/>
        <sz val="11"/>
        <color theme="1"/>
        <name val="Arial"/>
        <scheme val="none"/>
      </font>
      <alignment horizontal="center" vertical="bottom" textRotation="0" wrapText="1" indent="0" justifyLastLine="0" shrinkToFit="0" readingOrder="0"/>
    </dxf>
    <dxf>
      <font>
        <b val="0"/>
        <i val="0"/>
        <strike val="0"/>
        <condense val="0"/>
        <extend val="0"/>
        <outline val="0"/>
        <shadow val="0"/>
        <u val="none"/>
        <vertAlign val="baseline"/>
        <sz val="11"/>
        <color theme="1"/>
        <name val="Arial"/>
        <scheme val="none"/>
      </font>
      <alignment horizontal="center" vertical="bottom" textRotation="0" wrapText="0" indent="0" justifyLastLine="0" shrinkToFit="0" readingOrder="0"/>
    </dxf>
    <dxf>
      <font>
        <b val="0"/>
        <i val="0"/>
        <strike val="0"/>
        <condense val="0"/>
        <extend val="0"/>
        <outline val="0"/>
        <shadow val="0"/>
        <u val="none"/>
        <vertAlign val="baseline"/>
        <sz val="11"/>
        <color theme="1"/>
        <name val="Arial"/>
        <scheme val="none"/>
      </font>
      <alignment horizontal="center" vertical="bottom" textRotation="0" wrapText="0" indent="0" justifyLastLine="0" shrinkToFit="0" readingOrder="0"/>
    </dxf>
    <dxf>
      <font>
        <b val="0"/>
        <i val="0"/>
        <strike val="0"/>
        <condense val="0"/>
        <extend val="0"/>
        <outline val="0"/>
        <shadow val="0"/>
        <u val="none"/>
        <vertAlign val="baseline"/>
        <sz val="11"/>
        <color theme="1"/>
        <name val="Arial"/>
        <scheme val="none"/>
      </font>
      <alignment horizontal="center" vertical="bottom" textRotation="0" wrapText="0" indent="0" justifyLastLine="0" shrinkToFit="0" readingOrder="0"/>
    </dxf>
    <dxf>
      <font>
        <b val="0"/>
        <i val="0"/>
        <strike val="0"/>
        <condense val="0"/>
        <extend val="0"/>
        <outline val="0"/>
        <shadow val="0"/>
        <u val="none"/>
        <vertAlign val="baseline"/>
        <sz val="11"/>
        <color theme="1"/>
        <name val="Arial"/>
        <scheme val="none"/>
      </font>
      <alignment horizontal="center" vertical="bottom" textRotation="0" wrapText="0" indent="0" justifyLastLine="0" shrinkToFit="0" readingOrder="0"/>
    </dxf>
    <dxf>
      <font>
        <b val="0"/>
        <i val="0"/>
        <strike val="0"/>
        <condense val="0"/>
        <extend val="0"/>
        <outline val="0"/>
        <shadow val="0"/>
        <u val="none"/>
        <vertAlign val="baseline"/>
        <sz val="11"/>
        <color theme="1"/>
        <name val="Arial"/>
        <scheme val="none"/>
      </font>
      <alignment horizontal="center" vertical="bottom" textRotation="0" wrapText="0" indent="0" justifyLastLine="0" shrinkToFit="0" readingOrder="0"/>
    </dxf>
    <dxf>
      <font>
        <b val="0"/>
        <i val="0"/>
        <strike val="0"/>
        <condense val="0"/>
        <extend val="0"/>
        <outline val="0"/>
        <shadow val="0"/>
        <u val="none"/>
        <vertAlign val="baseline"/>
        <sz val="11"/>
        <color theme="1"/>
        <name val="Arial"/>
        <scheme val="none"/>
      </font>
      <alignment horizontal="center" vertical="bottom" textRotation="0" wrapText="0" indent="0" justifyLastLine="0" shrinkToFit="0" readingOrder="0"/>
    </dxf>
    <dxf>
      <font>
        <b val="0"/>
        <i val="0"/>
        <strike val="0"/>
        <condense val="0"/>
        <extend val="0"/>
        <outline val="0"/>
        <shadow val="0"/>
        <u val="none"/>
        <vertAlign val="baseline"/>
        <sz val="11"/>
        <color theme="1"/>
        <name val="Arial"/>
        <scheme val="none"/>
      </font>
      <alignment horizontal="center" vertical="bottom" textRotation="0" wrapText="0" indent="0" justifyLastLine="0" shrinkToFit="0" readingOrder="0"/>
    </dxf>
    <dxf>
      <font>
        <b val="0"/>
        <i val="0"/>
        <strike val="0"/>
        <condense val="0"/>
        <extend val="0"/>
        <outline val="0"/>
        <shadow val="0"/>
        <u val="none"/>
        <vertAlign val="baseline"/>
        <sz val="11"/>
        <color theme="1"/>
        <name val="Arial"/>
        <scheme val="none"/>
      </font>
      <alignment horizontal="center" vertical="bottom" textRotation="0" wrapText="0" indent="0" justifyLastLine="0" shrinkToFit="0" readingOrder="0"/>
    </dxf>
    <dxf>
      <font>
        <b val="0"/>
        <i val="0"/>
        <strike val="0"/>
        <condense val="0"/>
        <extend val="0"/>
        <outline val="0"/>
        <shadow val="0"/>
        <u val="none"/>
        <vertAlign val="baseline"/>
        <sz val="11"/>
        <color theme="1"/>
        <name val="Arial"/>
        <scheme val="none"/>
      </font>
      <numFmt numFmtId="0" formatCode="General"/>
      <alignment horizontal="center" vertical="bottom" textRotation="0" wrapText="0" indent="0" justifyLastLine="0" shrinkToFit="0" readingOrder="0"/>
    </dxf>
    <dxf>
      <numFmt numFmtId="1" formatCode="0"/>
      <alignment horizontal="center" vertical="center" textRotation="0" wrapText="0" indent="0" justifyLastLine="0" shrinkToFit="0" readingOrder="0"/>
      <border diagonalUp="0" diagonalDown="0">
        <left/>
        <right style="thick">
          <color theme="0"/>
        </right>
        <top/>
        <bottom/>
        <vertical/>
        <horizontal/>
      </border>
    </dxf>
    <dxf>
      <font>
        <strike val="0"/>
        <outline val="0"/>
        <shadow val="0"/>
        <u val="none"/>
        <vertAlign val="baseline"/>
        <sz val="8"/>
        <color theme="1"/>
        <name val="Arial"/>
        <scheme val="none"/>
      </font>
      <numFmt numFmtId="30" formatCode="@"/>
      <alignment horizontal="general" vertical="center" textRotation="0" wrapText="0" indent="0" justifyLastLine="0" shrinkToFit="1" readingOrder="0"/>
    </dxf>
    <dxf>
      <numFmt numFmtId="0" formatCode="General"/>
      <alignment horizontal="general" vertical="center" textRotation="0" wrapText="0" indent="0" justifyLastLine="0" shrinkToFit="0" readingOrder="0"/>
    </dxf>
    <dxf>
      <numFmt numFmtId="165" formatCode="mm/dd/yy\ hh:mm"/>
      <alignment horizontal="general" vertical="center" textRotation="0" wrapText="0" indent="0" justifyLastLine="0" shrinkToFit="0" readingOrder="0"/>
    </dxf>
    <dxf>
      <numFmt numFmtId="30" formatCode="@"/>
      <alignment horizontal="general" vertical="center" textRotation="0" wrapText="0" indent="0" justifyLastLine="0" shrinkToFit="1" readingOrder="0"/>
    </dxf>
    <dxf>
      <numFmt numFmtId="165" formatCode="mm/dd/yy\ hh:mm"/>
      <alignment horizontal="general" vertical="center" textRotation="0" wrapText="0" indent="0" justifyLastLine="0" shrinkToFit="0" readingOrder="0"/>
    </dxf>
    <dxf>
      <numFmt numFmtId="30" formatCode="@"/>
      <alignment horizontal="general" vertical="center" textRotation="0" wrapText="0" indent="0" justifyLastLine="0" shrinkToFit="1" readingOrder="0"/>
    </dxf>
    <dxf>
      <numFmt numFmtId="30" formatCode="@"/>
      <alignment horizontal="general" vertical="center" textRotation="0" wrapText="0" indent="0" justifyLastLine="0" shrinkToFit="0" readingOrder="0"/>
    </dxf>
    <dxf>
      <numFmt numFmtId="167" formatCode="[$$-409]#,##0.00_);\([$$-409]#,##0.00\)"/>
      <alignment horizontal="general" vertical="center" textRotation="0" wrapText="0" indent="0" justifyLastLine="0" shrinkToFit="0" readingOrder="0"/>
    </dxf>
    <dxf>
      <numFmt numFmtId="166" formatCode="m/dd/yy_);@"/>
      <alignment horizontal="general" vertical="center" textRotation="0" wrapText="0" indent="0" justifyLastLine="0" shrinkToFit="0" readingOrder="0"/>
    </dxf>
    <dxf>
      <numFmt numFmtId="166" formatCode="m/dd/yy_);@"/>
      <alignment horizontal="general" vertical="center" textRotation="0" wrapText="0" indent="0" justifyLastLine="0" shrinkToFit="0" readingOrder="0"/>
    </dxf>
    <dxf>
      <numFmt numFmtId="30" formatCode="@"/>
      <alignment horizontal="center" vertical="center" textRotation="0" wrapText="0" indent="0" justifyLastLine="0" shrinkToFit="0" readingOrder="0"/>
    </dxf>
    <dxf>
      <numFmt numFmtId="30" formatCode="@"/>
      <alignment horizontal="general" vertical="center" textRotation="0" wrapText="0" indent="0" justifyLastLine="0" shrinkToFit="1" readingOrder="0"/>
    </dxf>
    <dxf>
      <numFmt numFmtId="30" formatCode="@"/>
      <alignment horizontal="general" vertical="center" textRotation="0" wrapText="0" indent="0" justifyLastLine="0" shrinkToFit="1" readingOrder="0"/>
    </dxf>
    <dxf>
      <numFmt numFmtId="30" formatCode="@"/>
      <alignment horizontal="general" vertical="center" textRotation="0" wrapText="0" indent="0" justifyLastLine="0" shrinkToFit="1" readingOrder="0"/>
    </dxf>
    <dxf>
      <alignment horizontal="general" vertical="center" textRotation="0" wrapText="0" indent="0" justifyLastLine="0" shrinkToFit="1" readingOrder="0"/>
    </dxf>
    <dxf>
      <font>
        <b/>
        <strike val="0"/>
        <outline val="0"/>
        <shadow val="0"/>
        <u val="none"/>
        <vertAlign val="baseline"/>
        <sz val="11"/>
        <color theme="1"/>
        <name val="Arial"/>
        <scheme val="none"/>
      </font>
      <numFmt numFmtId="30" formatCode="@"/>
      <alignment horizontal="center" vertical="center" textRotation="0" wrapText="0" indent="0" justifyLastLine="0" shrinkToFit="0" readingOrder="0"/>
    </dxf>
    <dxf>
      <font>
        <b val="0"/>
        <i val="0"/>
        <strike val="0"/>
        <condense val="0"/>
        <extend val="0"/>
        <outline val="0"/>
        <shadow val="0"/>
        <u val="none"/>
        <vertAlign val="baseline"/>
        <sz val="11"/>
        <color theme="1"/>
        <name val="Arial"/>
        <scheme val="none"/>
      </font>
      <alignment horizontal="center" vertical="bottom" textRotation="0" wrapText="0" indent="0" justifyLastLine="0" shrinkToFit="0" readingOrder="0"/>
    </dxf>
    <dxf>
      <font>
        <b val="0"/>
        <i val="0"/>
        <strike val="0"/>
        <condense val="0"/>
        <extend val="0"/>
        <outline val="0"/>
        <shadow val="0"/>
        <u val="none"/>
        <vertAlign val="baseline"/>
        <sz val="12"/>
        <color theme="1"/>
        <name val="Arial"/>
        <scheme val="none"/>
      </font>
      <alignment horizontal="center" vertical="bottom" textRotation="0" wrapText="0" indent="0" justifyLastLine="0" shrinkToFit="0" readingOrder="0"/>
    </dxf>
    <dxf>
      <font>
        <b val="0"/>
        <i val="0"/>
        <strike val="0"/>
        <condense val="0"/>
        <extend val="0"/>
        <outline val="0"/>
        <shadow val="0"/>
        <u val="none"/>
        <vertAlign val="baseline"/>
        <sz val="11"/>
        <color theme="1"/>
        <name val="Arial"/>
        <scheme val="none"/>
      </font>
      <alignment horizontal="center" vertical="bottom" textRotation="0" wrapText="0" indent="0" justifyLastLine="0" shrinkToFit="0" readingOrder="0"/>
    </dxf>
    <dxf>
      <font>
        <b val="0"/>
        <i val="0"/>
        <strike val="0"/>
        <condense val="0"/>
        <extend val="0"/>
        <outline val="0"/>
        <shadow val="0"/>
        <u val="none"/>
        <vertAlign val="baseline"/>
        <sz val="11"/>
        <color theme="1"/>
        <name val="Arial"/>
        <scheme val="none"/>
      </font>
      <alignment horizontal="center" vertical="bottom" textRotation="0" wrapText="0" indent="0" justifyLastLine="0" shrinkToFit="0" readingOrder="0"/>
    </dxf>
    <dxf>
      <font>
        <b val="0"/>
        <i val="0"/>
        <strike val="0"/>
        <condense val="0"/>
        <extend val="0"/>
        <outline val="0"/>
        <shadow val="0"/>
        <u val="none"/>
        <vertAlign val="baseline"/>
        <sz val="11"/>
        <color theme="1"/>
        <name val="Arial"/>
        <scheme val="none"/>
      </font>
      <alignment horizontal="center" vertical="bottom" textRotation="0" wrapText="0" indent="0" justifyLastLine="0" shrinkToFit="0" readingOrder="0"/>
    </dxf>
    <dxf>
      <font>
        <b val="0"/>
        <i val="0"/>
        <strike val="0"/>
        <condense val="0"/>
        <extend val="0"/>
        <outline val="0"/>
        <shadow val="0"/>
        <u val="none"/>
        <vertAlign val="baseline"/>
        <sz val="11"/>
        <color theme="1"/>
        <name val="Arial"/>
        <scheme val="none"/>
      </font>
      <alignment horizontal="center" vertical="bottom" textRotation="0" wrapText="0" indent="0" justifyLastLine="0" shrinkToFit="0" readingOrder="0"/>
    </dxf>
    <dxf>
      <font>
        <b val="0"/>
        <i val="0"/>
        <strike val="0"/>
        <condense val="0"/>
        <extend val="0"/>
        <outline val="0"/>
        <shadow val="0"/>
        <u val="none"/>
        <vertAlign val="baseline"/>
        <sz val="11"/>
        <color theme="1"/>
        <name val="Arial"/>
        <scheme val="none"/>
      </font>
      <alignment horizontal="center" vertical="bottom" textRotation="0" wrapText="0" indent="0" justifyLastLine="0" shrinkToFit="0" readingOrder="0"/>
    </dxf>
    <dxf>
      <font>
        <b val="0"/>
        <i val="0"/>
        <strike val="0"/>
        <condense val="0"/>
        <extend val="0"/>
        <outline val="0"/>
        <shadow val="0"/>
        <u val="none"/>
        <vertAlign val="baseline"/>
        <sz val="11"/>
        <color theme="1"/>
        <name val="Arial"/>
        <scheme val="none"/>
      </font>
      <alignment horizontal="center" vertical="bottom" textRotation="0" wrapText="0" indent="0" justifyLastLine="0" shrinkToFit="0" readingOrder="0"/>
    </dxf>
    <dxf>
      <font>
        <b val="0"/>
        <i val="0"/>
        <strike val="0"/>
        <condense val="0"/>
        <extend val="0"/>
        <outline val="0"/>
        <shadow val="0"/>
        <u val="none"/>
        <vertAlign val="baseline"/>
        <sz val="11"/>
        <color theme="1"/>
        <name val="Arial"/>
        <scheme val="none"/>
      </font>
      <alignment horizontal="center" vertical="bottom" textRotation="0" wrapText="0" indent="0" justifyLastLine="0" shrinkToFit="0" readingOrder="0"/>
    </dxf>
    <dxf>
      <font>
        <b val="0"/>
        <i val="0"/>
        <strike val="0"/>
        <condense val="0"/>
        <extend val="0"/>
        <outline val="0"/>
        <shadow val="0"/>
        <u val="none"/>
        <vertAlign val="baseline"/>
        <sz val="11"/>
        <color theme="1"/>
        <name val="Arial"/>
        <scheme val="none"/>
      </font>
      <alignment horizontal="center" vertical="bottom" textRotation="0" wrapText="0" indent="0" justifyLastLine="0" shrinkToFit="0" readingOrder="0"/>
    </dxf>
    <dxf>
      <font>
        <b val="0"/>
        <i val="0"/>
        <strike val="0"/>
        <condense val="0"/>
        <extend val="0"/>
        <outline val="0"/>
        <shadow val="0"/>
        <u val="none"/>
        <vertAlign val="baseline"/>
        <sz val="11"/>
        <color theme="1"/>
        <name val="Arial"/>
        <scheme val="none"/>
      </font>
      <alignment horizontal="center" vertical="bottom" textRotation="0" wrapText="0" indent="0" justifyLastLine="0" shrinkToFit="0" readingOrder="0"/>
    </dxf>
    <dxf>
      <font>
        <b val="0"/>
        <i val="0"/>
        <strike val="0"/>
        <condense val="0"/>
        <extend val="0"/>
        <outline val="0"/>
        <shadow val="0"/>
        <u val="none"/>
        <vertAlign val="baseline"/>
        <sz val="11"/>
        <color theme="1"/>
        <name val="Arial"/>
        <scheme val="none"/>
      </font>
      <alignment horizontal="center" vertical="bottom" textRotation="0" wrapText="0" indent="0" justifyLastLine="0" shrinkToFit="0" readingOrder="0"/>
    </dxf>
    <dxf>
      <font>
        <b val="0"/>
        <i val="0"/>
        <strike val="0"/>
        <condense val="0"/>
        <extend val="0"/>
        <outline val="0"/>
        <shadow val="0"/>
        <u val="none"/>
        <vertAlign val="baseline"/>
        <sz val="11"/>
        <color theme="1"/>
        <name val="Arial"/>
        <scheme val="none"/>
      </font>
      <alignment horizontal="center" vertical="bottom" textRotation="0" wrapText="0" indent="0" justifyLastLine="0" shrinkToFit="1" readingOrder="0"/>
    </dxf>
    <dxf>
      <font>
        <b val="0"/>
        <i val="0"/>
        <strike val="0"/>
        <condense val="0"/>
        <extend val="0"/>
        <outline val="0"/>
        <shadow val="0"/>
        <u val="none"/>
        <vertAlign val="baseline"/>
        <sz val="11"/>
        <color theme="1"/>
        <name val="Arial"/>
        <scheme val="none"/>
      </font>
      <numFmt numFmtId="165" formatCode="mm/dd/yy\ hh:mm"/>
      <alignment horizontal="center" vertical="bottom" textRotation="0" wrapText="0" indent="0" justifyLastLine="0" shrinkToFit="1" readingOrder="0"/>
    </dxf>
    <dxf>
      <font>
        <b val="0"/>
        <i val="0"/>
        <strike val="0"/>
        <condense val="0"/>
        <extend val="0"/>
        <outline val="0"/>
        <shadow val="0"/>
        <u val="none"/>
        <vertAlign val="baseline"/>
        <sz val="11"/>
        <color theme="1"/>
        <name val="Arial"/>
        <scheme val="none"/>
      </font>
      <alignment horizontal="center" vertical="bottom" textRotation="0" wrapText="0" indent="0" justifyLastLine="0" shrinkToFit="1" readingOrder="0"/>
    </dxf>
    <dxf>
      <font>
        <b val="0"/>
        <i val="0"/>
        <strike val="0"/>
        <condense val="0"/>
        <extend val="0"/>
        <outline val="0"/>
        <shadow val="0"/>
        <u val="none"/>
        <vertAlign val="baseline"/>
        <sz val="11"/>
        <color theme="1"/>
        <name val="Arial"/>
        <scheme val="none"/>
      </font>
      <numFmt numFmtId="165" formatCode="mm/dd/yy\ hh:mm"/>
      <alignment horizontal="center" vertical="bottom" textRotation="0" wrapText="0" indent="0" justifyLastLine="0" shrinkToFit="1" readingOrder="0"/>
    </dxf>
    <dxf>
      <font>
        <b val="0"/>
        <i val="0"/>
        <strike val="0"/>
        <condense val="0"/>
        <extend val="0"/>
        <outline val="0"/>
        <shadow val="0"/>
        <u val="none"/>
        <vertAlign val="baseline"/>
        <sz val="11"/>
        <color theme="1"/>
        <name val="Arial"/>
        <scheme val="none"/>
      </font>
      <alignment horizontal="center" vertical="bottom" textRotation="0" wrapText="0" indent="0" justifyLastLine="0" shrinkToFit="0" readingOrder="0"/>
    </dxf>
    <dxf>
      <font>
        <b val="0"/>
        <i val="0"/>
        <strike val="0"/>
        <condense val="0"/>
        <extend val="0"/>
        <outline val="0"/>
        <shadow val="0"/>
        <u val="none"/>
        <vertAlign val="baseline"/>
        <sz val="11"/>
        <color theme="1"/>
        <name val="Arial"/>
        <scheme val="none"/>
      </font>
      <alignment horizontal="center" vertical="bottom" textRotation="0" wrapText="0" indent="0" justifyLastLine="0" shrinkToFit="0" readingOrder="0"/>
    </dxf>
    <dxf>
      <font>
        <b val="0"/>
        <i val="0"/>
        <strike val="0"/>
        <condense val="0"/>
        <extend val="0"/>
        <outline val="0"/>
        <shadow val="0"/>
        <u val="none"/>
        <vertAlign val="baseline"/>
        <sz val="11"/>
        <color theme="1"/>
        <name val="Arial"/>
        <scheme val="none"/>
      </font>
      <alignment horizontal="center" vertical="bottom" textRotation="0" wrapText="0" indent="0" justifyLastLine="0" shrinkToFit="0" readingOrder="0"/>
    </dxf>
    <dxf>
      <font>
        <b val="0"/>
        <i val="0"/>
        <strike val="0"/>
        <condense val="0"/>
        <extend val="0"/>
        <outline val="0"/>
        <shadow val="0"/>
        <u val="none"/>
        <vertAlign val="baseline"/>
        <sz val="11"/>
        <color theme="1"/>
        <name val="Arial"/>
        <scheme val="none"/>
      </font>
      <alignment horizontal="center" vertical="bottom" textRotation="0" wrapText="0" indent="0" justifyLastLine="0" shrinkToFit="0" readingOrder="0"/>
      <border diagonalUp="0" diagonalDown="0" outline="0">
        <left/>
        <right style="thick">
          <color theme="0"/>
        </right>
        <top/>
        <bottom/>
      </border>
    </dxf>
    <dxf>
      <font>
        <b val="0"/>
        <i val="0"/>
        <strike val="0"/>
        <condense val="0"/>
        <extend val="0"/>
        <outline val="0"/>
        <shadow val="0"/>
        <u val="none"/>
        <vertAlign val="baseline"/>
        <sz val="11"/>
        <color theme="1"/>
        <name val="Arial"/>
        <scheme val="none"/>
      </font>
      <alignment horizontal="center" vertical="bottom" textRotation="0" wrapText="0" indent="0" justifyLastLine="0" shrinkToFit="0" readingOrder="0"/>
      <border diagonalUp="0" diagonalDown="0" outline="0">
        <left style="thick">
          <color theme="0"/>
        </left>
        <right/>
        <top/>
        <bottom/>
      </border>
    </dxf>
    <dxf>
      <font>
        <b val="0"/>
        <i val="0"/>
        <strike val="0"/>
        <condense val="0"/>
        <extend val="0"/>
        <outline val="0"/>
        <shadow val="0"/>
        <u val="none"/>
        <vertAlign val="baseline"/>
        <sz val="11"/>
        <color theme="1"/>
        <name val="Arial"/>
        <scheme val="none"/>
      </font>
      <alignment horizontal="center" vertical="bottom" textRotation="0" wrapText="0" indent="0" justifyLastLine="0" shrinkToFit="0" readingOrder="0"/>
    </dxf>
    <dxf>
      <font>
        <b val="0"/>
        <i val="0"/>
        <strike val="0"/>
        <condense val="0"/>
        <extend val="0"/>
        <outline val="0"/>
        <shadow val="0"/>
        <u val="none"/>
        <vertAlign val="baseline"/>
        <sz val="11"/>
        <color theme="1"/>
        <name val="Arial"/>
        <scheme val="none"/>
      </font>
      <alignment horizontal="center" vertical="bottom" textRotation="0" wrapText="0" indent="0" justifyLastLine="0" shrinkToFit="0" readingOrder="0"/>
    </dxf>
    <dxf>
      <font>
        <b val="0"/>
        <i val="0"/>
        <strike val="0"/>
        <condense val="0"/>
        <extend val="0"/>
        <outline val="0"/>
        <shadow val="0"/>
        <u val="none"/>
        <vertAlign val="baseline"/>
        <sz val="11"/>
        <color theme="1"/>
        <name val="Arial"/>
        <scheme val="none"/>
      </font>
      <alignment horizontal="center" vertical="bottom" textRotation="0" wrapText="0" indent="0" justifyLastLine="0" shrinkToFit="0" readingOrder="0"/>
    </dxf>
    <dxf>
      <font>
        <b val="0"/>
        <i val="0"/>
        <strike val="0"/>
        <condense val="0"/>
        <extend val="0"/>
        <outline val="0"/>
        <shadow val="0"/>
        <u val="none"/>
        <vertAlign val="baseline"/>
        <sz val="11"/>
        <color theme="1"/>
        <name val="Arial"/>
        <scheme val="none"/>
      </font>
      <alignment horizontal="center" vertical="bottom" textRotation="0" wrapText="0" indent="0" justifyLastLine="0" shrinkToFit="0" readingOrder="0"/>
    </dxf>
    <dxf>
      <numFmt numFmtId="30" formatCode="@"/>
      <alignment horizontal="general" vertical="center" textRotation="0" wrapText="0" indent="0" justifyLastLine="0" shrinkToFit="1" readingOrder="0"/>
    </dxf>
    <dxf>
      <numFmt numFmtId="30" formatCode="@"/>
      <alignment horizontal="center" vertical="center" textRotation="0" wrapText="0" indent="0" justifyLastLine="0" shrinkToFit="1" readingOrder="0"/>
    </dxf>
    <dxf>
      <numFmt numFmtId="1" formatCode="0"/>
      <alignment horizontal="general" vertical="center" textRotation="0" wrapText="0" indent="0" justifyLastLine="0" shrinkToFit="1" readingOrder="0"/>
    </dxf>
    <dxf>
      <numFmt numFmtId="0" formatCode="General"/>
      <alignment horizontal="general" vertical="center" textRotation="0" wrapText="0" indent="0" justifyLastLine="0" shrinkToFit="1" readingOrder="0"/>
    </dxf>
    <dxf>
      <numFmt numFmtId="165" formatCode="mm/dd/yy\ hh:mm"/>
      <alignment horizontal="general" vertical="center" textRotation="0" wrapText="0" indent="0" justifyLastLine="0" shrinkToFit="1" readingOrder="0"/>
    </dxf>
    <dxf>
      <numFmt numFmtId="30" formatCode="@"/>
      <alignment horizontal="general" vertical="center" textRotation="0" wrapText="0" indent="0" justifyLastLine="0" shrinkToFit="1" readingOrder="0"/>
    </dxf>
    <dxf>
      <numFmt numFmtId="165" formatCode="mm/dd/yy\ hh:mm"/>
      <alignment horizontal="general" vertical="center" textRotation="0" wrapText="0" indent="0" justifyLastLine="0" shrinkToFit="1" readingOrder="0"/>
    </dxf>
    <dxf>
      <numFmt numFmtId="30" formatCode="@"/>
      <alignment horizontal="general" vertical="center" textRotation="0" wrapText="0" indent="0" justifyLastLine="0" shrinkToFit="1" readingOrder="0"/>
    </dxf>
    <dxf>
      <numFmt numFmtId="30" formatCode="@"/>
      <alignment horizontal="general" vertical="center" textRotation="0" wrapText="0" indent="0" justifyLastLine="0" shrinkToFit="1" readingOrder="0"/>
    </dxf>
    <dxf>
      <numFmt numFmtId="169" formatCode="_([$$-409]* #,##0.00_);_([$$-409]* \(#,##0.00\);_([$$-409]* &quot;-&quot;??_);_(@_)"/>
      <alignment horizontal="general" vertical="center" textRotation="0" wrapText="0" indent="0" justifyLastLine="0" shrinkToFit="1" readingOrder="0"/>
    </dxf>
    <dxf>
      <numFmt numFmtId="166" formatCode="m/dd/yy_);@"/>
      <alignment horizontal="general" vertical="center" textRotation="0" wrapText="0" indent="0" justifyLastLine="0" shrinkToFit="1" readingOrder="0"/>
    </dxf>
    <dxf>
      <numFmt numFmtId="166" formatCode="m/dd/yy_);@"/>
      <alignment horizontal="general" vertical="center" textRotation="0" wrapText="0" indent="0" justifyLastLine="0" shrinkToFit="1" readingOrder="0"/>
    </dxf>
    <dxf>
      <numFmt numFmtId="30" formatCode="@"/>
      <alignment horizontal="center" vertical="center" textRotation="0" wrapText="0" indent="0" justifyLastLine="0" shrinkToFit="1" readingOrder="0"/>
    </dxf>
    <dxf>
      <numFmt numFmtId="30" formatCode="@"/>
      <alignment horizontal="general" vertical="center" textRotation="0" wrapText="0" indent="0" justifyLastLine="0" shrinkToFit="1" readingOrder="0"/>
    </dxf>
    <dxf>
      <numFmt numFmtId="30" formatCode="@"/>
      <alignment horizontal="general" vertical="center" textRotation="0" wrapText="0" indent="0" justifyLastLine="0" shrinkToFit="1" readingOrder="0"/>
    </dxf>
    <dxf>
      <numFmt numFmtId="30" formatCode="@"/>
      <alignment horizontal="right" vertical="center" textRotation="0" wrapText="0" indent="0" justifyLastLine="0" shrinkToFit="1" readingOrder="0"/>
    </dxf>
    <dxf>
      <alignment horizontal="general" vertical="center" textRotation="0" wrapText="0" indent="0" justifyLastLine="0" shrinkToFit="1" readingOrder="0"/>
    </dxf>
    <dxf>
      <font>
        <b/>
        <strike val="0"/>
        <outline val="0"/>
        <shadow val="0"/>
        <u val="none"/>
        <vertAlign val="baseline"/>
        <sz val="11"/>
        <color theme="1"/>
        <name val="Arial"/>
        <scheme val="none"/>
      </font>
      <numFmt numFmtId="30" formatCode="@"/>
      <alignment horizontal="center" vertical="center" textRotation="0" wrapText="0" indent="0" justifyLastLine="0" shrinkToFit="1" readingOrder="0"/>
    </dxf>
    <dxf>
      <font>
        <b val="0"/>
        <i val="0"/>
        <strike val="0"/>
        <condense val="0"/>
        <extend val="0"/>
        <outline val="0"/>
        <shadow val="0"/>
        <u val="none"/>
        <vertAlign val="baseline"/>
        <sz val="10"/>
        <color auto="1"/>
        <name val="Arial Narrow"/>
        <scheme val="none"/>
      </font>
      <alignment horizontal="general" vertical="center" textRotation="0" wrapText="0" indent="0" justifyLastLine="0" shrinkToFit="1" readingOrder="0"/>
    </dxf>
    <dxf>
      <font>
        <b val="0"/>
        <i val="0"/>
        <strike val="0"/>
        <condense val="0"/>
        <extend val="0"/>
        <outline val="0"/>
        <shadow val="0"/>
        <u val="none"/>
        <vertAlign val="baseline"/>
        <sz val="12"/>
        <color theme="1"/>
        <name val="Arial"/>
        <scheme val="none"/>
      </font>
      <alignment horizontal="center" vertical="bottom" textRotation="0" wrapText="0" indent="0" justifyLastLine="0" shrinkToFit="1" readingOrder="0"/>
    </dxf>
    <dxf>
      <font>
        <b/>
        <i val="0"/>
        <strike val="0"/>
        <condense val="0"/>
        <extend val="0"/>
        <outline val="0"/>
        <shadow val="0"/>
        <u val="none"/>
        <vertAlign val="baseline"/>
        <sz val="11"/>
        <color theme="1"/>
        <name val="Arial"/>
        <scheme val="none"/>
      </font>
      <alignment horizontal="center" vertical="bottom" textRotation="0" wrapText="0" indent="0" justifyLastLine="0" shrinkToFit="1" readingOrder="0"/>
    </dxf>
    <dxf>
      <font>
        <b val="0"/>
        <i val="0"/>
        <strike val="0"/>
        <condense val="0"/>
        <extend val="0"/>
        <outline val="0"/>
        <shadow val="0"/>
        <u val="none"/>
        <vertAlign val="baseline"/>
        <sz val="11"/>
        <color theme="1"/>
        <name val="Arial"/>
        <scheme val="none"/>
      </font>
      <alignment horizontal="center" vertical="bottom" textRotation="0" wrapText="0" indent="0" justifyLastLine="0" shrinkToFit="1" readingOrder="0"/>
    </dxf>
    <dxf>
      <font>
        <b val="0"/>
        <i val="0"/>
        <strike val="0"/>
        <condense val="0"/>
        <extend val="0"/>
        <outline val="0"/>
        <shadow val="0"/>
        <u val="none"/>
        <vertAlign val="baseline"/>
        <sz val="11"/>
        <color theme="1"/>
        <name val="Arial"/>
        <scheme val="none"/>
      </font>
      <alignment horizontal="center" vertical="bottom" textRotation="0" wrapText="0" indent="0" justifyLastLine="0" shrinkToFit="1" readingOrder="0"/>
    </dxf>
    <dxf>
      <font>
        <b val="0"/>
        <i val="0"/>
        <strike val="0"/>
        <condense val="0"/>
        <extend val="0"/>
        <outline val="0"/>
        <shadow val="0"/>
        <u val="none"/>
        <vertAlign val="baseline"/>
        <sz val="11"/>
        <color theme="1"/>
        <name val="Arial"/>
        <scheme val="none"/>
      </font>
      <alignment horizontal="center" vertical="bottom" textRotation="0" wrapText="0" indent="0" justifyLastLine="0" shrinkToFit="1" readingOrder="0"/>
    </dxf>
    <dxf>
      <font>
        <b val="0"/>
        <i val="0"/>
        <strike val="0"/>
        <condense val="0"/>
        <extend val="0"/>
        <outline val="0"/>
        <shadow val="0"/>
        <u val="none"/>
        <vertAlign val="baseline"/>
        <sz val="11"/>
        <color theme="1"/>
        <name val="Arial"/>
        <scheme val="none"/>
      </font>
      <alignment horizontal="center" vertical="bottom" textRotation="0" wrapText="0" indent="0" justifyLastLine="0" shrinkToFit="1" readingOrder="0"/>
    </dxf>
    <dxf>
      <font>
        <b val="0"/>
        <i val="0"/>
        <strike val="0"/>
        <condense val="0"/>
        <extend val="0"/>
        <outline val="0"/>
        <shadow val="0"/>
        <u val="none"/>
        <vertAlign val="baseline"/>
        <sz val="11"/>
        <color theme="1"/>
        <name val="Arial"/>
        <scheme val="none"/>
      </font>
      <alignment horizontal="center" vertical="bottom" textRotation="0" wrapText="0" indent="0" justifyLastLine="0" shrinkToFit="1" readingOrder="0"/>
    </dxf>
    <dxf>
      <font>
        <b val="0"/>
        <i val="0"/>
        <strike val="0"/>
        <condense val="0"/>
        <extend val="0"/>
        <outline val="0"/>
        <shadow val="0"/>
        <u val="none"/>
        <vertAlign val="baseline"/>
        <sz val="11"/>
        <color theme="1"/>
        <name val="Arial"/>
        <scheme val="none"/>
      </font>
      <alignment horizontal="center" vertical="bottom" textRotation="0" wrapText="0" indent="0" justifyLastLine="0" shrinkToFit="1" readingOrder="0"/>
    </dxf>
    <dxf>
      <font>
        <b val="0"/>
        <i val="0"/>
        <strike val="0"/>
        <condense val="0"/>
        <extend val="0"/>
        <outline val="0"/>
        <shadow val="0"/>
        <u val="none"/>
        <vertAlign val="baseline"/>
        <sz val="11"/>
        <color theme="1"/>
        <name val="Arial"/>
        <scheme val="none"/>
      </font>
      <alignment horizontal="center" vertical="bottom" textRotation="0" wrapText="0" indent="0" justifyLastLine="0" shrinkToFit="1" readingOrder="0"/>
    </dxf>
    <dxf>
      <font>
        <b val="0"/>
        <i val="0"/>
        <strike val="0"/>
        <condense val="0"/>
        <extend val="0"/>
        <outline val="0"/>
        <shadow val="0"/>
        <u val="none"/>
        <vertAlign val="baseline"/>
        <sz val="11"/>
        <color theme="1"/>
        <name val="Arial"/>
        <scheme val="none"/>
      </font>
      <alignment horizontal="center" vertical="bottom" textRotation="0" wrapText="0" indent="0" justifyLastLine="0" shrinkToFit="1" readingOrder="0"/>
    </dxf>
    <dxf>
      <font>
        <b val="0"/>
        <i val="0"/>
        <strike val="0"/>
        <condense val="0"/>
        <extend val="0"/>
        <outline val="0"/>
        <shadow val="0"/>
        <u val="none"/>
        <vertAlign val="baseline"/>
        <sz val="11"/>
        <color theme="1"/>
        <name val="Arial"/>
        <scheme val="none"/>
      </font>
      <alignment horizontal="center" vertical="bottom" textRotation="0" wrapText="0" indent="0" justifyLastLine="0" shrinkToFit="1" readingOrder="0"/>
    </dxf>
    <dxf>
      <font>
        <b val="0"/>
        <i val="0"/>
        <strike val="0"/>
        <condense val="0"/>
        <extend val="0"/>
        <outline val="0"/>
        <shadow val="0"/>
        <u val="none"/>
        <vertAlign val="baseline"/>
        <sz val="11"/>
        <color theme="1"/>
        <name val="Arial"/>
        <scheme val="none"/>
      </font>
      <alignment horizontal="center" vertical="bottom" textRotation="0" wrapText="0" indent="0" justifyLastLine="0" shrinkToFit="1" readingOrder="0"/>
    </dxf>
    <dxf>
      <font>
        <b val="0"/>
        <i val="0"/>
        <strike val="0"/>
        <condense val="0"/>
        <extend val="0"/>
        <outline val="0"/>
        <shadow val="0"/>
        <u val="none"/>
        <vertAlign val="baseline"/>
        <sz val="11"/>
        <color theme="1"/>
        <name val="Arial"/>
        <scheme val="none"/>
      </font>
      <numFmt numFmtId="165" formatCode="mm/dd/yy\ hh:mm"/>
      <alignment horizontal="center" vertical="bottom" textRotation="0" wrapText="0" indent="0" justifyLastLine="0" shrinkToFit="1" readingOrder="0"/>
    </dxf>
    <dxf>
      <font>
        <b val="0"/>
        <i val="0"/>
        <strike val="0"/>
        <condense val="0"/>
        <extend val="0"/>
        <outline val="0"/>
        <shadow val="0"/>
        <u val="none"/>
        <vertAlign val="baseline"/>
        <sz val="11"/>
        <color theme="1"/>
        <name val="Arial"/>
        <scheme val="none"/>
      </font>
      <alignment horizontal="center" vertical="bottom" textRotation="0" wrapText="0" indent="0" justifyLastLine="0" shrinkToFit="1" readingOrder="0"/>
    </dxf>
    <dxf>
      <font>
        <b val="0"/>
        <i val="0"/>
        <strike val="0"/>
        <condense val="0"/>
        <extend val="0"/>
        <outline val="0"/>
        <shadow val="0"/>
        <u val="none"/>
        <vertAlign val="baseline"/>
        <sz val="11"/>
        <color theme="1"/>
        <name val="Arial"/>
        <scheme val="none"/>
      </font>
      <numFmt numFmtId="165" formatCode="mm/dd/yy\ hh:mm"/>
      <alignment horizontal="center" vertical="bottom" textRotation="0" wrapText="0" indent="0" justifyLastLine="0" shrinkToFit="1" readingOrder="0"/>
    </dxf>
    <dxf>
      <font>
        <b val="0"/>
        <i val="0"/>
        <strike val="0"/>
        <condense val="0"/>
        <extend val="0"/>
        <outline val="0"/>
        <shadow val="0"/>
        <u val="none"/>
        <vertAlign val="baseline"/>
        <sz val="11"/>
        <color theme="1"/>
        <name val="Arial"/>
        <scheme val="none"/>
      </font>
      <alignment horizontal="center" vertical="bottom" textRotation="0" wrapText="0" indent="0" justifyLastLine="0" shrinkToFit="1" readingOrder="0"/>
    </dxf>
    <dxf>
      <font>
        <b val="0"/>
        <i val="0"/>
        <strike val="0"/>
        <condense val="0"/>
        <extend val="0"/>
        <outline val="0"/>
        <shadow val="0"/>
        <u val="none"/>
        <vertAlign val="baseline"/>
        <sz val="11"/>
        <color theme="1"/>
        <name val="Arial"/>
        <scheme val="none"/>
      </font>
      <alignment horizontal="center" vertical="bottom" textRotation="0" wrapText="0" indent="0" justifyLastLine="0" shrinkToFit="1" readingOrder="0"/>
    </dxf>
    <dxf>
      <font>
        <b val="0"/>
        <i val="0"/>
        <strike val="0"/>
        <condense val="0"/>
        <extend val="0"/>
        <outline val="0"/>
        <shadow val="0"/>
        <u val="none"/>
        <vertAlign val="baseline"/>
        <sz val="11"/>
        <color theme="1"/>
        <name val="Arial"/>
        <scheme val="none"/>
      </font>
      <alignment horizontal="center" vertical="bottom" textRotation="0" wrapText="0" indent="0" justifyLastLine="0" shrinkToFit="1" readingOrder="0"/>
    </dxf>
    <dxf>
      <font>
        <b val="0"/>
        <i val="0"/>
        <strike val="0"/>
        <condense val="0"/>
        <extend val="0"/>
        <outline val="0"/>
        <shadow val="0"/>
        <u val="none"/>
        <vertAlign val="baseline"/>
        <sz val="11"/>
        <color theme="1"/>
        <name val="Arial"/>
        <scheme val="none"/>
      </font>
      <alignment horizontal="center" vertical="bottom" textRotation="0" wrapText="0" indent="0" justifyLastLine="0" shrinkToFit="1" readingOrder="0"/>
    </dxf>
    <dxf>
      <font>
        <b val="0"/>
        <i val="0"/>
        <strike val="0"/>
        <condense val="0"/>
        <extend val="0"/>
        <outline val="0"/>
        <shadow val="0"/>
        <u val="none"/>
        <vertAlign val="baseline"/>
        <sz val="11"/>
        <color theme="1"/>
        <name val="Arial"/>
        <scheme val="none"/>
      </font>
      <alignment horizontal="center" vertical="bottom" textRotation="0" wrapText="0" indent="0" justifyLastLine="0" shrinkToFit="1" readingOrder="0"/>
    </dxf>
    <dxf>
      <fill>
        <patternFill>
          <bgColor rgb="FFFFFF99"/>
        </patternFill>
      </fill>
      <border>
        <left style="thin">
          <color theme="7" tint="0.59996337778862885"/>
        </left>
        <right style="thin">
          <color theme="7" tint="0.59996337778862885"/>
        </right>
        <top style="thin">
          <color theme="7" tint="0.59996337778862885"/>
        </top>
        <bottom style="thin">
          <color theme="7" tint="0.59996337778862885"/>
        </bottom>
        <vertical/>
        <horizontal/>
      </border>
    </dxf>
    <dxf>
      <fill>
        <patternFill>
          <bgColor rgb="FFFFFF99"/>
        </patternFill>
      </fill>
    </dxf>
    <dxf>
      <fill>
        <patternFill>
          <bgColor rgb="FFFFFF99"/>
        </patternFill>
      </fill>
    </dxf>
    <dxf>
      <fill>
        <patternFill>
          <bgColor rgb="FFFFFF99"/>
        </patternFill>
      </fill>
    </dxf>
    <dxf>
      <fill>
        <patternFill>
          <bgColor rgb="FFFFFF99"/>
        </patternFill>
      </fill>
      <border>
        <left style="thin">
          <color theme="7" tint="0.59996337778862885"/>
        </left>
        <right style="thin">
          <color theme="7" tint="0.59996337778862885"/>
        </right>
        <top style="thin">
          <color theme="7" tint="0.59996337778862885"/>
        </top>
        <bottom style="thin">
          <color theme="7" tint="0.59996337778862885"/>
        </bottom>
        <vertical/>
        <horizontal/>
      </border>
    </dxf>
    <dxf>
      <fill>
        <patternFill>
          <bgColor rgb="FFFFFF99"/>
        </patternFill>
      </fill>
    </dxf>
    <dxf>
      <fill>
        <patternFill>
          <bgColor rgb="FFFFFF99"/>
        </patternFill>
      </fill>
    </dxf>
    <dxf>
      <alignment horizontal="general" vertical="center" textRotation="0" wrapText="0" indent="0" justifyLastLine="0" shrinkToFit="0" readingOrder="0"/>
    </dxf>
    <dxf>
      <alignment horizontal="center" vertical="top" textRotation="0" wrapText="1" indent="0" justifyLastLine="0" shrinkToFit="0" readingOrder="0"/>
    </dxf>
    <dxf>
      <font>
        <strike val="0"/>
        <outline val="0"/>
        <shadow val="0"/>
        <u val="none"/>
        <vertAlign val="baseline"/>
        <sz val="8"/>
        <color theme="1"/>
        <name val="Arial"/>
        <scheme val="none"/>
      </font>
      <alignment horizontal="general" vertical="bottom" textRotation="0" wrapText="0" indent="0" justifyLastLine="0" shrinkToFit="0" readingOrder="0"/>
    </dxf>
    <dxf>
      <alignment horizontal="general" vertical="center" textRotation="0" wrapText="0" indent="0" justifyLastLine="0" readingOrder="0"/>
    </dxf>
    <dxf>
      <alignment horizontal="center" vertical="top" textRotation="0" wrapText="1" indent="0" justifyLastLine="0" shrinkToFit="0" readingOrder="0"/>
    </dxf>
    <dxf>
      <font>
        <strike val="0"/>
        <outline val="0"/>
        <shadow val="0"/>
        <u val="none"/>
        <vertAlign val="baseline"/>
        <sz val="11"/>
        <color theme="1"/>
        <name val="Arial"/>
        <scheme val="none"/>
      </font>
      <alignment horizontal="center" vertical="bottom" textRotation="0" indent="0" justifyLastLine="0" shrinkToFit="0" readingOrder="0"/>
    </dxf>
    <dxf>
      <alignment horizontal="general" vertical="center" textRotation="0" indent="0" justifyLastLine="0" shrinkToFit="0" readingOrder="0"/>
    </dxf>
    <dxf>
      <alignment horizontal="center" vertical="top" textRotation="0" wrapText="1" indent="0" justifyLastLine="0" shrinkToFit="0" readingOrder="0"/>
    </dxf>
    <dxf>
      <numFmt numFmtId="17" formatCode="#\ ?/?"/>
      <alignment horizontal="general" vertical="center" textRotation="0" wrapText="0" indent="0" justifyLastLine="0" shrinkToFit="0" readingOrder="0"/>
    </dxf>
    <dxf>
      <numFmt numFmtId="1" formatCode="0"/>
      <alignment horizontal="center" vertical="center" textRotation="0" wrapText="0" indent="0" justifyLastLine="0" shrinkToFit="1" readingOrder="0"/>
    </dxf>
    <dxf>
      <numFmt numFmtId="0" formatCode="General"/>
      <alignment horizontal="center" vertical="center" textRotation="0" wrapText="0" indent="0" justifyLastLine="0" shrinkToFit="1" readingOrder="0"/>
    </dxf>
    <dxf>
      <numFmt numFmtId="0" formatCode="General"/>
      <alignment horizontal="general" vertical="center" textRotation="0" wrapText="0" indent="0" justifyLastLine="0" shrinkToFit="1" readingOrder="0"/>
      <border diagonalUp="0" diagonalDown="0">
        <left style="thick">
          <color theme="0"/>
        </left>
        <right/>
        <top/>
        <bottom/>
        <vertical style="thick">
          <color theme="0"/>
        </vertical>
        <horizontal/>
      </border>
    </dxf>
    <dxf>
      <alignment horizontal="general" vertical="bottom" textRotation="0" wrapText="0" indent="0" justifyLastLine="0" shrinkToFit="0" readingOrder="0"/>
    </dxf>
    <dxf>
      <numFmt numFmtId="30" formatCode="@"/>
      <alignment horizontal="general" vertical="center" textRotation="0" wrapText="0" indent="0" justifyLastLine="0" shrinkToFit="1" readingOrder="0"/>
    </dxf>
    <dxf>
      <numFmt numFmtId="30" formatCode="@"/>
      <alignment horizontal="general" vertical="center" textRotation="0" wrapText="0" indent="0" justifyLastLine="0" shrinkToFit="1" readingOrder="0"/>
    </dxf>
    <dxf>
      <font>
        <strike val="0"/>
        <outline val="0"/>
        <shadow val="0"/>
        <u val="none"/>
        <vertAlign val="baseline"/>
        <sz val="11"/>
        <color theme="1"/>
        <name val="Arial"/>
        <scheme val="none"/>
      </font>
      <alignment horizontal="center" vertical="bottom" textRotation="0" indent="0" justifyLastLine="0" shrinkToFit="0" readingOrder="0"/>
    </dxf>
    <dxf>
      <alignment horizontal="general" vertical="center" textRotation="0" indent="0" justifyLastLine="0" shrinkToFit="0" readingOrder="0"/>
    </dxf>
    <dxf>
      <alignment horizontal="center" vertical="top" textRotation="0" wrapText="1" indent="0" justifyLastLine="0" shrinkToFit="0" readingOrder="0"/>
    </dxf>
    <dxf>
      <font>
        <sz val="9"/>
      </font>
      <numFmt numFmtId="0" formatCode="General"/>
      <alignment horizontal="general" vertical="center" textRotation="0" wrapText="0" indent="0" justifyLastLine="0" shrinkToFit="1" readingOrder="0"/>
    </dxf>
    <dxf>
      <numFmt numFmtId="30" formatCode="@"/>
      <alignment horizontal="general" vertical="bottom" textRotation="0" wrapText="1" indent="0" justifyLastLine="0" shrinkToFit="0" readingOrder="0"/>
    </dxf>
    <dxf>
      <font>
        <strike val="0"/>
        <outline val="0"/>
        <shadow val="0"/>
        <u val="none"/>
        <vertAlign val="baseline"/>
        <sz val="11"/>
        <color theme="1"/>
        <name val="Arial"/>
        <scheme val="none"/>
      </font>
      <alignment horizontal="center" vertical="bottom" textRotation="0" indent="0" justifyLastLine="0" shrinkToFit="0" readingOrder="0"/>
    </dxf>
    <dxf>
      <alignment horizontal="center" vertical="top" textRotation="0" wrapText="1" indent="0" justifyLastLine="0" shrinkToFit="0" readingOrder="0"/>
    </dxf>
    <dxf>
      <font>
        <strike val="0"/>
        <outline val="0"/>
        <shadow val="0"/>
        <u val="none"/>
        <vertAlign val="baseline"/>
        <sz val="10"/>
        <color theme="1"/>
        <name val="Arial"/>
        <scheme val="none"/>
      </font>
      <numFmt numFmtId="0" formatCode="General"/>
      <alignment horizontal="center" vertical="center" textRotation="0" wrapText="0" indent="0" justifyLastLine="0" shrinkToFit="0" readingOrder="0"/>
    </dxf>
    <dxf>
      <font>
        <strike val="0"/>
        <outline val="0"/>
        <shadow val="0"/>
        <u val="none"/>
        <vertAlign val="baseline"/>
        <sz val="8"/>
        <color theme="1"/>
        <name val="Arial"/>
        <scheme val="none"/>
      </font>
      <numFmt numFmtId="0" formatCode="General"/>
      <alignment horizontal="general" vertical="center" textRotation="0" wrapText="0" indent="0" justifyLastLine="0" shrinkToFit="1" readingOrder="0"/>
    </dxf>
    <dxf>
      <numFmt numFmtId="0" formatCode="General"/>
      <alignment horizontal="center" vertical="center" textRotation="0" wrapText="0" indent="0" justifyLastLine="0" shrinkToFit="0" readingOrder="0"/>
    </dxf>
    <dxf>
      <numFmt numFmtId="0" formatCode="General"/>
      <alignment horizontal="general" vertical="center" textRotation="0" wrapText="0" indent="0" justifyLastLine="0" shrinkToFit="1" readingOrder="0"/>
    </dxf>
    <dxf>
      <font>
        <strike val="0"/>
        <outline val="0"/>
        <shadow val="0"/>
        <u val="none"/>
        <vertAlign val="baseline"/>
        <sz val="8"/>
        <color theme="1"/>
        <name val="Arial Narrow"/>
        <scheme val="none"/>
      </font>
      <numFmt numFmtId="0" formatCode="General"/>
      <alignment horizontal="left" vertical="center" textRotation="0" wrapText="0" indent="0" justifyLastLine="0" shrinkToFit="1" readingOrder="0"/>
      <border diagonalUp="0" diagonalDown="0">
        <left style="thick">
          <color theme="0"/>
        </left>
        <right/>
        <top/>
        <bottom/>
        <vertical style="thick">
          <color theme="0"/>
        </vertical>
        <horizontal/>
      </border>
    </dxf>
    <dxf>
      <font>
        <strike val="0"/>
        <outline val="0"/>
        <shadow val="0"/>
        <u/>
        <vertAlign val="baseline"/>
        <sz val="9"/>
        <color theme="10"/>
        <name val="Arial Narrow"/>
        <scheme val="none"/>
      </font>
      <alignment horizontal="general" vertical="center" textRotation="0" wrapText="0" indent="0" justifyLastLine="0" shrinkToFit="1" readingOrder="0"/>
    </dxf>
    <dxf>
      <alignment horizontal="general" vertical="center" textRotation="0" wrapText="0" indent="0" justifyLastLine="0" shrinkToFit="1" readingOrder="0"/>
    </dxf>
    <dxf>
      <numFmt numFmtId="0" formatCode="General"/>
      <alignment horizontal="general" vertical="center" textRotation="0" wrapText="0" indent="0" justifyLastLine="0" shrinkToFit="0" readingOrder="0"/>
    </dxf>
    <dxf>
      <font>
        <strike val="0"/>
        <outline val="0"/>
        <shadow val="0"/>
        <u val="none"/>
        <vertAlign val="baseline"/>
        <sz val="11"/>
        <color theme="1"/>
        <name val="Arial"/>
        <scheme val="none"/>
      </font>
      <alignment horizontal="center" vertical="bottom" textRotation="0" wrapText="0" indent="0" justifyLastLine="0" readingOrder="0"/>
    </dxf>
    <dxf>
      <alignment horizontal="general" vertical="center" textRotation="0" wrapText="0" indent="0" justifyLastLine="0" shrinkToFit="0" readingOrder="0"/>
    </dxf>
    <dxf>
      <alignment horizontal="center" vertical="top" textRotation="0" wrapText="1" indent="0" justifyLastLine="0" shrinkToFit="0" readingOrder="0"/>
    </dxf>
    <dxf>
      <alignment vertical="center" textRotation="0" wrapText="0" indent="0" justifyLastLine="0" shrinkToFit="1" readingOrder="0"/>
    </dxf>
    <dxf>
      <alignment vertical="center" textRotation="0" wrapText="0" indent="0" justifyLastLine="0" shrinkToFit="1" readingOrder="0"/>
    </dxf>
    <dxf>
      <font>
        <strike val="0"/>
        <outline val="0"/>
        <shadow val="0"/>
        <vertAlign val="baseline"/>
        <sz val="8"/>
        <color auto="1"/>
        <name val="Arial Narrow"/>
        <scheme val="none"/>
      </font>
      <numFmt numFmtId="0" formatCode="General"/>
      <alignment vertical="center" textRotation="0" wrapText="0" indent="0" justifyLastLine="0" shrinkToFit="1" readingOrder="0"/>
    </dxf>
    <dxf>
      <alignment vertical="center" textRotation="0" wrapText="0" indent="0" justifyLastLine="0" shrinkToFit="1" readingOrder="0"/>
    </dxf>
    <dxf>
      <alignment horizontal="center" vertical="top" textRotation="0" wrapText="1" indent="0" justifyLastLine="0" shrinkToFit="0" readingOrder="0"/>
    </dxf>
    <dxf>
      <fill>
        <patternFill patternType="solid">
          <fgColor theme="4" tint="0.59999389629810485"/>
          <bgColor theme="3" tint="0.39994506668294322"/>
        </patternFill>
      </fill>
    </dxf>
    <dxf>
      <fill>
        <patternFill patternType="solid">
          <fgColor theme="4" tint="0.59999389629810485"/>
          <bgColor theme="3" tint="0.39994506668294322"/>
        </patternFill>
      </fill>
    </dxf>
    <dxf>
      <font>
        <b/>
        <color theme="0"/>
      </font>
      <fill>
        <patternFill patternType="solid">
          <fgColor theme="4"/>
          <bgColor theme="3" tint="0.39994506668294322"/>
        </patternFill>
      </fill>
    </dxf>
    <dxf>
      <font>
        <b/>
        <color theme="0"/>
      </font>
      <fill>
        <patternFill patternType="solid">
          <fgColor theme="4"/>
          <bgColor theme="3" tint="0.39994506668294322"/>
        </patternFill>
      </fill>
    </dxf>
    <dxf>
      <font>
        <b/>
        <color theme="0"/>
      </font>
      <fill>
        <patternFill patternType="solid">
          <fgColor theme="4"/>
          <bgColor theme="3"/>
        </patternFill>
      </fill>
      <border>
        <top style="thick">
          <color theme="0"/>
        </top>
      </border>
    </dxf>
    <dxf>
      <font>
        <b/>
        <color theme="0"/>
      </font>
      <fill>
        <patternFill patternType="solid">
          <fgColor theme="4"/>
          <bgColor theme="3"/>
        </patternFill>
      </fill>
      <border>
        <bottom style="thick">
          <color theme="0"/>
        </bottom>
      </border>
    </dxf>
    <dxf>
      <font>
        <color theme="1"/>
      </font>
      <fill>
        <patternFill patternType="solid">
          <fgColor theme="4" tint="0.79995117038483843"/>
          <bgColor theme="3" tint="0.59996337778862885"/>
        </patternFill>
      </fill>
      <border>
        <vertical style="thin">
          <color theme="0"/>
        </vertical>
        <horizontal style="thin">
          <color theme="0"/>
        </horizontal>
      </border>
    </dxf>
    <dxf>
      <fill>
        <patternFill patternType="solid">
          <fgColor theme="7" tint="0.59999389629810485"/>
          <bgColor theme="7" tint="0.39994506668294322"/>
        </patternFill>
      </fill>
    </dxf>
    <dxf>
      <fill>
        <patternFill patternType="solid">
          <fgColor theme="7" tint="0.59999389629810485"/>
          <bgColor theme="7" tint="0.39994506668294322"/>
        </patternFill>
      </fill>
    </dxf>
    <dxf>
      <font>
        <b/>
        <color theme="0"/>
      </font>
      <fill>
        <patternFill patternType="solid">
          <fgColor theme="7"/>
          <bgColor theme="7"/>
        </patternFill>
      </fill>
    </dxf>
    <dxf>
      <font>
        <b/>
        <color theme="0"/>
      </font>
      <fill>
        <patternFill patternType="solid">
          <fgColor theme="7"/>
          <bgColor theme="7" tint="-0.24994659260841701"/>
        </patternFill>
      </fill>
    </dxf>
    <dxf>
      <font>
        <b/>
        <color theme="0"/>
      </font>
      <fill>
        <patternFill patternType="solid">
          <fgColor theme="7"/>
          <bgColor theme="7" tint="-0.24994659260841701"/>
        </patternFill>
      </fill>
      <border>
        <top style="thick">
          <color theme="0"/>
        </top>
      </border>
    </dxf>
    <dxf>
      <font>
        <b/>
        <color theme="0"/>
      </font>
      <fill>
        <patternFill patternType="solid">
          <fgColor theme="7"/>
          <bgColor theme="7" tint="-0.24994659260841701"/>
        </patternFill>
      </fill>
      <border>
        <bottom style="thick">
          <color theme="0"/>
        </bottom>
      </border>
    </dxf>
    <dxf>
      <font>
        <color theme="1"/>
      </font>
      <fill>
        <patternFill patternType="solid">
          <fgColor theme="7" tint="0.79995117038483843"/>
          <bgColor theme="7" tint="0.59996337778862885"/>
        </patternFill>
      </fill>
      <border>
        <vertical style="thin">
          <color theme="0"/>
        </vertical>
        <horizontal style="thin">
          <color theme="0"/>
        </horizontal>
      </border>
    </dxf>
  </dxfs>
  <tableStyles count="2" defaultTableStyle="TableStyleMedium2" defaultPivotStyle="PivotStyleLight16">
    <tableStyle name="TableStyleMedium12 2" pivot="0" count="7">
      <tableStyleElement type="wholeTable" dxfId="391"/>
      <tableStyleElement type="headerRow" dxfId="390"/>
      <tableStyleElement type="totalRow" dxfId="389"/>
      <tableStyleElement type="firstColumn" dxfId="388"/>
      <tableStyleElement type="lastColumn" dxfId="387"/>
      <tableStyleElement type="firstRowStripe" dxfId="386"/>
      <tableStyleElement type="firstColumnStripe" dxfId="385"/>
    </tableStyle>
    <tableStyle name="TableStyleMedium9 2" pivot="0" count="7">
      <tableStyleElement type="wholeTable" dxfId="384"/>
      <tableStyleElement type="headerRow" dxfId="383"/>
      <tableStyleElement type="totalRow" dxfId="382"/>
      <tableStyleElement type="firstColumn" dxfId="381"/>
      <tableStyleElement type="lastColumn" dxfId="380"/>
      <tableStyleElement type="firstRowStripe" dxfId="379"/>
      <tableStyleElement type="firstColumnStripe" dxfId="378"/>
    </tableStyle>
  </tableStyles>
  <colors>
    <mruColors>
      <color rgb="FFFFFF99"/>
      <color rgb="FF3399FF"/>
      <color rgb="FF8064A2"/>
      <color rgb="FF0066FF"/>
      <color rgb="FFFFFFCC"/>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connections" Target="connections.xml"/><Relationship Id="rId18" Type="http://schemas.openxmlformats.org/officeDocument/2006/relationships/customXml" Target="../customXml/item2.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17" Type="http://schemas.openxmlformats.org/officeDocument/2006/relationships/customXml" Target="../customXml/item1.xml"/><Relationship Id="rId2" Type="http://schemas.openxmlformats.org/officeDocument/2006/relationships/worksheet" Target="worksheets/sheet2.xml"/><Relationship Id="rId16" Type="http://schemas.openxmlformats.org/officeDocument/2006/relationships/calcChain" Target="calcChain.xml"/><Relationship Id="rId20" Type="http://schemas.openxmlformats.org/officeDocument/2006/relationships/customXml" Target="../customXml/item4.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worksheet" Target="worksheets/sheet10.xml"/><Relationship Id="rId19" Type="http://schemas.openxmlformats.org/officeDocument/2006/relationships/customXml" Target="../customXml/item3.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s>
</file>

<file path=xl/drawings/_rels/vmlDrawing1.vml.rels><?xml version="1.0" encoding="UTF-8" standalone="yes"?>
<Relationships xmlns="http://schemas.openxmlformats.org/package/2006/relationships"><Relationship Id="rId1" Type="http://schemas.openxmlformats.org/officeDocument/2006/relationships/image" Target="../media/image1.jpeg"/></Relationships>
</file>

<file path=xl/queryTables/queryTable1.xml><?xml version="1.0" encoding="utf-8"?>
<queryTable xmlns="http://schemas.openxmlformats.org/spreadsheetml/2006/main" name="owssvr" refreshOnLoad="1" adjustColumnWidth="0" connectionId="5" autoFormatId="16" applyNumberFormats="0" applyBorderFormats="0" applyFontFormats="0" applyPatternFormats="0" applyAlignmentFormats="0" applyWidthHeightFormats="0">
  <queryTableRefresh nextId="23" unboundColumnsLeft="1">
    <queryTableFields count="21">
      <queryTableField id="22" dataBound="0" tableColumnId="22"/>
      <queryTableField id="21" name="Name" tableColumnId="2"/>
      <queryTableField id="10" name="Environmental Tract No." tableColumnId="3"/>
      <queryTableField id="7" name="Tax Parcel ID" tableColumnId="4"/>
      <queryTableField id="8" name="Doc CATEGORY" tableColumnId="5"/>
      <queryTableField id="11" name="Document Type" tableColumnId="6"/>
      <queryTableField id="2" name="ACQ Document Type" tableColumnId="7"/>
      <queryTableField id="3" name="Document Status" tableColumnId="8"/>
      <queryTableField id="4" name="Doc Date_1" tableColumnId="9"/>
      <queryTableField id="9" name="Doc Date_2" tableColumnId="10"/>
      <queryTableField id="5" name="Document Amount" tableColumnId="11"/>
      <queryTableField id="6" name="Document Notes" tableColumnId="12"/>
      <queryTableField id="13" name="Modified By" tableColumnId="13"/>
      <queryTableField id="16" name="Modified" tableColumnId="14"/>
      <queryTableField id="12" name="Created By" tableColumnId="15"/>
      <queryTableField id="15" name="Created" tableColumnId="16"/>
      <queryTableField id="18" name="File Size" tableColumnId="17"/>
      <queryTableField id="1" name="Document ID" tableColumnId="18"/>
      <queryTableField id="14" name="ID" tableColumnId="19"/>
      <queryTableField id="19" name="Item Type" tableColumnId="20"/>
      <queryTableField id="17" name="Path" tableColumnId="21"/>
    </queryTableFields>
    <queryTableDeletedFields count="1">
      <deletedField name="Is Checked out to local"/>
    </queryTableDeletedFields>
  </queryTableRefresh>
</queryTable>
</file>

<file path=xl/queryTables/queryTable2.xml><?xml version="1.0" encoding="utf-8"?>
<queryTable xmlns="http://schemas.openxmlformats.org/spreadsheetml/2006/main" name="owssvr_1" refreshOnLoad="1" adjustColumnWidth="0" connectionId="2" autoFormatId="16" applyNumberFormats="0" applyBorderFormats="0" applyFontFormats="0" applyPatternFormats="0" applyAlignmentFormats="0" applyWidthHeightFormats="0">
  <queryTableRefresh nextId="35" unboundColumnsLeft="1" unboundColumnsRight="5">
    <queryTableFields count="25">
      <queryTableField id="23" dataBound="0" tableColumnId="1"/>
      <queryTableField id="18" name="Name" tableColumnId="2"/>
      <queryTableField id="2" name="Acquisition No." tableColumnId="3"/>
      <queryTableField id="8" name="Tax Parcel ID" tableColumnId="4"/>
      <queryTableField id="19" name="Doc CATEGORY" tableColumnId="19"/>
      <queryTableField id="20" name="Document Type" tableColumnId="20"/>
      <queryTableField id="3" name="ACQ Document Type" tableColumnId="5"/>
      <queryTableField id="4" name="Document Status" tableColumnId="6"/>
      <queryTableField id="5" name="Document Date" tableColumnId="7"/>
      <queryTableField id="31" name="Document Date_2" tableColumnId="23"/>
      <queryTableField id="6" name="Document Amount" tableColumnId="8"/>
      <queryTableField id="7" name="Document Notes" tableColumnId="9"/>
      <queryTableField id="13" name="Modified By" tableColumnId="11"/>
      <queryTableField id="12" name="Modified" tableColumnId="10"/>
      <queryTableField id="11" name="Created By" tableColumnId="13"/>
      <queryTableField id="10" name="Created" tableColumnId="12"/>
      <queryTableField id="15" name="File Size" tableColumnId="14"/>
      <queryTableField id="14" name="Path" tableColumnId="18"/>
      <queryTableField id="1" name="Document ID" tableColumnId="15"/>
      <queryTableField id="9" name="ID" tableColumnId="16"/>
      <queryTableField id="29" dataBound="0" tableColumnId="22"/>
      <queryTableField id="27" dataBound="0" tableColumnId="17"/>
      <queryTableField id="28" dataBound="0" tableColumnId="21"/>
      <queryTableField id="33" dataBound="0" tableColumnId="24"/>
      <queryTableField id="34" dataBound="0" tableColumnId="25"/>
    </queryTableFields>
    <queryTableDeletedFields count="2">
      <deletedField name="Is Checked out to local"/>
      <deletedField name="Item Type"/>
    </queryTableDeletedFields>
  </queryTableRefresh>
</queryTable>
</file>

<file path=xl/queryTables/queryTable3.xml><?xml version="1.0" encoding="utf-8"?>
<queryTable xmlns="http://schemas.openxmlformats.org/spreadsheetml/2006/main" name="owssvr_1" refreshOnLoad="1" adjustColumnWidth="0" connectionId="6" autoFormatId="16" applyNumberFormats="0" applyBorderFormats="0" applyFontFormats="0" applyPatternFormats="0" applyAlignmentFormats="0" applyWidthHeightFormats="0">
  <queryTableRefresh nextId="44" unboundColumnsRight="1">
    <queryTableFields count="34">
      <queryTableField id="2" name="Environmental Tract No." tableColumnId="3"/>
      <queryTableField id="15" name="ROW Agent" tableColumnId="1"/>
      <queryTableField id="1" name="Acquisition Comments" tableColumnId="2"/>
      <queryTableField id="3" name="Tax Parcel ID" tableColumnId="5"/>
      <queryTableField id="30" name="WCAD Owner Name" tableColumnId="6"/>
      <queryTableField id="31" name="WCAD Situs Address" tableColumnId="7"/>
      <queryTableField id="4" name="Acquisition Status" tableColumnId="8"/>
      <queryTableField id="5" name="Acquisition Interest" tableColumnId="9"/>
      <queryTableField id="6" name="Phase" tableColumnId="10"/>
      <queryTableField id="7" name="Property Owner Vested Name" tableColumnId="11"/>
      <queryTableField id="9" name="Owner Company Name" tableColumnId="12"/>
      <queryTableField id="8" name="Property Owner Mailing Name" tableColumnId="13"/>
      <queryTableField id="10" name="Owner Mailing Address" tableColumnId="14"/>
      <queryTableField id="11" name="Owner City, ST  Zip" tableColumnId="15"/>
      <queryTableField id="12" name="Property Situs Address" tableColumnId="16"/>
      <queryTableField id="17" name="Title Ordered" tableColumnId="17"/>
      <queryTableField id="16" name="Title Co." tableColumnId="18"/>
      <queryTableField id="18" name="Title GF No." tableColumnId="19"/>
      <queryTableField id="19" name="Survey Requested" tableColumnId="20"/>
      <queryTableField id="20" name="Survey SqFt" tableColumnId="21"/>
      <queryTableField id="21" name="Survey Acres" tableColumnId="22"/>
      <queryTableField id="22" name="Appraisal Requested" tableColumnId="23"/>
      <queryTableField id="23" name="Appraisal Firm" tableColumnId="24"/>
      <queryTableField id="24" name="Appraiser" tableColumnId="25"/>
      <queryTableField id="26" name="Utility Easements" tableColumnId="26"/>
      <queryTableField id="27" name="Mineral Rights" tableColumnId="27"/>
      <queryTableField id="25" name="Reviewer" tableColumnId="28"/>
      <queryTableField id="14" name="Improv" tableColumnId="29"/>
      <queryTableField id="13" name="Use" tableColumnId="30"/>
      <queryTableField id="28" name="Document Filename Prefix" tableColumnId="31"/>
      <queryTableField id="37" name="Modified" tableColumnId="32"/>
      <queryTableField id="29" name="Modified By" tableColumnId="33"/>
      <queryTableField id="38" name="Created" tableColumnId="34"/>
      <queryTableField id="43" dataBound="0" tableColumnId="4"/>
    </queryTableFields>
    <queryTableDeletedFields count="6">
      <deletedField name="Item Type"/>
      <deletedField name="Path"/>
      <deletedField name="WCAD Owner Address"/>
      <deletedField name="WCAD Owner City"/>
      <deletedField name="WCAD Owner State"/>
      <deletedField name="WCAD Owner Zip"/>
    </queryTableDeletedFields>
  </queryTableRefresh>
</queryTable>
</file>

<file path=xl/queryTables/queryTable4.xml><?xml version="1.0" encoding="utf-8"?>
<queryTable xmlns="http://schemas.openxmlformats.org/spreadsheetml/2006/main" name="owssvr_1" refreshOnLoad="1" adjustColumnWidth="0" connectionId="3" autoFormatId="16" applyNumberFormats="0" applyBorderFormats="0" applyFontFormats="0" applyPatternFormats="0" applyAlignmentFormats="0" applyWidthHeightFormats="0">
  <queryTableRefresh nextId="77" unboundColumnsRight="4">
    <queryTableFields count="47">
      <queryTableField id="2" name="Acquisition No." tableColumnId="1"/>
      <queryTableField id="33" name="WCAD Tax Parcel ID" tableColumnId="31"/>
      <queryTableField id="5" name="Phase" tableColumnId="4"/>
      <queryTableField id="3" name="Acquisition Status" tableColumnId="2"/>
      <queryTableField id="4" name="Acquisition Interest" tableColumnId="3"/>
      <queryTableField id="19" name="ROW Agent" tableColumnId="5"/>
      <queryTableField id="6" name="Property Owner Vested Name" tableColumnId="6"/>
      <queryTableField id="8" name="Owner Company Name" tableColumnId="7"/>
      <queryTableField id="7" name="Property Owner Name" tableColumnId="8"/>
      <queryTableField id="9" name="Owner Mailing Address" tableColumnId="9"/>
      <queryTableField id="10" name="Owner City" tableColumnId="10"/>
      <queryTableField id="16" name="Situs Address" tableColumnId="16"/>
      <queryTableField id="20" name="Title Co." tableColumnId="17"/>
      <queryTableField id="21" name="Title GF No." tableColumnId="18"/>
      <queryTableField id="46" name="Title Ordered" tableColumnId="36"/>
      <queryTableField id="23" name="Appraiser" tableColumnId="20"/>
      <queryTableField id="24" name="Reviewer" tableColumnId="21"/>
      <queryTableField id="22" name="Appraisal Requested" tableColumnId="19"/>
      <queryTableField id="26" name="Survey Acres" tableColumnId="23"/>
      <queryTableField id="25" name="Survey SqFt" tableColumnId="22"/>
      <queryTableField id="45" name="Survey Requested" tableColumnId="35"/>
      <queryTableField id="53" name="Appraiser" tableColumnId="38"/>
      <queryTableField id="65" dataBound="0" tableColumnId="41"/>
      <queryTableField id="64" dataBound="0" tableColumnId="42"/>
      <queryTableField id="54" name="Utility Easements" tableColumnId="39"/>
      <queryTableField id="55" name="Mineral Rights" tableColumnId="40"/>
      <queryTableField id="18" name="Improv" tableColumnId="24"/>
      <queryTableField id="17" name="Use" tableColumnId="25"/>
      <queryTableField id="35" name="Document Filename Prefix" tableColumnId="13"/>
      <queryTableField id="28" name="Modified By" tableColumnId="27"/>
      <queryTableField id="29" name="Modified" tableColumnId="26"/>
      <queryTableField id="27" name="Created By" tableColumnId="29"/>
      <queryTableField id="30" name="Created" tableColumnId="28"/>
      <queryTableField id="1" name="Acquisition Comments" tableColumnId="30"/>
      <queryTableField id="34" name="ID" tableColumnId="32"/>
      <queryTableField id="66" name="Path" tableColumnId="44"/>
      <queryTableField id="67" name="Item Type" tableColumnId="45"/>
      <queryTableField id="68" name="City Survey Needed" tableColumnId="46"/>
      <queryTableField id="69" name="USACOE Survey Needed" tableColumnId="47"/>
      <queryTableField id="70" name="No. of Interests for USACOE" tableColumnId="48"/>
      <queryTableField id="71" name="Appraisal Received" tableColumnId="49"/>
      <queryTableField id="75" name="Offer Pkge Sent for Approval" tableColumnId="34"/>
      <queryTableField id="76" name="Offer Packet Requested" tableColumnId="43"/>
      <queryTableField id="52" dataBound="0" tableColumnId="37"/>
      <queryTableField id="43" dataBound="0" tableColumnId="33"/>
      <queryTableField id="42" dataBound="0" tableColumnId="15"/>
      <queryTableField id="60" dataBound="0" tableColumnId="11"/>
    </queryTableFields>
  </queryTableRefresh>
</queryTable>
</file>

<file path=xl/queryTables/queryTable5.xml><?xml version="1.0" encoding="utf-8"?>
<queryTable xmlns="http://schemas.openxmlformats.org/spreadsheetml/2006/main" name="owssvr" refreshOnLoad="1" adjustColumnWidth="0" connectionId="7" autoFormatId="16" applyNumberFormats="0" applyBorderFormats="0" applyFontFormats="0" applyPatternFormats="0" applyAlignmentFormats="0" applyWidthHeightFormats="0">
  <queryTableRefresh nextId="34" unboundColumnsRight="1">
    <queryTableFields count="21">
      <queryTableField id="1" name="Property ID" tableColumnId="3"/>
      <queryTableField id="15" name="Acquisition No." tableColumnId="2"/>
      <queryTableField id="31" name="Environmental Tract No." tableColumnId="21"/>
      <queryTableField id="25" name="Phase" tableColumnId="1"/>
      <queryTableField id="2" name="Tax Owner Name" tableColumnId="4"/>
      <queryTableField id="3" name="Tax Owner Address" tableColumnId="5"/>
      <queryTableField id="4" name="Tax Owner City" tableColumnId="6"/>
      <queryTableField id="5" name="Tax Owner State" tableColumnId="7"/>
      <queryTableField id="6" name="Tax Owner Zip" tableColumnId="8"/>
      <queryTableField id="7" name="Situs Address" tableColumnId="9"/>
      <queryTableField id="8" name="Legal" tableColumnId="10"/>
      <queryTableField id="9" name="Acreage" tableColumnId="11"/>
      <queryTableField id="10" name="Use Type" tableColumnId="12"/>
      <queryTableField id="11" name="Deed Ref" tableColumnId="13"/>
      <queryTableField id="12" name="Comments" tableColumnId="14"/>
      <queryTableField id="14" name="Modified By" tableColumnId="16"/>
      <queryTableField id="17" name="Modified" tableColumnId="15"/>
      <queryTableField id="13" name="Created By" tableColumnId="18"/>
      <queryTableField id="18" name="Created" tableColumnId="17"/>
      <queryTableField id="23" name="ID" tableColumnId="19"/>
      <queryTableField id="33" dataBound="0" tableColumnId="20"/>
    </queryTableFields>
    <queryTableDeletedFields count="2">
      <deletedField name="Item Type"/>
      <deletedField name="Path"/>
    </queryTableDeletedFields>
  </queryTableRefresh>
</queryTable>
</file>

<file path=xl/queryTables/queryTable6.xml><?xml version="1.0" encoding="utf-8"?>
<queryTable xmlns="http://schemas.openxmlformats.org/spreadsheetml/2006/main" name="owssvr" refreshOnLoad="1" adjustColumnWidth="0" connectionId="4" autoFormatId="16" applyNumberFormats="0" applyBorderFormats="0" applyFontFormats="0" applyPatternFormats="0" applyAlignmentFormats="0" applyWidthHeightFormats="0">
  <queryTableRefresh nextId="28">
    <queryTableFields count="20">
      <queryTableField id="1" name="Acquisition No." tableColumnId="1"/>
      <queryTableField id="2" name="Tax Parcel ID" tableColumnId="2"/>
      <queryTableField id="3" name="ACQ Contact Name" tableColumnId="3"/>
      <queryTableField id="4" name="First Name" tableColumnId="4"/>
      <queryTableField id="5" name="Last Name" tableColumnId="5"/>
      <queryTableField id="6" name="Relationship" tableColumnId="6"/>
      <queryTableField id="7" name="CC" tableColumnId="7"/>
      <queryTableField id="8" name="Company" tableColumnId="8"/>
      <queryTableField id="9" name="Job Title" tableColumnId="9"/>
      <queryTableField id="11" name="Primary Phone" tableColumnId="10"/>
      <queryTableField id="12" name="Alternate Phone" tableColumnId="11"/>
      <queryTableField id="10" name="Email Address" tableColumnId="12"/>
      <queryTableField id="13" name="Mailing Address" tableColumnId="13"/>
      <queryTableField id="14" name="City" tableColumnId="14"/>
      <queryTableField id="17" name="Notes" tableColumnId="17"/>
      <queryTableField id="18" name="Modified By" tableColumnId="19"/>
      <queryTableField id="21" name="Modified" tableColumnId="18"/>
      <queryTableField id="19" name="Created By" tableColumnId="21"/>
      <queryTableField id="22" name="Created" tableColumnId="20"/>
      <queryTableField id="20" name="ID" tableColumnId="22"/>
    </queryTableFields>
    <queryTableDeletedFields count="2">
      <deletedField name="Item Type"/>
      <deletedField name="Path"/>
    </queryTableDeletedFields>
  </queryTableRefresh>
</queryTable>
</file>

<file path=xl/queryTables/queryTable7.xml><?xml version="1.0" encoding="utf-8"?>
<queryTable xmlns="http://schemas.openxmlformats.org/spreadsheetml/2006/main" name="owssvr" refreshOnLoad="1" connectionId="1" autoFormatId="16" applyNumberFormats="0" applyBorderFormats="0" applyFontFormats="0" applyPatternFormats="0" applyAlignmentFormats="0" applyWidthHeightFormats="0">
  <queryTableRefresh nextId="14">
    <queryTableFields count="9">
      <queryTableField id="1" name="Document Type" tableColumnId="1"/>
      <queryTableField id="2" name="Doc CATEGORY" tableColumnId="2"/>
      <queryTableField id="3" name="Document Type without CATEGORY" tableColumnId="3"/>
      <queryTableField id="4" name="Document Form No." tableColumnId="4"/>
      <queryTableField id="10" name="No.of Docs" tableColumnId="8"/>
      <queryTableField id="6" name="Modified" tableColumnId="5"/>
      <queryTableField id="5" name="Modified By" tableColumnId="6"/>
      <queryTableField id="11" name="Created" tableColumnId="9"/>
      <queryTableField id="9" name="Created By" tableColumnId="7"/>
    </queryTableFields>
    <queryTableDeletedFields count="2">
      <deletedField name="Item Type"/>
      <deletedField name="Path"/>
    </queryTableDeletedFields>
  </queryTableRefresh>
</queryTable>
</file>

<file path=xl/tables/_rels/table1.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_rels/table2.xml.rels><?xml version="1.0" encoding="UTF-8" standalone="yes"?>
<Relationships xmlns="http://schemas.openxmlformats.org/package/2006/relationships"><Relationship Id="rId1" Type="http://schemas.openxmlformats.org/officeDocument/2006/relationships/queryTable" Target="../queryTables/queryTable2.xml"/></Relationships>
</file>

<file path=xl/tables/_rels/table3.xml.rels><?xml version="1.0" encoding="UTF-8" standalone="yes"?>
<Relationships xmlns="http://schemas.openxmlformats.org/package/2006/relationships"><Relationship Id="rId1" Type="http://schemas.openxmlformats.org/officeDocument/2006/relationships/queryTable" Target="../queryTables/queryTable3.xml"/></Relationships>
</file>

<file path=xl/tables/_rels/table4.xml.rels><?xml version="1.0" encoding="UTF-8" standalone="yes"?>
<Relationships xmlns="http://schemas.openxmlformats.org/package/2006/relationships"><Relationship Id="rId1" Type="http://schemas.openxmlformats.org/officeDocument/2006/relationships/queryTable" Target="../queryTables/queryTable4.xml"/></Relationships>
</file>

<file path=xl/tables/_rels/table5.xml.rels><?xml version="1.0" encoding="UTF-8" standalone="yes"?>
<Relationships xmlns="http://schemas.openxmlformats.org/package/2006/relationships"><Relationship Id="rId1" Type="http://schemas.openxmlformats.org/officeDocument/2006/relationships/queryTable" Target="../queryTables/queryTable5.xml"/></Relationships>
</file>

<file path=xl/tables/_rels/table6.xml.rels><?xml version="1.0" encoding="UTF-8" standalone="yes"?>
<Relationships xmlns="http://schemas.openxmlformats.org/package/2006/relationships"><Relationship Id="rId1" Type="http://schemas.openxmlformats.org/officeDocument/2006/relationships/queryTable" Target="../queryTables/queryTable6.xml"/></Relationships>
</file>

<file path=xl/tables/_rels/table7.xml.rels><?xml version="1.0" encoding="UTF-8" standalone="yes"?>
<Relationships xmlns="http://schemas.openxmlformats.org/package/2006/relationships"><Relationship Id="rId1" Type="http://schemas.openxmlformats.org/officeDocument/2006/relationships/queryTable" Target="../queryTables/queryTable7.xml"/></Relationships>
</file>

<file path=xl/tables/table1.xml><?xml version="1.0" encoding="utf-8"?>
<table xmlns="http://schemas.openxmlformats.org/spreadsheetml/2006/main" id="6" name="SP_ENV_Lib" displayName="SP_ENV_Lib" ref="A1:U442" tableType="queryTable" totalsRowCount="1" headerRowDxfId="377" dataDxfId="376">
  <autoFilter ref="A1:U441">
    <filterColumn colId="8">
      <filters blank="1">
        <dateGroupItem year="2020" month="4" dateTimeGrouping="month"/>
      </filters>
    </filterColumn>
  </autoFilter>
  <tableColumns count="21">
    <tableColumn id="22" uniqueName="22" name="EnvNum_DocType" totalsRowLabel="Total" queryTableFieldId="22" dataDxfId="375" totalsRowDxfId="312">
      <calculatedColumnFormula>CONCATENATE(SP_ENV_Lib[[#This Row],[Environmental Tract No.]],"_",SP_ENV_Lib[[#This Row],[ACQ Document Type]])</calculatedColumnFormula>
    </tableColumn>
    <tableColumn id="2" uniqueName="FileLeafRef" name="Name" totalsRowFunction="count" queryTableFieldId="21" dataDxfId="374" totalsRowDxfId="313"/>
    <tableColumn id="3" uniqueName="Environmental_x005f_x0020_Tract_x005f_x0020_No_x005f_x002e_" name="Environmental Tract No." totalsRowFunction="count" queryTableFieldId="10" dataDxfId="311" totalsRowDxfId="314"/>
    <tableColumn id="4" uniqueName="Tax_x005f_x0020_Parcel_x005f_x0020_ID" name="Tax Parcel ID" queryTableFieldId="7" dataDxfId="310" totalsRowDxfId="315"/>
    <tableColumn id="5" uniqueName="ACQ_x005f_x0020_Document_x005f_x0020_Type_x005f_x003a_Doc_x005f_x0020_CATEGORY" name="Doc CATEGORY" queryTableFieldId="8" dataDxfId="309" totalsRowDxfId="316"/>
    <tableColumn id="6" uniqueName="ACQ_x005f_x0020_Document_x005f_x0020_Type_x005f_x003a_Document_x005f_x0020_Type_x005f_x0020_without_x005f_x0020_CATEGORY" name="Document Type" queryTableFieldId="11" dataDxfId="308" totalsRowDxfId="317"/>
    <tableColumn id="7" uniqueName="ACQ_x005f_x0020_Document_x005f_x0020_Type" name="ACQ Document Type" totalsRowFunction="count" queryTableFieldId="2" dataDxfId="307" totalsRowDxfId="318"/>
    <tableColumn id="8" uniqueName="Document_x005f_x0020_Status" name="Document Status" queryTableFieldId="3" dataDxfId="306" totalsRowDxfId="319"/>
    <tableColumn id="9" uniqueName="Document_x005f_x0020_Date" name="Doc Date_1" queryTableFieldId="4" dataDxfId="305" totalsRowDxfId="320"/>
    <tableColumn id="10" uniqueName="Document_x005f_x0020_Date_2" name="Doc Date_2" queryTableFieldId="9" dataDxfId="304" totalsRowDxfId="321"/>
    <tableColumn id="11" uniqueName="Document_x005f_x0020_Amount" name="Document Amount" queryTableFieldId="5" dataDxfId="303" totalsRowDxfId="322"/>
    <tableColumn id="12" uniqueName="Document_x005f_x0020_Notes" name="Document Notes" queryTableFieldId="6" dataDxfId="302" totalsRowDxfId="323"/>
    <tableColumn id="13" uniqueName="Editor" name="Modified By" queryTableFieldId="13" dataDxfId="301" totalsRowDxfId="324"/>
    <tableColumn id="14" uniqueName="Modified" name="Modified" totalsRowFunction="max" queryTableFieldId="16" dataDxfId="300" totalsRowDxfId="325"/>
    <tableColumn id="15" uniqueName="Author" name="Created By" queryTableFieldId="12" dataDxfId="299" totalsRowDxfId="326"/>
    <tableColumn id="16" uniqueName="Created" name="Created" totalsRowFunction="max" queryTableFieldId="15" dataDxfId="298" totalsRowDxfId="327"/>
    <tableColumn id="17" uniqueName="File_x005f_x0020_Size" name="File Size" queryTableFieldId="18" dataDxfId="297" totalsRowDxfId="328"/>
    <tableColumn id="18" uniqueName="_dlc_DocIdUrl" name="Document ID" queryTableFieldId="1" dataDxfId="373" totalsRowDxfId="329"/>
    <tableColumn id="19" uniqueName="ID" name="ID" queryTableFieldId="14" dataDxfId="296" totalsRowDxfId="330"/>
    <tableColumn id="20" uniqueName="FSObjType" name="Item Type" queryTableFieldId="19" dataDxfId="295" totalsRowDxfId="331"/>
    <tableColumn id="21" uniqueName="FileDirRef" name="Path" queryTableFieldId="17" dataDxfId="294" totalsRowDxfId="332"/>
  </tableColumns>
  <tableStyleInfo name="TableStyleMedium12 2" showFirstColumn="0" showLastColumn="0" showRowStripes="1" showColumnStripes="0"/>
</table>
</file>

<file path=xl/tables/table2.xml><?xml version="1.0" encoding="utf-8"?>
<table xmlns="http://schemas.openxmlformats.org/spreadsheetml/2006/main" id="4" name="SP_ACQ_Lib" displayName="SP_ACQ_Lib" ref="A1:Y1015" tableType="queryTable" totalsRowCount="1" headerRowDxfId="372" dataDxfId="371" totalsRowDxfId="370">
  <autoFilter ref="A1:Y1014"/>
  <tableColumns count="25">
    <tableColumn id="1" uniqueName="1" name="AcqNum_DocType" queryTableFieldId="23" dataDxfId="369" totalsRowDxfId="269">
      <calculatedColumnFormula>CONCATENATE(SP_ACQ_Lib[[#This Row],[Acquisition Tract No.]],"_",SP_ACQ_Lib[[#This Row],[ACQ Document Type]])</calculatedColumnFormula>
    </tableColumn>
    <tableColumn id="2" uniqueName="FileLeafRef" name="Name" totalsRowFunction="count" queryTableFieldId="18" dataDxfId="368" totalsRowDxfId="270"/>
    <tableColumn id="3" uniqueName="Acquisition_x005f_x0020_No_x005f_x002e_" name="Acquisition Tract No." queryTableFieldId="2" dataDxfId="268" totalsRowDxfId="271"/>
    <tableColumn id="4" uniqueName="Tax_x005f_x0020_Parcel_x005f_x0020_ID" name="Tax Parcel ID" queryTableFieldId="8" dataDxfId="267" totalsRowDxfId="272"/>
    <tableColumn id="19" uniqueName="ACQ_x005f_x0020_Document_x005f_x0020_Type_x005f_x003a_Doc_x005f_x0020_CATEGORY" name="Doc CATEGORY" queryTableFieldId="19" dataDxfId="266" totalsRowDxfId="273"/>
    <tableColumn id="20" uniqueName="ACQ_x005f_x0020_Document_x005f_x0020_Type_x005f_x003a_Document_x005f_x0020_Type_x005f_x0020_without_x005f_x0020_CATEGORY" name="Document Type" queryTableFieldId="20" dataDxfId="265" totalsRowDxfId="274"/>
    <tableColumn id="5" uniqueName="ACQ_x005f_x0020_Document_x005f_x0020_Type" name="ACQ Document Type" queryTableFieldId="3" dataDxfId="264" totalsRowDxfId="275"/>
    <tableColumn id="6" uniqueName="Document_x005f_x0020_Status" name="Document Status" queryTableFieldId="4" dataDxfId="263" totalsRowDxfId="276"/>
    <tableColumn id="7" uniqueName="Document_x005f_x0020_Date" name="Doc Date_1" totalsRowFunction="countNums" queryTableFieldId="5" dataDxfId="262" totalsRowDxfId="277"/>
    <tableColumn id="23" uniqueName="Document_x005f_x0020_Date_2" name="Doc Date_2" queryTableFieldId="31" dataDxfId="261" totalsRowDxfId="278"/>
    <tableColumn id="8" uniqueName="Document_x005f_x0020_Amount" name="Document Amount" queryTableFieldId="6" dataDxfId="260" totalsRowDxfId="279"/>
    <tableColumn id="9" uniqueName="Document_x005f_x0020_Notes" name="Document Notes" queryTableFieldId="7" dataDxfId="259" totalsRowDxfId="280"/>
    <tableColumn id="11" uniqueName="Editor" name="Modified By" queryTableFieldId="13" dataDxfId="258" totalsRowDxfId="281"/>
    <tableColumn id="10" uniqueName="Modified" name="Modified" queryTableFieldId="12" dataDxfId="257" totalsRowDxfId="282"/>
    <tableColumn id="13" uniqueName="Author" name="Created By" queryTableFieldId="11" dataDxfId="256" totalsRowDxfId="283"/>
    <tableColumn id="12" uniqueName="Created" name="Created" queryTableFieldId="10" dataDxfId="255" totalsRowDxfId="284"/>
    <tableColumn id="14" uniqueName="File_x005f_x0020_Size" name="File Size" queryTableFieldId="15" dataDxfId="254" totalsRowDxfId="285"/>
    <tableColumn id="18" uniqueName="FileDirRef" name="Path" queryTableFieldId="14" dataDxfId="253" totalsRowDxfId="286"/>
    <tableColumn id="15" uniqueName="_dlc_DocIdUrl" name="Document ID" queryTableFieldId="1" dataDxfId="367" totalsRowDxfId="287"/>
    <tableColumn id="16" uniqueName="ID" name="ID" queryTableFieldId="9" dataDxfId="252" totalsRowDxfId="288"/>
    <tableColumn id="22" uniqueName="22" name="TaxPar_DocType" queryTableFieldId="29" dataDxfId="366" totalsRowDxfId="289">
      <calculatedColumnFormula>CONCATENATE(LEFT(SP_ACQ_Lib[[#This Row],[Tax Parcel ID]],7),"_",SP_ACQ_Lib[[#This Row],[ACQ Document Type]])</calculatedColumnFormula>
    </tableColumn>
    <tableColumn id="17" uniqueName="17" name="TaxIDs from Tract DB" queryTableFieldId="27" dataDxfId="365" totalsRowDxfId="290">
      <calculatedColumnFormula>INDEX(SP_AcqTract_DB[WCAD Tax Parcel ID],MATCH(SP_ACQ_Lib[[#This Row],[Acquisition Tract No.]],SP_AcqTract_DB[Acquisition Tract No.],0))</calculatedColumnFormula>
    </tableColumn>
    <tableColumn id="21" uniqueName="21" name="Tract No. from Tax DB" queryTableFieldId="28" dataDxfId="364" totalsRowDxfId="291">
      <calculatedColumnFormula>INDEX(SP_TaxPar_DB[Acquisition Tract No.],MATCH(LEFT(SP_ACQ_Lib[[#This Row],[Tax Parcel ID]],7),SP_TaxPar_DB[Tax Parcel ID],0))</calculatedColumnFormula>
    </tableColumn>
    <tableColumn id="24" uniqueName="24" name="File Name Convention" queryTableFieldId="33" dataDxfId="363" totalsRowDxfId="292">
      <calculatedColumnFormula>IF(OR(SP_ACQ_Lib[[#This Row],[Acquisition Tract No.]]="",SP_ACQ_Lib[[#This Row],[ACQ Document Type]]=""),0,CONCATENATE("COW-FRMP_TR-",SP_ACQ_Lib[[#This Row],[Acquisition Tract No.]]," ",SP_ACQ_Lib[[#This Row],[ACQ Document Type]]))</calculatedColumnFormula>
    </tableColumn>
    <tableColumn id="25" uniqueName="25" name="File Name Match" queryTableFieldId="34" dataDxfId="362" totalsRowDxfId="293">
      <calculatedColumnFormula>IF(OR(SP_ACQ_Lib[[#This Row],[File Name Convention]]=0,LEFT(SP_ACQ_Lib[[#This Row],[Name]],LEN(SP_ACQ_Lib[[#This Row],[File Name Convention]]))&lt;&gt;SP_ACQ_Lib[[#This Row],[File Name Convention]],ISERROR(SEARCH(SP_ACQ_Lib[[#This Row],[ACQ Document Type]],SP_ACQ_Lib[[#This Row],[Name]]))),1,0)</calculatedColumnFormula>
    </tableColumn>
  </tableColumns>
  <tableStyleInfo name="TableStyleMedium12" showFirstColumn="0" showLastColumn="0" showRowStripes="1" showColumnStripes="0"/>
</table>
</file>

<file path=xl/tables/table3.xml><?xml version="1.0" encoding="utf-8"?>
<table xmlns="http://schemas.openxmlformats.org/spreadsheetml/2006/main" id="7" name="SP_EnvTract_DB" displayName="SP_EnvTract_DB" ref="A1:AH128" tableType="queryTable" totalsRowCount="1" headerRowDxfId="361" totalsRowDxfId="360">
  <autoFilter ref="A1:AH127"/>
  <sortState ref="A2:AH127">
    <sortCondition ref="A1:A127"/>
  </sortState>
  <tableColumns count="34">
    <tableColumn id="3" uniqueName="Title" name="Environmental Tract No." totalsRowFunction="count" queryTableFieldId="2" dataDxfId="217" totalsRowDxfId="218"/>
    <tableColumn id="1" uniqueName="To_x005f_x0020_Be_x005f_x0020_Acquired_x0020" name="ROW Agent" queryTableFieldId="15" dataDxfId="216" totalsRowDxfId="219"/>
    <tableColumn id="2" uniqueName="Acquisition_x005f_x0020_Comments" name="Acquisition Comments" queryTableFieldId="1" dataDxfId="359" totalsRowDxfId="220"/>
    <tableColumn id="5" uniqueName="Tax_x005f_x0020_Parcel_x005f_x0020_ID0" name="Tax Parcel ID" queryTableFieldId="3" dataDxfId="215" totalsRowDxfId="221"/>
    <tableColumn id="6" uniqueName="Tax_x005f_x0020_Parcel_x005f_x0020_ID_x005f_x003a_" name="WCAD Owner Name" queryTableFieldId="30" dataDxfId="214" totalsRowDxfId="222"/>
    <tableColumn id="7" uniqueName="Tax_x005f_x0020_Parcel_x005f_x0020_ID_x005f_x003a_0" name="WCAD Situs Address" queryTableFieldId="31" dataDxfId="213" totalsRowDxfId="223"/>
    <tableColumn id="8" uniqueName="Acquisition_x005f_x0020_Status" name="Acquisition Status" queryTableFieldId="4" dataDxfId="212" totalsRowDxfId="224"/>
    <tableColumn id="9" uniqueName="Acquisition_x005f_x0020_Interest" name="Acquisition Interest" queryTableFieldId="5" dataDxfId="211" totalsRowDxfId="225"/>
    <tableColumn id="10" uniqueName="Phase" name="Phase" queryTableFieldId="6" dataDxfId="210" totalsRowDxfId="226"/>
    <tableColumn id="11" uniqueName="Property_x005f_x0020_Owner_x005f_x0020_Full_" name="Property Owner Vested Name" queryTableFieldId="7" dataDxfId="209" totalsRowDxfId="227"/>
    <tableColumn id="12" uniqueName="Owner_x005f_x0020_Company_x005f_x0020_Name" name="Owner Company Name" queryTableFieldId="9" dataDxfId="208" totalsRowDxfId="228"/>
    <tableColumn id="13" uniqueName="Property_x005f_x0020_Owner" name="Property Owner Mailing Name" queryTableFieldId="8" dataDxfId="207" totalsRowDxfId="229"/>
    <tableColumn id="14" uniqueName="Owner_x005f_x0020_Address" name="Owner Mailing Address" queryTableFieldId="10" dataDxfId="206" totalsRowDxfId="230"/>
    <tableColumn id="15" uniqueName="Owner_x005f_x0020_City" name="Owner City, ST  Zip" queryTableFieldId="11" dataDxfId="205" totalsRowDxfId="231"/>
    <tableColumn id="16" uniqueName="Situs_x005f_x0020_Address0" name="Property Situs Address" queryTableFieldId="12" dataDxfId="204" totalsRowDxfId="232"/>
    <tableColumn id="17" uniqueName="Title_x005f_x0020_Ordered" name="Title Ordered" queryTableFieldId="17" dataDxfId="203" totalsRowDxfId="233"/>
    <tableColumn id="18" uniqueName="Title_x005f_x0020_Co_x005f_x002e_" name="Title Co." queryTableFieldId="16" dataDxfId="202" totalsRowDxfId="234"/>
    <tableColumn id="19" uniqueName="Title_x005f_x0020_GF_x005f_x0020_No_x005f_x002e_" name="Title GF No." queryTableFieldId="18" dataDxfId="201" totalsRowDxfId="235"/>
    <tableColumn id="20" uniqueName="Survey_x005f_x0020_Requested" name="Survey Requested" queryTableFieldId="19" dataDxfId="200" totalsRowDxfId="236"/>
    <tableColumn id="21" uniqueName="Survey_x005f_x0020_SqFt" name="Survey SqFt" queryTableFieldId="20" dataDxfId="199" totalsRowDxfId="237"/>
    <tableColumn id="22" uniqueName="Survey_x005f_x0020_Acres" name="Survey Acres" queryTableFieldId="21" dataDxfId="198" totalsRowDxfId="238"/>
    <tableColumn id="23" uniqueName="Appraisal_x005f_x0020_Requested" name="Appraisal Requested" queryTableFieldId="22" dataDxfId="197" totalsRowDxfId="239"/>
    <tableColumn id="24" uniqueName="Appraiser" name="Appraisal Firm" queryTableFieldId="23" dataDxfId="196" totalsRowDxfId="240"/>
    <tableColumn id="25" uniqueName="Appraiser0" name="Appraiser" queryTableFieldId="24" dataDxfId="195" totalsRowDxfId="241"/>
    <tableColumn id="26" uniqueName="Utility_x005f_x0020_Easements" name="Utility Easements" queryTableFieldId="26" dataDxfId="194" totalsRowDxfId="242"/>
    <tableColumn id="27" uniqueName="Mineral_x005f_x0020_Rights" name="Mineral Rights" queryTableFieldId="27" dataDxfId="193" totalsRowDxfId="243"/>
    <tableColumn id="28" uniqueName="Reviewer" name="Reviewer" queryTableFieldId="25" dataDxfId="192" totalsRowDxfId="244"/>
    <tableColumn id="29" uniqueName="Improv" name="Improv" queryTableFieldId="14" dataDxfId="191" totalsRowDxfId="245"/>
    <tableColumn id="30" uniqueName="Use" name="Use" queryTableFieldId="13" dataDxfId="190" totalsRowDxfId="246"/>
    <tableColumn id="31" uniqueName="Document_x005f_x0020_Filename_x005f_x0020_Pr" name="Document Filename Prefix" queryTableFieldId="28" dataDxfId="189" totalsRowDxfId="247"/>
    <tableColumn id="32" uniqueName="Modified" name="Modified" queryTableFieldId="37" dataDxfId="188" totalsRowDxfId="248"/>
    <tableColumn id="33" uniqueName="Editor" name="Modified By" queryTableFieldId="29" dataDxfId="187" totalsRowDxfId="249"/>
    <tableColumn id="34" uniqueName="Created" name="Created" queryTableFieldId="38" dataDxfId="186" totalsRowDxfId="250"/>
    <tableColumn id="4" uniqueName="4" name="Count in Env Tract Status Report" totalsRowFunction="sum" queryTableFieldId="43" dataDxfId="358" totalsRowDxfId="251">
      <calculatedColumnFormula>COUNTIF('ENV Tract Status Report'!$A$6:$A$131,SP_EnvTract_DB[[#This Row],[Environmental Tract No.]])</calculatedColumnFormula>
    </tableColumn>
  </tableColumns>
  <tableStyleInfo name="TableStyleMedium9 2" showFirstColumn="0" showLastColumn="0" showRowStripes="1" showColumnStripes="0"/>
</table>
</file>

<file path=xl/tables/table4.xml><?xml version="1.0" encoding="utf-8"?>
<table xmlns="http://schemas.openxmlformats.org/spreadsheetml/2006/main" id="2" name="SP_AcqTract_DB" displayName="SP_AcqTract_DB" ref="A1:AU141" tableType="queryTable" totalsRowCount="1" headerRowDxfId="357" dataDxfId="356" totalsRowDxfId="355">
  <autoFilter ref="A1:AU140"/>
  <sortState ref="A2:AU140">
    <sortCondition ref="A2:A81"/>
  </sortState>
  <tableColumns count="47">
    <tableColumn id="1" uniqueName="Title" name="Acquisition Tract No." totalsRowFunction="count" queryTableFieldId="2" dataDxfId="138" totalsRowDxfId="139"/>
    <tableColumn id="31" uniqueName="Tax_x005f_x0020_Parcel_x005f_x0020_ID0" name="WCAD Tax Parcel ID" totalsRowFunction="count" queryTableFieldId="33" dataDxfId="137" totalsRowDxfId="140"/>
    <tableColumn id="4" uniqueName="Phase" name="Phase" totalsRowFunction="count" queryTableFieldId="5" dataDxfId="136" totalsRowDxfId="141"/>
    <tableColumn id="2" uniqueName="Acquisition_x005f_x0020_Status" name="Acquisition Status" totalsRowFunction="count" queryTableFieldId="3" dataDxfId="135" totalsRowDxfId="142"/>
    <tableColumn id="3" uniqueName="Acquisition_x005f_x0020_Interest" name="Acquisition Interest" totalsRowFunction="count" queryTableFieldId="4" dataDxfId="134" totalsRowDxfId="143"/>
    <tableColumn id="5" uniqueName="To_x005f_x0020_Be_x005f_x0020_Acquired_x0020" name="ROW Agent" totalsRowFunction="count" queryTableFieldId="19" dataDxfId="133" totalsRowDxfId="144"/>
    <tableColumn id="6" uniqueName="Property_x005f_x0020_Owner_x005f_x0020_Full_" name="Property Owner Vested Name" totalsRowFunction="count" queryTableFieldId="6" dataDxfId="132" totalsRowDxfId="145"/>
    <tableColumn id="7" uniqueName="Owner_x005f_x0020_Company_x005f_x0020_Name" name="Owner Company Name" totalsRowFunction="count" queryTableFieldId="8" dataDxfId="131" totalsRowDxfId="146"/>
    <tableColumn id="8" uniqueName="Property_x005f_x0020_Owner" name="Property Owner Mailing Name" totalsRowFunction="count" queryTableFieldId="7" dataDxfId="130" totalsRowDxfId="147"/>
    <tableColumn id="9" uniqueName="Owner_x005f_x0020_Address" name="Owner Mailing Address" totalsRowFunction="count" queryTableFieldId="9" dataDxfId="129" totalsRowDxfId="148"/>
    <tableColumn id="10" uniqueName="Owner_x005f_x0020_City" name="Owner City, ST  Zip" totalsRowFunction="count" queryTableFieldId="10" dataDxfId="128" totalsRowDxfId="149"/>
    <tableColumn id="16" uniqueName="Situs_x005f_x0020_Address0" name="Property Situs Address" totalsRowFunction="count" queryTableFieldId="16" dataDxfId="127" totalsRowDxfId="150"/>
    <tableColumn id="17" uniqueName="Title_x005f_x0020_Co_x005f_x002e_" name="Title Co." totalsRowFunction="count" queryTableFieldId="20" dataDxfId="126" totalsRowDxfId="151"/>
    <tableColumn id="18" uniqueName="Title_x005f_x0020_GF_x005f_x0020_No_x005f_x002e_" name="Title GF No." totalsRowFunction="count" queryTableFieldId="21" dataDxfId="125" totalsRowDxfId="152"/>
    <tableColumn id="36" uniqueName="Title_x005f_x0020_Ordered" name="Title Ordered" totalsRowFunction="count" queryTableFieldId="46" dataDxfId="124" totalsRowDxfId="153"/>
    <tableColumn id="20" uniqueName="Appraiser" name="Appraisal Firm" totalsRowFunction="count" queryTableFieldId="23" dataDxfId="123" totalsRowDxfId="154"/>
    <tableColumn id="21" uniqueName="Reviewer" name="Reviewer" totalsRowFunction="count" queryTableFieldId="24" dataDxfId="122" totalsRowDxfId="155"/>
    <tableColumn id="19" uniqueName="Appraisal_x005f_x0020_Requested" name="Appraisal Requested" totalsRowFunction="count" queryTableFieldId="22" dataDxfId="121" totalsRowDxfId="156"/>
    <tableColumn id="23" uniqueName="Survey_x005f_x0020_Acres" name="Survey Acres" totalsRowFunction="count" queryTableFieldId="26" dataDxfId="120" totalsRowDxfId="157"/>
    <tableColumn id="22" uniqueName="Survey_x005f_x0020_SqFt" name="Survey SqFt" totalsRowFunction="count" queryTableFieldId="25" dataDxfId="119" totalsRowDxfId="158"/>
    <tableColumn id="35" uniqueName="Survey_x005f_x0020_Requested" name="Survey Requested" totalsRowFunction="count" queryTableFieldId="45" dataDxfId="118" totalsRowDxfId="159"/>
    <tableColumn id="38" uniqueName="Appraiser0" name="Appraiser" totalsRowFunction="count" queryTableFieldId="53" dataDxfId="117" totalsRowDxfId="160"/>
    <tableColumn id="41" uniqueName="41" name="Appraisal Received" queryTableFieldId="65" dataDxfId="354" totalsRowDxfId="161"/>
    <tableColumn id="42" uniqueName="42" name="Appraisl sent to Reviewer" queryTableFieldId="64" dataDxfId="353" totalsRowDxfId="162"/>
    <tableColumn id="39" uniqueName="Utility_x005f_x0020_Easements" name="Utility Easements" totalsRowFunction="count" queryTableFieldId="54" dataDxfId="116" totalsRowDxfId="163"/>
    <tableColumn id="40" uniqueName="Mineral_x005f_x0020_Rights" name="Mineral Rights" totalsRowFunction="count" queryTableFieldId="55" dataDxfId="115" totalsRowDxfId="164"/>
    <tableColumn id="24" uniqueName="Improv" name="Improv" totalsRowFunction="count" queryTableFieldId="18" dataDxfId="114" totalsRowDxfId="165"/>
    <tableColumn id="25" uniqueName="Use" name="Use" totalsRowFunction="count" queryTableFieldId="17" dataDxfId="113" totalsRowDxfId="166"/>
    <tableColumn id="13" uniqueName="Document_x005f_x0020_Filename_x005f_x0020_Pr" name="ACQ Filename Prefix" totalsRowFunction="count" queryTableFieldId="35" dataDxfId="112" totalsRowDxfId="167"/>
    <tableColumn id="27" uniqueName="Editor" name="Modified By" totalsRowFunction="count" queryTableFieldId="28" dataDxfId="111" totalsRowDxfId="168"/>
    <tableColumn id="26" uniqueName="Modified" name="Modified" totalsRowFunction="count" queryTableFieldId="29" dataDxfId="110" totalsRowDxfId="169"/>
    <tableColumn id="29" uniqueName="Author" name="Created By" totalsRowFunction="count" queryTableFieldId="27" dataDxfId="109" totalsRowDxfId="170"/>
    <tableColumn id="28" uniqueName="Created" name="Created" totalsRowFunction="count" queryTableFieldId="30" dataDxfId="108" totalsRowDxfId="171"/>
    <tableColumn id="30" uniqueName="Acquisition_x005f_x0020_Comments" name="Acquisition Comments" totalsRowFunction="count" queryTableFieldId="1" dataDxfId="352" totalsRowDxfId="172"/>
    <tableColumn id="32" uniqueName="ID" name="ID" totalsRowFunction="count" queryTableFieldId="34" dataDxfId="107" totalsRowDxfId="173"/>
    <tableColumn id="44" uniqueName="FileDirRef" name="Path" queryTableFieldId="66" dataDxfId="106" totalsRowDxfId="174"/>
    <tableColumn id="45" uniqueName="FSObjType" name="Item Type" queryTableFieldId="67" dataDxfId="105" totalsRowDxfId="175"/>
    <tableColumn id="46" uniqueName="City_x005f_x0020_Survey_x005f_x0020_Needed" name="City Survey Needed" totalsRowFunction="count" queryTableFieldId="68" dataDxfId="104" totalsRowDxfId="176"/>
    <tableColumn id="47" uniqueName="USACOE_x005f_x0020_Survey_x005f_x0020_Needed" name="USACOE Survey Needed" totalsRowFunction="count" queryTableFieldId="69" dataDxfId="103" totalsRowDxfId="177"/>
    <tableColumn id="48" uniqueName="No_x005f_x002e__x005f_x0020_of_x005f_x0020_Interes" name="No. of Interests for USACOE" totalsRowFunction="count" queryTableFieldId="70" dataDxfId="102" totalsRowDxfId="178"/>
    <tableColumn id="49" uniqueName="Appraisal_x005f_x0020_Received" name="Appraisal Received2" totalsRowFunction="count" queryTableFieldId="71" dataDxfId="101" totalsRowDxfId="179"/>
    <tableColumn id="34" uniqueName="Offer_x005f_x0020_Pkge_x005f_x0020_Sent_x002" name="Offer Pkge Documents Requested" queryTableFieldId="75" dataDxfId="100" totalsRowDxfId="180"/>
    <tableColumn id="43" uniqueName="Offer_x005f_x0020_Packet_x005f_x0020_Request" name="Offer Pkge QC Approved" queryTableFieldId="76" dataDxfId="99" totalsRowDxfId="181"/>
    <tableColumn id="37" uniqueName="37" name="TaxID;TaxID;TaxID" queryTableFieldId="52" dataDxfId="351" totalsRowDxfId="182">
      <calculatedColumnFormula>IF(SP_AcqTract_DB[[#This Row],[Count '# in TaxID]]=1,LEFT(SP_AcqTract_DB[[#This Row],[WCAD Tax Parcel ID]],7),IF(SP_AcqTract_DB[[#This Row],[Count '# in TaxID]]=2,CONCATENATE(LEFT(SP_AcqTract_DB[[#This Row],[WCAD Tax Parcel ID]],7),";",MID(SP_AcqTract_DB[[#This Row],[WCAD Tax Parcel ID]],FIND("#",SP_AcqTract_DB[[#This Row],[WCAD Tax Parcel ID]],10)+1,7)),IF(SP_AcqTract_DB[[#This Row],[Count '# in TaxID]]&gt;2,CONCATENATE(LEFT(SP_AcqTract_DB[[#This Row],[WCAD Tax Parcel ID]],7),";",MID(SP_AcqTract_DB[[#This Row],[WCAD Tax Parcel ID]],FIND("#",SP_AcqTract_DB[[#This Row],[WCAD Tax Parcel ID]],10)+1,7),";",MID(SP_AcqTract_DB[[#This Row],[WCAD Tax Parcel ID]],FIND("#",SP_AcqTract_DB[[#This Row],[WCAD Tax Parcel ID]],23)+1,7)),"")))</calculatedColumnFormula>
    </tableColumn>
    <tableColumn id="33" uniqueName="33" name="Count # in TaxID" queryTableFieldId="43" dataDxfId="350" totalsRowDxfId="183">
      <calculatedColumnFormula>IF(SP_AcqTract_DB[[#This Row],[WCAD Tax Parcel ID]]="",0,(LEN(SP_AcqTract_DB[[#This Row],[WCAD Tax Parcel ID]])-LEN(SUBSTITUTE(SP_AcqTract_DB[[#This Row],[WCAD Tax Parcel ID]],"#",""))+1)/2)</calculatedColumnFormula>
    </tableColumn>
    <tableColumn id="15" uniqueName="15" name="Count in TaxPar DB" totalsRowFunction="sum" queryTableFieldId="42" dataDxfId="349" totalsRowDxfId="184">
      <calculatedColumnFormula>IF(SP_AcqTract_DB[[#This Row],[WCAD Tax Parcel ID]]="",0,COUNTIF(SP_TaxPar_DB[Acquisition Tract No.],SP_AcqTract_DB[[#This Row],[Acquisition Tract No.]]))</calculatedColumnFormula>
    </tableColumn>
    <tableColumn id="11" uniqueName="11" name="Count in ACQ Status" totalsRowFunction="sum" queryTableFieldId="60" dataDxfId="348" totalsRowDxfId="185">
      <calculatedColumnFormula>COUNTIF(ACQStatus_ACQTNo.,SP_AcqTract_DB[[#This Row],[Acquisition Tract No.]])</calculatedColumnFormula>
    </tableColumn>
  </tableColumns>
  <tableStyleInfo name="TableStyleMedium9" showFirstColumn="1" showLastColumn="0" showRowStripes="1" showColumnStripes="0"/>
</table>
</file>

<file path=xl/tables/table5.xml><?xml version="1.0" encoding="utf-8"?>
<table xmlns="http://schemas.openxmlformats.org/spreadsheetml/2006/main" id="3" name="SP_TaxPar_DB" displayName="SP_TaxPar_DB" ref="A1:U288" tableType="queryTable" totalsRowCount="1" headerRowDxfId="347" dataDxfId="346" totalsRowDxfId="345">
  <autoFilter ref="A1:U287"/>
  <sortState ref="A2:U287">
    <sortCondition ref="A192"/>
  </sortState>
  <tableColumns count="21">
    <tableColumn id="3" uniqueName="Title" name="Tax Parcel ID" totalsRowFunction="count" queryTableFieldId="1" dataDxfId="77" totalsRowDxfId="78"/>
    <tableColumn id="2" uniqueName="Acquisition_x005f_x0020_No_x005f_x002e_" name="Acquisition Tract No." queryTableFieldId="15" dataDxfId="76" totalsRowDxfId="79"/>
    <tableColumn id="21" uniqueName="Environmental_x005f_x0020_Tract_x005f_x0020_" name="Environmental Tract No." queryTableFieldId="31" dataDxfId="75" totalsRowDxfId="80"/>
    <tableColumn id="1" uniqueName="Phase" name="Phase" queryTableFieldId="25" dataDxfId="74" totalsRowDxfId="81"/>
    <tableColumn id="4" uniqueName="Owner_x005f_x0020_Name" name="Tax Owner Name" queryTableFieldId="2" dataDxfId="73" totalsRowDxfId="82"/>
    <tableColumn id="5" uniqueName="Address" name="Tax Owner Address" queryTableFieldId="3" dataDxfId="72" totalsRowDxfId="83"/>
    <tableColumn id="6" uniqueName="City" name="Tax Owner City" queryTableFieldId="4" dataDxfId="71" totalsRowDxfId="84"/>
    <tableColumn id="7" uniqueName="State" name="Tax Owner State" queryTableFieldId="5" dataDxfId="70" totalsRowDxfId="85"/>
    <tableColumn id="8" uniqueName="Zip_x005f_x0020_Code" name="Tax Owner Zip" queryTableFieldId="6" dataDxfId="69" totalsRowDxfId="86"/>
    <tableColumn id="9" uniqueName="Situs_x005f_x0020_Address" name="Tax Situs Address" queryTableFieldId="7" dataDxfId="68" totalsRowDxfId="87"/>
    <tableColumn id="10" uniqueName="Legal" name="Tax Legal Description" queryTableFieldId="8" dataDxfId="67" totalsRowDxfId="88"/>
    <tableColumn id="11" uniqueName="Acreage" name="Tax Acreage" queryTableFieldId="9" dataDxfId="66" totalsRowDxfId="89"/>
    <tableColumn id="12" uniqueName="Type1" name="Tax Use Type" queryTableFieldId="10" dataDxfId="65" totalsRowDxfId="90"/>
    <tableColumn id="13" uniqueName="Deed_x005f_x0020_Ref" name="Tax Deed Ref" queryTableFieldId="11" dataDxfId="64" totalsRowDxfId="91"/>
    <tableColumn id="14" uniqueName="Comments" name="Comments" queryTableFieldId="12" dataDxfId="63" totalsRowDxfId="92"/>
    <tableColumn id="16" uniqueName="Editor" name="Modified By" queryTableFieldId="14" dataDxfId="62" totalsRowDxfId="93"/>
    <tableColumn id="15" uniqueName="Modified" name="Modified" totalsRowFunction="max" queryTableFieldId="17" dataDxfId="61" totalsRowDxfId="94"/>
    <tableColumn id="18" uniqueName="Author" name="Created By" queryTableFieldId="13" dataDxfId="60" totalsRowDxfId="95"/>
    <tableColumn id="17" uniqueName="Created" name="Created" totalsRowFunction="max" queryTableFieldId="18" dataDxfId="59" totalsRowDxfId="96"/>
    <tableColumn id="19" uniqueName="ID" name="ID" queryTableFieldId="23" dataDxfId="58" totalsRowDxfId="97"/>
    <tableColumn id="20" uniqueName="20" name="Count In Tax Report" totalsRowFunction="sum" queryTableFieldId="33" dataDxfId="57" totalsRowDxfId="98">
      <calculatedColumnFormula>COUNTIF('TAX Parcel Status Report'!$A$6:$A$290,SP_TaxPar_DB[[#This Row],[Tax Parcel ID]])</calculatedColumnFormula>
    </tableColumn>
  </tableColumns>
  <tableStyleInfo name="TableStyleMedium13" showFirstColumn="1" showLastColumn="0" showRowStripes="1" showColumnStripes="0"/>
</table>
</file>

<file path=xl/tables/table6.xml><?xml version="1.0" encoding="utf-8"?>
<table xmlns="http://schemas.openxmlformats.org/spreadsheetml/2006/main" id="1" name="SP_Contacts_DB" displayName="SP_Contacts_DB" ref="A1:T191" tableType="queryTable" totalsRowCount="1" headerRowDxfId="344" dataDxfId="343">
  <autoFilter ref="A1:T190"/>
  <sortState ref="A2:T190">
    <sortCondition ref="A1:A111"/>
  </sortState>
  <tableColumns count="20">
    <tableColumn id="1" uniqueName="Acquisition_x005f_x0020_No_x005f_x002e_" name="Acquisition Tract No." totalsRowFunction="count" queryTableFieldId="1" dataDxfId="36" totalsRowDxfId="37"/>
    <tableColumn id="2" uniqueName="Tax_x005f_x0020_Parcel_x005f_x0020_ID" name="Tax Parcel ID" totalsRowFunction="count" queryTableFieldId="2" dataDxfId="35" totalsRowDxfId="38"/>
    <tableColumn id="3" uniqueName="Title" name="ACQ Contact Name" totalsRowFunction="count" queryTableFieldId="3" dataDxfId="34" totalsRowDxfId="39"/>
    <tableColumn id="4" uniqueName="FirstName" name="First Name" queryTableFieldId="4" dataDxfId="33" totalsRowDxfId="40"/>
    <tableColumn id="5" uniqueName="Last_x005f_x0020_Name" name="Last Name" queryTableFieldId="5" dataDxfId="32" totalsRowDxfId="41"/>
    <tableColumn id="6" uniqueName="Relationship" name="Relationship" queryTableFieldId="6" dataDxfId="31" totalsRowDxfId="42"/>
    <tableColumn id="7" uniqueName="CC" name="CC" queryTableFieldId="7" dataDxfId="30" totalsRowDxfId="43"/>
    <tableColumn id="8" uniqueName="Company" name="Company" queryTableFieldId="8" dataDxfId="29" totalsRowDxfId="44"/>
    <tableColumn id="9" uniqueName="JobTitle" name="Job Title" queryTableFieldId="9" dataDxfId="28" totalsRowDxfId="45"/>
    <tableColumn id="10" uniqueName="CellPhone" name="Primary Phone" queryTableFieldId="11" dataDxfId="27" totalsRowDxfId="46"/>
    <tableColumn id="11" uniqueName="WorkPhone" name="Alternate Phone" queryTableFieldId="12" dataDxfId="26" totalsRowDxfId="47"/>
    <tableColumn id="12" uniqueName="Email" name="Email Address" queryTableFieldId="10" dataDxfId="25" totalsRowDxfId="48"/>
    <tableColumn id="13" uniqueName="WorkAddress" name="Contact Mailing Address" queryTableFieldId="13" dataDxfId="24" totalsRowDxfId="49"/>
    <tableColumn id="14" uniqueName="WorkCity" name="Contact City, State Zip" queryTableFieldId="14" dataDxfId="23" totalsRowDxfId="50"/>
    <tableColumn id="17" uniqueName="Comments" name="Notes" queryTableFieldId="17" dataDxfId="342" totalsRowDxfId="51"/>
    <tableColumn id="19" uniqueName="Editor" name="Modified By" queryTableFieldId="18" dataDxfId="22" totalsRowDxfId="52"/>
    <tableColumn id="18" uniqueName="Modified" name="Modified" queryTableFieldId="21" dataDxfId="21" totalsRowDxfId="53"/>
    <tableColumn id="21" uniqueName="Author" name="Created By" queryTableFieldId="19" dataDxfId="20" totalsRowDxfId="54"/>
    <tableColumn id="20" uniqueName="Created" name="Created" queryTableFieldId="22" dataDxfId="19" totalsRowDxfId="55"/>
    <tableColumn id="22" uniqueName="ID" name="ID" queryTableFieldId="20" dataDxfId="18" totalsRowDxfId="56"/>
  </tableColumns>
  <tableStyleInfo name="TableStyleMedium11" showFirstColumn="1" showLastColumn="0" showRowStripes="1" showColumnStripes="0"/>
</table>
</file>

<file path=xl/tables/table7.xml><?xml version="1.0" encoding="utf-8"?>
<table xmlns="http://schemas.openxmlformats.org/spreadsheetml/2006/main" id="5" name="SP_ACQ_DocType" displayName="SP_ACQ_DocType" ref="A1:I39" tableType="queryTable" totalsRowCount="1" headerRowDxfId="341" dataDxfId="340">
  <autoFilter ref="A1:I38"/>
  <tableColumns count="9">
    <tableColumn id="1" uniqueName="Title" name="Document Type" totalsRowFunction="count" queryTableFieldId="1" dataDxfId="8" totalsRowDxfId="9"/>
    <tableColumn id="2" uniqueName="Doc_x005f_x0020_CATEGORY" name="Doc CATEGORY" queryTableFieldId="2" dataDxfId="7" totalsRowDxfId="10"/>
    <tableColumn id="3" uniqueName="Document_x005f_x0020_Type_x005f_x0020_withou" name="Document Type without CATEGORY" queryTableFieldId="3" dataDxfId="6" totalsRowDxfId="11"/>
    <tableColumn id="4" uniqueName="ROW_x005f_x0020_Form_x005f_x0020_No_x005f_x002e_" name="Document Form No." queryTableFieldId="4" dataDxfId="5" totalsRowDxfId="12"/>
    <tableColumn id="8" uniqueName="No_x005f_x002e_of_x005f_x0020_Docs" name="No.of Docs" totalsRowFunction="custom" queryTableFieldId="10" dataDxfId="4" totalsRowDxfId="13">
      <totalsRowFormula array="1">SUM(VALUE(SP_ACQ_DocType[No.of Docs]))</totalsRowFormula>
    </tableColumn>
    <tableColumn id="5" uniqueName="Modified" name="Modified" queryTableFieldId="6" dataDxfId="3" totalsRowDxfId="14"/>
    <tableColumn id="6" uniqueName="Editor" name="Modified By" queryTableFieldId="5" dataDxfId="2" totalsRowDxfId="15"/>
    <tableColumn id="9" uniqueName="Created" name="Created" queryTableFieldId="11" dataDxfId="1" totalsRowDxfId="16"/>
    <tableColumn id="7" uniqueName="Author" name="Created By" totalsRowFunction="count" queryTableFieldId="9" dataDxfId="0" totalsRowDxfId="17"/>
  </tableColumns>
  <tableStyleInfo name="TableStyleMedium8" showFirstColumn="0" showLastColumn="0" showRowStripes="1" showColumnStripes="0"/>
</table>
</file>

<file path=xl/theme/theme1.xml><?xml version="1.0" encoding="utf-8"?>
<a:theme xmlns:a="http://schemas.openxmlformats.org/drawingml/2006/main" name="Office Theme">
  <a:themeElements>
    <a:clrScheme name="Office 2007-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vmlDrawing" Target="../drawings/vmlDrawing1.v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17" Type="http://schemas.openxmlformats.org/officeDocument/2006/relationships/hyperlink" Target="https://share.hdrinc.com/sites/CoW_FRLP/ENVIRONMENTAL/COW-FRMP_TR-039%20ENVIRONMENTAL%20Right-of-Entry%20Executed.pdf" TargetMode="External"/><Relationship Id="rId671" Type="http://schemas.openxmlformats.org/officeDocument/2006/relationships/hyperlink" Target="https://share.hdrinc.com/sites/CoW_FRLP/_layouts/DocIdRedir.aspx?ID=COWFRLPHDR-13-1027" TargetMode="External"/><Relationship Id="rId769" Type="http://schemas.openxmlformats.org/officeDocument/2006/relationships/hyperlink" Target="https://share.hdrinc.com/sites/CoW_FRLP/_layouts/DocIdRedir.aspx?ID=COWFRLPHDR-13-938" TargetMode="External"/><Relationship Id="rId21" Type="http://schemas.openxmlformats.org/officeDocument/2006/relationships/hyperlink" Target="https://share.hdrinc.com/sites/CoW_FRLP/ENVIRONMENTAL/COW-FRMP_TR-006%20CONTACT%20Negotiator%20Report.docx" TargetMode="External"/><Relationship Id="rId324" Type="http://schemas.openxmlformats.org/officeDocument/2006/relationships/hyperlink" Target="https://share.hdrinc.com/sites/CoW_FRLP/ENVIRONMENTAL/COW-FRMP_TR-128%20TITLE%20Tax%20Card.pdf" TargetMode="External"/><Relationship Id="rId531" Type="http://schemas.openxmlformats.org/officeDocument/2006/relationships/hyperlink" Target="https://share.hdrinc.com/sites/CoW_FRLP/_layouts/DocIdRedir.aspx?ID=COWFRLPHDR-13-995" TargetMode="External"/><Relationship Id="rId629" Type="http://schemas.openxmlformats.org/officeDocument/2006/relationships/hyperlink" Target="https://share.hdrinc.com/sites/CoW_FRLP/_layouts/DocIdRedir.aspx?ID=COWFRLPHDR-13-819" TargetMode="External"/><Relationship Id="rId170" Type="http://schemas.openxmlformats.org/officeDocument/2006/relationships/hyperlink" Target="https://share.hdrinc.com/sites/CoW_FRLP/ENVIRONMENTAL/COW-FRMP_TR-063%20CONTACT%20Negotiator%20Report.docx" TargetMode="External"/><Relationship Id="rId836" Type="http://schemas.openxmlformats.org/officeDocument/2006/relationships/hyperlink" Target="https://share.hdrinc.com/sites/CoW_FRLP/_layouts/DocIdRedir.aspx?ID=COWFRLPHDR-13-872" TargetMode="External"/><Relationship Id="rId268" Type="http://schemas.openxmlformats.org/officeDocument/2006/relationships/hyperlink" Target="https://share.hdrinc.com/sites/CoW_FRLP/ENVIRONMENTAL/COW-FRMP_TR-112%20CONTACT%20Negotiator%20Report.docx" TargetMode="External"/><Relationship Id="rId475" Type="http://schemas.openxmlformats.org/officeDocument/2006/relationships/hyperlink" Target="https://share.hdrinc.com/sites/CoW_FRLP/_layouts/DocIdRedir.aspx?ID=COWFRLPHDR-13-764" TargetMode="External"/><Relationship Id="rId682" Type="http://schemas.openxmlformats.org/officeDocument/2006/relationships/hyperlink" Target="https://share.hdrinc.com/sites/CoW_FRLP/_layouts/DocIdRedir.aspx?ID=COWFRLPHDR-13-1202" TargetMode="External"/><Relationship Id="rId32" Type="http://schemas.openxmlformats.org/officeDocument/2006/relationships/hyperlink" Target="https://share.hdrinc.com/sites/CoW_FRLP/ENVIRONMENTAL/COW-FRMP_TR-010%20CONTACT%20Negotiator%20Report.docx" TargetMode="External"/><Relationship Id="rId128" Type="http://schemas.openxmlformats.org/officeDocument/2006/relationships/hyperlink" Target="https://share.hdrinc.com/sites/CoW_FRLP/ENVIRONMENTAL/COW-FRMP_TR-044%20ENVIRONMENTAL%20Right-of-Entry%20Executed.pdf" TargetMode="External"/><Relationship Id="rId335" Type="http://schemas.openxmlformats.org/officeDocument/2006/relationships/hyperlink" Target="https://share.hdrinc.com/sites/CoW_FRLP/ENVIRONMENTAL/COW-FRMP_TR-131%20ENVIRONMENTAL%20Right-of-Entry%20Package.pdf" TargetMode="External"/><Relationship Id="rId542" Type="http://schemas.openxmlformats.org/officeDocument/2006/relationships/hyperlink" Target="https://share.hdrinc.com/sites/CoW_FRLP/_layouts/DocIdRedir.aspx?ID=COWFRLPHDR-13-1178" TargetMode="External"/><Relationship Id="rId181" Type="http://schemas.openxmlformats.org/officeDocument/2006/relationships/hyperlink" Target="https://share.hdrinc.com/sites/CoW_FRLP/ENVIRONMENTAL/COW-FRMP_TR-065%20TITLE%20Tax%20Card.pdf" TargetMode="External"/><Relationship Id="rId402" Type="http://schemas.openxmlformats.org/officeDocument/2006/relationships/hyperlink" Target="https://share.hdrinc.com/sites/CoW_FRLP/ENVIRONMENTAL/COW-FRMP_TR-203%20ENVIRONMENTAL%20Right-of-Entry%20Package.pdf" TargetMode="External"/><Relationship Id="rId847" Type="http://schemas.openxmlformats.org/officeDocument/2006/relationships/hyperlink" Target="https://share.hdrinc.com/sites/CoW_FRLP/_layouts/DocIdRedir.aspx?ID=COWFRLPHDR-13-1257" TargetMode="External"/><Relationship Id="rId279" Type="http://schemas.openxmlformats.org/officeDocument/2006/relationships/hyperlink" Target="https://share.hdrinc.com/sites/CoW_FRLP/ENVIRONMENTAL/COW-FRMP_TR-115%20CONTACT%20Negotiator%20Report.docx" TargetMode="External"/><Relationship Id="rId486" Type="http://schemas.openxmlformats.org/officeDocument/2006/relationships/hyperlink" Target="https://share.hdrinc.com/sites/CoW_FRLP/_layouts/DocIdRedir.aspx?ID=COWFRLPHDR-13-988" TargetMode="External"/><Relationship Id="rId693" Type="http://schemas.openxmlformats.org/officeDocument/2006/relationships/hyperlink" Target="https://share.hdrinc.com/sites/CoW_FRLP/_layouts/DocIdRedir.aspx?ID=COWFRLPHDR-13-1205" TargetMode="External"/><Relationship Id="rId707" Type="http://schemas.openxmlformats.org/officeDocument/2006/relationships/hyperlink" Target="https://share.hdrinc.com/sites/CoW_FRLP/_layouts/DocIdRedir.aspx?ID=COWFRLPHDR-13-830" TargetMode="External"/><Relationship Id="rId43" Type="http://schemas.openxmlformats.org/officeDocument/2006/relationships/hyperlink" Target="https://share.hdrinc.com/sites/CoW_FRLP/ENVIRONMENTAL/COW-FRMP_TR-012%20TITLE%20Tax%20Card.pdf" TargetMode="External"/><Relationship Id="rId139" Type="http://schemas.openxmlformats.org/officeDocument/2006/relationships/hyperlink" Target="https://share.hdrinc.com/sites/CoW_FRLP/ENVIRONMENTAL/COW-FRMP_TR-048%20CONTACT%20Negotiator%20Report.docx" TargetMode="External"/><Relationship Id="rId346" Type="http://schemas.openxmlformats.org/officeDocument/2006/relationships/hyperlink" Target="https://share.hdrinc.com/sites/CoW_FRLP/ENVIRONMENTAL/COW-FRMP_TR-134%20TITLE%20Tax%20Card.pdf" TargetMode="External"/><Relationship Id="rId553" Type="http://schemas.openxmlformats.org/officeDocument/2006/relationships/hyperlink" Target="https://share.hdrinc.com/sites/CoW_FRLP/_layouts/DocIdRedir.aspx?ID=COWFRLPHDR-13-1180" TargetMode="External"/><Relationship Id="rId760" Type="http://schemas.openxmlformats.org/officeDocument/2006/relationships/hyperlink" Target="https://share.hdrinc.com/sites/CoW_FRLP/_layouts/DocIdRedir.aspx?ID=COWFRLPHDR-13-845" TargetMode="External"/><Relationship Id="rId192" Type="http://schemas.openxmlformats.org/officeDocument/2006/relationships/hyperlink" Target="https://share.hdrinc.com/sites/CoW_FRLP/ENVIRONMENTAL/COW-FRMP_TR-083%20TITLE%20Tax%20Card.pdf" TargetMode="External"/><Relationship Id="rId206" Type="http://schemas.openxmlformats.org/officeDocument/2006/relationships/hyperlink" Target="https://share.hdrinc.com/sites/CoW_FRLP/ENVIRONMENTAL/COW-FRMP_TR-087%20TITLE%20Tax%20Card.pdf" TargetMode="External"/><Relationship Id="rId413" Type="http://schemas.openxmlformats.org/officeDocument/2006/relationships/hyperlink" Target="https://share.hdrinc.com/sites/CoW_FRLP/ENVIRONMENTAL/COW-FRMP_TR-225%20CONTACT%20Negotiator%20Report.docx" TargetMode="External"/><Relationship Id="rId858" Type="http://schemas.openxmlformats.org/officeDocument/2006/relationships/hyperlink" Target="https://share.hdrinc.com/sites/CoW_FRLP/_layouts/DocIdRedir.aspx?ID=COWFRLPHDR-13-1237" TargetMode="External"/><Relationship Id="rId497" Type="http://schemas.openxmlformats.org/officeDocument/2006/relationships/hyperlink" Target="https://share.hdrinc.com/sites/CoW_FRLP/_layouts/DocIdRedir.aspx?ID=COWFRLPHDR-13-1120" TargetMode="External"/><Relationship Id="rId620" Type="http://schemas.openxmlformats.org/officeDocument/2006/relationships/hyperlink" Target="https://share.hdrinc.com/sites/CoW_FRLP/_layouts/DocIdRedir.aspx?ID=COWFRLPHDR-13-1014" TargetMode="External"/><Relationship Id="rId718" Type="http://schemas.openxmlformats.org/officeDocument/2006/relationships/hyperlink" Target="https://share.hdrinc.com/sites/CoW_FRLP/_layouts/DocIdRedir.aspx?ID=COWFRLPHDR-13-833" TargetMode="External"/><Relationship Id="rId357" Type="http://schemas.openxmlformats.org/officeDocument/2006/relationships/hyperlink" Target="https://share.hdrinc.com/sites/CoW_FRLP/ENVIRONMENTAL/COW-FRMP_TR-152%20TITLE%20Tax%20Card.pdf" TargetMode="External"/><Relationship Id="rId54" Type="http://schemas.openxmlformats.org/officeDocument/2006/relationships/hyperlink" Target="https://share.hdrinc.com/sites/CoW_FRLP/ENVIRONMENTAL/COW-FRMP_TR-015%20ENVIRONMENTAL%20Right-of-Entry%20Executed.pdf" TargetMode="External"/><Relationship Id="rId217" Type="http://schemas.openxmlformats.org/officeDocument/2006/relationships/hyperlink" Target="https://share.hdrinc.com/sites/CoW_FRLP/ENVIRONMENTAL/COW-FRMP_TR-094%20ENVIRONMENTAL%20Right-of-Entry%20Package.pdf" TargetMode="External"/><Relationship Id="rId564" Type="http://schemas.openxmlformats.org/officeDocument/2006/relationships/hyperlink" Target="https://share.hdrinc.com/sites/CoW_FRLP/_layouts/DocIdRedir.aspx?ID=COWFRLPHDR-13-1138" TargetMode="External"/><Relationship Id="rId771" Type="http://schemas.openxmlformats.org/officeDocument/2006/relationships/hyperlink" Target="https://share.hdrinc.com/sites/CoW_FRLP/_layouts/DocIdRedir.aspx?ID=COWFRLPHDR-13-982" TargetMode="External"/><Relationship Id="rId869" Type="http://schemas.openxmlformats.org/officeDocument/2006/relationships/hyperlink" Target="https://share.hdrinc.com/sites/CoW_FRLP/_layouts/DocIdRedir.aspx?ID=COWFRLPHDR-13-1098" TargetMode="External"/><Relationship Id="rId424" Type="http://schemas.openxmlformats.org/officeDocument/2006/relationships/hyperlink" Target="https://share.hdrinc.com/sites/CoW_FRLP/ENVIRONMENTAL/COW-FRMP_TR-230%20TITLE%20Tax%20Card.pdf" TargetMode="External"/><Relationship Id="rId631" Type="http://schemas.openxmlformats.org/officeDocument/2006/relationships/hyperlink" Target="https://share.hdrinc.com/sites/CoW_FRLP/_layouts/DocIdRedir.aspx?ID=COWFRLPHDR-13-1022" TargetMode="External"/><Relationship Id="rId729" Type="http://schemas.openxmlformats.org/officeDocument/2006/relationships/hyperlink" Target="https://share.hdrinc.com/sites/CoW_FRLP/_layouts/DocIdRedir.aspx?ID=COWFRLPHDR-13-973" TargetMode="External"/><Relationship Id="rId270" Type="http://schemas.openxmlformats.org/officeDocument/2006/relationships/hyperlink" Target="https://share.hdrinc.com/sites/CoW_FRLP/ENVIRONMENTAL/COW-FRMP_TR-112%20TITLE%20Tax%20Card.pdf" TargetMode="External"/><Relationship Id="rId65" Type="http://schemas.openxmlformats.org/officeDocument/2006/relationships/hyperlink" Target="https://share.hdrinc.com/sites/CoW_FRLP/ENVIRONMENTAL/COW-FRMP_TR-018%20CONTACT%20Negotiator%20Report.docx" TargetMode="External"/><Relationship Id="rId130" Type="http://schemas.openxmlformats.org/officeDocument/2006/relationships/hyperlink" Target="https://share.hdrinc.com/sites/CoW_FRLP/ENVIRONMENTAL/COW-FRMP_TR-044%20TITLE%20Tax%20Card.pdf" TargetMode="External"/><Relationship Id="rId368" Type="http://schemas.openxmlformats.org/officeDocument/2006/relationships/hyperlink" Target="https://share.hdrinc.com/sites/CoW_FRLP/ENVIRONMENTAL/COW-FRMP_TR-155%20TITLE%20Tax%20Card.pdf" TargetMode="External"/><Relationship Id="rId575" Type="http://schemas.openxmlformats.org/officeDocument/2006/relationships/hyperlink" Target="https://share.hdrinc.com/sites/CoW_FRLP/_layouts/DocIdRedir.aspx?ID=COWFRLPHDR-13-1141" TargetMode="External"/><Relationship Id="rId782" Type="http://schemas.openxmlformats.org/officeDocument/2006/relationships/hyperlink" Target="https://share.hdrinc.com/sites/CoW_FRLP/_layouts/DocIdRedir.aspx?ID=COWFRLPHDR-5-686" TargetMode="External"/><Relationship Id="rId228" Type="http://schemas.openxmlformats.org/officeDocument/2006/relationships/hyperlink" Target="https://share.hdrinc.com/sites/CoW_FRLP/ENVIRONMENTAL/COW-FRMP_TR-097%20TITLE%20Tax%20Card.pdf" TargetMode="External"/><Relationship Id="rId435" Type="http://schemas.openxmlformats.org/officeDocument/2006/relationships/hyperlink" Target="https://share.hdrinc.com/sites/CoW_FRLP/ENVIRONMENTAL/COW-FRMP_TR-245%20TITLE%20Tax%20Card.pdf" TargetMode="External"/><Relationship Id="rId642" Type="http://schemas.openxmlformats.org/officeDocument/2006/relationships/hyperlink" Target="https://share.hdrinc.com/sites/CoW_FRLP/_layouts/DocIdRedir.aspx?ID=COWFRLPHDR-13-823" TargetMode="External"/><Relationship Id="rId281" Type="http://schemas.openxmlformats.org/officeDocument/2006/relationships/hyperlink" Target="https://share.hdrinc.com/sites/CoW_FRLP/ENVIRONMENTAL/COW-FRMP_TR-115%20ENVIRONMENTAL%20Right-of-Entry%20Package.pdf" TargetMode="External"/><Relationship Id="rId502" Type="http://schemas.openxmlformats.org/officeDocument/2006/relationships/hyperlink" Target="https://share.hdrinc.com/sites/CoW_FRLP/_layouts/DocIdRedir.aspx?ID=COWFRLPHDR-13-1174" TargetMode="External"/><Relationship Id="rId76" Type="http://schemas.openxmlformats.org/officeDocument/2006/relationships/hyperlink" Target="https://share.hdrinc.com/sites/CoW_FRLP/ENVIRONMENTAL/COW-FRMP_TR-024%20TITLE%20Tax%20Card.pdf" TargetMode="External"/><Relationship Id="rId141" Type="http://schemas.openxmlformats.org/officeDocument/2006/relationships/hyperlink" Target="https://share.hdrinc.com/sites/CoW_FRLP/ENVIRONMENTAL/COW-FRMP_TR-048%20ENVIRONMENTAL%20Right-of-Entry%20Package.pdf" TargetMode="External"/><Relationship Id="rId379" Type="http://schemas.openxmlformats.org/officeDocument/2006/relationships/hyperlink" Target="https://share.hdrinc.com/sites/CoW_FRLP/ENVIRONMENTAL/COW-FRMP_TR-166%20ENVIRONMENTAL%20Right-of-Entry%20Package.pdf" TargetMode="External"/><Relationship Id="rId586" Type="http://schemas.openxmlformats.org/officeDocument/2006/relationships/hyperlink" Target="https://share.hdrinc.com/sites/CoW_FRLP/_layouts/DocIdRedir.aspx?ID=COWFRLPHDR-13-806" TargetMode="External"/><Relationship Id="rId793" Type="http://schemas.openxmlformats.org/officeDocument/2006/relationships/hyperlink" Target="https://share.hdrinc.com/sites/CoW_FRLP/_layouts/DocIdRedir.aspx?ID=COWFRLPHDR-13-1222" TargetMode="External"/><Relationship Id="rId807" Type="http://schemas.openxmlformats.org/officeDocument/2006/relationships/hyperlink" Target="https://share.hdrinc.com/sites/CoW_FRLP/_layouts/DocIdRedir.aspx?ID=COWFRLPHDR-13-1060" TargetMode="External"/><Relationship Id="rId7" Type="http://schemas.openxmlformats.org/officeDocument/2006/relationships/hyperlink" Target="https://share.hdrinc.com/sites/CoW_FRLP/ENVIRONMENTAL/COW-FRMP_TR-002%20ENVIRONMENTAL%20Right-of-Entry%20Package.pdf" TargetMode="External"/><Relationship Id="rId239" Type="http://schemas.openxmlformats.org/officeDocument/2006/relationships/hyperlink" Target="https://share.hdrinc.com/sites/CoW_FRLP/ENVIRONMENTAL/COW-FRMP_TR-104%20ENVIRONMENTAL%20Right-of-Entry%20Package.pdf" TargetMode="External"/><Relationship Id="rId446" Type="http://schemas.openxmlformats.org/officeDocument/2006/relationships/hyperlink" Target="https://share.hdrinc.com/sites/CoW_FRLP/_layouts/DocIdRedir.aspx?ID=COWFRLPHDR-13-1340" TargetMode="External"/><Relationship Id="rId653" Type="http://schemas.openxmlformats.org/officeDocument/2006/relationships/hyperlink" Target="https://share.hdrinc.com/sites/CoW_FRLP/_layouts/DocIdRedir.aspx?ID=COWFRLPHDR-13-1303" TargetMode="External"/><Relationship Id="rId250" Type="http://schemas.openxmlformats.org/officeDocument/2006/relationships/hyperlink" Target="https://share.hdrinc.com/sites/CoW_FRLP/ENVIRONMENTAL/COW-FRMP_TR-107%20ENVIRONMENTAL%20Right-of-Entry%20Package.pdf" TargetMode="External"/><Relationship Id="rId292" Type="http://schemas.openxmlformats.org/officeDocument/2006/relationships/hyperlink" Target="https://share.hdrinc.com/sites/CoW_FRLP/ENVIRONMENTAL/COW-FRMP_TR-118%20ENVIRONMENTAL%20Right-of-Entry%20Executed.pdf" TargetMode="External"/><Relationship Id="rId306" Type="http://schemas.openxmlformats.org/officeDocument/2006/relationships/hyperlink" Target="https://share.hdrinc.com/sites/CoW_FRLP/ENVIRONMENTAL/COW-FRMP_TR-121%20TITLE%20Tax%20Card.pdf" TargetMode="External"/><Relationship Id="rId488" Type="http://schemas.openxmlformats.org/officeDocument/2006/relationships/hyperlink" Target="https://share.hdrinc.com/sites/CoW_FRLP/_layouts/DocIdRedir.aspx?ID=COWFRLPHDR-13-1118" TargetMode="External"/><Relationship Id="rId695" Type="http://schemas.openxmlformats.org/officeDocument/2006/relationships/hyperlink" Target="https://share.hdrinc.com/sites/CoW_FRLP/_layouts/DocIdRedir.aspx?ID=COWFRLPHDR-13-827" TargetMode="External"/><Relationship Id="rId709" Type="http://schemas.openxmlformats.org/officeDocument/2006/relationships/hyperlink" Target="https://share.hdrinc.com/sites/CoW_FRLP/_layouts/DocIdRedir.aspx?ID=COWFRLPHDR-13-1285" TargetMode="External"/><Relationship Id="rId860" Type="http://schemas.openxmlformats.org/officeDocument/2006/relationships/hyperlink" Target="https://share.hdrinc.com/sites/CoW_FRLP/_layouts/DocIdRedir.aspx?ID=COWFRLPHDR-13-918" TargetMode="External"/><Relationship Id="rId45" Type="http://schemas.openxmlformats.org/officeDocument/2006/relationships/hyperlink" Target="https://share.hdrinc.com/sites/CoW_FRLP/ENVIRONMENTAL/COW-FRMP_TR-013%20ENVIRONMENTAL%20Right-of-Entry%20Executed.pdf" TargetMode="External"/><Relationship Id="rId87" Type="http://schemas.openxmlformats.org/officeDocument/2006/relationships/hyperlink" Target="https://share.hdrinc.com/sites/CoW_FRLP/ENVIRONMENTAL/COW-FRMP_TR-029%20ENVIRONMENTAL%20Right-of-Entry%20Executed.pdf" TargetMode="External"/><Relationship Id="rId110" Type="http://schemas.openxmlformats.org/officeDocument/2006/relationships/hyperlink" Target="https://share.hdrinc.com/sites/CoW_FRLP/ENVIRONMENTAL/COW-FRMP_TR-036%20ENVIRONMENTAL%20Right-of-Entry%20Package.pdf" TargetMode="External"/><Relationship Id="rId348" Type="http://schemas.openxmlformats.org/officeDocument/2006/relationships/hyperlink" Target="https://share.hdrinc.com/sites/CoW_FRLP/ENVIRONMENTAL/COW-FRMP_TR-135%20ENVIRONMENTAL%20Right-of-Entry%20Package.pdf" TargetMode="External"/><Relationship Id="rId513" Type="http://schemas.openxmlformats.org/officeDocument/2006/relationships/hyperlink" Target="https://share.hdrinc.com/sites/CoW_FRLP/_layouts/DocIdRedir.aspx?ID=COWFRLPHDR-13-1124" TargetMode="External"/><Relationship Id="rId555" Type="http://schemas.openxmlformats.org/officeDocument/2006/relationships/hyperlink" Target="https://share.hdrinc.com/sites/CoW_FRLP/_layouts/DocIdRedir.aspx?ID=COWFRLPHDR-13-798" TargetMode="External"/><Relationship Id="rId597" Type="http://schemas.openxmlformats.org/officeDocument/2006/relationships/hyperlink" Target="https://share.hdrinc.com/sites/CoW_FRLP/_layouts/DocIdRedir.aspx?ID=COWFRLPHDR-13-1008" TargetMode="External"/><Relationship Id="rId720" Type="http://schemas.openxmlformats.org/officeDocument/2006/relationships/hyperlink" Target="https://share.hdrinc.com/sites/CoW_FRLP/_layouts/DocIdRedir.aspx?ID=COWFRLPHDR-13-1352" TargetMode="External"/><Relationship Id="rId762" Type="http://schemas.openxmlformats.org/officeDocument/2006/relationships/hyperlink" Target="https://share.hdrinc.com/sites/CoW_FRLP/_layouts/DocIdRedir.aspx?ID=COWFRLPHDR-13-1215" TargetMode="External"/><Relationship Id="rId818" Type="http://schemas.openxmlformats.org/officeDocument/2006/relationships/hyperlink" Target="https://share.hdrinc.com/sites/CoW_FRLP/_layouts/DocIdRedir.aspx?ID=COWFRLPHDR-13-1320" TargetMode="External"/><Relationship Id="rId152" Type="http://schemas.openxmlformats.org/officeDocument/2006/relationships/hyperlink" Target="https://share.hdrinc.com/sites/CoW_FRLP/ENVIRONMENTAL/COW-FRMP_TR-051%20ENVIRONMENTAL%20Right-of-Entry%20Executed.pdf" TargetMode="External"/><Relationship Id="rId194" Type="http://schemas.openxmlformats.org/officeDocument/2006/relationships/hyperlink" Target="https://share.hdrinc.com/sites/CoW_FRLP/ENVIRONMENTAL/COW-FRMP_TR-084%20ENVIRONMENTAL%20Right-of-Entry%20Package.pdf" TargetMode="External"/><Relationship Id="rId208" Type="http://schemas.openxmlformats.org/officeDocument/2006/relationships/hyperlink" Target="https://share.hdrinc.com/sites/CoW_FRLP/ENVIRONMENTAL/COW-FRMP_TR-088%20ENVIRONMENTAL%20Right-of-Entry%20Executed.pdf" TargetMode="External"/><Relationship Id="rId415" Type="http://schemas.openxmlformats.org/officeDocument/2006/relationships/hyperlink" Target="https://share.hdrinc.com/sites/CoW_FRLP/ENVIRONMENTAL/COW-FRMP_TR-225%20ENVIRONMENTAL%20Right-of-Entry%20Package.pdf" TargetMode="External"/><Relationship Id="rId457" Type="http://schemas.openxmlformats.org/officeDocument/2006/relationships/hyperlink" Target="https://share.hdrinc.com/sites/CoW_FRLP/_layouts/DocIdRedir.aspx?ID=COWFRLPHDR-11-15" TargetMode="External"/><Relationship Id="rId622" Type="http://schemas.openxmlformats.org/officeDocument/2006/relationships/hyperlink" Target="https://share.hdrinc.com/sites/CoW_FRLP/_layouts/DocIdRedir.aspx?ID=COWFRLPHDR-13-1319" TargetMode="External"/><Relationship Id="rId261" Type="http://schemas.openxmlformats.org/officeDocument/2006/relationships/hyperlink" Target="https://share.hdrinc.com/sites/CoW_FRLP/ENVIRONMENTAL/COW-FRMP_TR-110%20ENVIRONMENTAL%20Right-of-Entry%20Executed.pdf" TargetMode="External"/><Relationship Id="rId499" Type="http://schemas.openxmlformats.org/officeDocument/2006/relationships/hyperlink" Target="https://share.hdrinc.com/sites/CoW_FRLP/_layouts/DocIdRedir.aspx?ID=COWFRLPHDR-13-990" TargetMode="External"/><Relationship Id="rId664" Type="http://schemas.openxmlformats.org/officeDocument/2006/relationships/hyperlink" Target="https://share.hdrinc.com/sites/CoW_FRLP/_layouts/DocIdRedir.aspx?ID=COWFRLPHDR-13-1025" TargetMode="External"/><Relationship Id="rId871" Type="http://schemas.openxmlformats.org/officeDocument/2006/relationships/hyperlink" Target="https://share.hdrinc.com/sites/CoW_FRLP/_layouts/DocIdRedir.aspx?ID=COWFRLPHDR-13-1315" TargetMode="External"/><Relationship Id="rId14" Type="http://schemas.openxmlformats.org/officeDocument/2006/relationships/hyperlink" Target="https://share.hdrinc.com/sites/CoW_FRLP/ENVIRONMENTAL/COW-FRMP_TR-004%20CONTACT%20Negotiator%20Report.docx" TargetMode="External"/><Relationship Id="rId56" Type="http://schemas.openxmlformats.org/officeDocument/2006/relationships/hyperlink" Target="https://share.hdrinc.com/sites/CoW_FRLP/ENVIRONMENTAL/COW-FRMP_TR-015%20TITLE%20Tax%20Card.pdf" TargetMode="External"/><Relationship Id="rId317" Type="http://schemas.openxmlformats.org/officeDocument/2006/relationships/hyperlink" Target="https://share.hdrinc.com/sites/CoW_FRLP/ENVIRONMENTAL/COW-FRMP_TR-125%20TITLE%20Tax%20Card.pdf" TargetMode="External"/><Relationship Id="rId359" Type="http://schemas.openxmlformats.org/officeDocument/2006/relationships/hyperlink" Target="https://share.hdrinc.com/sites/CoW_FRLP/ENVIRONMENTAL/COW-FRMP_TR-153%20ENVIRONMENTAL%20Right-of-Entry%20Executed.pdf" TargetMode="External"/><Relationship Id="rId524" Type="http://schemas.openxmlformats.org/officeDocument/2006/relationships/hyperlink" Target="https://share.hdrinc.com/sites/CoW_FRLP/_layouts/DocIdRedir.aspx?ID=COWFRLPHDR-13-1288" TargetMode="External"/><Relationship Id="rId566" Type="http://schemas.openxmlformats.org/officeDocument/2006/relationships/hyperlink" Target="https://share.hdrinc.com/sites/CoW_FRLP/_layouts/DocIdRedir.aspx?ID=COWFRLPHDR-13-801" TargetMode="External"/><Relationship Id="rId731" Type="http://schemas.openxmlformats.org/officeDocument/2006/relationships/hyperlink" Target="https://share.hdrinc.com/sites/CoW_FRLP/_layouts/DocIdRedir.aspx?ID=COWFRLPHDR-13-748" TargetMode="External"/><Relationship Id="rId773" Type="http://schemas.openxmlformats.org/officeDocument/2006/relationships/hyperlink" Target="https://share.hdrinc.com/sites/CoW_FRLP/_layouts/DocIdRedir.aspx?ID=COWFRLPHDR-13-939" TargetMode="External"/><Relationship Id="rId98" Type="http://schemas.openxmlformats.org/officeDocument/2006/relationships/hyperlink" Target="https://share.hdrinc.com/sites/CoW_FRLP/ENVIRONMENTAL/COW-FRMP_TR-032%20ENVIRONMENTAL%20Right-of-Entry%20Executed.pdf" TargetMode="External"/><Relationship Id="rId121" Type="http://schemas.openxmlformats.org/officeDocument/2006/relationships/hyperlink" Target="https://share.hdrinc.com/sites/CoW_FRLP/ENVIRONMENTAL/COW-FRMP_TR-040%20ENVIRONMENTAL%20Right-of-Entry%20Executed.pdf" TargetMode="External"/><Relationship Id="rId163" Type="http://schemas.openxmlformats.org/officeDocument/2006/relationships/hyperlink" Target="https://share.hdrinc.com/sites/CoW_FRLP/ENVIRONMENTAL/COW-FRMP_TR-054%20ENVIRONMENTAL%20Right-of-Entry%20Executed.pdf" TargetMode="External"/><Relationship Id="rId219" Type="http://schemas.openxmlformats.org/officeDocument/2006/relationships/hyperlink" Target="https://share.hdrinc.com/sites/CoW_FRLP/ENVIRONMENTAL/COW-FRMP_TR-095%20CONTACT%20Negotiator%20Report.docx" TargetMode="External"/><Relationship Id="rId370" Type="http://schemas.openxmlformats.org/officeDocument/2006/relationships/hyperlink" Target="https://share.hdrinc.com/sites/CoW_FRLP/ENVIRONMENTAL/COW-FRMP_TR-156%20ENVIRONMENTAL%20Right-of-Entry%20Executed.pdf" TargetMode="External"/><Relationship Id="rId426" Type="http://schemas.openxmlformats.org/officeDocument/2006/relationships/hyperlink" Target="https://share.hdrinc.com/sites/CoW_FRLP/ENVIRONMENTAL/COW-FRMP_TR-231%20ENVIRONMENTAL%20Right-of-Entry%20Package.pdf" TargetMode="External"/><Relationship Id="rId633" Type="http://schemas.openxmlformats.org/officeDocument/2006/relationships/hyperlink" Target="https://share.hdrinc.com/sites/CoW_FRLP/_layouts/DocIdRedir.aspx?ID=COWFRLPHDR-13-1158" TargetMode="External"/><Relationship Id="rId829" Type="http://schemas.openxmlformats.org/officeDocument/2006/relationships/hyperlink" Target="https://share.hdrinc.com/sites/CoW_FRLP/_layouts/DocIdRedir.aspx?ID=COWFRLPHDR-13-957" TargetMode="External"/><Relationship Id="rId230" Type="http://schemas.openxmlformats.org/officeDocument/2006/relationships/hyperlink" Target="https://share.hdrinc.com/sites/CoW_FRLP/ENVIRONMENTAL/COW-FRMP_TR-098%20ENVIRONMENTAL%20Right-of-Entry%20Executed.pdf" TargetMode="External"/><Relationship Id="rId468" Type="http://schemas.openxmlformats.org/officeDocument/2006/relationships/hyperlink" Target="https://share.hdrinc.com/sites/CoW_FRLP/_layouts/DocIdRedir.aspx?ID=COWFRLPHDR-13-762" TargetMode="External"/><Relationship Id="rId675" Type="http://schemas.openxmlformats.org/officeDocument/2006/relationships/hyperlink" Target="https://share.hdrinc.com/sites/CoW_FRLP/_layouts/DocIdRedir.aspx?ID=COWFRLPHDR-13-1028" TargetMode="External"/><Relationship Id="rId840" Type="http://schemas.openxmlformats.org/officeDocument/2006/relationships/hyperlink" Target="https://share.hdrinc.com/sites/CoW_FRLP/_layouts/DocIdRedir.aspx?ID=COWFRLPHDR-13-903" TargetMode="External"/><Relationship Id="rId882" Type="http://schemas.openxmlformats.org/officeDocument/2006/relationships/table" Target="../tables/table1.xml"/><Relationship Id="rId25" Type="http://schemas.openxmlformats.org/officeDocument/2006/relationships/hyperlink" Target="https://share.hdrinc.com/sites/CoW_FRLP/ENVIRONMENTAL/COW-FRMP_TR-007%20CONTACT%20Negotiator%20Report.docx" TargetMode="External"/><Relationship Id="rId67" Type="http://schemas.openxmlformats.org/officeDocument/2006/relationships/hyperlink" Target="https://share.hdrinc.com/sites/CoW_FRLP/ENVIRONMENTAL/COW-FRMP_TR-018%20ENVIRONMENTAL%20Right-of-Entry%20Package.pdf" TargetMode="External"/><Relationship Id="rId272" Type="http://schemas.openxmlformats.org/officeDocument/2006/relationships/hyperlink" Target="https://share.hdrinc.com/sites/CoW_FRLP/ENVIRONMENTAL/COW-FRMP_TR-113%20ENVIRONMENTAL%20Right-of-Entry%20Executed.pdf" TargetMode="External"/><Relationship Id="rId328" Type="http://schemas.openxmlformats.org/officeDocument/2006/relationships/hyperlink" Target="https://share.hdrinc.com/sites/CoW_FRLP/ENVIRONMENTAL/COW-FRMP_TR-129%20TITLE%20Tax%20Card.pdf" TargetMode="External"/><Relationship Id="rId535" Type="http://schemas.openxmlformats.org/officeDocument/2006/relationships/hyperlink" Target="https://share.hdrinc.com/sites/CoW_FRLP/_layouts/DocIdRedir.aspx?ID=COWFRLPHDR-13-1274" TargetMode="External"/><Relationship Id="rId577" Type="http://schemas.openxmlformats.org/officeDocument/2006/relationships/hyperlink" Target="https://share.hdrinc.com/sites/CoW_FRLP/_layouts/DocIdRedir.aspx?ID=COWFRLPHDR-13-1005" TargetMode="External"/><Relationship Id="rId700" Type="http://schemas.openxmlformats.org/officeDocument/2006/relationships/hyperlink" Target="https://share.hdrinc.com/sites/CoW_FRLP/_layouts/DocIdRedir.aspx?ID=COWFRLPHDR-13-740" TargetMode="External"/><Relationship Id="rId742" Type="http://schemas.openxmlformats.org/officeDocument/2006/relationships/hyperlink" Target="https://share.hdrinc.com/sites/CoW_FRLP/_layouts/DocIdRedir.aspx?ID=COWFRLPHDR-13-839" TargetMode="External"/><Relationship Id="rId132" Type="http://schemas.openxmlformats.org/officeDocument/2006/relationships/hyperlink" Target="https://share.hdrinc.com/sites/CoW_FRLP/ENVIRONMENTAL/COW-FRMP_TR-045%20ENVIRONMENTAL%20Right-of-Entry%20Executed.pdf" TargetMode="External"/><Relationship Id="rId174" Type="http://schemas.openxmlformats.org/officeDocument/2006/relationships/hyperlink" Target="https://share.hdrinc.com/sites/CoW_FRLP/ENVIRONMENTAL/COW-FRMP_TR-064%20CONTACT%20Negotiator%20Report.docx" TargetMode="External"/><Relationship Id="rId381" Type="http://schemas.openxmlformats.org/officeDocument/2006/relationships/hyperlink" Target="https://share.hdrinc.com/sites/CoW_FRLP/ENVIRONMENTAL/COW-FRMP_TR-177%20CONTACT%20Negotiator%20Report.docx" TargetMode="External"/><Relationship Id="rId602" Type="http://schemas.openxmlformats.org/officeDocument/2006/relationships/hyperlink" Target="https://share.hdrinc.com/sites/CoW_FRLP/_layouts/DocIdRedir.aspx?ID=COWFRLPHDR-13-810" TargetMode="External"/><Relationship Id="rId784" Type="http://schemas.openxmlformats.org/officeDocument/2006/relationships/hyperlink" Target="https://share.hdrinc.com/sites/CoW_FRLP/_layouts/DocIdRedir.aspx?ID=COWFRLPHDR-13-1220" TargetMode="External"/><Relationship Id="rId241" Type="http://schemas.openxmlformats.org/officeDocument/2006/relationships/hyperlink" Target="https://share.hdrinc.com/sites/CoW_FRLP/ENVIRONMENTAL/COW-FRMP_TR-105%20CONTACT%20Negotiator%20Report.docx" TargetMode="External"/><Relationship Id="rId437" Type="http://schemas.openxmlformats.org/officeDocument/2006/relationships/hyperlink" Target="https://share.hdrinc.com/sites/CoW_FRLP/ENVIRONMENTAL/COW-FRMP_TR-250%20ENVIRONMENTAL%20Right-of-Entry%20Package.pdf" TargetMode="External"/><Relationship Id="rId479" Type="http://schemas.openxmlformats.org/officeDocument/2006/relationships/hyperlink" Target="https://share.hdrinc.com/sites/CoW_FRLP/_layouts/DocIdRedir.aspx?ID=COWFRLPHDR-13-765" TargetMode="External"/><Relationship Id="rId644" Type="http://schemas.openxmlformats.org/officeDocument/2006/relationships/hyperlink" Target="https://share.hdrinc.com/sites/CoW_FRLP/_layouts/DocIdRedir.aspx?ID=COWFRLPHDR-13-1301" TargetMode="External"/><Relationship Id="rId686" Type="http://schemas.openxmlformats.org/officeDocument/2006/relationships/hyperlink" Target="https://share.hdrinc.com/sites/CoW_FRLP/_layouts/DocIdRedir.aspx?ID=COWFRLPHDR-13-1203" TargetMode="External"/><Relationship Id="rId851" Type="http://schemas.openxmlformats.org/officeDocument/2006/relationships/hyperlink" Target="https://share.hdrinc.com/sites/CoW_FRLP/_layouts/DocIdRedir.aspx?ID=COWFRLPHDR-13-1258" TargetMode="External"/><Relationship Id="rId36" Type="http://schemas.openxmlformats.org/officeDocument/2006/relationships/hyperlink" Target="https://share.hdrinc.com/sites/CoW_FRLP/ENVIRONMENTAL/COW-FRMP_TR-011%20CONTACT%20Negotiator%20Report.docx" TargetMode="External"/><Relationship Id="rId283" Type="http://schemas.openxmlformats.org/officeDocument/2006/relationships/hyperlink" Target="https://share.hdrinc.com/sites/CoW_FRLP/ENVIRONMENTAL/COW-FRMP_TR-116%20CONTACT%20Negotiator%20Report.docx" TargetMode="External"/><Relationship Id="rId339" Type="http://schemas.openxmlformats.org/officeDocument/2006/relationships/hyperlink" Target="https://share.hdrinc.com/sites/CoW_FRLP/ENVIRONMENTAL/COW-FRMP_TR-133%20CONTACT%20Negotiator%20Report.docx" TargetMode="External"/><Relationship Id="rId490" Type="http://schemas.openxmlformats.org/officeDocument/2006/relationships/hyperlink" Target="https://share.hdrinc.com/sites/CoW_FRLP/_layouts/DocIdRedir.aspx?ID=COWFRLPHDR-13-989" TargetMode="External"/><Relationship Id="rId504" Type="http://schemas.openxmlformats.org/officeDocument/2006/relationships/hyperlink" Target="https://share.hdrinc.com/sites/CoW_FRLP/_layouts/DocIdRedir.aspx?ID=COWFRLPHDR-13-771" TargetMode="External"/><Relationship Id="rId546" Type="http://schemas.openxmlformats.org/officeDocument/2006/relationships/hyperlink" Target="https://share.hdrinc.com/sites/CoW_FRLP/_layouts/DocIdRedir.aspx?ID=COWFRLPHDR-13-997" TargetMode="External"/><Relationship Id="rId711" Type="http://schemas.openxmlformats.org/officeDocument/2006/relationships/hyperlink" Target="https://share.hdrinc.com/sites/CoW_FRLP/_layouts/DocIdRedir.aspx?ID=COWFRLPHDR-13-743" TargetMode="External"/><Relationship Id="rId753" Type="http://schemas.openxmlformats.org/officeDocument/2006/relationships/hyperlink" Target="https://share.hdrinc.com/sites/CoW_FRLP/_layouts/DocIdRedir.aspx?ID=COWFRLPHDR-13-1287" TargetMode="External"/><Relationship Id="rId78" Type="http://schemas.openxmlformats.org/officeDocument/2006/relationships/hyperlink" Target="https://share.hdrinc.com/sites/CoW_FRLP/ENVIRONMENTAL/COW-FRMP_TR-025%20TITLE%20Tax%20Card.pdf" TargetMode="External"/><Relationship Id="rId101" Type="http://schemas.openxmlformats.org/officeDocument/2006/relationships/hyperlink" Target="https://share.hdrinc.com/sites/CoW_FRLP/ENVIRONMENTAL/COW-FRMP_TR-033%20CONTACT%20Negotiator%20Report.docx" TargetMode="External"/><Relationship Id="rId143" Type="http://schemas.openxmlformats.org/officeDocument/2006/relationships/hyperlink" Target="https://share.hdrinc.com/sites/CoW_FRLP/ENVIRONMENTAL/COW-FRMP_TR-049%20CONTACT%20Negotiator%20Report.docx" TargetMode="External"/><Relationship Id="rId185" Type="http://schemas.openxmlformats.org/officeDocument/2006/relationships/hyperlink" Target="https://share.hdrinc.com/sites/CoW_FRLP/ENVIRONMENTAL/COW-FRMP_TR-079%20ENVIRONMENTAL%20Right-of-Entry%20Package.pdf" TargetMode="External"/><Relationship Id="rId350" Type="http://schemas.openxmlformats.org/officeDocument/2006/relationships/hyperlink" Target="https://share.hdrinc.com/sites/CoW_FRLP/ENVIRONMENTAL/COW-FRMP_TR-136%20CONTACT%20Negotiator%20Report.docx" TargetMode="External"/><Relationship Id="rId406" Type="http://schemas.openxmlformats.org/officeDocument/2006/relationships/hyperlink" Target="https://share.hdrinc.com/sites/CoW_FRLP/ENVIRONMENTAL/COW-FRMP_TR-214%20TITLE%20Tax%20Card.pdf" TargetMode="External"/><Relationship Id="rId588" Type="http://schemas.openxmlformats.org/officeDocument/2006/relationships/hyperlink" Target="https://share.hdrinc.com/sites/CoW_FRLP/_layouts/DocIdRedir.aspx?ID=COWFRLPHDR-13-1185" TargetMode="External"/><Relationship Id="rId795" Type="http://schemas.openxmlformats.org/officeDocument/2006/relationships/hyperlink" Target="https://share.hdrinc.com/sites/CoW_FRLP/_layouts/DocIdRedir.aspx?ID=COWFRLPHDR-5-690" TargetMode="External"/><Relationship Id="rId809" Type="http://schemas.openxmlformats.org/officeDocument/2006/relationships/hyperlink" Target="https://share.hdrinc.com/sites/CoW_FRLP/_layouts/DocIdRedir.aspx?ID=COWFRLPHDR-13-931" TargetMode="External"/><Relationship Id="rId9" Type="http://schemas.openxmlformats.org/officeDocument/2006/relationships/hyperlink" Target="https://share.hdrinc.com/sites/CoW_FRLP/ENVIRONMENTAL/COW-FRMP_TR-003%20CONTACT%20Negotiator%20Report.docx" TargetMode="External"/><Relationship Id="rId210" Type="http://schemas.openxmlformats.org/officeDocument/2006/relationships/hyperlink" Target="https://share.hdrinc.com/sites/CoW_FRLP/ENVIRONMENTAL/COW-FRMP_TR-088%20TITLE%20Tax%20Card.pdf" TargetMode="External"/><Relationship Id="rId392" Type="http://schemas.openxmlformats.org/officeDocument/2006/relationships/hyperlink" Target="https://share.hdrinc.com/sites/CoW_FRLP/ENVIRONMENTAL/COW-FRMP_TR-180%20CONTACT%20Negotiator%20Report.docx" TargetMode="External"/><Relationship Id="rId448" Type="http://schemas.openxmlformats.org/officeDocument/2006/relationships/hyperlink" Target="https://share.hdrinc.com/sites/CoW_FRLP/_layouts/DocIdRedir.aspx?ID=COWFRLPHDR-13-757" TargetMode="External"/><Relationship Id="rId613" Type="http://schemas.openxmlformats.org/officeDocument/2006/relationships/hyperlink" Target="https://share.hdrinc.com/sites/CoW_FRLP/_layouts/DocIdRedir.aspx?ID=COWFRLPHDR-13-776" TargetMode="External"/><Relationship Id="rId655" Type="http://schemas.openxmlformats.org/officeDocument/2006/relationships/hyperlink" Target="https://share.hdrinc.com/sites/CoW_FRLP/_layouts/DocIdRedir.aspx?ID=COWFRLPHDR-13-1033" TargetMode="External"/><Relationship Id="rId697" Type="http://schemas.openxmlformats.org/officeDocument/2006/relationships/hyperlink" Target="https://share.hdrinc.com/sites/CoW_FRLP/_layouts/DocIdRedir.aspx?ID=COWFRLPHDR-13-1206" TargetMode="External"/><Relationship Id="rId820" Type="http://schemas.openxmlformats.org/officeDocument/2006/relationships/hyperlink" Target="https://share.hdrinc.com/sites/CoW_FRLP/_layouts/DocIdRedir.aspx?ID=COWFRLPHDR-13-876" TargetMode="External"/><Relationship Id="rId862" Type="http://schemas.openxmlformats.org/officeDocument/2006/relationships/hyperlink" Target="https://share.hdrinc.com/sites/CoW_FRLP/_layouts/DocIdRedir.aspx?ID=COWFRLPHDR-13-1314" TargetMode="External"/><Relationship Id="rId252" Type="http://schemas.openxmlformats.org/officeDocument/2006/relationships/hyperlink" Target="https://share.hdrinc.com/sites/CoW_FRLP/ENVIRONMENTAL/COW-FRMP_TR-108%20CONTACT%20Negotiator%20Report.docx" TargetMode="External"/><Relationship Id="rId294" Type="http://schemas.openxmlformats.org/officeDocument/2006/relationships/hyperlink" Target="https://share.hdrinc.com/sites/CoW_FRLP/ENVIRONMENTAL/COW-FRMP_TR-118%20TITLE%20Tax%20Card.pdf" TargetMode="External"/><Relationship Id="rId308" Type="http://schemas.openxmlformats.org/officeDocument/2006/relationships/hyperlink" Target="https://share.hdrinc.com/sites/CoW_FRLP/ENVIRONMENTAL/COW-FRMP_TR-122%20ENVIRONMENTAL%20Right-of-Entry%20Executed.pdf" TargetMode="External"/><Relationship Id="rId515" Type="http://schemas.openxmlformats.org/officeDocument/2006/relationships/hyperlink" Target="https://share.hdrinc.com/sites/CoW_FRLP/_layouts/DocIdRedir.aspx?ID=COWFRLPHDR-13-992" TargetMode="External"/><Relationship Id="rId722" Type="http://schemas.openxmlformats.org/officeDocument/2006/relationships/hyperlink" Target="https://share.hdrinc.com/sites/CoW_FRLP/_layouts/DocIdRedir.aspx?ID=COWFRLPHDR-13-834" TargetMode="External"/><Relationship Id="rId47" Type="http://schemas.openxmlformats.org/officeDocument/2006/relationships/hyperlink" Target="https://share.hdrinc.com/sites/CoW_FRLP/ENVIRONMENTAL/COW-FRMP_TR-013%20TITLE%20Tax%20Card.pdf" TargetMode="External"/><Relationship Id="rId89" Type="http://schemas.openxmlformats.org/officeDocument/2006/relationships/hyperlink" Target="https://share.hdrinc.com/sites/CoW_FRLP/ENVIRONMENTAL/COW-FRMP_TR-029%20TITLE%20Tax%20Card.pdf" TargetMode="External"/><Relationship Id="rId112" Type="http://schemas.openxmlformats.org/officeDocument/2006/relationships/hyperlink" Target="https://share.hdrinc.com/sites/CoW_FRLP/ENVIRONMENTAL/COW-FRMP_TR-038%20CONTACT%20Negotiator%20Report.docx" TargetMode="External"/><Relationship Id="rId154" Type="http://schemas.openxmlformats.org/officeDocument/2006/relationships/hyperlink" Target="https://share.hdrinc.com/sites/CoW_FRLP/ENVIRONMENTAL/COW-FRMP_TR-051%20TITLE%20Tax%20Card.pdf" TargetMode="External"/><Relationship Id="rId361" Type="http://schemas.openxmlformats.org/officeDocument/2006/relationships/hyperlink" Target="https://share.hdrinc.com/sites/CoW_FRLP/ENVIRONMENTAL/COW-FRMP_TR-153%20TITLE%20Tax%20Card.pdf" TargetMode="External"/><Relationship Id="rId557" Type="http://schemas.openxmlformats.org/officeDocument/2006/relationships/hyperlink" Target="https://share.hdrinc.com/sites/CoW_FRLP/_layouts/DocIdRedir.aspx?ID=COWFRLPHDR-13-1181" TargetMode="External"/><Relationship Id="rId599" Type="http://schemas.openxmlformats.org/officeDocument/2006/relationships/hyperlink" Target="https://share.hdrinc.com/sites/CoW_FRLP/_layouts/DocIdRedir.aspx?ID=COWFRLPHDR-13-1146" TargetMode="External"/><Relationship Id="rId764" Type="http://schemas.openxmlformats.org/officeDocument/2006/relationships/hyperlink" Target="https://share.hdrinc.com/sites/CoW_FRLP/_layouts/DocIdRedir.aspx?ID=COWFRLPHDR-13-846" TargetMode="External"/><Relationship Id="rId196" Type="http://schemas.openxmlformats.org/officeDocument/2006/relationships/hyperlink" Target="https://share.hdrinc.com/sites/CoW_FRLP/ENVIRONMENTAL/COW-FRMP_TR-085%20CONTACT%20Negotiator%20Report.docx" TargetMode="External"/><Relationship Id="rId417" Type="http://schemas.openxmlformats.org/officeDocument/2006/relationships/hyperlink" Target="https://share.hdrinc.com/sites/CoW_FRLP/ENVIRONMENTAL/COW-FRMP_TR-226%20CONTACT%20Negotiator%20Report.docx" TargetMode="External"/><Relationship Id="rId459" Type="http://schemas.openxmlformats.org/officeDocument/2006/relationships/hyperlink" Target="https://share.hdrinc.com/sites/CoW_FRLP/_layouts/DocIdRedir.aspx?ID=COWFRLPHDR-13-984" TargetMode="External"/><Relationship Id="rId624" Type="http://schemas.openxmlformats.org/officeDocument/2006/relationships/hyperlink" Target="https://share.hdrinc.com/sites/CoW_FRLP/_layouts/DocIdRedir.aspx?ID=COWFRLPHDR-13-817" TargetMode="External"/><Relationship Id="rId666" Type="http://schemas.openxmlformats.org/officeDocument/2006/relationships/hyperlink" Target="https://share.hdrinc.com/sites/CoW_FRLP/_layouts/DocIdRedir.aspx?ID=COWFRLPHDR-13-1198" TargetMode="External"/><Relationship Id="rId831" Type="http://schemas.openxmlformats.org/officeDocument/2006/relationships/hyperlink" Target="https://share.hdrinc.com/sites/CoW_FRLP/_layouts/DocIdRedir.aspx?ID=COWFRLPHDR-13-882" TargetMode="External"/><Relationship Id="rId873" Type="http://schemas.openxmlformats.org/officeDocument/2006/relationships/hyperlink" Target="https://share.hdrinc.com/sites/CoW_FRLP/_layouts/DocIdRedir.aspx?ID=COWFRLPHDR-13-887" TargetMode="External"/><Relationship Id="rId16" Type="http://schemas.openxmlformats.org/officeDocument/2006/relationships/hyperlink" Target="https://share.hdrinc.com/sites/CoW_FRLP/ENVIRONMENTAL/COW-FRMP_TR-004%20TITLE%20Tax%20Card.pdf" TargetMode="External"/><Relationship Id="rId221" Type="http://schemas.openxmlformats.org/officeDocument/2006/relationships/hyperlink" Target="https://share.hdrinc.com/sites/CoW_FRLP/ENVIRONMENTAL/COW-FRMP_TR-095%20ENVIRONMENTAL%20Right-of-Entry%20Package.pdf" TargetMode="External"/><Relationship Id="rId263" Type="http://schemas.openxmlformats.org/officeDocument/2006/relationships/hyperlink" Target="https://share.hdrinc.com/sites/CoW_FRLP/ENVIRONMENTAL/COW-FRMP_TR-110%20TITLE%20Tax%20Card.pdf" TargetMode="External"/><Relationship Id="rId319" Type="http://schemas.openxmlformats.org/officeDocument/2006/relationships/hyperlink" Target="https://share.hdrinc.com/sites/CoW_FRLP/ENVIRONMENTAL/COW-FRMP_TR-126%20ENVIRONMENTAL%20Right-of-Entry%20Package.pdf" TargetMode="External"/><Relationship Id="rId470" Type="http://schemas.openxmlformats.org/officeDocument/2006/relationships/hyperlink" Target="https://share.hdrinc.com/sites/CoW_FRLP/_layouts/DocIdRedir.aspx?ID=COWFRLPHDR-13-1169" TargetMode="External"/><Relationship Id="rId526" Type="http://schemas.openxmlformats.org/officeDocument/2006/relationships/hyperlink" Target="https://share.hdrinc.com/sites/CoW_FRLP/_layouts/DocIdRedir.aspx?ID=COWFRLPHDR-13-1128" TargetMode="External"/><Relationship Id="rId58" Type="http://schemas.openxmlformats.org/officeDocument/2006/relationships/hyperlink" Target="https://share.hdrinc.com/sites/CoW_FRLP/ENVIRONMENTAL/COW-FRMP_TR-016%20ENVIRONMENTAL%20Right-of-Entry%20Executed.pdf" TargetMode="External"/><Relationship Id="rId123" Type="http://schemas.openxmlformats.org/officeDocument/2006/relationships/hyperlink" Target="https://share.hdrinc.com/sites/CoW_FRLP/ENVIRONMENTAL/COW-FRMP_TR-040%20TITLE%20Tax%20Card.pdf" TargetMode="External"/><Relationship Id="rId330" Type="http://schemas.openxmlformats.org/officeDocument/2006/relationships/hyperlink" Target="https://share.hdrinc.com/sites/CoW_FRLP/ENVIRONMENTAL/COW-FRMP_TR-130%20ENVIRONMENTAL%20Right-of-Entry%20Executed.pdf" TargetMode="External"/><Relationship Id="rId568" Type="http://schemas.openxmlformats.org/officeDocument/2006/relationships/hyperlink" Target="https://share.hdrinc.com/sites/CoW_FRLP/_layouts/DocIdRedir.aspx?ID=COWFRLPHDR-13-1329" TargetMode="External"/><Relationship Id="rId733" Type="http://schemas.openxmlformats.org/officeDocument/2006/relationships/hyperlink" Target="https://share.hdrinc.com/sites/CoW_FRLP/_layouts/DocIdRedir.aspx?ID=COWFRLPHDR-13-974" TargetMode="External"/><Relationship Id="rId775" Type="http://schemas.openxmlformats.org/officeDocument/2006/relationships/hyperlink" Target="https://share.hdrinc.com/sites/CoW_FRLP/_layouts/DocIdRedir.aspx?ID=COWFRLPHDR-13-983" TargetMode="External"/><Relationship Id="rId165" Type="http://schemas.openxmlformats.org/officeDocument/2006/relationships/hyperlink" Target="https://share.hdrinc.com/sites/CoW_FRLP/ENVIRONMENTAL/COW-FRMP_TR-054%20TITLE%20Tax%20Card.pdf" TargetMode="External"/><Relationship Id="rId372" Type="http://schemas.openxmlformats.org/officeDocument/2006/relationships/hyperlink" Target="https://share.hdrinc.com/sites/CoW_FRLP/ENVIRONMENTAL/COW-FRMP_TR-156%20TITLE%20Tax%20Card.pdf" TargetMode="External"/><Relationship Id="rId428" Type="http://schemas.openxmlformats.org/officeDocument/2006/relationships/hyperlink" Target="https://share.hdrinc.com/sites/CoW_FRLP/ENVIRONMENTAL/COW-FRMP_TR-232%20ENVIRONMENTAL%20Right-of-Entry%20Executed.pdf" TargetMode="External"/><Relationship Id="rId635" Type="http://schemas.openxmlformats.org/officeDocument/2006/relationships/hyperlink" Target="https://share.hdrinc.com/sites/CoW_FRLP/_layouts/DocIdRedir.aspx?ID=COWFRLPHDR-13-821" TargetMode="External"/><Relationship Id="rId677" Type="http://schemas.openxmlformats.org/officeDocument/2006/relationships/hyperlink" Target="https://share.hdrinc.com/sites/CoW_FRLP/_layouts/DocIdRedir.aspx?ID=COWFRLPHDR-13-736" TargetMode="External"/><Relationship Id="rId800" Type="http://schemas.openxmlformats.org/officeDocument/2006/relationships/hyperlink" Target="https://share.hdrinc.com/sites/CoW_FRLP/_layouts/DocIdRedir.aspx?ID=COWFRLPHDR-13-1058" TargetMode="External"/><Relationship Id="rId842" Type="http://schemas.openxmlformats.org/officeDocument/2006/relationships/hyperlink" Target="https://share.hdrinc.com/sites/CoW_FRLP/_layouts/DocIdRedir.aspx?ID=COWFRLPHDR-13-1083" TargetMode="External"/><Relationship Id="rId232" Type="http://schemas.openxmlformats.org/officeDocument/2006/relationships/hyperlink" Target="https://share.hdrinc.com/sites/CoW_FRLP/ENVIRONMENTAL/COW-FRMP_TR-098%20TITLE%20Tax%20Card.pdf" TargetMode="External"/><Relationship Id="rId274" Type="http://schemas.openxmlformats.org/officeDocument/2006/relationships/hyperlink" Target="https://share.hdrinc.com/sites/CoW_FRLP/ENVIRONMENTAL/COW-FRMP_TR-113%20TITLE%20Tax%20Card.pdf" TargetMode="External"/><Relationship Id="rId481" Type="http://schemas.openxmlformats.org/officeDocument/2006/relationships/hyperlink" Target="https://share.hdrinc.com/sites/CoW_FRLP/_layouts/DocIdRedir.aspx?ID=COWFRLPHDR-13-1171" TargetMode="External"/><Relationship Id="rId702" Type="http://schemas.openxmlformats.org/officeDocument/2006/relationships/hyperlink" Target="https://share.hdrinc.com/sites/CoW_FRLP/_layouts/DocIdRedir.aspx?ID=COWFRLPHDR-13-967" TargetMode="External"/><Relationship Id="rId27" Type="http://schemas.openxmlformats.org/officeDocument/2006/relationships/hyperlink" Target="https://share.hdrinc.com/sites/CoW_FRLP/ENVIRONMENTAL/COW-FRMP_TR-007%20ENVIRONMENTAL%20Right-of-Entry%20Package.pdf" TargetMode="External"/><Relationship Id="rId69" Type="http://schemas.openxmlformats.org/officeDocument/2006/relationships/hyperlink" Target="https://share.hdrinc.com/sites/CoW_FRLP/ENVIRONMENTAL/COW-FRMP_TR-019%20CONTACT%20Negotiator%20Report.docx" TargetMode="External"/><Relationship Id="rId134" Type="http://schemas.openxmlformats.org/officeDocument/2006/relationships/hyperlink" Target="https://share.hdrinc.com/sites/CoW_FRLP/ENVIRONMENTAL/COW-FRMP_TR-045%20TITLE%20Tax%20Card.pdf" TargetMode="External"/><Relationship Id="rId537" Type="http://schemas.openxmlformats.org/officeDocument/2006/relationships/hyperlink" Target="https://share.hdrinc.com/sites/CoW_FRLP/_layouts/DocIdRedir.aspx?ID=COWFRLPHDR-13-1131" TargetMode="External"/><Relationship Id="rId579" Type="http://schemas.openxmlformats.org/officeDocument/2006/relationships/hyperlink" Target="https://share.hdrinc.com/sites/CoW_FRLP/_layouts/DocIdRedir.aspx?ID=COWFRLPHDR-13-1142" TargetMode="External"/><Relationship Id="rId744" Type="http://schemas.openxmlformats.org/officeDocument/2006/relationships/hyperlink" Target="https://share.hdrinc.com/sites/CoW_FRLP/_layouts/DocIdRedir.aspx?ID=COWFRLPHDR-13-1305" TargetMode="External"/><Relationship Id="rId786" Type="http://schemas.openxmlformats.org/officeDocument/2006/relationships/hyperlink" Target="https://share.hdrinc.com/sites/CoW_FRLP/_layouts/DocIdRedir.aspx?ID=COWFRLPHDR-5-687" TargetMode="External"/><Relationship Id="rId80" Type="http://schemas.openxmlformats.org/officeDocument/2006/relationships/hyperlink" Target="https://share.hdrinc.com/sites/CoW_FRLP/ENVIRONMENTAL/COW-FRMP_TR-027%20ENVIRONMENTAL%20Right-of-Entry%20Package.pdf" TargetMode="External"/><Relationship Id="rId176" Type="http://schemas.openxmlformats.org/officeDocument/2006/relationships/hyperlink" Target="https://share.hdrinc.com/sites/CoW_FRLP/ENVIRONMENTAL/COW-FRMP_TR-064%20ENVIRONMENTAL%20Right-of-Entry%20Package.pdf" TargetMode="External"/><Relationship Id="rId341" Type="http://schemas.openxmlformats.org/officeDocument/2006/relationships/hyperlink" Target="https://share.hdrinc.com/sites/CoW_FRLP/ENVIRONMENTAL/COW-FRMP_TR-133%20ENVIRONMENTAL%20Right-of-Entry%20Package.pdf" TargetMode="External"/><Relationship Id="rId383" Type="http://schemas.openxmlformats.org/officeDocument/2006/relationships/hyperlink" Target="https://share.hdrinc.com/sites/CoW_FRLP/ENVIRONMENTAL/COW-FRMP_TR-177%20ENVIRONMENTAL%20Right-of-Entry%20Package.pdf" TargetMode="External"/><Relationship Id="rId439" Type="http://schemas.openxmlformats.org/officeDocument/2006/relationships/hyperlink" Target="https://share.hdrinc.com/sites/CoW_FRLP/ENVIRONMENTAL/COW-FRMP_TR-258%20ENVIRONMENTAL%20Right-of-Entry%20Package.pdf" TargetMode="External"/><Relationship Id="rId590" Type="http://schemas.openxmlformats.org/officeDocument/2006/relationships/hyperlink" Target="https://share.hdrinc.com/sites/CoW_FRLP/_layouts/DocIdRedir.aspx?ID=COWFRLPHDR-13-807" TargetMode="External"/><Relationship Id="rId604" Type="http://schemas.openxmlformats.org/officeDocument/2006/relationships/hyperlink" Target="https://share.hdrinc.com/sites/CoW_FRLP/_layouts/DocIdRedir.aspx?ID=COWFRLPHDR-13-1010" TargetMode="External"/><Relationship Id="rId646" Type="http://schemas.openxmlformats.org/officeDocument/2006/relationships/hyperlink" Target="https://share.hdrinc.com/sites/CoW_FRLP/_layouts/DocIdRedir.aspx?ID=COWFRLPHDR-13-812" TargetMode="External"/><Relationship Id="rId811" Type="http://schemas.openxmlformats.org/officeDocument/2006/relationships/hyperlink" Target="https://share.hdrinc.com/sites/CoW_FRLP/_layouts/DocIdRedir.aspx?ID=COWFRLPHDR-13-1290" TargetMode="External"/><Relationship Id="rId201" Type="http://schemas.openxmlformats.org/officeDocument/2006/relationships/hyperlink" Target="https://share.hdrinc.com/sites/CoW_FRLP/ENVIRONMENTAL/COW-FRMP_TR-086%20ENVIRONMENTAL%20Right-of-Entry%20Package.pdf" TargetMode="External"/><Relationship Id="rId243" Type="http://schemas.openxmlformats.org/officeDocument/2006/relationships/hyperlink" Target="https://share.hdrinc.com/sites/CoW_FRLP/ENVIRONMENTAL/COW-FRMP_TR-105%20ENVIRONMENTAL%20Right-of-Entry%20Package.pdf" TargetMode="External"/><Relationship Id="rId285" Type="http://schemas.openxmlformats.org/officeDocument/2006/relationships/hyperlink" Target="https://share.hdrinc.com/sites/CoW_FRLP/ENVIRONMENTAL/COW-FRMP_TR-116%20ENVIRONMENTAL%20Right-of-Entry%20Package.pdf" TargetMode="External"/><Relationship Id="rId450" Type="http://schemas.openxmlformats.org/officeDocument/2006/relationships/hyperlink" Target="https://share.hdrinc.com/sites/CoW_FRLP/_layouts/DocIdRedir.aspx?ID=COWFRLPHDR-13-1337" TargetMode="External"/><Relationship Id="rId506" Type="http://schemas.openxmlformats.org/officeDocument/2006/relationships/hyperlink" Target="https://share.hdrinc.com/sites/CoW_FRLP/_layouts/DocIdRedir.aspx?ID=COWFRLPHDR-13-1175" TargetMode="External"/><Relationship Id="rId688" Type="http://schemas.openxmlformats.org/officeDocument/2006/relationships/hyperlink" Target="https://share.hdrinc.com/sites/CoW_FRLP/_layouts/DocIdRedir.aspx?ID=COWFRLPHDR-13-825" TargetMode="External"/><Relationship Id="rId853" Type="http://schemas.openxmlformats.org/officeDocument/2006/relationships/hyperlink" Target="https://share.hdrinc.com/sites/CoW_FRLP/_layouts/DocIdRedir.aspx?ID=COWFRLPHDR-13-1163" TargetMode="External"/><Relationship Id="rId38" Type="http://schemas.openxmlformats.org/officeDocument/2006/relationships/hyperlink" Target="https://share.hdrinc.com/sites/CoW_FRLP/ENVIRONMENTAL/COW-FRMP_TR-011%20ENVIRONMENTAL%20Right-of-Entry%20Package.pdf" TargetMode="External"/><Relationship Id="rId103" Type="http://schemas.openxmlformats.org/officeDocument/2006/relationships/hyperlink" Target="https://share.hdrinc.com/sites/CoW_FRLP/ENVIRONMENTAL/COW-FRMP_TR-033%20ENVIRONMENTAL%20Right-of-Entry%20Package.pdf" TargetMode="External"/><Relationship Id="rId310" Type="http://schemas.openxmlformats.org/officeDocument/2006/relationships/hyperlink" Target="https://share.hdrinc.com/sites/CoW_FRLP/ENVIRONMENTAL/COW-FRMP_TR-122%20TITLE%20Tax%20Card.pdf" TargetMode="External"/><Relationship Id="rId492" Type="http://schemas.openxmlformats.org/officeDocument/2006/relationships/hyperlink" Target="https://share.hdrinc.com/sites/CoW_FRLP/_layouts/DocIdRedir.aspx?ID=COWFRLPHDR-13-1119" TargetMode="External"/><Relationship Id="rId548" Type="http://schemas.openxmlformats.org/officeDocument/2006/relationships/hyperlink" Target="https://share.hdrinc.com/sites/CoW_FRLP/_layouts/DocIdRedir.aspx?ID=COWFRLPHDR-13-1134" TargetMode="External"/><Relationship Id="rId713" Type="http://schemas.openxmlformats.org/officeDocument/2006/relationships/hyperlink" Target="https://share.hdrinc.com/sites/CoW_FRLP/_layouts/DocIdRedir.aspx?ID=COWFRLPHDR-13-969" TargetMode="External"/><Relationship Id="rId755" Type="http://schemas.openxmlformats.org/officeDocument/2006/relationships/hyperlink" Target="https://share.hdrinc.com/sites/CoW_FRLP/_layouts/DocIdRedir.aspx?ID=COWFRLPHDR-13-753" TargetMode="External"/><Relationship Id="rId797" Type="http://schemas.openxmlformats.org/officeDocument/2006/relationships/hyperlink" Target="https://share.hdrinc.com/sites/CoW_FRLP/_layouts/DocIdRedir.aspx?ID=COWFRLPHDR-5-691" TargetMode="External"/><Relationship Id="rId91" Type="http://schemas.openxmlformats.org/officeDocument/2006/relationships/hyperlink" Target="https://share.hdrinc.com/sites/CoW_FRLP/ENVIRONMENTAL/COW-FRMP_TR-030%20ENVIRONMENTAL%20Right-of-Entry%20Package.pdf" TargetMode="External"/><Relationship Id="rId145" Type="http://schemas.openxmlformats.org/officeDocument/2006/relationships/hyperlink" Target="https://share.hdrinc.com/sites/CoW_FRLP/ENVIRONMENTAL/COW-FRMP_TR-049%20ENVIRONMENTAL%20Right-of-Entry%20Package.pdf" TargetMode="External"/><Relationship Id="rId187" Type="http://schemas.openxmlformats.org/officeDocument/2006/relationships/hyperlink" Target="https://share.hdrinc.com/sites/CoW_FRLP/ENVIRONMENTAL/COW-FRMP_TR-082%20ENVIRONMENTAL%20Right-of-Entry%20Executed.pdf" TargetMode="External"/><Relationship Id="rId352" Type="http://schemas.openxmlformats.org/officeDocument/2006/relationships/hyperlink" Target="https://share.hdrinc.com/sites/CoW_FRLP/ENVIRONMENTAL/COW-FRMP_TR-151%20CONTACT%20Negotiator%20Report.docx" TargetMode="External"/><Relationship Id="rId394" Type="http://schemas.openxmlformats.org/officeDocument/2006/relationships/hyperlink" Target="https://share.hdrinc.com/sites/CoW_FRLP/ENVIRONMENTAL/COW-FRMP_TR-199%20ENVIRONMENTAL%20Right-of-Entry%20Executed.pdf" TargetMode="External"/><Relationship Id="rId408" Type="http://schemas.openxmlformats.org/officeDocument/2006/relationships/hyperlink" Target="https://share.hdrinc.com/sites/CoW_FRLP/ENVIRONMENTAL/COW-FRMP_TR-219%20ENVIRONMENTAL%20Right-of-Entry%20Package.pdf" TargetMode="External"/><Relationship Id="rId615" Type="http://schemas.openxmlformats.org/officeDocument/2006/relationships/hyperlink" Target="https://share.hdrinc.com/sites/CoW_FRLP/_layouts/DocIdRedir.aspx?ID=COWFRLPHDR-13-1332" TargetMode="External"/><Relationship Id="rId822" Type="http://schemas.openxmlformats.org/officeDocument/2006/relationships/hyperlink" Target="https://share.hdrinc.com/sites/CoW_FRLP/_layouts/DocIdRedir.aspx?ID=COWFRLPHDR-13-1343" TargetMode="External"/><Relationship Id="rId212" Type="http://schemas.openxmlformats.org/officeDocument/2006/relationships/hyperlink" Target="https://share.hdrinc.com/sites/CoW_FRLP/ENVIRONMENTAL/COW-FRMP_TR-090%20TITLE%20Tax%20Card.pdf" TargetMode="External"/><Relationship Id="rId254" Type="http://schemas.openxmlformats.org/officeDocument/2006/relationships/hyperlink" Target="https://share.hdrinc.com/sites/CoW_FRLP/ENVIRONMENTAL/COW-FRMP_TR-108%20ENVIRONMENTAL%20Right-of-Entry%20Package.pdf" TargetMode="External"/><Relationship Id="rId657" Type="http://schemas.openxmlformats.org/officeDocument/2006/relationships/hyperlink" Target="https://share.hdrinc.com/sites/CoW_FRLP/_layouts/DocIdRedir.aspx?ID=COWFRLPHDR-13-1034" TargetMode="External"/><Relationship Id="rId699" Type="http://schemas.openxmlformats.org/officeDocument/2006/relationships/hyperlink" Target="https://share.hdrinc.com/sites/CoW_FRLP/_layouts/DocIdRedir.aspx?ID=COWFRLPHDR-13-828" TargetMode="External"/><Relationship Id="rId864" Type="http://schemas.openxmlformats.org/officeDocument/2006/relationships/hyperlink" Target="https://share.hdrinc.com/sites/CoW_FRLP/_layouts/DocIdRedir.aspx?ID=COWFRLPHDR-13-884" TargetMode="External"/><Relationship Id="rId49" Type="http://schemas.openxmlformats.org/officeDocument/2006/relationships/hyperlink" Target="https://share.hdrinc.com/sites/CoW_FRLP/ENVIRONMENTAL/COW-FRMP_TR-014%20ENVIRONMENTAL%20Right-of-Entry%20Executed.pdf" TargetMode="External"/><Relationship Id="rId114" Type="http://schemas.openxmlformats.org/officeDocument/2006/relationships/hyperlink" Target="https://share.hdrinc.com/sites/CoW_FRLP/ENVIRONMENTAL/COW-FRMP_TR-038%20ENVIRONMENTAL%20Right-of-Entry%20Package.pdf" TargetMode="External"/><Relationship Id="rId296" Type="http://schemas.openxmlformats.org/officeDocument/2006/relationships/hyperlink" Target="https://share.hdrinc.com/sites/CoW_FRLP/ENVIRONMENTAL/COW-FRMP_TR-119%20ENVIRONMENTAL%20Right-of-Entry%20Executed.pdf" TargetMode="External"/><Relationship Id="rId461" Type="http://schemas.openxmlformats.org/officeDocument/2006/relationships/hyperlink" Target="https://share.hdrinc.com/sites/CoW_FRLP/_layouts/DocIdRedir.aspx?ID=COWFRLPHDR-11-16" TargetMode="External"/><Relationship Id="rId517" Type="http://schemas.openxmlformats.org/officeDocument/2006/relationships/hyperlink" Target="https://share.hdrinc.com/sites/CoW_FRLP/_layouts/DocIdRedir.aspx?ID=COWFRLPHDR-13-1125" TargetMode="External"/><Relationship Id="rId559" Type="http://schemas.openxmlformats.org/officeDocument/2006/relationships/hyperlink" Target="https://share.hdrinc.com/sites/CoW_FRLP/_layouts/DocIdRedir.aspx?ID=COWFRLPHDR-13-799" TargetMode="External"/><Relationship Id="rId724" Type="http://schemas.openxmlformats.org/officeDocument/2006/relationships/hyperlink" Target="https://share.hdrinc.com/sites/CoW_FRLP/_layouts/DocIdRedir.aspx?ID=COWFRLPHDR-13-1211" TargetMode="External"/><Relationship Id="rId766" Type="http://schemas.openxmlformats.org/officeDocument/2006/relationships/hyperlink" Target="https://share.hdrinc.com/sites/CoW_FRLP/_layouts/DocIdRedir.aspx?ID=COWFRLPHDR-13-1216" TargetMode="External"/><Relationship Id="rId60" Type="http://schemas.openxmlformats.org/officeDocument/2006/relationships/hyperlink" Target="https://share.hdrinc.com/sites/CoW_FRLP/ENVIRONMENTAL/COW-FRMP_TR-016%20TITLE%20Tax%20Card.pdf" TargetMode="External"/><Relationship Id="rId156" Type="http://schemas.openxmlformats.org/officeDocument/2006/relationships/hyperlink" Target="https://share.hdrinc.com/sites/CoW_FRLP/ENVIRONMENTAL/COW-FRMP_TR-052%20ENVIRONMENTAL%20Right-of-Entry%20Executed.pdf" TargetMode="External"/><Relationship Id="rId198" Type="http://schemas.openxmlformats.org/officeDocument/2006/relationships/hyperlink" Target="https://share.hdrinc.com/sites/CoW_FRLP/ENVIRONMENTAL/COW-FRMP_TR-085%20TITLE%20Tax%20Card.pdf" TargetMode="External"/><Relationship Id="rId321" Type="http://schemas.openxmlformats.org/officeDocument/2006/relationships/hyperlink" Target="https://share.hdrinc.com/sites/CoW_FRLP/ENVIRONMENTAL/COW-FRMP_TR-128%20CONTACT%20Negotiator%20Report.docx" TargetMode="External"/><Relationship Id="rId363" Type="http://schemas.openxmlformats.org/officeDocument/2006/relationships/hyperlink" Target="https://share.hdrinc.com/sites/CoW_FRLP/ENVIRONMENTAL/COW-FRMP_TR-154%20ENVIRONMENTAL%20Right-of-Entry%20Executed.pdf" TargetMode="External"/><Relationship Id="rId419" Type="http://schemas.openxmlformats.org/officeDocument/2006/relationships/hyperlink" Target="https://share.hdrinc.com/sites/CoW_FRLP/ENVIRONMENTAL/COW-FRMP_TR-226%20ENVIRONMENTAL%20Right-of-Entry%20Package.pdf" TargetMode="External"/><Relationship Id="rId570" Type="http://schemas.openxmlformats.org/officeDocument/2006/relationships/hyperlink" Target="https://share.hdrinc.com/sites/CoW_FRLP/_layouts/DocIdRedir.aspx?ID=COWFRLPHDR-13-802" TargetMode="External"/><Relationship Id="rId626" Type="http://schemas.openxmlformats.org/officeDocument/2006/relationships/hyperlink" Target="https://share.hdrinc.com/sites/CoW_FRLP/_layouts/DocIdRedir.aspx?ID=COWFRLPHDR-13-818" TargetMode="External"/><Relationship Id="rId223" Type="http://schemas.openxmlformats.org/officeDocument/2006/relationships/hyperlink" Target="https://share.hdrinc.com/sites/CoW_FRLP/ENVIRONMENTAL/COW-FRMP_TR-096%20ENVIRONMENTAL%20Right-of-Entry%20Executed.pdf" TargetMode="External"/><Relationship Id="rId430" Type="http://schemas.openxmlformats.org/officeDocument/2006/relationships/hyperlink" Target="https://share.hdrinc.com/sites/CoW_FRLP/ENVIRONMENTAL/COW-FRMP_TR-232%20TITLE%20Tax%20Card.pdf" TargetMode="External"/><Relationship Id="rId668" Type="http://schemas.openxmlformats.org/officeDocument/2006/relationships/hyperlink" Target="https://share.hdrinc.com/sites/CoW_FRLP/_layouts/DocIdRedir.aspx?ID=COWFRLPHDR-13-851" TargetMode="External"/><Relationship Id="rId833" Type="http://schemas.openxmlformats.org/officeDocument/2006/relationships/hyperlink" Target="https://share.hdrinc.com/sites/CoW_FRLP/_layouts/DocIdRedir.aspx?ID=COWFRLPHDR-13-1101" TargetMode="External"/><Relationship Id="rId875" Type="http://schemas.openxmlformats.org/officeDocument/2006/relationships/hyperlink" Target="https://share.hdrinc.com/sites/CoW_FRLP/_layouts/DocIdRedir.aspx?ID=COWFRLPHDR-13-895" TargetMode="External"/><Relationship Id="rId18" Type="http://schemas.openxmlformats.org/officeDocument/2006/relationships/hyperlink" Target="https://share.hdrinc.com/sites/CoW_FRLP/ENVIRONMENTAL/COW-FRMP_TR-005%20ENVIRONMENTAL%20Right-of-Entry%20Executed.pdf" TargetMode="External"/><Relationship Id="rId265" Type="http://schemas.openxmlformats.org/officeDocument/2006/relationships/hyperlink" Target="https://share.hdrinc.com/sites/CoW_FRLP/ENVIRONMENTAL/COW-FRMP_TR-111%20ENVIRONMENTAL%20Right-of-Entry%20Executed.pdf" TargetMode="External"/><Relationship Id="rId472" Type="http://schemas.openxmlformats.org/officeDocument/2006/relationships/hyperlink" Target="https://share.hdrinc.com/sites/CoW_FRLP/_layouts/DocIdRedir.aspx?ID=COWFRLPHDR-13-1114" TargetMode="External"/><Relationship Id="rId528" Type="http://schemas.openxmlformats.org/officeDocument/2006/relationships/hyperlink" Target="https://share.hdrinc.com/sites/CoW_FRLP/_layouts/DocIdRedir.aspx?ID=COWFRLPHDR-13-994" TargetMode="External"/><Relationship Id="rId735" Type="http://schemas.openxmlformats.org/officeDocument/2006/relationships/hyperlink" Target="https://share.hdrinc.com/sites/CoW_FRLP/_layouts/DocIdRedir.aspx?ID=COWFRLPHDR-13-749" TargetMode="External"/><Relationship Id="rId125" Type="http://schemas.openxmlformats.org/officeDocument/2006/relationships/hyperlink" Target="https://share.hdrinc.com/sites/CoW_FRLP/ENVIRONMENTAL/COW-FRMP_TR-041%20ENVIRONMENTAL%20Right-of-Entry%20Package.pdf" TargetMode="External"/><Relationship Id="rId167" Type="http://schemas.openxmlformats.org/officeDocument/2006/relationships/hyperlink" Target="https://share.hdrinc.com/sites/CoW_FRLP/ENVIRONMENTAL/COW-FRMP_TR-055%20ENVIRONMENTAL%20Right-of-Entry%20Executed.pdf" TargetMode="External"/><Relationship Id="rId332" Type="http://schemas.openxmlformats.org/officeDocument/2006/relationships/hyperlink" Target="https://share.hdrinc.com/sites/CoW_FRLP/ENVIRONMENTAL/COW-FRMP_TR-130%20TITLE%20Tax%20Card.pdf" TargetMode="External"/><Relationship Id="rId374" Type="http://schemas.openxmlformats.org/officeDocument/2006/relationships/hyperlink" Target="https://share.hdrinc.com/sites/CoW_FRLP/ENVIRONMENTAL/COW-FRMP_TR-160%20ENVIRONMENTAL%20Right-of-Entry%20Executed.pdf" TargetMode="External"/><Relationship Id="rId581" Type="http://schemas.openxmlformats.org/officeDocument/2006/relationships/hyperlink" Target="https://share.hdrinc.com/sites/CoW_FRLP/_layouts/DocIdRedir.aspx?ID=COWFRLPHDR-13-1276" TargetMode="External"/><Relationship Id="rId777" Type="http://schemas.openxmlformats.org/officeDocument/2006/relationships/hyperlink" Target="https://share.hdrinc.com/sites/CoW_FRLP/_layouts/DocIdRedir.aspx?ID=COWFRLPHDR-13-1260" TargetMode="External"/><Relationship Id="rId71" Type="http://schemas.openxmlformats.org/officeDocument/2006/relationships/hyperlink" Target="https://share.hdrinc.com/sites/CoW_FRLP/ENVIRONMENTAL/COW-FRMP_TR-019%20ENVIRONMENTAL%20Right-of-Entry%20Package.pdf" TargetMode="External"/><Relationship Id="rId234" Type="http://schemas.openxmlformats.org/officeDocument/2006/relationships/hyperlink" Target="https://share.hdrinc.com/sites/CoW_FRLP/ENVIRONMENTAL/COW-FRMP_TR-099%20ENVIRONMENTAL%20Right-of-Entry%20Executed.pdf" TargetMode="External"/><Relationship Id="rId637" Type="http://schemas.openxmlformats.org/officeDocument/2006/relationships/hyperlink" Target="https://share.hdrinc.com/sites/CoW_FRLP/_layouts/DocIdRedir.aspx?ID=COWFRLPHDR-13-1029" TargetMode="External"/><Relationship Id="rId679" Type="http://schemas.openxmlformats.org/officeDocument/2006/relationships/hyperlink" Target="https://share.hdrinc.com/sites/CoW_FRLP/_layouts/DocIdRedir.aspx?ID=COWFRLPHDR-13-1283" TargetMode="External"/><Relationship Id="rId802" Type="http://schemas.openxmlformats.org/officeDocument/2006/relationships/hyperlink" Target="https://share.hdrinc.com/sites/CoW_FRLP/_layouts/DocIdRedir.aspx?ID=COWFRLPHDR-13-933" TargetMode="External"/><Relationship Id="rId844" Type="http://schemas.openxmlformats.org/officeDocument/2006/relationships/hyperlink" Target="https://share.hdrinc.com/sites/CoW_FRLP/_layouts/DocIdRedir.aspx?ID=COWFRLPHDR-13-1255" TargetMode="External"/><Relationship Id="rId2" Type="http://schemas.openxmlformats.org/officeDocument/2006/relationships/hyperlink" Target="https://share.hdrinc.com/sites/CoW_FRLP/ENVIRONMENTAL/COW-FRMP_TR-001%20ENVIRONMENTAL%20Right-of-Entry%20Executed.pdf" TargetMode="External"/><Relationship Id="rId29" Type="http://schemas.openxmlformats.org/officeDocument/2006/relationships/hyperlink" Target="https://share.hdrinc.com/sites/CoW_FRLP/ENVIRONMENTAL/COW-FRMP_TR-008%20CONTACT%20Negotiator%20Report.docx" TargetMode="External"/><Relationship Id="rId276" Type="http://schemas.openxmlformats.org/officeDocument/2006/relationships/hyperlink" Target="https://share.hdrinc.com/sites/CoW_FRLP/ENVIRONMENTAL/COW-FRMP_TR-114%20ENVIRONMENTAL%20Right-of-Entry%20Executed.pdf" TargetMode="External"/><Relationship Id="rId441" Type="http://schemas.openxmlformats.org/officeDocument/2006/relationships/hyperlink" Target="https://share.hdrinc.com/sites/CoW_FRLP/_layouts/DocIdRedir.aspx?ID=COWFRLPHDR-11-11" TargetMode="External"/><Relationship Id="rId483" Type="http://schemas.openxmlformats.org/officeDocument/2006/relationships/hyperlink" Target="https://share.hdrinc.com/sites/CoW_FRLP/_layouts/DocIdRedir.aspx?ID=COWFRLPHDR-13-766" TargetMode="External"/><Relationship Id="rId539" Type="http://schemas.openxmlformats.org/officeDocument/2006/relationships/hyperlink" Target="https://share.hdrinc.com/sites/CoW_FRLP/_layouts/DocIdRedir.aspx?ID=COWFRLPHDR-13-1275" TargetMode="External"/><Relationship Id="rId690" Type="http://schemas.openxmlformats.org/officeDocument/2006/relationships/hyperlink" Target="https://share.hdrinc.com/sites/CoW_FRLP/_layouts/DocIdRedir.aspx?ID=COWFRLPHDR-13-1037" TargetMode="External"/><Relationship Id="rId704" Type="http://schemas.openxmlformats.org/officeDocument/2006/relationships/hyperlink" Target="https://share.hdrinc.com/sites/CoW_FRLP/_layouts/DocIdRedir.aspx?ID=COWFRLPHDR-13-741" TargetMode="External"/><Relationship Id="rId746" Type="http://schemas.openxmlformats.org/officeDocument/2006/relationships/hyperlink" Target="https://share.hdrinc.com/sites/CoW_FRLP/_layouts/DocIdRedir.aspx?ID=COWFRLPHDR-13-840" TargetMode="External"/><Relationship Id="rId40" Type="http://schemas.openxmlformats.org/officeDocument/2006/relationships/hyperlink" Target="https://share.hdrinc.com/sites/CoW_FRLP/ENVIRONMENTAL/COW-FRMP_TR-012%20CONTACT%20Negotiator%20Report.docx" TargetMode="External"/><Relationship Id="rId136" Type="http://schemas.openxmlformats.org/officeDocument/2006/relationships/hyperlink" Target="https://share.hdrinc.com/sites/CoW_FRLP/ENVIRONMENTAL/COW-FRMP_TR-047%20ENVIRONMENTAL%20Right-of-Entry%20Executed.pdf" TargetMode="External"/><Relationship Id="rId178" Type="http://schemas.openxmlformats.org/officeDocument/2006/relationships/hyperlink" Target="https://share.hdrinc.com/sites/CoW_FRLP/ENVIRONMENTAL/COW-FRMP_TR-065%20CONTACT%20Negotiator%20Report.docx" TargetMode="External"/><Relationship Id="rId301" Type="http://schemas.openxmlformats.org/officeDocument/2006/relationships/hyperlink" Target="https://share.hdrinc.com/sites/CoW_FRLP/ENVIRONMENTAL/COW-FRMP_TR-120%20ENVIRONMENTAL%20Right-of-Entry%20Package.pdf" TargetMode="External"/><Relationship Id="rId343" Type="http://schemas.openxmlformats.org/officeDocument/2006/relationships/hyperlink" Target="https://share.hdrinc.com/sites/CoW_FRLP/ENVIRONMENTAL/COW-FRMP_TR-134%20CONTACT%20Negotiator%20Report.docx" TargetMode="External"/><Relationship Id="rId550" Type="http://schemas.openxmlformats.org/officeDocument/2006/relationships/hyperlink" Target="https://share.hdrinc.com/sites/CoW_FRLP/_layouts/DocIdRedir.aspx?ID=COWFRLPHDR-13-998" TargetMode="External"/><Relationship Id="rId788" Type="http://schemas.openxmlformats.org/officeDocument/2006/relationships/hyperlink" Target="https://share.hdrinc.com/sites/CoW_FRLP/_layouts/DocIdRedir.aspx?ID=COWFRLPHDR-13-1055" TargetMode="External"/><Relationship Id="rId82" Type="http://schemas.openxmlformats.org/officeDocument/2006/relationships/hyperlink" Target="https://share.hdrinc.com/sites/CoW_FRLP/ENVIRONMENTAL/COW-FRMP_TR-028%20CONTACT%20Negotiator%20Report.docx" TargetMode="External"/><Relationship Id="rId203" Type="http://schemas.openxmlformats.org/officeDocument/2006/relationships/hyperlink" Target="https://share.hdrinc.com/sites/CoW_FRLP/ENVIRONMENTAL/COW-FRMP_TR-087%20CONTACT%20Negotiator%20Report.docx" TargetMode="External"/><Relationship Id="rId385" Type="http://schemas.openxmlformats.org/officeDocument/2006/relationships/hyperlink" Target="https://share.hdrinc.com/sites/CoW_FRLP/ENVIRONMENTAL/COW-FRMP_TR-178%20CONTACT%20Negotiator%20Report.docx" TargetMode="External"/><Relationship Id="rId592" Type="http://schemas.openxmlformats.org/officeDocument/2006/relationships/hyperlink" Target="https://share.hdrinc.com/sites/CoW_FRLP/_layouts/DocIdRedir.aspx?ID=COWFRLPHDR-13-1187" TargetMode="External"/><Relationship Id="rId606" Type="http://schemas.openxmlformats.org/officeDocument/2006/relationships/hyperlink" Target="https://share.hdrinc.com/sites/CoW_FRLP/_layouts/DocIdRedir.aspx?ID=COWFRLPHDR-13-1147" TargetMode="External"/><Relationship Id="rId648" Type="http://schemas.openxmlformats.org/officeDocument/2006/relationships/hyperlink" Target="https://share.hdrinc.com/sites/CoW_FRLP/_layouts/DocIdRedir.aspx?ID=COWFRLPHDR-13-1302" TargetMode="External"/><Relationship Id="rId813" Type="http://schemas.openxmlformats.org/officeDocument/2006/relationships/hyperlink" Target="https://share.hdrinc.com/sites/CoW_FRLP/_layouts/DocIdRedir.aspx?ID=COWFRLPHDR-13-927" TargetMode="External"/><Relationship Id="rId855" Type="http://schemas.openxmlformats.org/officeDocument/2006/relationships/hyperlink" Target="https://share.hdrinc.com/sites/CoW_FRLP/_layouts/DocIdRedir.aspx?ID=COWFRLPHDR-13-1092" TargetMode="External"/><Relationship Id="rId245" Type="http://schemas.openxmlformats.org/officeDocument/2006/relationships/hyperlink" Target="https://share.hdrinc.com/sites/CoW_FRLP/ENVIRONMENTAL/COW-FRMP_TR-106%20CONTACT%20Negotiator%20Report.docx" TargetMode="External"/><Relationship Id="rId287" Type="http://schemas.openxmlformats.org/officeDocument/2006/relationships/hyperlink" Target="https://share.hdrinc.com/sites/CoW_FRLP/ENVIRONMENTAL/COW-FRMP_TR-117%20CONTACT%20Negotiator%20Report.docx" TargetMode="External"/><Relationship Id="rId410" Type="http://schemas.openxmlformats.org/officeDocument/2006/relationships/hyperlink" Target="https://share.hdrinc.com/sites/CoW_FRLP/ENVIRONMENTAL/COW-FRMP_TR-220%20ENVIRONMENTAL%20Right-of-Entry%20Package.pdf" TargetMode="External"/><Relationship Id="rId452" Type="http://schemas.openxmlformats.org/officeDocument/2006/relationships/hyperlink" Target="https://share.hdrinc.com/sites/CoW_FRLP/_layouts/DocIdRedir.aspx?ID=COWFRLPHDR-13-1269" TargetMode="External"/><Relationship Id="rId494" Type="http://schemas.openxmlformats.org/officeDocument/2006/relationships/hyperlink" Target="https://share.hdrinc.com/sites/CoW_FRLP/_layouts/DocIdRedir.aspx?ID=COWFRLPHDR-13-1341" TargetMode="External"/><Relationship Id="rId508" Type="http://schemas.openxmlformats.org/officeDocument/2006/relationships/hyperlink" Target="https://share.hdrinc.com/sites/CoW_FRLP/_layouts/DocIdRedir.aspx?ID=COWFRLPHDR-13-772" TargetMode="External"/><Relationship Id="rId715" Type="http://schemas.openxmlformats.org/officeDocument/2006/relationships/hyperlink" Target="https://share.hdrinc.com/sites/CoW_FRLP/_layouts/DocIdRedir.aspx?ID=COWFRLPHDR-13-744" TargetMode="External"/><Relationship Id="rId105" Type="http://schemas.openxmlformats.org/officeDocument/2006/relationships/hyperlink" Target="https://share.hdrinc.com/sites/CoW_FRLP/ENVIRONMENTAL/COW-FRMP_TR-035%20CONTACT%20Negotiator%20Report.docx" TargetMode="External"/><Relationship Id="rId147" Type="http://schemas.openxmlformats.org/officeDocument/2006/relationships/hyperlink" Target="https://share.hdrinc.com/sites/CoW_FRLP/ENVIRONMENTAL/COW-FRMP_TR-050%20CONTACT%20Negotiator%20Report.docx" TargetMode="External"/><Relationship Id="rId312" Type="http://schemas.openxmlformats.org/officeDocument/2006/relationships/hyperlink" Target="https://share.hdrinc.com/sites/CoW_FRLP/ENVIRONMENTAL/COW-FRMP_TR-123%20TITLE%20Tax%20Card.pdf" TargetMode="External"/><Relationship Id="rId354" Type="http://schemas.openxmlformats.org/officeDocument/2006/relationships/hyperlink" Target="https://share.hdrinc.com/sites/CoW_FRLP/ENVIRONMENTAL/COW-FRMP_TR-151%20ENVIRONMENTAL%20Right-of-Entry%20Package.pdf" TargetMode="External"/><Relationship Id="rId757" Type="http://schemas.openxmlformats.org/officeDocument/2006/relationships/hyperlink" Target="https://share.hdrinc.com/sites/CoW_FRLP/_layouts/DocIdRedir.aspx?ID=COWFRLPHDR-13-844" TargetMode="External"/><Relationship Id="rId799" Type="http://schemas.openxmlformats.org/officeDocument/2006/relationships/hyperlink" Target="https://share.hdrinc.com/sites/CoW_FRLP/_layouts/DocIdRedir.aspx?ID=COWFRLPHDR-13-1307" TargetMode="External"/><Relationship Id="rId51" Type="http://schemas.openxmlformats.org/officeDocument/2006/relationships/hyperlink" Target="https://share.hdrinc.com/sites/CoW_FRLP/ENVIRONMENTAL/COW-FRMP_TR-014%20TITLE%20Tax%20Card.pdf" TargetMode="External"/><Relationship Id="rId93" Type="http://schemas.openxmlformats.org/officeDocument/2006/relationships/hyperlink" Target="https://share.hdrinc.com/sites/CoW_FRLP/ENVIRONMENTAL/COW-FRMP_TR-031%20CONTACT%20Negotiator%20Report.docx" TargetMode="External"/><Relationship Id="rId189" Type="http://schemas.openxmlformats.org/officeDocument/2006/relationships/hyperlink" Target="https://share.hdrinc.com/sites/CoW_FRLP/ENVIRONMENTAL/COW-FRMP_TR-082%20TITLE%20Tax%20Card.pdf" TargetMode="External"/><Relationship Id="rId396" Type="http://schemas.openxmlformats.org/officeDocument/2006/relationships/hyperlink" Target="https://share.hdrinc.com/sites/CoW_FRLP/ENVIRONMENTAL/COW-FRMP_TR-199%20TITLE%20Tax%20Card.pdf" TargetMode="External"/><Relationship Id="rId561" Type="http://schemas.openxmlformats.org/officeDocument/2006/relationships/hyperlink" Target="https://share.hdrinc.com/sites/CoW_FRLP/_layouts/DocIdRedir.aspx?ID=COWFRLPHDR-13-1182" TargetMode="External"/><Relationship Id="rId617" Type="http://schemas.openxmlformats.org/officeDocument/2006/relationships/hyperlink" Target="https://share.hdrinc.com/sites/CoW_FRLP/_layouts/DocIdRedir.aspx?ID=COWFRLPHDR-13-777" TargetMode="External"/><Relationship Id="rId659" Type="http://schemas.openxmlformats.org/officeDocument/2006/relationships/hyperlink" Target="https://share.hdrinc.com/sites/CoW_FRLP/_layouts/DocIdRedir.aspx?ID=COWFRLPHDR-13-731" TargetMode="External"/><Relationship Id="rId824" Type="http://schemas.openxmlformats.org/officeDocument/2006/relationships/hyperlink" Target="https://share.hdrinc.com/sites/CoW_FRLP/_layouts/DocIdRedir.aspx?ID=COWFRLPHDR-13-880" TargetMode="External"/><Relationship Id="rId866" Type="http://schemas.openxmlformats.org/officeDocument/2006/relationships/hyperlink" Target="https://share.hdrinc.com/sites/CoW_FRLP/_layouts/DocIdRedir.aspx?ID=COWFRLPHDR-13-1097" TargetMode="External"/><Relationship Id="rId214" Type="http://schemas.openxmlformats.org/officeDocument/2006/relationships/hyperlink" Target="https://share.hdrinc.com/sites/CoW_FRLP/ENVIRONMENTAL/COW-FRMP_TR-092%20TITLE%20Tax%20Card.pdf" TargetMode="External"/><Relationship Id="rId256" Type="http://schemas.openxmlformats.org/officeDocument/2006/relationships/hyperlink" Target="https://share.hdrinc.com/sites/CoW_FRLP/ENVIRONMENTAL/COW-FRMP_TR-109%20CONTACT%20Negotiator%20Report.docx" TargetMode="External"/><Relationship Id="rId298" Type="http://schemas.openxmlformats.org/officeDocument/2006/relationships/hyperlink" Target="https://share.hdrinc.com/sites/CoW_FRLP/ENVIRONMENTAL/COW-FRMP_TR-119%20TITLE%20Tax%20Card.pdf" TargetMode="External"/><Relationship Id="rId421" Type="http://schemas.openxmlformats.org/officeDocument/2006/relationships/hyperlink" Target="https://share.hdrinc.com/sites/CoW_FRLP/ENVIRONMENTAL/COW-FRMP_TR-229%20TITLE%20Tax%20Card.pdf" TargetMode="External"/><Relationship Id="rId463" Type="http://schemas.openxmlformats.org/officeDocument/2006/relationships/hyperlink" Target="https://share.hdrinc.com/sites/CoW_FRLP/_layouts/DocIdRedir.aspx?ID=COWFRLPHDR-5-719" TargetMode="External"/><Relationship Id="rId519" Type="http://schemas.openxmlformats.org/officeDocument/2006/relationships/hyperlink" Target="https://share.hdrinc.com/sites/CoW_FRLP/_layouts/DocIdRedir.aspx?ID=COWFRLPHDR-13-1126" TargetMode="External"/><Relationship Id="rId670" Type="http://schemas.openxmlformats.org/officeDocument/2006/relationships/hyperlink" Target="https://share.hdrinc.com/sites/CoW_FRLP/_layouts/DocIdRedir.aspx?ID=COWFRLPHDR-13-1333" TargetMode="External"/><Relationship Id="rId116" Type="http://schemas.openxmlformats.org/officeDocument/2006/relationships/hyperlink" Target="https://share.hdrinc.com/sites/CoW_FRLP/ENVIRONMENTAL/COW-FRMP_TR-039%20CONTACT%20Negotiator%20Report.docx" TargetMode="External"/><Relationship Id="rId158" Type="http://schemas.openxmlformats.org/officeDocument/2006/relationships/hyperlink" Target="https://share.hdrinc.com/sites/CoW_FRLP/ENVIRONMENTAL/COW-FRMP_TR-052%20TITLE%20Tax%20Card.pdf" TargetMode="External"/><Relationship Id="rId323" Type="http://schemas.openxmlformats.org/officeDocument/2006/relationships/hyperlink" Target="https://share.hdrinc.com/sites/CoW_FRLP/ENVIRONMENTAL/COW-FRMP_TR-128%20ENVIRONMENTAL%20Right-of-Entry%20Package.pdf" TargetMode="External"/><Relationship Id="rId530" Type="http://schemas.openxmlformats.org/officeDocument/2006/relationships/hyperlink" Target="https://share.hdrinc.com/sites/CoW_FRLP/_layouts/DocIdRedir.aspx?ID=COWFRLPHDR-13-1129" TargetMode="External"/><Relationship Id="rId726" Type="http://schemas.openxmlformats.org/officeDocument/2006/relationships/hyperlink" Target="https://share.hdrinc.com/sites/CoW_FRLP/_layouts/DocIdRedir.aspx?ID=COWFRLPHDR-13-835" TargetMode="External"/><Relationship Id="rId768" Type="http://schemas.openxmlformats.org/officeDocument/2006/relationships/hyperlink" Target="https://share.hdrinc.com/sites/CoW_FRLP/_layouts/DocIdRedir.aspx?ID=COWFRLPHDR-13-726" TargetMode="External"/><Relationship Id="rId20" Type="http://schemas.openxmlformats.org/officeDocument/2006/relationships/hyperlink" Target="https://share.hdrinc.com/sites/CoW_FRLP/ENVIRONMENTAL/COW-FRMP_TR-005%20TITLE%20Tax%20Card.pdf" TargetMode="External"/><Relationship Id="rId62" Type="http://schemas.openxmlformats.org/officeDocument/2006/relationships/hyperlink" Target="https://share.hdrinc.com/sites/CoW_FRLP/ENVIRONMENTAL/COW-FRMP_TR-017%20ENVIRONMENTAL%20Right-of-Entry%20Executed.pdf" TargetMode="External"/><Relationship Id="rId365" Type="http://schemas.openxmlformats.org/officeDocument/2006/relationships/hyperlink" Target="https://share.hdrinc.com/sites/CoW_FRLP/ENVIRONMENTAL/COW-FRMP_TR-154%20TITLE%20Tax%20Card.pdf" TargetMode="External"/><Relationship Id="rId572" Type="http://schemas.openxmlformats.org/officeDocument/2006/relationships/hyperlink" Target="https://share.hdrinc.com/sites/CoW_FRLP/_layouts/DocIdRedir.aspx?ID=COWFRLPHDR-13-1330" TargetMode="External"/><Relationship Id="rId628" Type="http://schemas.openxmlformats.org/officeDocument/2006/relationships/hyperlink" Target="https://share.hdrinc.com/sites/CoW_FRLP/_layouts/DocIdRedir.aspx?ID=COWFRLPHDR-13-1278" TargetMode="External"/><Relationship Id="rId835" Type="http://schemas.openxmlformats.org/officeDocument/2006/relationships/hyperlink" Target="https://share.hdrinc.com/sites/CoW_FRLP/_layouts/DocIdRedir.aspx?ID=COWFRLPHDR-13-1081" TargetMode="External"/><Relationship Id="rId225" Type="http://schemas.openxmlformats.org/officeDocument/2006/relationships/hyperlink" Target="https://share.hdrinc.com/sites/CoW_FRLP/ENVIRONMENTAL/COW-FRMP_TR-096%20TITLE%20Tax%20Card.pdf" TargetMode="External"/><Relationship Id="rId267" Type="http://schemas.openxmlformats.org/officeDocument/2006/relationships/hyperlink" Target="https://share.hdrinc.com/sites/CoW_FRLP/ENVIRONMENTAL/COW-FRMP_TR-111%20TITLE%20Tax%20Card.pdf" TargetMode="External"/><Relationship Id="rId432" Type="http://schemas.openxmlformats.org/officeDocument/2006/relationships/hyperlink" Target="https://share.hdrinc.com/sites/CoW_FRLP/ENVIRONMENTAL/COW-FRMP_TR-233%20ENVIRONMENTAL%20Right-of-Entry%20Package.pdf" TargetMode="External"/><Relationship Id="rId474" Type="http://schemas.openxmlformats.org/officeDocument/2006/relationships/hyperlink" Target="https://share.hdrinc.com/sites/CoW_FRLP/_layouts/DocIdRedir.aspx?ID=COWFRLPHDR-13-985" TargetMode="External"/><Relationship Id="rId877" Type="http://schemas.openxmlformats.org/officeDocument/2006/relationships/hyperlink" Target="https://share.hdrinc.com/sites/CoW_FRLP/_layouts/DocIdRedir.aspx?ID=COWFRLPHDR-13-1048" TargetMode="External"/><Relationship Id="rId127" Type="http://schemas.openxmlformats.org/officeDocument/2006/relationships/hyperlink" Target="https://share.hdrinc.com/sites/CoW_FRLP/ENVIRONMENTAL/COW-FRMP_TR-044%20CONTACT%20Negotiator%20Report.docx" TargetMode="External"/><Relationship Id="rId681" Type="http://schemas.openxmlformats.org/officeDocument/2006/relationships/hyperlink" Target="https://share.hdrinc.com/sites/CoW_FRLP/_layouts/DocIdRedir.aspx?ID=COWFRLPHDR-13-737" TargetMode="External"/><Relationship Id="rId737" Type="http://schemas.openxmlformats.org/officeDocument/2006/relationships/hyperlink" Target="https://share.hdrinc.com/sites/CoW_FRLP/_layouts/DocIdRedir.aspx?ID=COWFRLPHDR-13-975" TargetMode="External"/><Relationship Id="rId779" Type="http://schemas.openxmlformats.org/officeDocument/2006/relationships/hyperlink" Target="https://share.hdrinc.com/sites/CoW_FRLP/_layouts/DocIdRedir.aspx?ID=COWFRLPHDR-13-936" TargetMode="External"/><Relationship Id="rId31" Type="http://schemas.openxmlformats.org/officeDocument/2006/relationships/hyperlink" Target="https://share.hdrinc.com/sites/CoW_FRLP/ENVIRONMENTAL/COW-FRMP_TR-008%20TITLE%20Tax%20Card.pdf" TargetMode="External"/><Relationship Id="rId73" Type="http://schemas.openxmlformats.org/officeDocument/2006/relationships/hyperlink" Target="https://share.hdrinc.com/sites/CoW_FRLP/ENVIRONMENTAL/COW-FRMP_TR-024%20CONTACT%20Negotiator%20Report.docx" TargetMode="External"/><Relationship Id="rId169" Type="http://schemas.openxmlformats.org/officeDocument/2006/relationships/hyperlink" Target="https://share.hdrinc.com/sites/CoW_FRLP/ENVIRONMENTAL/COW-FRMP_TR-055%20TITLE%20Tax%20Card.pdf" TargetMode="External"/><Relationship Id="rId334" Type="http://schemas.openxmlformats.org/officeDocument/2006/relationships/hyperlink" Target="https://share.hdrinc.com/sites/CoW_FRLP/ENVIRONMENTAL/COW-FRMP_TR-131%20ENVIRONMENTAL%20Right-of-Entry%20Executed.pdf" TargetMode="External"/><Relationship Id="rId376" Type="http://schemas.openxmlformats.org/officeDocument/2006/relationships/hyperlink" Target="https://share.hdrinc.com/sites/CoW_FRLP/ENVIRONMENTAL/COW-FRMP_TR-160%20TITLE%20Tax%20Card.pdf" TargetMode="External"/><Relationship Id="rId541" Type="http://schemas.openxmlformats.org/officeDocument/2006/relationships/hyperlink" Target="https://share.hdrinc.com/sites/CoW_FRLP/_layouts/DocIdRedir.aspx?ID=COWFRLPHDR-13-1132" TargetMode="External"/><Relationship Id="rId583" Type="http://schemas.openxmlformats.org/officeDocument/2006/relationships/hyperlink" Target="https://share.hdrinc.com/sites/CoW_FRLP/_layouts/DocIdRedir.aspx?ID=COWFRLPHDR-13-1143" TargetMode="External"/><Relationship Id="rId639" Type="http://schemas.openxmlformats.org/officeDocument/2006/relationships/hyperlink" Target="https://share.hdrinc.com/sites/CoW_FRLP/_layouts/DocIdRedir.aspx?ID=COWFRLPHDR-13-1160" TargetMode="External"/><Relationship Id="rId790" Type="http://schemas.openxmlformats.org/officeDocument/2006/relationships/hyperlink" Target="https://share.hdrinc.com/sites/CoW_FRLP/_layouts/DocIdRedir.aspx?ID=COWFRLPHDR-13-934" TargetMode="External"/><Relationship Id="rId804" Type="http://schemas.openxmlformats.org/officeDocument/2006/relationships/hyperlink" Target="https://share.hdrinc.com/sites/CoW_FRLP/_layouts/DocIdRedir.aspx?ID=COWFRLPHDR-13-1059" TargetMode="External"/><Relationship Id="rId4" Type="http://schemas.openxmlformats.org/officeDocument/2006/relationships/hyperlink" Target="https://share.hdrinc.com/sites/CoW_FRLP/ENVIRONMENTAL/COW-FRMP_TR-001%20TITLE%20Tax%20Card.pdf" TargetMode="External"/><Relationship Id="rId180" Type="http://schemas.openxmlformats.org/officeDocument/2006/relationships/hyperlink" Target="https://share.hdrinc.com/sites/CoW_FRLP/ENVIRONMENTAL/COW-FRMP_TR-065%20ENVIRONMENTAL%20Right-of-Entry%20Package.pdf" TargetMode="External"/><Relationship Id="rId236" Type="http://schemas.openxmlformats.org/officeDocument/2006/relationships/hyperlink" Target="https://share.hdrinc.com/sites/CoW_FRLP/ENVIRONMENTAL/COW-FRMP_TR-099%20TITLE%20Tax%20Card.pdf" TargetMode="External"/><Relationship Id="rId278" Type="http://schemas.openxmlformats.org/officeDocument/2006/relationships/hyperlink" Target="https://share.hdrinc.com/sites/CoW_FRLP/ENVIRONMENTAL/COW-FRMP_TR-114%20TITLE%20Tax%20Card.pdf" TargetMode="External"/><Relationship Id="rId401" Type="http://schemas.openxmlformats.org/officeDocument/2006/relationships/hyperlink" Target="https://share.hdrinc.com/sites/CoW_FRLP/ENVIRONMENTAL/COW-FRMP_TR-203%20CONTACT%20Negotiator%20Report.docx" TargetMode="External"/><Relationship Id="rId443" Type="http://schemas.openxmlformats.org/officeDocument/2006/relationships/hyperlink" Target="https://share.hdrinc.com/sites/CoW_FRLP/_layouts/DocIdRedir.aspx?ID=COWFRLPHDR-13-727" TargetMode="External"/><Relationship Id="rId650" Type="http://schemas.openxmlformats.org/officeDocument/2006/relationships/hyperlink" Target="https://share.hdrinc.com/sites/CoW_FRLP/_layouts/DocIdRedir.aspx?ID=COWFRLPHDR-13-813" TargetMode="External"/><Relationship Id="rId846" Type="http://schemas.openxmlformats.org/officeDocument/2006/relationships/hyperlink" Target="https://share.hdrinc.com/sites/CoW_FRLP/_layouts/DocIdRedir.aspx?ID=COWFRLPHDR-13-912" TargetMode="External"/><Relationship Id="rId303" Type="http://schemas.openxmlformats.org/officeDocument/2006/relationships/hyperlink" Target="https://share.hdrinc.com/sites/CoW_FRLP/ENVIRONMENTAL/COW-FRMP_TR-121%20CONTACT%20Negotiator%20Report.docx" TargetMode="External"/><Relationship Id="rId485" Type="http://schemas.openxmlformats.org/officeDocument/2006/relationships/hyperlink" Target="https://share.hdrinc.com/sites/CoW_FRLP/_layouts/DocIdRedir.aspx?ID=COWFRLPHDR-13-1172" TargetMode="External"/><Relationship Id="rId692" Type="http://schemas.openxmlformats.org/officeDocument/2006/relationships/hyperlink" Target="https://share.hdrinc.com/sites/CoW_FRLP/_layouts/DocIdRedir.aspx?ID=COWFRLPHDR-13-738" TargetMode="External"/><Relationship Id="rId706" Type="http://schemas.openxmlformats.org/officeDocument/2006/relationships/hyperlink" Target="https://share.hdrinc.com/sites/CoW_FRLP/_layouts/DocIdRedir.aspx?ID=COWFRLPHDR-13-968" TargetMode="External"/><Relationship Id="rId748" Type="http://schemas.openxmlformats.org/officeDocument/2006/relationships/hyperlink" Target="https://share.hdrinc.com/sites/CoW_FRLP/_layouts/DocIdRedir.aspx?ID=COWFRLPHDR-13-1306" TargetMode="External"/><Relationship Id="rId42" Type="http://schemas.openxmlformats.org/officeDocument/2006/relationships/hyperlink" Target="https://share.hdrinc.com/sites/CoW_FRLP/ENVIRONMENTAL/COW-FRMP_TR-012%20ENVIRONMENTAL%20Right-of-Entry%20Package.pdf" TargetMode="External"/><Relationship Id="rId84" Type="http://schemas.openxmlformats.org/officeDocument/2006/relationships/hyperlink" Target="https://share.hdrinc.com/sites/CoW_FRLP/ENVIRONMENTAL/COW-FRMP_TR-028%20ENVIRONMENTAL%20Right-of-Entry%20Package.pdf" TargetMode="External"/><Relationship Id="rId138" Type="http://schemas.openxmlformats.org/officeDocument/2006/relationships/hyperlink" Target="https://share.hdrinc.com/sites/CoW_FRLP/ENVIRONMENTAL/COW-FRMP_TR-047%20TITLE%20Tax%20Card.pdf" TargetMode="External"/><Relationship Id="rId345" Type="http://schemas.openxmlformats.org/officeDocument/2006/relationships/hyperlink" Target="https://share.hdrinc.com/sites/CoW_FRLP/ENVIRONMENTAL/COW-FRMP_TR-134%20ENVIRONMENTAL%20Right-of-Entry%20Package.pdf" TargetMode="External"/><Relationship Id="rId387" Type="http://schemas.openxmlformats.org/officeDocument/2006/relationships/hyperlink" Target="https://share.hdrinc.com/sites/CoW_FRLP/ENVIRONMENTAL/COW-FRMP_TR-178%20ENVIRONMENTAL%20Right-of-Entry%20Package.pdf" TargetMode="External"/><Relationship Id="rId510" Type="http://schemas.openxmlformats.org/officeDocument/2006/relationships/hyperlink" Target="https://share.hdrinc.com/sites/CoW_FRLP/_layouts/DocIdRedir.aspx?ID=COWFRLPHDR-13-1176" TargetMode="External"/><Relationship Id="rId552" Type="http://schemas.openxmlformats.org/officeDocument/2006/relationships/hyperlink" Target="https://share.hdrinc.com/sites/CoW_FRLP/_layouts/DocIdRedir.aspx?ID=COWFRLPHDR-13-1135" TargetMode="External"/><Relationship Id="rId594" Type="http://schemas.openxmlformats.org/officeDocument/2006/relationships/hyperlink" Target="https://share.hdrinc.com/sites/CoW_FRLP/_layouts/DocIdRedir.aspx?ID=COWFRLPHDR-13-808" TargetMode="External"/><Relationship Id="rId608" Type="http://schemas.openxmlformats.org/officeDocument/2006/relationships/hyperlink" Target="https://share.hdrinc.com/sites/CoW_FRLP/_layouts/DocIdRedir.aspx?ID=COWFRLPHDR-13-1011" TargetMode="External"/><Relationship Id="rId815" Type="http://schemas.openxmlformats.org/officeDocument/2006/relationships/hyperlink" Target="https://share.hdrinc.com/sites/CoW_FRLP/_layouts/DocIdRedir.aspx?ID=COWFRLPHDR-13-1064" TargetMode="External"/><Relationship Id="rId191" Type="http://schemas.openxmlformats.org/officeDocument/2006/relationships/hyperlink" Target="https://share.hdrinc.com/sites/CoW_FRLP/ENVIRONMENTAL/COW-FRMP_TR-083%20ENVIRONMENTAL%20Right-of-Entry%20Package.pdf" TargetMode="External"/><Relationship Id="rId205" Type="http://schemas.openxmlformats.org/officeDocument/2006/relationships/hyperlink" Target="https://share.hdrinc.com/sites/CoW_FRLP/ENVIRONMENTAL/COW-FRMP_TR-087%20ENVIRONMENTAL%20Right-of-Entry%20Package.pdf" TargetMode="External"/><Relationship Id="rId247" Type="http://schemas.openxmlformats.org/officeDocument/2006/relationships/hyperlink" Target="https://share.hdrinc.com/sites/CoW_FRLP/ENVIRONMENTAL/COW-FRMP_TR-106%20ENVIRONMENTAL%20Right-of-Entry%20Package.pdf" TargetMode="External"/><Relationship Id="rId412" Type="http://schemas.openxmlformats.org/officeDocument/2006/relationships/hyperlink" Target="https://share.hdrinc.com/sites/CoW_FRLP/ENVIRONMENTAL/COW-FRMP_TR-220%20TITLE%20Tax%20Card.pdf" TargetMode="External"/><Relationship Id="rId857" Type="http://schemas.openxmlformats.org/officeDocument/2006/relationships/hyperlink" Target="https://share.hdrinc.com/sites/CoW_FRLP/_layouts/DocIdRedir.aspx?ID=COWFRLPHDR-13-1164" TargetMode="External"/><Relationship Id="rId107" Type="http://schemas.openxmlformats.org/officeDocument/2006/relationships/hyperlink" Target="https://share.hdrinc.com/sites/CoW_FRLP/ENVIRONMENTAL/COW-FRMP_TR-035%20TITLE%20Tax%20Card.pdf" TargetMode="External"/><Relationship Id="rId289" Type="http://schemas.openxmlformats.org/officeDocument/2006/relationships/hyperlink" Target="https://share.hdrinc.com/sites/CoW_FRLP/ENVIRONMENTAL/COW-FRMP_TR-117%20ENVIRONMENTAL%20Right-of-Entry%20Package.pdf" TargetMode="External"/><Relationship Id="rId454" Type="http://schemas.openxmlformats.org/officeDocument/2006/relationships/hyperlink" Target="https://share.hdrinc.com/sites/CoW_FRLP/_layouts/DocIdRedir.aspx?ID=COWFRLPHDR-11-14" TargetMode="External"/><Relationship Id="rId496" Type="http://schemas.openxmlformats.org/officeDocument/2006/relationships/hyperlink" Target="https://share.hdrinc.com/sites/CoW_FRLP/_layouts/DocIdRedir.aspx?ID=COWFRLPHDR-13-769" TargetMode="External"/><Relationship Id="rId661" Type="http://schemas.openxmlformats.org/officeDocument/2006/relationships/hyperlink" Target="https://share.hdrinc.com/sites/CoW_FRLP/_layouts/DocIdRedir.aspx?ID=COWFRLPHDR-13-1024" TargetMode="External"/><Relationship Id="rId717" Type="http://schemas.openxmlformats.org/officeDocument/2006/relationships/hyperlink" Target="https://share.hdrinc.com/sites/CoW_FRLP/_layouts/DocIdRedir.aspx?ID=COWFRLPHDR-13-970" TargetMode="External"/><Relationship Id="rId759" Type="http://schemas.openxmlformats.org/officeDocument/2006/relationships/hyperlink" Target="https://share.hdrinc.com/sites/CoW_FRLP/_layouts/DocIdRedir.aspx?ID=COWFRLPHDR-13-979" TargetMode="External"/><Relationship Id="rId11" Type="http://schemas.openxmlformats.org/officeDocument/2006/relationships/hyperlink" Target="https://share.hdrinc.com/sites/CoW_FRLP/ENVIRONMENTAL/COW-FRMP_TR-003%20ENVIRONMENTAL%20Right-of-Entry%20Executed.pdf" TargetMode="External"/><Relationship Id="rId53" Type="http://schemas.openxmlformats.org/officeDocument/2006/relationships/hyperlink" Target="https://share.hdrinc.com/sites/CoW_FRLP/ENVIRONMENTAL/COW-FRMP_TR-015%20CONTACT%20Negotiator%20Report%20(AutoRecovered).docx" TargetMode="External"/><Relationship Id="rId149" Type="http://schemas.openxmlformats.org/officeDocument/2006/relationships/hyperlink" Target="https://share.hdrinc.com/sites/CoW_FRLP/ENVIRONMENTAL/COW-FRMP_TR-050%20ENVIRONMENTAL%20Right-of-Entry%20Package.pdf" TargetMode="External"/><Relationship Id="rId314" Type="http://schemas.openxmlformats.org/officeDocument/2006/relationships/hyperlink" Target="https://share.hdrinc.com/sites/CoW_FRLP/ENVIRONMENTAL/COW-FRMP_TR-124%20TITLE%20Tax%20Card.pdf" TargetMode="External"/><Relationship Id="rId356" Type="http://schemas.openxmlformats.org/officeDocument/2006/relationships/hyperlink" Target="https://share.hdrinc.com/sites/CoW_FRLP/ENVIRONMENTAL/COW-FRMP_TR-152%20ENVIRONMENTAL%20Right-of-Entry%20Package.pdf" TargetMode="External"/><Relationship Id="rId398" Type="http://schemas.openxmlformats.org/officeDocument/2006/relationships/hyperlink" Target="https://share.hdrinc.com/sites/CoW_FRLP/ENVIRONMENTAL/COW-FRMP_TR-202%20ENVIRONMENTAL%20Right-of-Entry%20Executed.pdf" TargetMode="External"/><Relationship Id="rId521" Type="http://schemas.openxmlformats.org/officeDocument/2006/relationships/hyperlink" Target="https://share.hdrinc.com/sites/CoW_FRLP/_layouts/DocIdRedir.aspx?ID=COWFRLPHDR-13-789" TargetMode="External"/><Relationship Id="rId563" Type="http://schemas.openxmlformats.org/officeDocument/2006/relationships/hyperlink" Target="https://share.hdrinc.com/sites/CoW_FRLP/_layouts/DocIdRedir.aspx?ID=COWFRLPHDR-13-800" TargetMode="External"/><Relationship Id="rId619" Type="http://schemas.openxmlformats.org/officeDocument/2006/relationships/hyperlink" Target="https://share.hdrinc.com/sites/CoW_FRLP/_layouts/DocIdRedir.aspx?ID=COWFRLPHDR-13-1190" TargetMode="External"/><Relationship Id="rId770" Type="http://schemas.openxmlformats.org/officeDocument/2006/relationships/hyperlink" Target="https://share.hdrinc.com/sites/CoW_FRLP/_layouts/DocIdRedir.aspx?ID=COWFRLPHDR-13-1217" TargetMode="External"/><Relationship Id="rId95" Type="http://schemas.openxmlformats.org/officeDocument/2006/relationships/hyperlink" Target="https://share.hdrinc.com/sites/CoW_FRLP/ENVIRONMENTAL/COW-FRMP_TR-031%20ENVIRONMENTAL%20Right-of-Entry%20Package.pdf" TargetMode="External"/><Relationship Id="rId160" Type="http://schemas.openxmlformats.org/officeDocument/2006/relationships/hyperlink" Target="https://share.hdrinc.com/sites/CoW_FRLP/ENVIRONMENTAL/COW-FRMP_TR-053%20ENVIRONMENTAL%20Right-of-Entry%20Executed.pdf" TargetMode="External"/><Relationship Id="rId216" Type="http://schemas.openxmlformats.org/officeDocument/2006/relationships/hyperlink" Target="https://share.hdrinc.com/sites/CoW_FRLP/ENVIRONMENTAL/COW-FRMP_TR-093%20TITLE%20Tax%20Card.pdf" TargetMode="External"/><Relationship Id="rId423" Type="http://schemas.openxmlformats.org/officeDocument/2006/relationships/hyperlink" Target="https://share.hdrinc.com/sites/CoW_FRLP/ENVIRONMENTAL/COW-FRMP_TR-230%20ENVIRONMENTAL%20Right-of-Entry%20Package.pdf" TargetMode="External"/><Relationship Id="rId826" Type="http://schemas.openxmlformats.org/officeDocument/2006/relationships/hyperlink" Target="https://share.hdrinc.com/sites/CoW_FRLP/_layouts/DocIdRedir.aspx?ID=COWFRLPHDR-13-1354" TargetMode="External"/><Relationship Id="rId868" Type="http://schemas.openxmlformats.org/officeDocument/2006/relationships/hyperlink" Target="https://share.hdrinc.com/sites/CoW_FRLP/_layouts/DocIdRedir.aspx?ID=COWFRLPHDR-13-1239" TargetMode="External"/><Relationship Id="rId258" Type="http://schemas.openxmlformats.org/officeDocument/2006/relationships/hyperlink" Target="https://share.hdrinc.com/sites/CoW_FRLP/ENVIRONMENTAL/COW-FRMP_TR-109%20ENVIRONMENTAL%20Right-of-Entry%20Package.pdf" TargetMode="External"/><Relationship Id="rId465" Type="http://schemas.openxmlformats.org/officeDocument/2006/relationships/hyperlink" Target="https://share.hdrinc.com/sites/CoW_FRLP/_layouts/DocIdRedir.aspx?ID=COWFRLPHDR-11-17" TargetMode="External"/><Relationship Id="rId630" Type="http://schemas.openxmlformats.org/officeDocument/2006/relationships/hyperlink" Target="https://share.hdrinc.com/sites/CoW_FRLP/_layouts/DocIdRedir.aspx?ID=COWFRLPHDR-13-1299" TargetMode="External"/><Relationship Id="rId672" Type="http://schemas.openxmlformats.org/officeDocument/2006/relationships/hyperlink" Target="https://share.hdrinc.com/sites/CoW_FRLP/_layouts/DocIdRedir.aspx?ID=COWFRLPHDR-13-852" TargetMode="External"/><Relationship Id="rId728" Type="http://schemas.openxmlformats.org/officeDocument/2006/relationships/hyperlink" Target="https://share.hdrinc.com/sites/CoW_FRLP/_layouts/DocIdRedir.aspx?ID=COWFRLPHDR-13-1212" TargetMode="External"/><Relationship Id="rId22" Type="http://schemas.openxmlformats.org/officeDocument/2006/relationships/hyperlink" Target="https://share.hdrinc.com/sites/CoW_FRLP/ENVIRONMENTAL/COW-FRMP_TR-006%20ENVIRONMENTAL%20Right-of-Entry%20Executed.pdf" TargetMode="External"/><Relationship Id="rId64" Type="http://schemas.openxmlformats.org/officeDocument/2006/relationships/hyperlink" Target="https://share.hdrinc.com/sites/CoW_FRLP/ENVIRONMENTAL/COW-FRMP_TR-017%20TITLE%20Tax%20Card.pdf" TargetMode="External"/><Relationship Id="rId118" Type="http://schemas.openxmlformats.org/officeDocument/2006/relationships/hyperlink" Target="https://share.hdrinc.com/sites/CoW_FRLP/ENVIRONMENTAL/COW-FRMP_TR-039%20ENVIRONMENTAL%20Right-of-Entry%20Package.pdf" TargetMode="External"/><Relationship Id="rId325" Type="http://schemas.openxmlformats.org/officeDocument/2006/relationships/hyperlink" Target="https://share.hdrinc.com/sites/CoW_FRLP/ENVIRONMENTAL/COW-FRMP_TR-129%20CONTACT%20Negotiator%20Report.docx" TargetMode="External"/><Relationship Id="rId367" Type="http://schemas.openxmlformats.org/officeDocument/2006/relationships/hyperlink" Target="https://share.hdrinc.com/sites/CoW_FRLP/ENVIRONMENTAL/COW-FRMP_TR-155%20ENVIRONMENTAL%20Right-of-Entry%20Package.pdf" TargetMode="External"/><Relationship Id="rId532" Type="http://schemas.openxmlformats.org/officeDocument/2006/relationships/hyperlink" Target="https://share.hdrinc.com/sites/CoW_FRLP/_layouts/DocIdRedir.aspx?ID=COWFRLPHDR-13-792" TargetMode="External"/><Relationship Id="rId574" Type="http://schemas.openxmlformats.org/officeDocument/2006/relationships/hyperlink" Target="https://share.hdrinc.com/sites/CoW_FRLP/_layouts/DocIdRedir.aspx?ID=COWFRLPHDR-13-803" TargetMode="External"/><Relationship Id="rId171" Type="http://schemas.openxmlformats.org/officeDocument/2006/relationships/hyperlink" Target="https://share.hdrinc.com/sites/CoW_FRLP/ENVIRONMENTAL/COW-FRMP_TR-063%20ENVIRONMENTAL%20Right-of-Entry%20Executed.pdf" TargetMode="External"/><Relationship Id="rId227" Type="http://schemas.openxmlformats.org/officeDocument/2006/relationships/hyperlink" Target="https://share.hdrinc.com/sites/CoW_FRLP/ENVIRONMENTAL/COW-FRMP_TR-097%20ENVIRONMENTAL%20Right-of-Entry%20Package.pdf" TargetMode="External"/><Relationship Id="rId781" Type="http://schemas.openxmlformats.org/officeDocument/2006/relationships/hyperlink" Target="https://share.hdrinc.com/sites/CoW_FRLP/_layouts/DocIdRedir.aspx?ID=COWFRLPHDR-13-1053" TargetMode="External"/><Relationship Id="rId837" Type="http://schemas.openxmlformats.org/officeDocument/2006/relationships/hyperlink" Target="https://share.hdrinc.com/sites/CoW_FRLP/_layouts/DocIdRedir.aspx?ID=COWFRLPHDR-13-1324" TargetMode="External"/><Relationship Id="rId879" Type="http://schemas.openxmlformats.org/officeDocument/2006/relationships/hyperlink" Target="https://share.hdrinc.com/sites/CoW_FRLP/_layouts/DocIdRedir.aspx?ID=COWFRLPHDR-13-1052" TargetMode="External"/><Relationship Id="rId269" Type="http://schemas.openxmlformats.org/officeDocument/2006/relationships/hyperlink" Target="https://share.hdrinc.com/sites/CoW_FRLP/ENVIRONMENTAL/COW-FRMP_TR-112%20ENVIRONMENTAL%20Right-of-Entry%20Package.pdf" TargetMode="External"/><Relationship Id="rId434" Type="http://schemas.openxmlformats.org/officeDocument/2006/relationships/hyperlink" Target="https://share.hdrinc.com/sites/CoW_FRLP/ENVIRONMENTAL/COW-FRMP_TR-245%20ENVIRONMENTAL%20Right-of-Entry%20Executed.pdf" TargetMode="External"/><Relationship Id="rId476" Type="http://schemas.openxmlformats.org/officeDocument/2006/relationships/hyperlink" Target="https://share.hdrinc.com/sites/CoW_FRLP/_layouts/DocIdRedir.aspx?ID=COWFRLPHDR-13-1115" TargetMode="External"/><Relationship Id="rId641" Type="http://schemas.openxmlformats.org/officeDocument/2006/relationships/hyperlink" Target="https://share.hdrinc.com/sites/CoW_FRLP/_layouts/DocIdRedir.aspx?ID=COWFRLPHDR-13-1279" TargetMode="External"/><Relationship Id="rId683" Type="http://schemas.openxmlformats.org/officeDocument/2006/relationships/hyperlink" Target="https://share.hdrinc.com/sites/CoW_FRLP/_layouts/DocIdRedir.aspx?ID=COWFRLPHDR-13-1035" TargetMode="External"/><Relationship Id="rId739" Type="http://schemas.openxmlformats.org/officeDocument/2006/relationships/hyperlink" Target="https://share.hdrinc.com/sites/CoW_FRLP/_layouts/DocIdRedir.aspx?ID=COWFRLPHDR-13-750" TargetMode="External"/><Relationship Id="rId33" Type="http://schemas.openxmlformats.org/officeDocument/2006/relationships/hyperlink" Target="https://share.hdrinc.com/sites/CoW_FRLP/ENVIRONMENTAL/COW-FRMP_TR-010%20ENVIRONMENTAL%20Right-of-Entry%20Executed.pdf" TargetMode="External"/><Relationship Id="rId129" Type="http://schemas.openxmlformats.org/officeDocument/2006/relationships/hyperlink" Target="https://share.hdrinc.com/sites/CoW_FRLP/ENVIRONMENTAL/COW-FRMP_TR-044%20ENVIRONMENTAL%20Right-of-Entry%20Package.pdf" TargetMode="External"/><Relationship Id="rId280" Type="http://schemas.openxmlformats.org/officeDocument/2006/relationships/hyperlink" Target="https://share.hdrinc.com/sites/CoW_FRLP/ENVIRONMENTAL/COW-FRMP_TR-115%20ENVIRONMENTAL%20Right-of-Entry%20Executed.pdf" TargetMode="External"/><Relationship Id="rId336" Type="http://schemas.openxmlformats.org/officeDocument/2006/relationships/hyperlink" Target="https://share.hdrinc.com/sites/CoW_FRLP/ENVIRONMENTAL/COW-FRMP_TR-131%20TITLE%20Tax%20Card.pdf" TargetMode="External"/><Relationship Id="rId501" Type="http://schemas.openxmlformats.org/officeDocument/2006/relationships/hyperlink" Target="https://share.hdrinc.com/sites/CoW_FRLP/_layouts/DocIdRedir.aspx?ID=COWFRLPHDR-13-1121" TargetMode="External"/><Relationship Id="rId543" Type="http://schemas.openxmlformats.org/officeDocument/2006/relationships/hyperlink" Target="https://share.hdrinc.com/sites/CoW_FRLP/_layouts/DocIdRedir.aspx?ID=COWFRLPHDR-13-996" TargetMode="External"/><Relationship Id="rId75" Type="http://schemas.openxmlformats.org/officeDocument/2006/relationships/hyperlink" Target="https://share.hdrinc.com/sites/CoW_FRLP/ENVIRONMENTAL/COW-FRMP_TR-024%20ENVIRONMENTAL%20Right-of-Entry%20Package.pdf" TargetMode="External"/><Relationship Id="rId140" Type="http://schemas.openxmlformats.org/officeDocument/2006/relationships/hyperlink" Target="https://share.hdrinc.com/sites/CoW_FRLP/ENVIRONMENTAL/COW-FRMP_TR-048%20ENVIRONMENTAL%20Right-of-Entry%20Executed.pdf" TargetMode="External"/><Relationship Id="rId182" Type="http://schemas.openxmlformats.org/officeDocument/2006/relationships/hyperlink" Target="https://share.hdrinc.com/sites/CoW_FRLP/ENVIRONMENTAL/COW-FRMP_TR-078%20ENVIRONMENTAL%20Right-of-Entry%20Executed.pdf" TargetMode="External"/><Relationship Id="rId378" Type="http://schemas.openxmlformats.org/officeDocument/2006/relationships/hyperlink" Target="https://share.hdrinc.com/sites/CoW_FRLP/ENVIRONMENTAL/COW-FRMP_TR-166%20ENVIRONMENTAL%20Right-of-Entry%20Executed.pdf" TargetMode="External"/><Relationship Id="rId403" Type="http://schemas.openxmlformats.org/officeDocument/2006/relationships/hyperlink" Target="https://share.hdrinc.com/sites/CoW_FRLP/ENVIRONMENTAL/COW-FRMP_TR-203%20TITLE%20Tax%20Card.pdf" TargetMode="External"/><Relationship Id="rId585" Type="http://schemas.openxmlformats.org/officeDocument/2006/relationships/hyperlink" Target="https://share.hdrinc.com/sites/CoW_FRLP/_layouts/DocIdRedir.aspx?ID=COWFRLPHDR-13-1277" TargetMode="External"/><Relationship Id="rId750" Type="http://schemas.openxmlformats.org/officeDocument/2006/relationships/hyperlink" Target="https://share.hdrinc.com/sites/CoW_FRLP/_layouts/DocIdRedir.aspx?ID=COWFRLPHDR-13-841" TargetMode="External"/><Relationship Id="rId792" Type="http://schemas.openxmlformats.org/officeDocument/2006/relationships/hyperlink" Target="https://share.hdrinc.com/sites/CoW_FRLP/_layouts/DocIdRedir.aspx?ID=COWFRLPHDR-13-935" TargetMode="External"/><Relationship Id="rId806" Type="http://schemas.openxmlformats.org/officeDocument/2006/relationships/hyperlink" Target="https://share.hdrinc.com/sites/CoW_FRLP/_layouts/DocIdRedir.aspx?ID=COWFRLPHDR-13-930" TargetMode="External"/><Relationship Id="rId848" Type="http://schemas.openxmlformats.org/officeDocument/2006/relationships/hyperlink" Target="https://share.hdrinc.com/sites/CoW_FRLP/_layouts/DocIdRedir.aspx?ID=COWFRLPHDR-13-1090" TargetMode="External"/><Relationship Id="rId6" Type="http://schemas.openxmlformats.org/officeDocument/2006/relationships/hyperlink" Target="https://share.hdrinc.com/sites/CoW_FRLP/ENVIRONMENTAL/COW-FRMP_TR-002%20ENVIRONMENTAL%20Right-of-Entry%20Executed.pdf" TargetMode="External"/><Relationship Id="rId238" Type="http://schemas.openxmlformats.org/officeDocument/2006/relationships/hyperlink" Target="https://share.hdrinc.com/sites/CoW_FRLP/ENVIRONMENTAL/COW-FRMP_TR-104%20ENVIRONMENTAL%20Right-of-Entry%20Executed.pdf" TargetMode="External"/><Relationship Id="rId445" Type="http://schemas.openxmlformats.org/officeDocument/2006/relationships/hyperlink" Target="https://share.hdrinc.com/sites/CoW_FRLP/_layouts/DocIdRedir.aspx?ID=COWFRLPHDR-11-12" TargetMode="External"/><Relationship Id="rId487" Type="http://schemas.openxmlformats.org/officeDocument/2006/relationships/hyperlink" Target="https://share.hdrinc.com/sites/CoW_FRLP/_layouts/DocIdRedir.aspx?ID=COWFRLPHDR-13-767" TargetMode="External"/><Relationship Id="rId610" Type="http://schemas.openxmlformats.org/officeDocument/2006/relationships/hyperlink" Target="https://share.hdrinc.com/sites/CoW_FRLP/_layouts/DocIdRedir.aspx?ID=COWFRLPHDR-13-1148" TargetMode="External"/><Relationship Id="rId652" Type="http://schemas.openxmlformats.org/officeDocument/2006/relationships/hyperlink" Target="https://share.hdrinc.com/sites/CoW_FRLP/_layouts/DocIdRedir.aspx?ID=COWFRLPHDR-13-814" TargetMode="External"/><Relationship Id="rId694" Type="http://schemas.openxmlformats.org/officeDocument/2006/relationships/hyperlink" Target="https://share.hdrinc.com/sites/CoW_FRLP/_layouts/DocIdRedir.aspx?ID=COWFRLPHDR-13-966" TargetMode="External"/><Relationship Id="rId708" Type="http://schemas.openxmlformats.org/officeDocument/2006/relationships/hyperlink" Target="https://share.hdrinc.com/sites/CoW_FRLP/_layouts/DocIdRedir.aspx?ID=COWFRLPHDR-13-742" TargetMode="External"/><Relationship Id="rId291" Type="http://schemas.openxmlformats.org/officeDocument/2006/relationships/hyperlink" Target="https://share.hdrinc.com/sites/CoW_FRLP/ENVIRONMENTAL/COW-FRMP_TR-118%20CONTACT%20Negotiator%20Report.docx" TargetMode="External"/><Relationship Id="rId305" Type="http://schemas.openxmlformats.org/officeDocument/2006/relationships/hyperlink" Target="https://share.hdrinc.com/sites/CoW_FRLP/ENVIRONMENTAL/COW-FRMP_TR-121%20ENVIRONMENTAL%20Right-of-Entry%20Package.pdf" TargetMode="External"/><Relationship Id="rId347" Type="http://schemas.openxmlformats.org/officeDocument/2006/relationships/hyperlink" Target="https://share.hdrinc.com/sites/CoW_FRLP/ENVIRONMENTAL/COW-FRMP_TR-135%20ENVIRONMENTAL%20Right-of-Entry%20Executed.pdf" TargetMode="External"/><Relationship Id="rId512" Type="http://schemas.openxmlformats.org/officeDocument/2006/relationships/hyperlink" Target="https://share.hdrinc.com/sites/CoW_FRLP/_layouts/DocIdRedir.aspx?ID=COWFRLPHDR-13-773" TargetMode="External"/><Relationship Id="rId44" Type="http://schemas.openxmlformats.org/officeDocument/2006/relationships/hyperlink" Target="https://share.hdrinc.com/sites/CoW_FRLP/ENVIRONMENTAL/COW-FRMP_TR-013%20CONTACT%20Negotiator%20Report.docx" TargetMode="External"/><Relationship Id="rId86" Type="http://schemas.openxmlformats.org/officeDocument/2006/relationships/hyperlink" Target="https://share.hdrinc.com/sites/CoW_FRLP/ENVIRONMENTAL/COW-FRMP_TR-029%20CONTACT%20Negotiator%20Report.docx" TargetMode="External"/><Relationship Id="rId151" Type="http://schemas.openxmlformats.org/officeDocument/2006/relationships/hyperlink" Target="https://share.hdrinc.com/sites/CoW_FRLP/ENVIRONMENTAL/COW-FRMP_TR-051%20CONTACT%20Negotiator%20Report.docx" TargetMode="External"/><Relationship Id="rId389" Type="http://schemas.openxmlformats.org/officeDocument/2006/relationships/hyperlink" Target="https://share.hdrinc.com/sites/CoW_FRLP/ENVIRONMENTAL/COW-FRMP_TR-179%20CONTACT%20Negotiator%20Report.docx" TargetMode="External"/><Relationship Id="rId554" Type="http://schemas.openxmlformats.org/officeDocument/2006/relationships/hyperlink" Target="https://share.hdrinc.com/sites/CoW_FRLP/_layouts/DocIdRedir.aspx?ID=COWFRLPHDR-13-999" TargetMode="External"/><Relationship Id="rId596" Type="http://schemas.openxmlformats.org/officeDocument/2006/relationships/hyperlink" Target="https://share.hdrinc.com/sites/CoW_FRLP/_layouts/DocIdRedir.aspx?ID=COWFRLPHDR-13-1297" TargetMode="External"/><Relationship Id="rId761" Type="http://schemas.openxmlformats.org/officeDocument/2006/relationships/hyperlink" Target="https://share.hdrinc.com/sites/CoW_FRLP/_layouts/DocIdRedir.aspx?ID=COWFRLPHDR-13-755" TargetMode="External"/><Relationship Id="rId817" Type="http://schemas.openxmlformats.org/officeDocument/2006/relationships/hyperlink" Target="https://share.hdrinc.com/sites/CoW_FRLP/_layouts/DocIdRedir.aspx?ID=COWFRLPHDR-13-950" TargetMode="External"/><Relationship Id="rId859" Type="http://schemas.openxmlformats.org/officeDocument/2006/relationships/hyperlink" Target="https://share.hdrinc.com/sites/CoW_FRLP/_layouts/DocIdRedir.aspx?ID=COWFRLPHDR-13-1093" TargetMode="External"/><Relationship Id="rId193" Type="http://schemas.openxmlformats.org/officeDocument/2006/relationships/hyperlink" Target="https://share.hdrinc.com/sites/CoW_FRLP/ENVIRONMENTAL/COW-FRMP_TR-084%20CONTACT%20Negotiator%20Report.docx" TargetMode="External"/><Relationship Id="rId207" Type="http://schemas.openxmlformats.org/officeDocument/2006/relationships/hyperlink" Target="https://share.hdrinc.com/sites/CoW_FRLP/ENVIRONMENTAL/COW-FRMP_TR-088%20CONTACT%20Negotiator%20Report.docx" TargetMode="External"/><Relationship Id="rId249" Type="http://schemas.openxmlformats.org/officeDocument/2006/relationships/hyperlink" Target="https://share.hdrinc.com/sites/CoW_FRLP/ENVIRONMENTAL/COW-FRMP_TR-107%20ENVIRONMENTAL%20Right-of-Entry%20Executed.pdf" TargetMode="External"/><Relationship Id="rId414" Type="http://schemas.openxmlformats.org/officeDocument/2006/relationships/hyperlink" Target="https://share.hdrinc.com/sites/CoW_FRLP/ENVIRONMENTAL/COW-FRMP_TR-225%20ENVIRONMENTAL%20Right-of-Entry%20Executed.pdf" TargetMode="External"/><Relationship Id="rId456" Type="http://schemas.openxmlformats.org/officeDocument/2006/relationships/hyperlink" Target="https://share.hdrinc.com/sites/CoW_FRLP/_layouts/DocIdRedir.aspx?ID=COWFRLPHDR-13-759" TargetMode="External"/><Relationship Id="rId498" Type="http://schemas.openxmlformats.org/officeDocument/2006/relationships/hyperlink" Target="https://share.hdrinc.com/sites/CoW_FRLP/_layouts/DocIdRedir.aspx?ID=COWFRLPHDR-13-1293" TargetMode="External"/><Relationship Id="rId621" Type="http://schemas.openxmlformats.org/officeDocument/2006/relationships/hyperlink" Target="https://share.hdrinc.com/sites/CoW_FRLP/_layouts/DocIdRedir.aspx?ID=COWFRLPHDR-13-778" TargetMode="External"/><Relationship Id="rId663" Type="http://schemas.openxmlformats.org/officeDocument/2006/relationships/hyperlink" Target="https://share.hdrinc.com/sites/CoW_FRLP/_layouts/DocIdRedir.aspx?ID=COWFRLPHDR-13-1197" TargetMode="External"/><Relationship Id="rId870" Type="http://schemas.openxmlformats.org/officeDocument/2006/relationships/hyperlink" Target="https://share.hdrinc.com/sites/CoW_FRLP/_layouts/DocIdRedir.aspx?ID=COWFRLPHDR-13-886" TargetMode="External"/><Relationship Id="rId13" Type="http://schemas.openxmlformats.org/officeDocument/2006/relationships/hyperlink" Target="https://share.hdrinc.com/sites/CoW_FRLP/ENVIRONMENTAL/COW-FRMP_TR-003%20TITLE%20Tax%20Card.pdf" TargetMode="External"/><Relationship Id="rId109" Type="http://schemas.openxmlformats.org/officeDocument/2006/relationships/hyperlink" Target="https://share.hdrinc.com/sites/CoW_FRLP/ENVIRONMENTAL/COW-FRMP_TR-036%20ENVIRONMENTAL%20Right-of-Entry%20Executed.pdf" TargetMode="External"/><Relationship Id="rId260" Type="http://schemas.openxmlformats.org/officeDocument/2006/relationships/hyperlink" Target="https://share.hdrinc.com/sites/CoW_FRLP/ENVIRONMENTAL/COW-FRMP_TR-110%20CONTACT%20Negotiator%20Report.docx" TargetMode="External"/><Relationship Id="rId316" Type="http://schemas.openxmlformats.org/officeDocument/2006/relationships/hyperlink" Target="https://share.hdrinc.com/sites/CoW_FRLP/ENVIRONMENTAL/COW-FRMP_TR-125%20ENVIRONMENTAL%20Right-of-Entry%20Package.pdf" TargetMode="External"/><Relationship Id="rId523" Type="http://schemas.openxmlformats.org/officeDocument/2006/relationships/hyperlink" Target="https://share.hdrinc.com/sites/CoW_FRLP/_layouts/DocIdRedir.aspx?ID=COWFRLPHDR-13-1339" TargetMode="External"/><Relationship Id="rId719" Type="http://schemas.openxmlformats.org/officeDocument/2006/relationships/hyperlink" Target="https://share.hdrinc.com/sites/CoW_FRLP/_layouts/DocIdRedir.aspx?ID=COWFRLPHDR-13-745" TargetMode="External"/><Relationship Id="rId55" Type="http://schemas.openxmlformats.org/officeDocument/2006/relationships/hyperlink" Target="https://share.hdrinc.com/sites/CoW_FRLP/ENVIRONMENTAL/COW-FRMP_TR-015%20ENVIRONMENTAL%20Right-of-Entry%20Package.pdf" TargetMode="External"/><Relationship Id="rId97" Type="http://schemas.openxmlformats.org/officeDocument/2006/relationships/hyperlink" Target="https://share.hdrinc.com/sites/CoW_FRLP/ENVIRONMENTAL/COW-FRMP_TR-032%20CONTACT%20Negotiator%20Report.docx" TargetMode="External"/><Relationship Id="rId120" Type="http://schemas.openxmlformats.org/officeDocument/2006/relationships/hyperlink" Target="https://share.hdrinc.com/sites/CoW_FRLP/ENVIRONMENTAL/COW-FRMP_TR-040%20CONTACT%20Negotiator%20Report.docx" TargetMode="External"/><Relationship Id="rId358" Type="http://schemas.openxmlformats.org/officeDocument/2006/relationships/hyperlink" Target="https://share.hdrinc.com/sites/CoW_FRLP/ENVIRONMENTAL/COW-FRMP_TR-153%20CONTACT%20Negotiator%20Report.docx" TargetMode="External"/><Relationship Id="rId565" Type="http://schemas.openxmlformats.org/officeDocument/2006/relationships/hyperlink" Target="https://share.hdrinc.com/sites/CoW_FRLP/_layouts/DocIdRedir.aspx?ID=COWFRLPHDR-13-1002" TargetMode="External"/><Relationship Id="rId730" Type="http://schemas.openxmlformats.org/officeDocument/2006/relationships/hyperlink" Target="https://share.hdrinc.com/sites/CoW_FRLP/_layouts/DocIdRedir.aspx?ID=COWFRLPHDR-13-836" TargetMode="External"/><Relationship Id="rId772" Type="http://schemas.openxmlformats.org/officeDocument/2006/relationships/hyperlink" Target="https://share.hdrinc.com/sites/CoW_FRLP/_layouts/DocIdRedir.aspx?ID=COWFRLPHDR-5-683" TargetMode="External"/><Relationship Id="rId828" Type="http://schemas.openxmlformats.org/officeDocument/2006/relationships/hyperlink" Target="https://share.hdrinc.com/sites/CoW_FRLP/_layouts/DocIdRedir.aspx?ID=COWFRLPHDR-13-881" TargetMode="External"/><Relationship Id="rId162" Type="http://schemas.openxmlformats.org/officeDocument/2006/relationships/hyperlink" Target="https://share.hdrinc.com/sites/CoW_FRLP/ENVIRONMENTAL/COW-FRMP_TR-053%20TITLE%20Tax%20Card.pdf" TargetMode="External"/><Relationship Id="rId218" Type="http://schemas.openxmlformats.org/officeDocument/2006/relationships/hyperlink" Target="https://share.hdrinc.com/sites/CoW_FRLP/ENVIRONMENTAL/COW-FRMP_TR-094%20TITLE%20Tax%20Card.pdf" TargetMode="External"/><Relationship Id="rId425" Type="http://schemas.openxmlformats.org/officeDocument/2006/relationships/hyperlink" Target="https://share.hdrinc.com/sites/CoW_FRLP/ENVIRONMENTAL/COW-FRMP_TR-231%20CONTACT%20Negotiator%20Report.docx" TargetMode="External"/><Relationship Id="rId467" Type="http://schemas.openxmlformats.org/officeDocument/2006/relationships/hyperlink" Target="https://share.hdrinc.com/sites/CoW_FRLP/_layouts/DocIdRedir.aspx?ID=COWFRLPHDR-5-720" TargetMode="External"/><Relationship Id="rId632" Type="http://schemas.openxmlformats.org/officeDocument/2006/relationships/hyperlink" Target="https://share.hdrinc.com/sites/CoW_FRLP/_layouts/DocIdRedir.aspx?ID=COWFRLPHDR-13-820" TargetMode="External"/><Relationship Id="rId271" Type="http://schemas.openxmlformats.org/officeDocument/2006/relationships/hyperlink" Target="https://share.hdrinc.com/sites/CoW_FRLP/ENVIRONMENTAL/COW-FRMP_TR-113%20CONTACT%20Negotiator%20Report.docx" TargetMode="External"/><Relationship Id="rId674" Type="http://schemas.openxmlformats.org/officeDocument/2006/relationships/hyperlink" Target="https://share.hdrinc.com/sites/CoW_FRLP/_layouts/DocIdRedir.aspx?ID=COWFRLPHDR-13-1199" TargetMode="External"/><Relationship Id="rId881" Type="http://schemas.openxmlformats.org/officeDocument/2006/relationships/printerSettings" Target="../printerSettings/printerSettings5.bin"/><Relationship Id="rId24" Type="http://schemas.openxmlformats.org/officeDocument/2006/relationships/hyperlink" Target="https://share.hdrinc.com/sites/CoW_FRLP/ENVIRONMENTAL/COW-FRMP_TR-006%20TITLE%20Tax%20Card.pdf" TargetMode="External"/><Relationship Id="rId66" Type="http://schemas.openxmlformats.org/officeDocument/2006/relationships/hyperlink" Target="https://share.hdrinc.com/sites/CoW_FRLP/ENVIRONMENTAL/COW-FRMP_TR-018%20ENVIRONMENTAL%20Right-of-Entry%20Executed.pdf" TargetMode="External"/><Relationship Id="rId131" Type="http://schemas.openxmlformats.org/officeDocument/2006/relationships/hyperlink" Target="https://share.hdrinc.com/sites/CoW_FRLP/ENVIRONMENTAL/COW-FRMP_TR-045%20CONTACT%20Negotiator%20Report.docx" TargetMode="External"/><Relationship Id="rId327" Type="http://schemas.openxmlformats.org/officeDocument/2006/relationships/hyperlink" Target="https://share.hdrinc.com/sites/CoW_FRLP/ENVIRONMENTAL/COW-FRMP_TR-129%20ENVIRONMENTAL%20Right-of-Entry%20Package.pdf" TargetMode="External"/><Relationship Id="rId369" Type="http://schemas.openxmlformats.org/officeDocument/2006/relationships/hyperlink" Target="https://share.hdrinc.com/sites/CoW_FRLP/ENVIRONMENTAL/COW-FRMP_TR-156%20CONTACT%20Negotiator%20Report.docx" TargetMode="External"/><Relationship Id="rId534" Type="http://schemas.openxmlformats.org/officeDocument/2006/relationships/hyperlink" Target="https://share.hdrinc.com/sites/CoW_FRLP/_layouts/DocIdRedir.aspx?ID=COWFRLPHDR-13-1295" TargetMode="External"/><Relationship Id="rId576" Type="http://schemas.openxmlformats.org/officeDocument/2006/relationships/hyperlink" Target="https://share.hdrinc.com/sites/CoW_FRLP/_layouts/DocIdRedir.aspx?ID=COWFRLPHDR-13-1183" TargetMode="External"/><Relationship Id="rId741" Type="http://schemas.openxmlformats.org/officeDocument/2006/relationships/hyperlink" Target="https://share.hdrinc.com/sites/CoW_FRLP/_layouts/DocIdRedir.aspx?ID=COWFRLPHDR-13-976" TargetMode="External"/><Relationship Id="rId783" Type="http://schemas.openxmlformats.org/officeDocument/2006/relationships/hyperlink" Target="https://share.hdrinc.com/sites/CoW_FRLP/_layouts/DocIdRedir.aspx?ID=COWFRLPHDR-13-937" TargetMode="External"/><Relationship Id="rId839" Type="http://schemas.openxmlformats.org/officeDocument/2006/relationships/hyperlink" Target="https://share.hdrinc.com/sites/CoW_FRLP/_layouts/DocIdRedir.aspx?ID=COWFRLPHDR-13-1082" TargetMode="External"/><Relationship Id="rId173" Type="http://schemas.openxmlformats.org/officeDocument/2006/relationships/hyperlink" Target="https://share.hdrinc.com/sites/CoW_FRLP/ENVIRONMENTAL/COW-FRMP_TR-063%20TITLE%20Tax%20Card.pdf" TargetMode="External"/><Relationship Id="rId229" Type="http://schemas.openxmlformats.org/officeDocument/2006/relationships/hyperlink" Target="https://share.hdrinc.com/sites/CoW_FRLP/ENVIRONMENTAL/COW-FRMP_TR-098%20CONTACT%20Negotiator%20Report.docx" TargetMode="External"/><Relationship Id="rId380" Type="http://schemas.openxmlformats.org/officeDocument/2006/relationships/hyperlink" Target="https://share.hdrinc.com/sites/CoW_FRLP/ENVIRONMENTAL/COW-FRMP_TR-166%20TITLE%20Tax%20Card.pdf" TargetMode="External"/><Relationship Id="rId436" Type="http://schemas.openxmlformats.org/officeDocument/2006/relationships/hyperlink" Target="https://share.hdrinc.com/sites/CoW_FRLP/ENVIRONMENTAL/COW-FRMP_TR-250%20ENVIRONMENTAL%20Right-of-Entry%20Executed.pdf" TargetMode="External"/><Relationship Id="rId601" Type="http://schemas.openxmlformats.org/officeDocument/2006/relationships/hyperlink" Target="https://share.hdrinc.com/sites/CoW_FRLP/_layouts/DocIdRedir.aspx?ID=COWFRLPHDR-13-1009" TargetMode="External"/><Relationship Id="rId643" Type="http://schemas.openxmlformats.org/officeDocument/2006/relationships/hyperlink" Target="https://share.hdrinc.com/sites/CoW_FRLP/_layouts/DocIdRedir.aspx?ID=COWFRLPHDR-13-1161" TargetMode="External"/><Relationship Id="rId240" Type="http://schemas.openxmlformats.org/officeDocument/2006/relationships/hyperlink" Target="https://share.hdrinc.com/sites/CoW_FRLP/ENVIRONMENTAL/COW-FRMP_TR-104%20TITLE%20Tax%20Card.pdf" TargetMode="External"/><Relationship Id="rId478" Type="http://schemas.openxmlformats.org/officeDocument/2006/relationships/hyperlink" Target="https://share.hdrinc.com/sites/CoW_FRLP/_layouts/DocIdRedir.aspx?ID=COWFRLPHDR-13-986" TargetMode="External"/><Relationship Id="rId685" Type="http://schemas.openxmlformats.org/officeDocument/2006/relationships/hyperlink" Target="https://share.hdrinc.com/sites/CoW_FRLP/_layouts/DocIdRedir.aspx?ID=COWFRLPHDR-13-1104" TargetMode="External"/><Relationship Id="rId850" Type="http://schemas.openxmlformats.org/officeDocument/2006/relationships/hyperlink" Target="https://share.hdrinc.com/sites/CoW_FRLP/_layouts/DocIdRedir.aspx?ID=COWFRLPHDR-13-1091" TargetMode="External"/><Relationship Id="rId35" Type="http://schemas.openxmlformats.org/officeDocument/2006/relationships/hyperlink" Target="https://share.hdrinc.com/sites/CoW_FRLP/ENVIRONMENTAL/COW-FRMP_TR-010%20TITLE%20Tax%20Card.pdf" TargetMode="External"/><Relationship Id="rId77" Type="http://schemas.openxmlformats.org/officeDocument/2006/relationships/hyperlink" Target="https://share.hdrinc.com/sites/CoW_FRLP/ENVIRONMENTAL/COW-FRMP_TR-025%20CONTACT%20Negotiator%20Report.docx" TargetMode="External"/><Relationship Id="rId100" Type="http://schemas.openxmlformats.org/officeDocument/2006/relationships/hyperlink" Target="https://share.hdrinc.com/sites/CoW_FRLP/ENVIRONMENTAL/COW-FRMP_TR-032%20TITLE%20Tax%20Card.pdf" TargetMode="External"/><Relationship Id="rId282" Type="http://schemas.openxmlformats.org/officeDocument/2006/relationships/hyperlink" Target="https://share.hdrinc.com/sites/CoW_FRLP/ENVIRONMENTAL/COW-FRMP_TR-115%20TITLE%20Tax%20Card.pdf" TargetMode="External"/><Relationship Id="rId338" Type="http://schemas.openxmlformats.org/officeDocument/2006/relationships/hyperlink" Target="https://share.hdrinc.com/sites/CoW_FRLP/ENVIRONMENTAL/COW-FRMP_TR-132%20TITLE%20Tax%20Card.pdf" TargetMode="External"/><Relationship Id="rId503" Type="http://schemas.openxmlformats.org/officeDocument/2006/relationships/hyperlink" Target="https://share.hdrinc.com/sites/CoW_FRLP/_layouts/DocIdRedir.aspx?ID=COWFRLPHDR-13-1271" TargetMode="External"/><Relationship Id="rId545" Type="http://schemas.openxmlformats.org/officeDocument/2006/relationships/hyperlink" Target="https://share.hdrinc.com/sites/CoW_FRLP/_layouts/DocIdRedir.aspx?ID=COWFRLPHDR-13-1133" TargetMode="External"/><Relationship Id="rId587" Type="http://schemas.openxmlformats.org/officeDocument/2006/relationships/hyperlink" Target="https://share.hdrinc.com/sites/CoW_FRLP/_layouts/DocIdRedir.aspx?ID=COWFRLPHDR-13-1113" TargetMode="External"/><Relationship Id="rId710" Type="http://schemas.openxmlformats.org/officeDocument/2006/relationships/hyperlink" Target="https://share.hdrinc.com/sites/CoW_FRLP/_layouts/DocIdRedir.aspx?ID=COWFRLPHDR-13-831" TargetMode="External"/><Relationship Id="rId752" Type="http://schemas.openxmlformats.org/officeDocument/2006/relationships/hyperlink" Target="https://share.hdrinc.com/sites/CoW_FRLP/_layouts/DocIdRedir.aspx?ID=COWFRLPHDR-13-842" TargetMode="External"/><Relationship Id="rId808" Type="http://schemas.openxmlformats.org/officeDocument/2006/relationships/hyperlink" Target="https://share.hdrinc.com/sites/CoW_FRLP/_layouts/DocIdRedir.aspx?ID=COWFRLPHDR-5-694" TargetMode="External"/><Relationship Id="rId8" Type="http://schemas.openxmlformats.org/officeDocument/2006/relationships/hyperlink" Target="https://share.hdrinc.com/sites/CoW_FRLP/ENVIRONMENTAL/COW-FRMP_TR-002%20TITLE%20Tax%20Card.pdf" TargetMode="External"/><Relationship Id="rId142" Type="http://schemas.openxmlformats.org/officeDocument/2006/relationships/hyperlink" Target="https://share.hdrinc.com/sites/CoW_FRLP/ENVIRONMENTAL/COW-FRMP_TR-048%20TITLE%20Tax%20Card.pdf" TargetMode="External"/><Relationship Id="rId184" Type="http://schemas.openxmlformats.org/officeDocument/2006/relationships/hyperlink" Target="https://share.hdrinc.com/sites/CoW_FRLP/ENVIRONMENTAL/COW-FRMP_TR-078%20TITLE%20Tax%20Card.pdf" TargetMode="External"/><Relationship Id="rId391" Type="http://schemas.openxmlformats.org/officeDocument/2006/relationships/hyperlink" Target="https://share.hdrinc.com/sites/CoW_FRLP/ENVIRONMENTAL/COW-FRMP_TR-179%20TITLE%20Tax%20Card.pdf" TargetMode="External"/><Relationship Id="rId405" Type="http://schemas.openxmlformats.org/officeDocument/2006/relationships/hyperlink" Target="https://share.hdrinc.com/sites/CoW_FRLP/ENVIRONMENTAL/COW-FRMP_TR-214%20ENVIRONMENTAL%20Right-of-Entry%20Package.pdf" TargetMode="External"/><Relationship Id="rId447" Type="http://schemas.openxmlformats.org/officeDocument/2006/relationships/hyperlink" Target="https://share.hdrinc.com/sites/CoW_FRLP/_layouts/DocIdRedir.aspx?ID=COWFRLPHDR-13-1268" TargetMode="External"/><Relationship Id="rId612" Type="http://schemas.openxmlformats.org/officeDocument/2006/relationships/hyperlink" Target="https://share.hdrinc.com/sites/CoW_FRLP/_layouts/DocIdRedir.aspx?ID=COWFRLPHDR-13-1012" TargetMode="External"/><Relationship Id="rId794" Type="http://schemas.openxmlformats.org/officeDocument/2006/relationships/hyperlink" Target="https://share.hdrinc.com/sites/CoW_FRLP/_layouts/DocIdRedir.aspx?ID=COWFRLPHDR-13-1056" TargetMode="External"/><Relationship Id="rId251" Type="http://schemas.openxmlformats.org/officeDocument/2006/relationships/hyperlink" Target="https://share.hdrinc.com/sites/CoW_FRLP/ENVIRONMENTAL/COW-FRMP_TR-107%20TITLE%20Tax%20Card.pdf" TargetMode="External"/><Relationship Id="rId489" Type="http://schemas.openxmlformats.org/officeDocument/2006/relationships/hyperlink" Target="https://share.hdrinc.com/sites/CoW_FRLP/_layouts/DocIdRedir.aspx?ID=COWFRLPHDR-13-1173" TargetMode="External"/><Relationship Id="rId654" Type="http://schemas.openxmlformats.org/officeDocument/2006/relationships/hyperlink" Target="https://share.hdrinc.com/sites/CoW_FRLP/_layouts/DocIdRedir.aspx?ID=COWFRLPHDR-13-816" TargetMode="External"/><Relationship Id="rId696" Type="http://schemas.openxmlformats.org/officeDocument/2006/relationships/hyperlink" Target="https://share.hdrinc.com/sites/CoW_FRLP/_layouts/DocIdRedir.aspx?ID=COWFRLPHDR-13-739" TargetMode="External"/><Relationship Id="rId861" Type="http://schemas.openxmlformats.org/officeDocument/2006/relationships/hyperlink" Target="https://share.hdrinc.com/sites/CoW_FRLP/_layouts/DocIdRedir.aspx?ID=COWFRLPHDR-13-921" TargetMode="External"/><Relationship Id="rId46" Type="http://schemas.openxmlformats.org/officeDocument/2006/relationships/hyperlink" Target="https://share.hdrinc.com/sites/CoW_FRLP/ENVIRONMENTAL/COW-FRMP_TR-013%20ENVIRONMENTAL%20Right-of-Entry%20Package.pdf" TargetMode="External"/><Relationship Id="rId293" Type="http://schemas.openxmlformats.org/officeDocument/2006/relationships/hyperlink" Target="https://share.hdrinc.com/sites/CoW_FRLP/ENVIRONMENTAL/COW-FRMP_TR-118%20ENVIRONMENTAL%20Right-of-Entry%20Package.pdf" TargetMode="External"/><Relationship Id="rId307" Type="http://schemas.openxmlformats.org/officeDocument/2006/relationships/hyperlink" Target="https://share.hdrinc.com/sites/CoW_FRLP/ENVIRONMENTAL/COW-FRMP_TR-122%20CONTACT%20Negotiator%20Report.docx" TargetMode="External"/><Relationship Id="rId349" Type="http://schemas.openxmlformats.org/officeDocument/2006/relationships/hyperlink" Target="https://share.hdrinc.com/sites/CoW_FRLP/ENVIRONMENTAL/COW-FRMP_TR-135%20TITLE%20Tax%20Card.pdf" TargetMode="External"/><Relationship Id="rId514" Type="http://schemas.openxmlformats.org/officeDocument/2006/relationships/hyperlink" Target="https://share.hdrinc.com/sites/CoW_FRLP/_layouts/DocIdRedir.aspx?ID=COWFRLPHDR-13-1294" TargetMode="External"/><Relationship Id="rId556" Type="http://schemas.openxmlformats.org/officeDocument/2006/relationships/hyperlink" Target="https://share.hdrinc.com/sites/CoW_FRLP/_layouts/DocIdRedir.aspx?ID=COWFRLPHDR-13-1136" TargetMode="External"/><Relationship Id="rId721" Type="http://schemas.openxmlformats.org/officeDocument/2006/relationships/hyperlink" Target="https://share.hdrinc.com/sites/CoW_FRLP/_layouts/DocIdRedir.aspx?ID=COWFRLPHDR-13-971" TargetMode="External"/><Relationship Id="rId763" Type="http://schemas.openxmlformats.org/officeDocument/2006/relationships/hyperlink" Target="https://share.hdrinc.com/sites/CoW_FRLP/_layouts/DocIdRedir.aspx?ID=COWFRLPHDR-13-980" TargetMode="External"/><Relationship Id="rId88" Type="http://schemas.openxmlformats.org/officeDocument/2006/relationships/hyperlink" Target="https://share.hdrinc.com/sites/CoW_FRLP/ENVIRONMENTAL/COW-FRMP_TR-029%20ENVIRONMENTAL%20Right-of-Entry%20Package.pdf" TargetMode="External"/><Relationship Id="rId111" Type="http://schemas.openxmlformats.org/officeDocument/2006/relationships/hyperlink" Target="https://share.hdrinc.com/sites/CoW_FRLP/ENVIRONMENTAL/COW-FRMP_TR-036%20TITLE%20Tax%20Card.pdf" TargetMode="External"/><Relationship Id="rId153" Type="http://schemas.openxmlformats.org/officeDocument/2006/relationships/hyperlink" Target="https://share.hdrinc.com/sites/CoW_FRLP/ENVIRONMENTAL/COW-FRMP_TR-051%20ENVIRONMENTAL%20Right-of-Entry%20Package.pdf" TargetMode="External"/><Relationship Id="rId195" Type="http://schemas.openxmlformats.org/officeDocument/2006/relationships/hyperlink" Target="https://share.hdrinc.com/sites/CoW_FRLP/ENVIRONMENTAL/COW-FRMP_TR-084%20TITLE%20Tax%20Card.pdf" TargetMode="External"/><Relationship Id="rId209" Type="http://schemas.openxmlformats.org/officeDocument/2006/relationships/hyperlink" Target="https://share.hdrinc.com/sites/CoW_FRLP/ENVIRONMENTAL/COW-FRMP_TR-088%20ENVIRONMENTAL%20Right-of-Entry%20Package.pdf" TargetMode="External"/><Relationship Id="rId360" Type="http://schemas.openxmlformats.org/officeDocument/2006/relationships/hyperlink" Target="https://share.hdrinc.com/sites/CoW_FRLP/ENVIRONMENTAL/COW-FRMP_TR-153%20ENVIRONMENTAL%20Right-of-Entry%20Package.pdf" TargetMode="External"/><Relationship Id="rId416" Type="http://schemas.openxmlformats.org/officeDocument/2006/relationships/hyperlink" Target="https://share.hdrinc.com/sites/CoW_FRLP/ENVIRONMENTAL/COW-FRMP_TR-225%20TITLE%20Tax%20Card.pdf" TargetMode="External"/><Relationship Id="rId598" Type="http://schemas.openxmlformats.org/officeDocument/2006/relationships/hyperlink" Target="https://share.hdrinc.com/sites/CoW_FRLP/_layouts/DocIdRedir.aspx?ID=COWFRLPHDR-13-809" TargetMode="External"/><Relationship Id="rId819" Type="http://schemas.openxmlformats.org/officeDocument/2006/relationships/hyperlink" Target="https://share.hdrinc.com/sites/CoW_FRLP/_layouts/DocIdRedir.aspx?ID=COWFRLPHDR-13-1067" TargetMode="External"/><Relationship Id="rId220" Type="http://schemas.openxmlformats.org/officeDocument/2006/relationships/hyperlink" Target="https://share.hdrinc.com/sites/CoW_FRLP/ENVIRONMENTAL/COW-FRMP_TR-095%20ENVIRONMENTAL%20Right-of-Entry%20Executed.pdf" TargetMode="External"/><Relationship Id="rId458" Type="http://schemas.openxmlformats.org/officeDocument/2006/relationships/hyperlink" Target="https://share.hdrinc.com/sites/CoW_FRLP/_layouts/DocIdRedir.aspx?ID=COWFRLPHDR-13-1291" TargetMode="External"/><Relationship Id="rId623" Type="http://schemas.openxmlformats.org/officeDocument/2006/relationships/hyperlink" Target="https://share.hdrinc.com/sites/CoW_FRLP/_layouts/DocIdRedir.aspx?ID=COWFRLPHDR-13-1020" TargetMode="External"/><Relationship Id="rId665" Type="http://schemas.openxmlformats.org/officeDocument/2006/relationships/hyperlink" Target="https://share.hdrinc.com/sites/CoW_FRLP/_layouts/DocIdRedir.aspx?ID=COWFRLPHDR-13-850" TargetMode="External"/><Relationship Id="rId830" Type="http://schemas.openxmlformats.org/officeDocument/2006/relationships/hyperlink" Target="https://share.hdrinc.com/sites/CoW_FRLP/_layouts/DocIdRedir.aspx?ID=COWFRLPHDR-13-1227" TargetMode="External"/><Relationship Id="rId872" Type="http://schemas.openxmlformats.org/officeDocument/2006/relationships/hyperlink" Target="https://share.hdrinc.com/sites/CoW_FRLP/_layouts/DocIdRedir.aspx?ID=COWFRLPHDR-13-1099" TargetMode="External"/><Relationship Id="rId15" Type="http://schemas.openxmlformats.org/officeDocument/2006/relationships/hyperlink" Target="https://share.hdrinc.com/sites/CoW_FRLP/ENVIRONMENTAL/COW-FRMP_TR-004%20ENVIRONMENTAL%20Right-of-Entry%20Package.pdf" TargetMode="External"/><Relationship Id="rId57" Type="http://schemas.openxmlformats.org/officeDocument/2006/relationships/hyperlink" Target="https://share.hdrinc.com/sites/CoW_FRLP/ENVIRONMENTAL/COW-FRMP_TR-016%20CONTACT%20Negotiator%20Report.docx" TargetMode="External"/><Relationship Id="rId262" Type="http://schemas.openxmlformats.org/officeDocument/2006/relationships/hyperlink" Target="https://share.hdrinc.com/sites/CoW_FRLP/ENVIRONMENTAL/COW-FRMP_TR-110%20ENVIRONMENTAL%20Right-of-Entry%20Package.pdf" TargetMode="External"/><Relationship Id="rId318" Type="http://schemas.openxmlformats.org/officeDocument/2006/relationships/hyperlink" Target="https://share.hdrinc.com/sites/CoW_FRLP/ENVIRONMENTAL/COW-FRMP_TR-126%20CONTACT%20Negotiator%20Report.docx" TargetMode="External"/><Relationship Id="rId525" Type="http://schemas.openxmlformats.org/officeDocument/2006/relationships/hyperlink" Target="https://share.hdrinc.com/sites/CoW_FRLP/_layouts/DocIdRedir.aspx?ID=COWFRLPHDR-13-790" TargetMode="External"/><Relationship Id="rId567" Type="http://schemas.openxmlformats.org/officeDocument/2006/relationships/hyperlink" Target="https://share.hdrinc.com/sites/CoW_FRLP/_layouts/DocIdRedir.aspx?ID=COWFRLPHDR-13-1139" TargetMode="External"/><Relationship Id="rId732" Type="http://schemas.openxmlformats.org/officeDocument/2006/relationships/hyperlink" Target="https://share.hdrinc.com/sites/CoW_FRLP/_layouts/DocIdRedir.aspx?ID=COWFRLPHDR-13-1213" TargetMode="External"/><Relationship Id="rId99" Type="http://schemas.openxmlformats.org/officeDocument/2006/relationships/hyperlink" Target="https://share.hdrinc.com/sites/CoW_FRLP/ENVIRONMENTAL/COW-FRMP_TR-032%20ENVIRONMENTAL%20Right-of-Entry%20Package.pdf" TargetMode="External"/><Relationship Id="rId122" Type="http://schemas.openxmlformats.org/officeDocument/2006/relationships/hyperlink" Target="https://share.hdrinc.com/sites/CoW_FRLP/ENVIRONMENTAL/COW-FRMP_TR-040%20ENVIRONMENTAL%20Right-of-Entry%20Package.pdf" TargetMode="External"/><Relationship Id="rId164" Type="http://schemas.openxmlformats.org/officeDocument/2006/relationships/hyperlink" Target="https://share.hdrinc.com/sites/CoW_FRLP/ENVIRONMENTAL/COW-FRMP_TR-054%20ENVIRONMENTAL%20Right-of-Entry%20Package.pdf" TargetMode="External"/><Relationship Id="rId371" Type="http://schemas.openxmlformats.org/officeDocument/2006/relationships/hyperlink" Target="https://share.hdrinc.com/sites/CoW_FRLP/ENVIRONMENTAL/COW-FRMP_TR-156%20ENVIRONMENTAL%20Right-of-Entry%20Package.pdf" TargetMode="External"/><Relationship Id="rId774" Type="http://schemas.openxmlformats.org/officeDocument/2006/relationships/hyperlink" Target="https://share.hdrinc.com/sites/CoW_FRLP/_layouts/DocIdRedir.aspx?ID=COWFRLPHDR-13-1218" TargetMode="External"/><Relationship Id="rId427" Type="http://schemas.openxmlformats.org/officeDocument/2006/relationships/hyperlink" Target="https://share.hdrinc.com/sites/CoW_FRLP/ENVIRONMENTAL/COW-FRMP_TR-231%20TITLE%20Tax%20Card.pdf" TargetMode="External"/><Relationship Id="rId469" Type="http://schemas.openxmlformats.org/officeDocument/2006/relationships/hyperlink" Target="https://share.hdrinc.com/sites/CoW_FRLP/_layouts/DocIdRedir.aspx?ID=COWFRLPHDR-11-18" TargetMode="External"/><Relationship Id="rId634" Type="http://schemas.openxmlformats.org/officeDocument/2006/relationships/hyperlink" Target="https://share.hdrinc.com/sites/CoW_FRLP/_layouts/DocIdRedir.aspx?ID=COWFRLPHDR-13-1023" TargetMode="External"/><Relationship Id="rId676" Type="http://schemas.openxmlformats.org/officeDocument/2006/relationships/hyperlink" Target="https://share.hdrinc.com/sites/CoW_FRLP/_layouts/DocIdRedir.aspx?ID=COWFRLPHDR-13-853" TargetMode="External"/><Relationship Id="rId841" Type="http://schemas.openxmlformats.org/officeDocument/2006/relationships/hyperlink" Target="https://share.hdrinc.com/sites/CoW_FRLP/_layouts/DocIdRedir.aspx?ID=COWFRLPHDR-13-1325" TargetMode="External"/><Relationship Id="rId26" Type="http://schemas.openxmlformats.org/officeDocument/2006/relationships/hyperlink" Target="https://share.hdrinc.com/sites/CoW_FRLP/ENVIRONMENTAL/COW-FRMP_TR-007%20ENVIRONMENTAL%20Right-of-Entry%20Executed.pdf" TargetMode="External"/><Relationship Id="rId231" Type="http://schemas.openxmlformats.org/officeDocument/2006/relationships/hyperlink" Target="https://share.hdrinc.com/sites/CoW_FRLP/ENVIRONMENTAL/COW-FRMP_TR-098%20ENVIRONMENTAL%20Right-of-Entry%20Package.pdf" TargetMode="External"/><Relationship Id="rId273" Type="http://schemas.openxmlformats.org/officeDocument/2006/relationships/hyperlink" Target="https://share.hdrinc.com/sites/CoW_FRLP/ENVIRONMENTAL/COW-FRMP_TR-113%20ENVIRONMENTAL%20Right-of-Entry%20Package.pdf" TargetMode="External"/><Relationship Id="rId329" Type="http://schemas.openxmlformats.org/officeDocument/2006/relationships/hyperlink" Target="https://share.hdrinc.com/sites/CoW_FRLP/ENVIRONMENTAL/COW-FRMP_TR-130%20CONTACT%20Negotiator%20Report.docx" TargetMode="External"/><Relationship Id="rId480" Type="http://schemas.openxmlformats.org/officeDocument/2006/relationships/hyperlink" Target="https://share.hdrinc.com/sites/CoW_FRLP/_layouts/DocIdRedir.aspx?ID=COWFRLPHDR-13-1116" TargetMode="External"/><Relationship Id="rId536" Type="http://schemas.openxmlformats.org/officeDocument/2006/relationships/hyperlink" Target="https://share.hdrinc.com/sites/CoW_FRLP/_layouts/DocIdRedir.aspx?ID=COWFRLPHDR-13-793" TargetMode="External"/><Relationship Id="rId701" Type="http://schemas.openxmlformats.org/officeDocument/2006/relationships/hyperlink" Target="https://share.hdrinc.com/sites/CoW_FRLP/_layouts/DocIdRedir.aspx?ID=COWFRLPHDR-13-1207" TargetMode="External"/><Relationship Id="rId68" Type="http://schemas.openxmlformats.org/officeDocument/2006/relationships/hyperlink" Target="https://share.hdrinc.com/sites/CoW_FRLP/ENVIRONMENTAL/COW-FRMP_TR-018%20TITLE%20Tax%20Card.pdf" TargetMode="External"/><Relationship Id="rId133" Type="http://schemas.openxmlformats.org/officeDocument/2006/relationships/hyperlink" Target="https://share.hdrinc.com/sites/CoW_FRLP/ENVIRONMENTAL/COW-FRMP_TR-045%20ENVIRONMENTAL%20Right-of-Entry%20Package.pdf" TargetMode="External"/><Relationship Id="rId175" Type="http://schemas.openxmlformats.org/officeDocument/2006/relationships/hyperlink" Target="https://share.hdrinc.com/sites/CoW_FRLP/ENVIRONMENTAL/COW-FRMP_TR-064%20ENVIRONMENTAL%20Right-of-Entry%20Executed.pdf" TargetMode="External"/><Relationship Id="rId340" Type="http://schemas.openxmlformats.org/officeDocument/2006/relationships/hyperlink" Target="https://share.hdrinc.com/sites/CoW_FRLP/ENVIRONMENTAL/COW-FRMP_TR-133%20ENVIRONMENTAL%20Right-of-Entry%20Executed.pdf" TargetMode="External"/><Relationship Id="rId578" Type="http://schemas.openxmlformats.org/officeDocument/2006/relationships/hyperlink" Target="https://share.hdrinc.com/sites/CoW_FRLP/_layouts/DocIdRedir.aspx?ID=COWFRLPHDR-13-804" TargetMode="External"/><Relationship Id="rId743" Type="http://schemas.openxmlformats.org/officeDocument/2006/relationships/hyperlink" Target="https://share.hdrinc.com/sites/CoW_FRLP/_layouts/DocIdRedir.aspx?ID=COWFRLPHDR-13-751" TargetMode="External"/><Relationship Id="rId785" Type="http://schemas.openxmlformats.org/officeDocument/2006/relationships/hyperlink" Target="https://share.hdrinc.com/sites/CoW_FRLP/_layouts/DocIdRedir.aspx?ID=COWFRLPHDR-13-1054" TargetMode="External"/><Relationship Id="rId200" Type="http://schemas.openxmlformats.org/officeDocument/2006/relationships/hyperlink" Target="https://share.hdrinc.com/sites/CoW_FRLP/ENVIRONMENTAL/COW-FRMP_TR-086%20ENVIRONMENTAL%20Right-of-Entry%20Executed.pdf" TargetMode="External"/><Relationship Id="rId382" Type="http://schemas.openxmlformats.org/officeDocument/2006/relationships/hyperlink" Target="https://share.hdrinc.com/sites/CoW_FRLP/ENVIRONMENTAL/COW-FRMP_TR-177%20ENVIRONMENTAL%20Right-of-Entry%20Executed.pdf" TargetMode="External"/><Relationship Id="rId438" Type="http://schemas.openxmlformats.org/officeDocument/2006/relationships/hyperlink" Target="https://share.hdrinc.com/sites/CoW_FRLP/ENVIRONMENTAL/COW-FRMP_TR-250%20TITLE%20Tax%20Card.pdf" TargetMode="External"/><Relationship Id="rId603" Type="http://schemas.openxmlformats.org/officeDocument/2006/relationships/hyperlink" Target="https://share.hdrinc.com/sites/CoW_FRLP/_layouts/DocIdRedir.aspx?ID=COWFRLPHDR-13-1188" TargetMode="External"/><Relationship Id="rId645" Type="http://schemas.openxmlformats.org/officeDocument/2006/relationships/hyperlink" Target="https://share.hdrinc.com/sites/CoW_FRLP/_layouts/DocIdRedir.aspx?ID=COWFRLPHDR-13-1280" TargetMode="External"/><Relationship Id="rId687" Type="http://schemas.openxmlformats.org/officeDocument/2006/relationships/hyperlink" Target="https://share.hdrinc.com/sites/CoW_FRLP/_layouts/DocIdRedir.aspx?ID=COWFRLPHDR-13-1036" TargetMode="External"/><Relationship Id="rId810" Type="http://schemas.openxmlformats.org/officeDocument/2006/relationships/hyperlink" Target="https://share.hdrinc.com/sites/CoW_FRLP/_layouts/DocIdRedir.aspx?ID=COWFRLPHDR-13-1334" TargetMode="External"/><Relationship Id="rId852" Type="http://schemas.openxmlformats.org/officeDocument/2006/relationships/hyperlink" Target="https://share.hdrinc.com/sites/CoW_FRLP/_layouts/DocIdRedir.aspx?ID=COWFRLPHDR-13-915" TargetMode="External"/><Relationship Id="rId242" Type="http://schemas.openxmlformats.org/officeDocument/2006/relationships/hyperlink" Target="https://share.hdrinc.com/sites/CoW_FRLP/ENVIRONMENTAL/COW-FRMP_TR-105%20ENVIRONMENTAL%20Right-of-Entry%20Executed.pdf" TargetMode="External"/><Relationship Id="rId284" Type="http://schemas.openxmlformats.org/officeDocument/2006/relationships/hyperlink" Target="https://share.hdrinc.com/sites/CoW_FRLP/ENVIRONMENTAL/COW-FRMP_TR-116%20ENVIRONMENTAL%20Right-of-Entry%20Executed.pdf" TargetMode="External"/><Relationship Id="rId491" Type="http://schemas.openxmlformats.org/officeDocument/2006/relationships/hyperlink" Target="https://share.hdrinc.com/sites/CoW_FRLP/_layouts/DocIdRedir.aspx?ID=COWFRLPHDR-13-768" TargetMode="External"/><Relationship Id="rId505" Type="http://schemas.openxmlformats.org/officeDocument/2006/relationships/hyperlink" Target="https://share.hdrinc.com/sites/CoW_FRLP/_layouts/DocIdRedir.aspx?ID=COWFRLPHDR-13-1122" TargetMode="External"/><Relationship Id="rId712" Type="http://schemas.openxmlformats.org/officeDocument/2006/relationships/hyperlink" Target="https://share.hdrinc.com/sites/CoW_FRLP/_layouts/DocIdRedir.aspx?ID=COWFRLPHDR-13-1209" TargetMode="External"/><Relationship Id="rId37" Type="http://schemas.openxmlformats.org/officeDocument/2006/relationships/hyperlink" Target="https://share.hdrinc.com/sites/CoW_FRLP/ENVIRONMENTAL/COW-FRMP_TR-011%20ENVIRONMENTAL%20Right-of-Entry%20Executed.pdf" TargetMode="External"/><Relationship Id="rId79" Type="http://schemas.openxmlformats.org/officeDocument/2006/relationships/hyperlink" Target="https://share.hdrinc.com/sites/CoW_FRLP/ENVIRONMENTAL/COW-FRMP_TR-027%20CONTACT%20Negotiator%20Report.docx" TargetMode="External"/><Relationship Id="rId102" Type="http://schemas.openxmlformats.org/officeDocument/2006/relationships/hyperlink" Target="https://share.hdrinc.com/sites/CoW_FRLP/ENVIRONMENTAL/COW-FRMP_TR-033%20ENVIRONMENTAL%20Right-of-Entry%20Executed.pdf" TargetMode="External"/><Relationship Id="rId144" Type="http://schemas.openxmlformats.org/officeDocument/2006/relationships/hyperlink" Target="https://share.hdrinc.com/sites/CoW_FRLP/ENVIRONMENTAL/COW-FRMP_TR-049%20ENVIRONMENTAL%20Right-of-Entry%20Executed.pdf" TargetMode="External"/><Relationship Id="rId547" Type="http://schemas.openxmlformats.org/officeDocument/2006/relationships/hyperlink" Target="https://share.hdrinc.com/sites/CoW_FRLP/_layouts/DocIdRedir.aspx?ID=COWFRLPHDR-13-796" TargetMode="External"/><Relationship Id="rId589" Type="http://schemas.openxmlformats.org/officeDocument/2006/relationships/hyperlink" Target="https://share.hdrinc.com/sites/CoW_FRLP/_layouts/DocIdRedir.aspx?ID=COWFRLPHDR-13-1006" TargetMode="External"/><Relationship Id="rId754" Type="http://schemas.openxmlformats.org/officeDocument/2006/relationships/hyperlink" Target="https://share.hdrinc.com/sites/CoW_FRLP/_layouts/DocIdRedir.aspx?ID=COWFRLPHDR-13-843" TargetMode="External"/><Relationship Id="rId796" Type="http://schemas.openxmlformats.org/officeDocument/2006/relationships/hyperlink" Target="https://share.hdrinc.com/sites/CoW_FRLP/_layouts/DocIdRedir.aspx?ID=COWFRLPHDR-13-1057" TargetMode="External"/><Relationship Id="rId90" Type="http://schemas.openxmlformats.org/officeDocument/2006/relationships/hyperlink" Target="https://share.hdrinc.com/sites/CoW_FRLP/ENVIRONMENTAL/COW-FRMP_TR-030%20CONTACT%20Negotiator%20Report.docx" TargetMode="External"/><Relationship Id="rId186" Type="http://schemas.openxmlformats.org/officeDocument/2006/relationships/hyperlink" Target="https://share.hdrinc.com/sites/CoW_FRLP/ENVIRONMENTAL/COW-FRMP_TR-079%20TITLE%20Tax%20Card.pdf" TargetMode="External"/><Relationship Id="rId351" Type="http://schemas.openxmlformats.org/officeDocument/2006/relationships/hyperlink" Target="https://share.hdrinc.com/sites/CoW_FRLP/ENVIRONMENTAL/COW-FRMP_TR-136%20TITLE%20Tax%20Card.pdf" TargetMode="External"/><Relationship Id="rId393" Type="http://schemas.openxmlformats.org/officeDocument/2006/relationships/hyperlink" Target="https://share.hdrinc.com/sites/CoW_FRLP/ENVIRONMENTAL/COW-FRMP_TR-199%20CONTACT%20Negotiator%20Report.docx" TargetMode="External"/><Relationship Id="rId407" Type="http://schemas.openxmlformats.org/officeDocument/2006/relationships/hyperlink" Target="https://share.hdrinc.com/sites/CoW_FRLP/ENVIRONMENTAL/COW-FRMP_TR-219%20CONTACT%20Negotiator%20Report.docx" TargetMode="External"/><Relationship Id="rId449" Type="http://schemas.openxmlformats.org/officeDocument/2006/relationships/hyperlink" Target="https://share.hdrinc.com/sites/CoW_FRLP/_layouts/DocIdRedir.aspx?ID=COWFRLPHDR-11-13" TargetMode="External"/><Relationship Id="rId614" Type="http://schemas.openxmlformats.org/officeDocument/2006/relationships/hyperlink" Target="https://share.hdrinc.com/sites/CoW_FRLP/_layouts/DocIdRedir.aspx?ID=COWFRLPHDR-13-1149" TargetMode="External"/><Relationship Id="rId656" Type="http://schemas.openxmlformats.org/officeDocument/2006/relationships/hyperlink" Target="https://share.hdrinc.com/sites/CoW_FRLP/_layouts/DocIdRedir.aspx?ID=COWFRLPHDR-13-847" TargetMode="External"/><Relationship Id="rId821" Type="http://schemas.openxmlformats.org/officeDocument/2006/relationships/hyperlink" Target="https://share.hdrinc.com/sites/CoW_FRLP/_layouts/DocIdRedir.aspx?ID=COWFRLPHDR-13-955" TargetMode="External"/><Relationship Id="rId863" Type="http://schemas.openxmlformats.org/officeDocument/2006/relationships/hyperlink" Target="https://share.hdrinc.com/sites/CoW_FRLP/_layouts/DocIdRedir.aspx?ID=COWFRLPHDR-13-1096" TargetMode="External"/><Relationship Id="rId211" Type="http://schemas.openxmlformats.org/officeDocument/2006/relationships/hyperlink" Target="https://share.hdrinc.com/sites/CoW_FRLP/ENVIRONMENTAL/COW-FRMP_TR-090%20ENVIRONMENTAL%20Right-of-Entry%20Package.pdf" TargetMode="External"/><Relationship Id="rId253" Type="http://schemas.openxmlformats.org/officeDocument/2006/relationships/hyperlink" Target="https://share.hdrinc.com/sites/CoW_FRLP/ENVIRONMENTAL/COW-FRMP_TR-108%20ENVIRONMENTAL%20Right-of-Entry%20Executed.pdf" TargetMode="External"/><Relationship Id="rId295" Type="http://schemas.openxmlformats.org/officeDocument/2006/relationships/hyperlink" Target="https://share.hdrinc.com/sites/CoW_FRLP/ENVIRONMENTAL/COW-FRMP_TR-119%20CONTACT%20Negotiator%20Report.docx" TargetMode="External"/><Relationship Id="rId309" Type="http://schemas.openxmlformats.org/officeDocument/2006/relationships/hyperlink" Target="https://share.hdrinc.com/sites/CoW_FRLP/ENVIRONMENTAL/COW-FRMP_TR-122%20ENVIRONMENTAL%20Right-of-Entry%20Package.pdf" TargetMode="External"/><Relationship Id="rId460" Type="http://schemas.openxmlformats.org/officeDocument/2006/relationships/hyperlink" Target="https://share.hdrinc.com/sites/CoW_FRLP/_layouts/DocIdRedir.aspx?ID=COWFRLPHDR-13-760" TargetMode="External"/><Relationship Id="rId516" Type="http://schemas.openxmlformats.org/officeDocument/2006/relationships/hyperlink" Target="https://share.hdrinc.com/sites/CoW_FRLP/_layouts/DocIdRedir.aspx?ID=COWFRLPHDR-13-787" TargetMode="External"/><Relationship Id="rId698" Type="http://schemas.openxmlformats.org/officeDocument/2006/relationships/hyperlink" Target="https://share.hdrinc.com/sites/CoW_FRLP/_layouts/DocIdRedir.aspx?ID=COWFRLPHDR-13-1284" TargetMode="External"/><Relationship Id="rId48" Type="http://schemas.openxmlformats.org/officeDocument/2006/relationships/hyperlink" Target="https://share.hdrinc.com/sites/CoW_FRLP/ENVIRONMENTAL/COW-FRMP_TR-014%20CONTACT%20Negotiator%20Report.docx" TargetMode="External"/><Relationship Id="rId113" Type="http://schemas.openxmlformats.org/officeDocument/2006/relationships/hyperlink" Target="https://share.hdrinc.com/sites/CoW_FRLP/ENVIRONMENTAL/COW-FRMP_TR-038%20ENVIRONMENTAL%20Right-of-Entry%20Executed.pdf" TargetMode="External"/><Relationship Id="rId320" Type="http://schemas.openxmlformats.org/officeDocument/2006/relationships/hyperlink" Target="https://share.hdrinc.com/sites/CoW_FRLP/ENVIRONMENTAL/COW-FRMP_TR-126%20TITLE%20Tax%20Card.pdf" TargetMode="External"/><Relationship Id="rId558" Type="http://schemas.openxmlformats.org/officeDocument/2006/relationships/hyperlink" Target="https://share.hdrinc.com/sites/CoW_FRLP/_layouts/DocIdRedir.aspx?ID=COWFRLPHDR-13-1000" TargetMode="External"/><Relationship Id="rId723" Type="http://schemas.openxmlformats.org/officeDocument/2006/relationships/hyperlink" Target="https://share.hdrinc.com/sites/CoW_FRLP/_layouts/DocIdRedir.aspx?ID=COWFRLPHDR-13-746" TargetMode="External"/><Relationship Id="rId765" Type="http://schemas.openxmlformats.org/officeDocument/2006/relationships/hyperlink" Target="https://share.hdrinc.com/sites/CoW_FRLP/_layouts/DocIdRedir.aspx?ID=COWFRLPHDR-13-756" TargetMode="External"/><Relationship Id="rId155" Type="http://schemas.openxmlformats.org/officeDocument/2006/relationships/hyperlink" Target="https://share.hdrinc.com/sites/CoW_FRLP/ENVIRONMENTAL/COW-FRMP_TR-052%20CONTACT%20Negotiator%20Report.docx" TargetMode="External"/><Relationship Id="rId197" Type="http://schemas.openxmlformats.org/officeDocument/2006/relationships/hyperlink" Target="https://share.hdrinc.com/sites/CoW_FRLP/ENVIRONMENTAL/COW-FRMP_TR-085%20ENVIRONMENTAL%20Right-of-Entry%20Package.pdf" TargetMode="External"/><Relationship Id="rId362" Type="http://schemas.openxmlformats.org/officeDocument/2006/relationships/hyperlink" Target="https://share.hdrinc.com/sites/CoW_FRLP/ENVIRONMENTAL/COW-FRMP_TR-154%20CONTACT%20Negotiator%20Report.docx" TargetMode="External"/><Relationship Id="rId418" Type="http://schemas.openxmlformats.org/officeDocument/2006/relationships/hyperlink" Target="https://share.hdrinc.com/sites/CoW_FRLP/ENVIRONMENTAL/COW-FRMP_TR-226%20ENVIRONMENTAL%20Right-of-Entry%20Executed.pdf" TargetMode="External"/><Relationship Id="rId625" Type="http://schemas.openxmlformats.org/officeDocument/2006/relationships/hyperlink" Target="https://share.hdrinc.com/sites/CoW_FRLP/_layouts/DocIdRedir.aspx?ID=COWFRLPHDR-13-1021" TargetMode="External"/><Relationship Id="rId832" Type="http://schemas.openxmlformats.org/officeDocument/2006/relationships/hyperlink" Target="https://share.hdrinc.com/sites/CoW_FRLP/_layouts/DocIdRedir.aspx?ID=COWFRLPHDR-13-1289" TargetMode="External"/><Relationship Id="rId222" Type="http://schemas.openxmlformats.org/officeDocument/2006/relationships/hyperlink" Target="https://share.hdrinc.com/sites/CoW_FRLP/ENVIRONMENTAL/COW-FRMP_TR-095%20TITLE%20Tax%20Card.pdf" TargetMode="External"/><Relationship Id="rId264" Type="http://schemas.openxmlformats.org/officeDocument/2006/relationships/hyperlink" Target="https://share.hdrinc.com/sites/CoW_FRLP/ENVIRONMENTAL/COW-FRMP_TR-111%20CONTACT%20Negotiator%20Report.docx" TargetMode="External"/><Relationship Id="rId471" Type="http://schemas.openxmlformats.org/officeDocument/2006/relationships/hyperlink" Target="https://share.hdrinc.com/sites/CoW_FRLP/_layouts/DocIdRedir.aspx?ID=COWFRLPHDR-13-763" TargetMode="External"/><Relationship Id="rId667" Type="http://schemas.openxmlformats.org/officeDocument/2006/relationships/hyperlink" Target="https://share.hdrinc.com/sites/CoW_FRLP/_layouts/DocIdRedir.aspx?ID=COWFRLPHDR-13-1026" TargetMode="External"/><Relationship Id="rId874" Type="http://schemas.openxmlformats.org/officeDocument/2006/relationships/hyperlink" Target="https://share.hdrinc.com/sites/CoW_FRLP/_layouts/DocIdRedir.aspx?ID=COWFRLPHDR-13-1244" TargetMode="External"/><Relationship Id="rId17" Type="http://schemas.openxmlformats.org/officeDocument/2006/relationships/hyperlink" Target="https://share.hdrinc.com/sites/CoW_FRLP/ENVIRONMENTAL/COW-FRMP_TR-005%20CONTACT%20Negotiator%20Report.docx" TargetMode="External"/><Relationship Id="rId59" Type="http://schemas.openxmlformats.org/officeDocument/2006/relationships/hyperlink" Target="https://share.hdrinc.com/sites/CoW_FRLP/ENVIRONMENTAL/COW-FRMP_TR-016%20ENVIRONMENTAL%20Right-of-Entry%20Package.pdf" TargetMode="External"/><Relationship Id="rId124" Type="http://schemas.openxmlformats.org/officeDocument/2006/relationships/hyperlink" Target="https://share.hdrinc.com/sites/CoW_FRLP/ENVIRONMENTAL/COW-FRMP_TR-041%20CONTACT%20Negotiator%20Report.docx" TargetMode="External"/><Relationship Id="rId527" Type="http://schemas.openxmlformats.org/officeDocument/2006/relationships/hyperlink" Target="https://share.hdrinc.com/sites/CoW_FRLP/_layouts/DocIdRedir.aspx?ID=COWFRLPHDR-13-1177" TargetMode="External"/><Relationship Id="rId569" Type="http://schemas.openxmlformats.org/officeDocument/2006/relationships/hyperlink" Target="https://share.hdrinc.com/sites/CoW_FRLP/_layouts/DocIdRedir.aspx?ID=COWFRLPHDR-13-1003" TargetMode="External"/><Relationship Id="rId734" Type="http://schemas.openxmlformats.org/officeDocument/2006/relationships/hyperlink" Target="https://share.hdrinc.com/sites/CoW_FRLP/_layouts/DocIdRedir.aspx?ID=COWFRLPHDR-13-837" TargetMode="External"/><Relationship Id="rId776" Type="http://schemas.openxmlformats.org/officeDocument/2006/relationships/hyperlink" Target="https://share.hdrinc.com/sites/CoW_FRLP/_layouts/DocIdRedir.aspx?ID=COWFRLPHDR-5-684" TargetMode="External"/><Relationship Id="rId70" Type="http://schemas.openxmlformats.org/officeDocument/2006/relationships/hyperlink" Target="https://share.hdrinc.com/sites/CoW_FRLP/ENVIRONMENTAL/COW-FRMP_TR-019%20ENVIRONMENTAL%20Right-of-Entry%20Executed.pdf" TargetMode="External"/><Relationship Id="rId166" Type="http://schemas.openxmlformats.org/officeDocument/2006/relationships/hyperlink" Target="https://share.hdrinc.com/sites/CoW_FRLP/ENVIRONMENTAL/COW-FRMP_TR-055%20CONTACT%20Negotiator%20Report.docx" TargetMode="External"/><Relationship Id="rId331" Type="http://schemas.openxmlformats.org/officeDocument/2006/relationships/hyperlink" Target="https://share.hdrinc.com/sites/CoW_FRLP/ENVIRONMENTAL/COW-FRMP_TR-130%20ENVIRONMENTAL%20Right-of-Entry%20Package.pdf" TargetMode="External"/><Relationship Id="rId373" Type="http://schemas.openxmlformats.org/officeDocument/2006/relationships/hyperlink" Target="https://share.hdrinc.com/sites/CoW_FRLP/ENVIRONMENTAL/COW-FRMP_TR-160%20CONTACT%20Negotiator%20Report.docx" TargetMode="External"/><Relationship Id="rId429" Type="http://schemas.openxmlformats.org/officeDocument/2006/relationships/hyperlink" Target="https://share.hdrinc.com/sites/CoW_FRLP/ENVIRONMENTAL/COW-FRMP_TR-232%20ENVIRONMENTAL%20Right-of-Entry%20Package.pdf" TargetMode="External"/><Relationship Id="rId580" Type="http://schemas.openxmlformats.org/officeDocument/2006/relationships/hyperlink" Target="https://share.hdrinc.com/sites/CoW_FRLP/_layouts/DocIdRedir.aspx?ID=COWFRLPHDR-13-1184" TargetMode="External"/><Relationship Id="rId636" Type="http://schemas.openxmlformats.org/officeDocument/2006/relationships/hyperlink" Target="https://share.hdrinc.com/sites/CoW_FRLP/_layouts/DocIdRedir.aspx?ID=COWFRLPHDR-13-1159" TargetMode="External"/><Relationship Id="rId801" Type="http://schemas.openxmlformats.org/officeDocument/2006/relationships/hyperlink" Target="https://share.hdrinc.com/sites/CoW_FRLP/_layouts/DocIdRedir.aspx?ID=COWFRLPHDR-5-692" TargetMode="External"/><Relationship Id="rId1" Type="http://schemas.openxmlformats.org/officeDocument/2006/relationships/hyperlink" Target="https://share.hdrinc.com/sites/CoW_FRLP/ENVIRONMENTAL/COW-FRMP_TR-001%20CONTACT%20Negotiator%20Report.docx" TargetMode="External"/><Relationship Id="rId233" Type="http://schemas.openxmlformats.org/officeDocument/2006/relationships/hyperlink" Target="https://share.hdrinc.com/sites/CoW_FRLP/ENVIRONMENTAL/COW-FRMP_TR-099%20CONTACT%20Negotiator%20Report.docx" TargetMode="External"/><Relationship Id="rId440" Type="http://schemas.openxmlformats.org/officeDocument/2006/relationships/hyperlink" Target="https://share.hdrinc.com/sites/CoW_FRLP/ENVIRONMENTAL/COW-FRMP_TR-258%20TITLE%20Tax%20Card.pdf" TargetMode="External"/><Relationship Id="rId678" Type="http://schemas.openxmlformats.org/officeDocument/2006/relationships/hyperlink" Target="https://share.hdrinc.com/sites/CoW_FRLP/_layouts/DocIdRedir.aspx?ID=COWFRLPHDR-13-1201" TargetMode="External"/><Relationship Id="rId843" Type="http://schemas.openxmlformats.org/officeDocument/2006/relationships/hyperlink" Target="https://share.hdrinc.com/sites/CoW_FRLP/_layouts/DocIdRedir.aspx?ID=COWFRLPHDR-13-904" TargetMode="External"/><Relationship Id="rId28" Type="http://schemas.openxmlformats.org/officeDocument/2006/relationships/hyperlink" Target="https://share.hdrinc.com/sites/CoW_FRLP/ENVIRONMENTAL/COW-FRMP_TR-007%20TITLE%20Tax%20Card.pdf" TargetMode="External"/><Relationship Id="rId275" Type="http://schemas.openxmlformats.org/officeDocument/2006/relationships/hyperlink" Target="https://share.hdrinc.com/sites/CoW_FRLP/ENVIRONMENTAL/COW-FRMP_TR-114%20CONTACT%20Negotiator%20Report.docx" TargetMode="External"/><Relationship Id="rId300" Type="http://schemas.openxmlformats.org/officeDocument/2006/relationships/hyperlink" Target="https://share.hdrinc.com/sites/CoW_FRLP/ENVIRONMENTAL/COW-FRMP_TR-120%20ENVIRONMENTAL%20Right-of-Entry%20Executed.pdf" TargetMode="External"/><Relationship Id="rId482" Type="http://schemas.openxmlformats.org/officeDocument/2006/relationships/hyperlink" Target="https://share.hdrinc.com/sites/CoW_FRLP/_layouts/DocIdRedir.aspx?ID=COWFRLPHDR-13-987" TargetMode="External"/><Relationship Id="rId538" Type="http://schemas.openxmlformats.org/officeDocument/2006/relationships/hyperlink" Target="https://share.hdrinc.com/sites/CoW_FRLP/_layouts/DocIdRedir.aspx?ID=COWFRLPHDR-13-1296" TargetMode="External"/><Relationship Id="rId703" Type="http://schemas.openxmlformats.org/officeDocument/2006/relationships/hyperlink" Target="https://share.hdrinc.com/sites/CoW_FRLP/_layouts/DocIdRedir.aspx?ID=COWFRLPHDR-13-829" TargetMode="External"/><Relationship Id="rId745" Type="http://schemas.openxmlformats.org/officeDocument/2006/relationships/hyperlink" Target="https://share.hdrinc.com/sites/CoW_FRLP/_layouts/DocIdRedir.aspx?ID=COWFRLPHDR-13-977" TargetMode="External"/><Relationship Id="rId81" Type="http://schemas.openxmlformats.org/officeDocument/2006/relationships/hyperlink" Target="https://share.hdrinc.com/sites/CoW_FRLP/ENVIRONMENTAL/COW-FRMP_TR-027%20TITLE%20Tax%20Card.pdf" TargetMode="External"/><Relationship Id="rId135" Type="http://schemas.openxmlformats.org/officeDocument/2006/relationships/hyperlink" Target="https://share.hdrinc.com/sites/CoW_FRLP/ENVIRONMENTAL/COW-FRMP_TR-047%20CONTACT%20Negotiator%20Report.docx" TargetMode="External"/><Relationship Id="rId177" Type="http://schemas.openxmlformats.org/officeDocument/2006/relationships/hyperlink" Target="https://share.hdrinc.com/sites/CoW_FRLP/ENVIRONMENTAL/COW-FRMP_TR-064%20TITLE%20Tax%20Card.pdf" TargetMode="External"/><Relationship Id="rId342" Type="http://schemas.openxmlformats.org/officeDocument/2006/relationships/hyperlink" Target="https://share.hdrinc.com/sites/CoW_FRLP/ENVIRONMENTAL/COW-FRMP_TR-133%20TITLE%20Tax%20Card.pdf" TargetMode="External"/><Relationship Id="rId384" Type="http://schemas.openxmlformats.org/officeDocument/2006/relationships/hyperlink" Target="https://share.hdrinc.com/sites/CoW_FRLP/ENVIRONMENTAL/COW-FRMP_TR-177%20TITLE%20Tax%20Card.pdf" TargetMode="External"/><Relationship Id="rId591" Type="http://schemas.openxmlformats.org/officeDocument/2006/relationships/hyperlink" Target="https://share.hdrinc.com/sites/CoW_FRLP/_layouts/DocIdRedir.aspx?ID=COWFRLPHDR-13-1144" TargetMode="External"/><Relationship Id="rId605" Type="http://schemas.openxmlformats.org/officeDocument/2006/relationships/hyperlink" Target="https://share.hdrinc.com/sites/CoW_FRLP/_layouts/DocIdRedir.aspx?ID=COWFRLPHDR-13-811" TargetMode="External"/><Relationship Id="rId787" Type="http://schemas.openxmlformats.org/officeDocument/2006/relationships/hyperlink" Target="https://share.hdrinc.com/sites/CoW_FRLP/_layouts/DocIdRedir.aspx?ID=COWFRLPHDR-13-1221" TargetMode="External"/><Relationship Id="rId812" Type="http://schemas.openxmlformats.org/officeDocument/2006/relationships/hyperlink" Target="https://share.hdrinc.com/sites/CoW_FRLP/_layouts/DocIdRedir.aspx?ID=COWFRLPHDR-5-695" TargetMode="External"/><Relationship Id="rId202" Type="http://schemas.openxmlformats.org/officeDocument/2006/relationships/hyperlink" Target="https://share.hdrinc.com/sites/CoW_FRLP/ENVIRONMENTAL/COW-FRMP_TR-086%20TITLE%20Tax%20Card.pdf" TargetMode="External"/><Relationship Id="rId244" Type="http://schemas.openxmlformats.org/officeDocument/2006/relationships/hyperlink" Target="https://share.hdrinc.com/sites/CoW_FRLP/ENVIRONMENTAL/COW-FRMP_TR-105%20TITLE%20Tax%20Card.pdf" TargetMode="External"/><Relationship Id="rId647" Type="http://schemas.openxmlformats.org/officeDocument/2006/relationships/hyperlink" Target="https://share.hdrinc.com/sites/CoW_FRLP/_layouts/DocIdRedir.aspx?ID=COWFRLPHDR-13-1162" TargetMode="External"/><Relationship Id="rId689" Type="http://schemas.openxmlformats.org/officeDocument/2006/relationships/hyperlink" Target="https://share.hdrinc.com/sites/CoW_FRLP/_layouts/DocIdRedir.aspx?ID=COWFRLPHDR-13-1204" TargetMode="External"/><Relationship Id="rId854" Type="http://schemas.openxmlformats.org/officeDocument/2006/relationships/hyperlink" Target="https://share.hdrinc.com/sites/CoW_FRLP/_layouts/DocIdRedir.aspx?ID=COWFRLPHDR-13-1236" TargetMode="External"/><Relationship Id="rId39" Type="http://schemas.openxmlformats.org/officeDocument/2006/relationships/hyperlink" Target="https://share.hdrinc.com/sites/CoW_FRLP/ENVIRONMENTAL/COW-FRMP_TR-011%20TITLE%20Tax%20Card.pdf" TargetMode="External"/><Relationship Id="rId286" Type="http://schemas.openxmlformats.org/officeDocument/2006/relationships/hyperlink" Target="https://share.hdrinc.com/sites/CoW_FRLP/ENVIRONMENTAL/COW-FRMP_TR-116%20TITLE%20Tax%20Card.pdf" TargetMode="External"/><Relationship Id="rId451" Type="http://schemas.openxmlformats.org/officeDocument/2006/relationships/hyperlink" Target="https://share.hdrinc.com/sites/CoW_FRLP/_layouts/DocIdRedir.aspx?ID=COWFRLPHDR-13-1350" TargetMode="External"/><Relationship Id="rId493" Type="http://schemas.openxmlformats.org/officeDocument/2006/relationships/hyperlink" Target="https://share.hdrinc.com/sites/CoW_FRLP/_layouts/DocIdRedir.aspx?ID=COWFRLPHDR-13-1338" TargetMode="External"/><Relationship Id="rId507" Type="http://schemas.openxmlformats.org/officeDocument/2006/relationships/hyperlink" Target="https://share.hdrinc.com/sites/CoW_FRLP/_layouts/DocIdRedir.aspx?ID=COWFRLPHDR-13-991" TargetMode="External"/><Relationship Id="rId549" Type="http://schemas.openxmlformats.org/officeDocument/2006/relationships/hyperlink" Target="https://share.hdrinc.com/sites/CoW_FRLP/_layouts/DocIdRedir.aspx?ID=COWFRLPHDR-13-1179" TargetMode="External"/><Relationship Id="rId714" Type="http://schemas.openxmlformats.org/officeDocument/2006/relationships/hyperlink" Target="https://share.hdrinc.com/sites/CoW_FRLP/_layouts/DocIdRedir.aspx?ID=COWFRLPHDR-13-832" TargetMode="External"/><Relationship Id="rId756" Type="http://schemas.openxmlformats.org/officeDocument/2006/relationships/hyperlink" Target="https://share.hdrinc.com/sites/CoW_FRLP/_layouts/DocIdRedir.aspx?ID=COWFRLPHDR-13-1259" TargetMode="External"/><Relationship Id="rId50" Type="http://schemas.openxmlformats.org/officeDocument/2006/relationships/hyperlink" Target="https://share.hdrinc.com/sites/CoW_FRLP/ENVIRONMENTAL/COW-FRMP_TR-014%20ENVIRONMENTAL%20Right-of-Entry%20Package.pdf" TargetMode="External"/><Relationship Id="rId104" Type="http://schemas.openxmlformats.org/officeDocument/2006/relationships/hyperlink" Target="https://share.hdrinc.com/sites/CoW_FRLP/ENVIRONMENTAL/COW-FRMP_TR-033%20TITLE%20Tax%20Card.pdf" TargetMode="External"/><Relationship Id="rId146" Type="http://schemas.openxmlformats.org/officeDocument/2006/relationships/hyperlink" Target="https://share.hdrinc.com/sites/CoW_FRLP/ENVIRONMENTAL/COW-FRMP_TR-049%20TITLE%20Tax%20Card.pdf" TargetMode="External"/><Relationship Id="rId188" Type="http://schemas.openxmlformats.org/officeDocument/2006/relationships/hyperlink" Target="https://share.hdrinc.com/sites/CoW_FRLP/ENVIRONMENTAL/COW-FRMP_TR-082%20ENVIRONMENTAL%20Right-of-Entry%20Package.pdf" TargetMode="External"/><Relationship Id="rId311" Type="http://schemas.openxmlformats.org/officeDocument/2006/relationships/hyperlink" Target="https://share.hdrinc.com/sites/CoW_FRLP/ENVIRONMENTAL/COW-FRMP_TR-123%20ENVIRONMENTAL%20Right-of-Entry%20Package.pdf" TargetMode="External"/><Relationship Id="rId353" Type="http://schemas.openxmlformats.org/officeDocument/2006/relationships/hyperlink" Target="https://share.hdrinc.com/sites/CoW_FRLP/ENVIRONMENTAL/COW-FRMP_TR-151%20ENVIRONMENTAL%20Right-of-Entry%20Executed.pdf" TargetMode="External"/><Relationship Id="rId395" Type="http://schemas.openxmlformats.org/officeDocument/2006/relationships/hyperlink" Target="https://share.hdrinc.com/sites/CoW_FRLP/ENVIRONMENTAL/COW-FRMP_TR-199%20ENVIRONMENTAL%20Right-of-Entry%20Package.pdf" TargetMode="External"/><Relationship Id="rId409" Type="http://schemas.openxmlformats.org/officeDocument/2006/relationships/hyperlink" Target="https://share.hdrinc.com/sites/CoW_FRLP/ENVIRONMENTAL/COW-FRMP_TR-219%20TITLE%20Tax%20Card.pdf" TargetMode="External"/><Relationship Id="rId560" Type="http://schemas.openxmlformats.org/officeDocument/2006/relationships/hyperlink" Target="https://share.hdrinc.com/sites/CoW_FRLP/_layouts/DocIdRedir.aspx?ID=COWFRLPHDR-13-1137" TargetMode="External"/><Relationship Id="rId798" Type="http://schemas.openxmlformats.org/officeDocument/2006/relationships/hyperlink" Target="https://share.hdrinc.com/sites/CoW_FRLP/_layouts/DocIdRedir.aspx?ID=COWFRLPHDR-13-932" TargetMode="External"/><Relationship Id="rId92" Type="http://schemas.openxmlformats.org/officeDocument/2006/relationships/hyperlink" Target="https://share.hdrinc.com/sites/CoW_FRLP/ENVIRONMENTAL/COW-FRMP_TR-030%20TITLE%20Tax%20Card.pdf" TargetMode="External"/><Relationship Id="rId213" Type="http://schemas.openxmlformats.org/officeDocument/2006/relationships/hyperlink" Target="https://share.hdrinc.com/sites/CoW_FRLP/ENVIRONMENTAL/COW-FRMP_TR-092%20ENVIRONMENTAL%20Right-of-Entry%20Executed.pdf" TargetMode="External"/><Relationship Id="rId420" Type="http://schemas.openxmlformats.org/officeDocument/2006/relationships/hyperlink" Target="https://share.hdrinc.com/sites/CoW_FRLP/ENVIRONMENTAL/COW-FRMP_TR-226%20TITLE%20Tax%20Card.pdf" TargetMode="External"/><Relationship Id="rId616" Type="http://schemas.openxmlformats.org/officeDocument/2006/relationships/hyperlink" Target="https://share.hdrinc.com/sites/CoW_FRLP/_layouts/DocIdRedir.aspx?ID=COWFRLPHDR-13-1013" TargetMode="External"/><Relationship Id="rId658" Type="http://schemas.openxmlformats.org/officeDocument/2006/relationships/hyperlink" Target="https://share.hdrinc.com/sites/CoW_FRLP/_layouts/DocIdRedir.aspx?ID=COWFRLPHDR-13-848" TargetMode="External"/><Relationship Id="rId823" Type="http://schemas.openxmlformats.org/officeDocument/2006/relationships/hyperlink" Target="https://share.hdrinc.com/sites/CoW_FRLP/_layouts/DocIdRedir.aspx?ID=COWFRLPHDR-13-1071" TargetMode="External"/><Relationship Id="rId865" Type="http://schemas.openxmlformats.org/officeDocument/2006/relationships/hyperlink" Target="https://share.hdrinc.com/sites/CoW_FRLP/_layouts/DocIdRedir.aspx?ID=COWFRLPHDR-13-1353" TargetMode="External"/><Relationship Id="rId255" Type="http://schemas.openxmlformats.org/officeDocument/2006/relationships/hyperlink" Target="https://share.hdrinc.com/sites/CoW_FRLP/ENVIRONMENTAL/COW-FRMP_TR-108%20TITLE%20Tax%20Card.pdf" TargetMode="External"/><Relationship Id="rId297" Type="http://schemas.openxmlformats.org/officeDocument/2006/relationships/hyperlink" Target="https://share.hdrinc.com/sites/CoW_FRLP/ENVIRONMENTAL/COW-FRMP_TR-119%20ENVIRONMENTAL%20Right-of-Entry%20Package.pdf" TargetMode="External"/><Relationship Id="rId462" Type="http://schemas.openxmlformats.org/officeDocument/2006/relationships/hyperlink" Target="https://share.hdrinc.com/sites/CoW_FRLP/_layouts/DocIdRedir.aspx?ID=COWFRLPHDR-13-1167" TargetMode="External"/><Relationship Id="rId518" Type="http://schemas.openxmlformats.org/officeDocument/2006/relationships/hyperlink" Target="https://share.hdrinc.com/sites/CoW_FRLP/_layouts/DocIdRedir.aspx?ID=COWFRLPHDR-13-788" TargetMode="External"/><Relationship Id="rId725" Type="http://schemas.openxmlformats.org/officeDocument/2006/relationships/hyperlink" Target="https://share.hdrinc.com/sites/CoW_FRLP/_layouts/DocIdRedir.aspx?ID=COWFRLPHDR-13-972" TargetMode="External"/><Relationship Id="rId115" Type="http://schemas.openxmlformats.org/officeDocument/2006/relationships/hyperlink" Target="https://share.hdrinc.com/sites/CoW_FRLP/ENVIRONMENTAL/COW-FRMP_TR-038%20TITLE%20Tax%20Card.pdf" TargetMode="External"/><Relationship Id="rId157" Type="http://schemas.openxmlformats.org/officeDocument/2006/relationships/hyperlink" Target="https://share.hdrinc.com/sites/CoW_FRLP/ENVIRONMENTAL/COW-FRMP_TR-052%20ENVIRONMENTAL%20Right-of-Entry%20Package.pdf" TargetMode="External"/><Relationship Id="rId322" Type="http://schemas.openxmlformats.org/officeDocument/2006/relationships/hyperlink" Target="https://share.hdrinc.com/sites/CoW_FRLP/ENVIRONMENTAL/COW-FRMP_TR-128%20ENVIRONMENTAL%20Right-of-Entry%20Executed.pdf" TargetMode="External"/><Relationship Id="rId364" Type="http://schemas.openxmlformats.org/officeDocument/2006/relationships/hyperlink" Target="https://share.hdrinc.com/sites/CoW_FRLP/ENVIRONMENTAL/COW-FRMP_TR-154%20ENVIRONMENTAL%20Right-of-Entry%20Package.pdf" TargetMode="External"/><Relationship Id="rId767" Type="http://schemas.openxmlformats.org/officeDocument/2006/relationships/hyperlink" Target="https://share.hdrinc.com/sites/CoW_FRLP/_layouts/DocIdRedir.aspx?ID=COWFRLPHDR-13-981" TargetMode="External"/><Relationship Id="rId61" Type="http://schemas.openxmlformats.org/officeDocument/2006/relationships/hyperlink" Target="https://share.hdrinc.com/sites/CoW_FRLP/ENVIRONMENTAL/COW-FRMP_TR-017%20CONTACT%20Negotiator%20Report.docx" TargetMode="External"/><Relationship Id="rId199" Type="http://schemas.openxmlformats.org/officeDocument/2006/relationships/hyperlink" Target="https://share.hdrinc.com/sites/CoW_FRLP/ENVIRONMENTAL/COW-FRMP_TR-086%20CONTACT%20Negotiator%20Report.docx" TargetMode="External"/><Relationship Id="rId571" Type="http://schemas.openxmlformats.org/officeDocument/2006/relationships/hyperlink" Target="https://share.hdrinc.com/sites/CoW_FRLP/_layouts/DocIdRedir.aspx?ID=COWFRLPHDR-13-1140" TargetMode="External"/><Relationship Id="rId627" Type="http://schemas.openxmlformats.org/officeDocument/2006/relationships/hyperlink" Target="https://share.hdrinc.com/sites/CoW_FRLP/_layouts/DocIdRedir.aspx?ID=COWFRLPHDR-13-1195" TargetMode="External"/><Relationship Id="rId669" Type="http://schemas.openxmlformats.org/officeDocument/2006/relationships/hyperlink" Target="https://share.hdrinc.com/sites/CoW_FRLP/_layouts/DocIdRedir.aspx?ID=COWFRLPHDR-13-732" TargetMode="External"/><Relationship Id="rId834" Type="http://schemas.openxmlformats.org/officeDocument/2006/relationships/hyperlink" Target="https://share.hdrinc.com/sites/CoW_FRLP/_layouts/DocIdRedir.aspx?ID=COWFRLPHDR-13-1347" TargetMode="External"/><Relationship Id="rId876" Type="http://schemas.openxmlformats.org/officeDocument/2006/relationships/hyperlink" Target="https://share.hdrinc.com/sites/CoW_FRLP/_layouts/DocIdRedir.aspx?ID=COWFRLPHDR-13-1321" TargetMode="External"/><Relationship Id="rId19" Type="http://schemas.openxmlformats.org/officeDocument/2006/relationships/hyperlink" Target="https://share.hdrinc.com/sites/CoW_FRLP/ENVIRONMENTAL/COW-FRMP_TR-005%20ENVIRONMENTAL%20Right-of-Entry%20Package.pdf" TargetMode="External"/><Relationship Id="rId224" Type="http://schemas.openxmlformats.org/officeDocument/2006/relationships/hyperlink" Target="https://share.hdrinc.com/sites/CoW_FRLP/ENVIRONMENTAL/COW-FRMP_TR-096%20ENVIRONMENTAL%20Right-of-Entry%20Package.pdf" TargetMode="External"/><Relationship Id="rId266" Type="http://schemas.openxmlformats.org/officeDocument/2006/relationships/hyperlink" Target="https://share.hdrinc.com/sites/CoW_FRLP/ENVIRONMENTAL/COW-FRMP_TR-111%20ENVIRONMENTAL%20Right-of-Entry%20Package.pdf" TargetMode="External"/><Relationship Id="rId431" Type="http://schemas.openxmlformats.org/officeDocument/2006/relationships/hyperlink" Target="https://share.hdrinc.com/sites/CoW_FRLP/ENVIRONMENTAL/COW-FRMP_TR-233%20ENVIRONMENTAL%20Right-of-Entry%20Executed.pdf" TargetMode="External"/><Relationship Id="rId473" Type="http://schemas.openxmlformats.org/officeDocument/2006/relationships/hyperlink" Target="https://share.hdrinc.com/sites/CoW_FRLP/_layouts/DocIdRedir.aspx?ID=COWFRLPHDR-13-1292" TargetMode="External"/><Relationship Id="rId529" Type="http://schemas.openxmlformats.org/officeDocument/2006/relationships/hyperlink" Target="https://share.hdrinc.com/sites/CoW_FRLP/_layouts/DocIdRedir.aspx?ID=COWFRLPHDR-13-791" TargetMode="External"/><Relationship Id="rId680" Type="http://schemas.openxmlformats.org/officeDocument/2006/relationships/hyperlink" Target="https://share.hdrinc.com/sites/CoW_FRLP/_layouts/DocIdRedir.aspx?ID=COWFRLPHDR-13-856" TargetMode="External"/><Relationship Id="rId736" Type="http://schemas.openxmlformats.org/officeDocument/2006/relationships/hyperlink" Target="https://share.hdrinc.com/sites/CoW_FRLP/_layouts/DocIdRedir.aspx?ID=COWFRLPHDR-13-1214" TargetMode="External"/><Relationship Id="rId30" Type="http://schemas.openxmlformats.org/officeDocument/2006/relationships/hyperlink" Target="https://share.hdrinc.com/sites/CoW_FRLP/ENVIRONMENTAL/COW-FRMP_TR-008%20ENVIRONMENTAL%20Right-of-Entry%20Executed.pdf" TargetMode="External"/><Relationship Id="rId126" Type="http://schemas.openxmlformats.org/officeDocument/2006/relationships/hyperlink" Target="https://share.hdrinc.com/sites/CoW_FRLP/ENVIRONMENTAL/COW-FRMP_TR-041%20TITLE%20Tax%20Card.pdf" TargetMode="External"/><Relationship Id="rId168" Type="http://schemas.openxmlformats.org/officeDocument/2006/relationships/hyperlink" Target="https://share.hdrinc.com/sites/CoW_FRLP/ENVIRONMENTAL/COW-FRMP_TR-055%20ENVIRONMENTAL%20Right-of-Entry%20Package.pdf" TargetMode="External"/><Relationship Id="rId333" Type="http://schemas.openxmlformats.org/officeDocument/2006/relationships/hyperlink" Target="https://share.hdrinc.com/sites/CoW_FRLP/ENVIRONMENTAL/COW-FRMP_TR-131%20CONTACT%20Negotiator%20Report.docx" TargetMode="External"/><Relationship Id="rId540" Type="http://schemas.openxmlformats.org/officeDocument/2006/relationships/hyperlink" Target="https://share.hdrinc.com/sites/CoW_FRLP/_layouts/DocIdRedir.aspx?ID=COWFRLPHDR-13-794" TargetMode="External"/><Relationship Id="rId778" Type="http://schemas.openxmlformats.org/officeDocument/2006/relationships/hyperlink" Target="https://share.hdrinc.com/sites/CoW_FRLP/_layouts/DocIdRedir.aspx?ID=COWFRLPHDR-5-685" TargetMode="External"/><Relationship Id="rId72" Type="http://schemas.openxmlformats.org/officeDocument/2006/relationships/hyperlink" Target="https://share.hdrinc.com/sites/CoW_FRLP/ENVIRONMENTAL/COW-FRMP_TR-019%20TITLE%20Tax%20Card.pdf" TargetMode="External"/><Relationship Id="rId375" Type="http://schemas.openxmlformats.org/officeDocument/2006/relationships/hyperlink" Target="https://share.hdrinc.com/sites/CoW_FRLP/ENVIRONMENTAL/COW-FRMP_TR-160%20ENVIRONMENTAL%20Right-of-Entry%20Package.pdf" TargetMode="External"/><Relationship Id="rId582" Type="http://schemas.openxmlformats.org/officeDocument/2006/relationships/hyperlink" Target="https://share.hdrinc.com/sites/CoW_FRLP/_layouts/DocIdRedir.aspx?ID=COWFRLPHDR-13-805" TargetMode="External"/><Relationship Id="rId638" Type="http://schemas.openxmlformats.org/officeDocument/2006/relationships/hyperlink" Target="https://share.hdrinc.com/sites/CoW_FRLP/_layouts/DocIdRedir.aspx?ID=COWFRLPHDR-13-822" TargetMode="External"/><Relationship Id="rId803" Type="http://schemas.openxmlformats.org/officeDocument/2006/relationships/hyperlink" Target="https://share.hdrinc.com/sites/CoW_FRLP/_layouts/DocIdRedir.aspx?ID=COWFRLPHDR-13-1342" TargetMode="External"/><Relationship Id="rId845" Type="http://schemas.openxmlformats.org/officeDocument/2006/relationships/hyperlink" Target="https://share.hdrinc.com/sites/CoW_FRLP/_layouts/DocIdRedir.aspx?ID=COWFRLPHDR-13-1088" TargetMode="External"/><Relationship Id="rId3" Type="http://schemas.openxmlformats.org/officeDocument/2006/relationships/hyperlink" Target="https://share.hdrinc.com/sites/CoW_FRLP/ENVIRONMENTAL/COW-FRMP_TR-001%20ENVIRONMENTAL%20Right-of-Entry%20Package.pdf" TargetMode="External"/><Relationship Id="rId235" Type="http://schemas.openxmlformats.org/officeDocument/2006/relationships/hyperlink" Target="https://share.hdrinc.com/sites/CoW_FRLP/ENVIRONMENTAL/COW-FRMP_TR-099%20ENVIRONMENTAL%20Right-of-Entry%20Package.pdf" TargetMode="External"/><Relationship Id="rId277" Type="http://schemas.openxmlformats.org/officeDocument/2006/relationships/hyperlink" Target="https://share.hdrinc.com/sites/CoW_FRLP/ENVIRONMENTAL/COW-FRMP_TR-114%20ENVIRONMENTAL%20Right-of-Entry%20Package.pdf" TargetMode="External"/><Relationship Id="rId400" Type="http://schemas.openxmlformats.org/officeDocument/2006/relationships/hyperlink" Target="https://share.hdrinc.com/sites/CoW_FRLP/ENVIRONMENTAL/COW-FRMP_TR-202%20TITLE%20Tax%20Card.pdf" TargetMode="External"/><Relationship Id="rId442" Type="http://schemas.openxmlformats.org/officeDocument/2006/relationships/hyperlink" Target="https://share.hdrinc.com/sites/CoW_FRLP/_layouts/DocIdRedir.aspx?ID=COWFRLPHDR-13-1166" TargetMode="External"/><Relationship Id="rId484" Type="http://schemas.openxmlformats.org/officeDocument/2006/relationships/hyperlink" Target="https://share.hdrinc.com/sites/CoW_FRLP/_layouts/DocIdRedir.aspx?ID=COWFRLPHDR-13-1117" TargetMode="External"/><Relationship Id="rId705" Type="http://schemas.openxmlformats.org/officeDocument/2006/relationships/hyperlink" Target="https://share.hdrinc.com/sites/CoW_FRLP/_layouts/DocIdRedir.aspx?ID=COWFRLPHDR-13-1208" TargetMode="External"/><Relationship Id="rId137" Type="http://schemas.openxmlformats.org/officeDocument/2006/relationships/hyperlink" Target="https://share.hdrinc.com/sites/CoW_FRLP/ENVIRONMENTAL/COW-FRMP_TR-047%20ENVIRONMENTAL%20Right-of-Entry%20Package.pdf" TargetMode="External"/><Relationship Id="rId302" Type="http://schemas.openxmlformats.org/officeDocument/2006/relationships/hyperlink" Target="https://share.hdrinc.com/sites/CoW_FRLP/ENVIRONMENTAL/COW-FRMP_TR-120%20TITLE%20Tax%20Card.pdf" TargetMode="External"/><Relationship Id="rId344" Type="http://schemas.openxmlformats.org/officeDocument/2006/relationships/hyperlink" Target="https://share.hdrinc.com/sites/CoW_FRLP/ENVIRONMENTAL/COW-FRMP_TR-134%20ENVIRONMENTAL%20Right-of-Entry%20Executed.pdf" TargetMode="External"/><Relationship Id="rId691" Type="http://schemas.openxmlformats.org/officeDocument/2006/relationships/hyperlink" Target="https://share.hdrinc.com/sites/CoW_FRLP/_layouts/DocIdRedir.aspx?ID=COWFRLPHDR-13-826" TargetMode="External"/><Relationship Id="rId747" Type="http://schemas.openxmlformats.org/officeDocument/2006/relationships/hyperlink" Target="https://share.hdrinc.com/sites/CoW_FRLP/_layouts/DocIdRedir.aspx?ID=COWFRLPHDR-13-752" TargetMode="External"/><Relationship Id="rId789" Type="http://schemas.openxmlformats.org/officeDocument/2006/relationships/hyperlink" Target="https://share.hdrinc.com/sites/CoW_FRLP/_layouts/DocIdRedir.aspx?ID=COWFRLPHDR-5-688" TargetMode="External"/><Relationship Id="rId41" Type="http://schemas.openxmlformats.org/officeDocument/2006/relationships/hyperlink" Target="https://share.hdrinc.com/sites/CoW_FRLP/ENVIRONMENTAL/COW-FRMP_TR-012%20ENVIRONMENTAL%20Right-of-Entry%20Executed.pdf" TargetMode="External"/><Relationship Id="rId83" Type="http://schemas.openxmlformats.org/officeDocument/2006/relationships/hyperlink" Target="https://share.hdrinc.com/sites/CoW_FRLP/ENVIRONMENTAL/COW-FRMP_TR-028%20ENV%20CONTACT%20Negotiator%20Report.docx" TargetMode="External"/><Relationship Id="rId179" Type="http://schemas.openxmlformats.org/officeDocument/2006/relationships/hyperlink" Target="https://share.hdrinc.com/sites/CoW_FRLP/ENVIRONMENTAL/COW-FRMP_TR-065%20ENVIRONMENTAL%20Right-of-Entry%20Executed.pdf" TargetMode="External"/><Relationship Id="rId386" Type="http://schemas.openxmlformats.org/officeDocument/2006/relationships/hyperlink" Target="https://share.hdrinc.com/sites/CoW_FRLP/ENVIRONMENTAL/COW-FRMP_TR-178%20ENVIRONMENTAL%20Right-of-Entry%20Executed.pdf" TargetMode="External"/><Relationship Id="rId551" Type="http://schemas.openxmlformats.org/officeDocument/2006/relationships/hyperlink" Target="https://share.hdrinc.com/sites/CoW_FRLP/_layouts/DocIdRedir.aspx?ID=COWFRLPHDR-13-797" TargetMode="External"/><Relationship Id="rId593" Type="http://schemas.openxmlformats.org/officeDocument/2006/relationships/hyperlink" Target="https://share.hdrinc.com/sites/CoW_FRLP/_layouts/DocIdRedir.aspx?ID=COWFRLPHDR-13-1007" TargetMode="External"/><Relationship Id="rId607" Type="http://schemas.openxmlformats.org/officeDocument/2006/relationships/hyperlink" Target="https://share.hdrinc.com/sites/CoW_FRLP/_layouts/DocIdRedir.aspx?ID=COWFRLPHDR-13-1189" TargetMode="External"/><Relationship Id="rId649" Type="http://schemas.openxmlformats.org/officeDocument/2006/relationships/hyperlink" Target="https://share.hdrinc.com/sites/CoW_FRLP/_layouts/DocIdRedir.aspx?ID=COWFRLPHDR-13-1030" TargetMode="External"/><Relationship Id="rId814" Type="http://schemas.openxmlformats.org/officeDocument/2006/relationships/hyperlink" Target="https://share.hdrinc.com/sites/CoW_FRLP/_layouts/DocIdRedir.aspx?ID=COWFRLPHDR-13-1223" TargetMode="External"/><Relationship Id="rId856" Type="http://schemas.openxmlformats.org/officeDocument/2006/relationships/hyperlink" Target="https://share.hdrinc.com/sites/CoW_FRLP/_layouts/DocIdRedir.aspx?ID=COWFRLPHDR-13-917" TargetMode="External"/><Relationship Id="rId190" Type="http://schemas.openxmlformats.org/officeDocument/2006/relationships/hyperlink" Target="https://share.hdrinc.com/sites/CoW_FRLP/ENVIRONMENTAL/COW-FRMP_TR-083%20ENVIRONMENTAL%20Right-of-Entry%20Executed.pdf" TargetMode="External"/><Relationship Id="rId204" Type="http://schemas.openxmlformats.org/officeDocument/2006/relationships/hyperlink" Target="https://share.hdrinc.com/sites/CoW_FRLP/ENVIRONMENTAL/COW-FRMP_TR-087%20ENVIRONMENTAL%20Right-of-Entry%20Executed.pdf" TargetMode="External"/><Relationship Id="rId246" Type="http://schemas.openxmlformats.org/officeDocument/2006/relationships/hyperlink" Target="https://share.hdrinc.com/sites/CoW_FRLP/ENVIRONMENTAL/COW-FRMP_TR-106%20ENVIRONMENTAL%20Right-of-Entry%20Executed.pdf" TargetMode="External"/><Relationship Id="rId288" Type="http://schemas.openxmlformats.org/officeDocument/2006/relationships/hyperlink" Target="https://share.hdrinc.com/sites/CoW_FRLP/ENVIRONMENTAL/COW-FRMP_TR-117%20ENVIRONMENTAL%20Right-of-Entry%20Executed.pdf" TargetMode="External"/><Relationship Id="rId411" Type="http://schemas.openxmlformats.org/officeDocument/2006/relationships/hyperlink" Target="https://share.hdrinc.com/sites/CoW_FRLP/ENVIRONMENTAL/COW-FRMP_TR-220%20CONTACT%20Negotiator%20Report.docx" TargetMode="External"/><Relationship Id="rId453" Type="http://schemas.openxmlformats.org/officeDocument/2006/relationships/hyperlink" Target="https://share.hdrinc.com/sites/CoW_FRLP/_layouts/DocIdRedir.aspx?ID=COWFRLPHDR-13-758" TargetMode="External"/><Relationship Id="rId509" Type="http://schemas.openxmlformats.org/officeDocument/2006/relationships/hyperlink" Target="https://share.hdrinc.com/sites/CoW_FRLP/_layouts/DocIdRedir.aspx?ID=COWFRLPHDR-13-1123" TargetMode="External"/><Relationship Id="rId660" Type="http://schemas.openxmlformats.org/officeDocument/2006/relationships/hyperlink" Target="https://share.hdrinc.com/sites/CoW_FRLP/_layouts/DocIdRedir.aspx?ID=COWFRLPHDR-13-1196" TargetMode="External"/><Relationship Id="rId106" Type="http://schemas.openxmlformats.org/officeDocument/2006/relationships/hyperlink" Target="https://share.hdrinc.com/sites/CoW_FRLP/ENVIRONMENTAL/COW-FRMP_TR-035%20ENVIRONMENTAL%20Right-of-Entry%20Package.pdf" TargetMode="External"/><Relationship Id="rId313" Type="http://schemas.openxmlformats.org/officeDocument/2006/relationships/hyperlink" Target="https://share.hdrinc.com/sites/CoW_FRLP/ENVIRONMENTAL/COW-FRMP_TR-124%20ENVIRONMENTAL%20Right-of-Entry%20Package.pdf" TargetMode="External"/><Relationship Id="rId495" Type="http://schemas.openxmlformats.org/officeDocument/2006/relationships/hyperlink" Target="https://share.hdrinc.com/sites/CoW_FRLP/_layouts/DocIdRedir.aspx?ID=COWFRLPHDR-13-1270" TargetMode="External"/><Relationship Id="rId716" Type="http://schemas.openxmlformats.org/officeDocument/2006/relationships/hyperlink" Target="https://share.hdrinc.com/sites/CoW_FRLP/_layouts/DocIdRedir.aspx?ID=COWFRLPHDR-13-1210" TargetMode="External"/><Relationship Id="rId758" Type="http://schemas.openxmlformats.org/officeDocument/2006/relationships/hyperlink" Target="https://share.hdrinc.com/sites/CoW_FRLP/_layouts/DocIdRedir.aspx?ID=COWFRLPHDR-13-754" TargetMode="External"/><Relationship Id="rId10" Type="http://schemas.openxmlformats.org/officeDocument/2006/relationships/hyperlink" Target="https://share.hdrinc.com/sites/CoW_FRLP/ENVIRONMENTAL/COW-FRMP_TR-003%20CONTACT%20Negotiator%20Report%20(AutoRecovered).docx" TargetMode="External"/><Relationship Id="rId52" Type="http://schemas.openxmlformats.org/officeDocument/2006/relationships/hyperlink" Target="https://share.hdrinc.com/sites/CoW_FRLP/ENVIRONMENTAL/COW-FRMP_TR-015%20CONTACT%20Negotiator%20Report.docx" TargetMode="External"/><Relationship Id="rId94" Type="http://schemas.openxmlformats.org/officeDocument/2006/relationships/hyperlink" Target="https://share.hdrinc.com/sites/CoW_FRLP/ENVIRONMENTAL/COW-FRMP_TR-031%20ENVIRONMENTAL%20Right-of-Entry%20Executed.pdf" TargetMode="External"/><Relationship Id="rId148" Type="http://schemas.openxmlformats.org/officeDocument/2006/relationships/hyperlink" Target="https://share.hdrinc.com/sites/CoW_FRLP/ENVIRONMENTAL/COW-FRMP_TR-050%20ENVIRONMENTAL%20Right-of-Entry%20Executed.pdf" TargetMode="External"/><Relationship Id="rId355" Type="http://schemas.openxmlformats.org/officeDocument/2006/relationships/hyperlink" Target="https://share.hdrinc.com/sites/CoW_FRLP/ENVIRONMENTAL/COW-FRMP_TR-151%20TITLE%20Tax%20Card.pdf" TargetMode="External"/><Relationship Id="rId397" Type="http://schemas.openxmlformats.org/officeDocument/2006/relationships/hyperlink" Target="https://share.hdrinc.com/sites/CoW_FRLP/ENVIRONMENTAL/COW-FRMP_TR-202%20CONTACT%20Negotiator%20Report.docx" TargetMode="External"/><Relationship Id="rId520" Type="http://schemas.openxmlformats.org/officeDocument/2006/relationships/hyperlink" Target="https://share.hdrinc.com/sites/CoW_FRLP/_layouts/DocIdRedir.aspx?ID=COWFRLPHDR-13-993" TargetMode="External"/><Relationship Id="rId562" Type="http://schemas.openxmlformats.org/officeDocument/2006/relationships/hyperlink" Target="https://share.hdrinc.com/sites/CoW_FRLP/_layouts/DocIdRedir.aspx?ID=COWFRLPHDR-13-1001" TargetMode="External"/><Relationship Id="rId618" Type="http://schemas.openxmlformats.org/officeDocument/2006/relationships/hyperlink" Target="https://share.hdrinc.com/sites/CoW_FRLP/_layouts/DocIdRedir.aspx?ID=COWFRLPHDR-13-1150" TargetMode="External"/><Relationship Id="rId825" Type="http://schemas.openxmlformats.org/officeDocument/2006/relationships/hyperlink" Target="https://share.hdrinc.com/sites/CoW_FRLP/_layouts/DocIdRedir.aspx?ID=COWFRLPHDR-13-956" TargetMode="External"/><Relationship Id="rId215" Type="http://schemas.openxmlformats.org/officeDocument/2006/relationships/hyperlink" Target="https://share.hdrinc.com/sites/CoW_FRLP/ENVIRONMENTAL/COW-FRMP_TR-093%20ENVIRONMENTAL%20Right-of-Entry%20Package.pdf" TargetMode="External"/><Relationship Id="rId257" Type="http://schemas.openxmlformats.org/officeDocument/2006/relationships/hyperlink" Target="https://share.hdrinc.com/sites/CoW_FRLP/ENVIRONMENTAL/COW-FRMP_TR-109%20ENVIRONMENTAL%20Right-of-Entry%20Executed.pdf" TargetMode="External"/><Relationship Id="rId422" Type="http://schemas.openxmlformats.org/officeDocument/2006/relationships/hyperlink" Target="https://share.hdrinc.com/sites/CoW_FRLP/ENVIRONMENTAL/COW-FRMP_TR-230%20ENVIRONMENTAL%20Right-of-Entry%20Executed.pdf" TargetMode="External"/><Relationship Id="rId464" Type="http://schemas.openxmlformats.org/officeDocument/2006/relationships/hyperlink" Target="https://share.hdrinc.com/sites/CoW_FRLP/_layouts/DocIdRedir.aspx?ID=COWFRLPHDR-13-761" TargetMode="External"/><Relationship Id="rId867" Type="http://schemas.openxmlformats.org/officeDocument/2006/relationships/hyperlink" Target="https://share.hdrinc.com/sites/CoW_FRLP/_layouts/DocIdRedir.aspx?ID=COWFRLPHDR-13-885" TargetMode="External"/><Relationship Id="rId299" Type="http://schemas.openxmlformats.org/officeDocument/2006/relationships/hyperlink" Target="https://share.hdrinc.com/sites/CoW_FRLP/ENVIRONMENTAL/COW-FRMP_TR-120%20CONTACT%20Negotiator%20Report.docx" TargetMode="External"/><Relationship Id="rId727" Type="http://schemas.openxmlformats.org/officeDocument/2006/relationships/hyperlink" Target="https://share.hdrinc.com/sites/CoW_FRLP/_layouts/DocIdRedir.aspx?ID=COWFRLPHDR-13-747" TargetMode="External"/><Relationship Id="rId63" Type="http://schemas.openxmlformats.org/officeDocument/2006/relationships/hyperlink" Target="https://share.hdrinc.com/sites/CoW_FRLP/ENVIRONMENTAL/COW-FRMP_TR-017%20ENVIRONMENTAL%20Right-of-Entry%20Package.pdf" TargetMode="External"/><Relationship Id="rId159" Type="http://schemas.openxmlformats.org/officeDocument/2006/relationships/hyperlink" Target="https://share.hdrinc.com/sites/CoW_FRLP/ENVIRONMENTAL/COW-FRMP_TR-053%20CONTACT%20Negotiator%20Report.docx" TargetMode="External"/><Relationship Id="rId366" Type="http://schemas.openxmlformats.org/officeDocument/2006/relationships/hyperlink" Target="https://share.hdrinc.com/sites/CoW_FRLP/ENVIRONMENTAL/COW-FRMP_TR-155%20CONTACT%20Negotiator%20Report.docx" TargetMode="External"/><Relationship Id="rId573" Type="http://schemas.openxmlformats.org/officeDocument/2006/relationships/hyperlink" Target="https://share.hdrinc.com/sites/CoW_FRLP/_layouts/DocIdRedir.aspx?ID=COWFRLPHDR-13-1004" TargetMode="External"/><Relationship Id="rId780" Type="http://schemas.openxmlformats.org/officeDocument/2006/relationships/hyperlink" Target="https://share.hdrinc.com/sites/CoW_FRLP/_layouts/DocIdRedir.aspx?ID=COWFRLPHDR-13-1219" TargetMode="External"/><Relationship Id="rId226" Type="http://schemas.openxmlformats.org/officeDocument/2006/relationships/hyperlink" Target="https://share.hdrinc.com/sites/CoW_FRLP/ENVIRONMENTAL/COW-FRMP_TR-097%20ENVIRONMENTAL%20Right-of-Entry%20Executed.pdf" TargetMode="External"/><Relationship Id="rId433" Type="http://schemas.openxmlformats.org/officeDocument/2006/relationships/hyperlink" Target="https://share.hdrinc.com/sites/CoW_FRLP/ENVIRONMENTAL/COW-FRMP_TR-233%20TITLE%20Tax%20Card.pdf" TargetMode="External"/><Relationship Id="rId878" Type="http://schemas.openxmlformats.org/officeDocument/2006/relationships/hyperlink" Target="https://share.hdrinc.com/sites/CoW_FRLP/_layouts/DocIdRedir.aspx?ID=COWFRLPHDR-13-896" TargetMode="External"/><Relationship Id="rId640" Type="http://schemas.openxmlformats.org/officeDocument/2006/relationships/hyperlink" Target="https://share.hdrinc.com/sites/CoW_FRLP/_layouts/DocIdRedir.aspx?ID=COWFRLPHDR-13-1300" TargetMode="External"/><Relationship Id="rId738" Type="http://schemas.openxmlformats.org/officeDocument/2006/relationships/hyperlink" Target="https://share.hdrinc.com/sites/CoW_FRLP/_layouts/DocIdRedir.aspx?ID=COWFRLPHDR-13-838" TargetMode="External"/><Relationship Id="rId74" Type="http://schemas.openxmlformats.org/officeDocument/2006/relationships/hyperlink" Target="https://share.hdrinc.com/sites/CoW_FRLP/ENVIRONMENTAL/COW-FRMP_TR-024%20ENVIRONMENTAL%20Right-of-Entry%20Executed.pdf" TargetMode="External"/><Relationship Id="rId377" Type="http://schemas.openxmlformats.org/officeDocument/2006/relationships/hyperlink" Target="https://share.hdrinc.com/sites/CoW_FRLP/ENVIRONMENTAL/COW-FRMP_TR-166%20CONTACT%20Negotiator%20Report.docx" TargetMode="External"/><Relationship Id="rId500" Type="http://schemas.openxmlformats.org/officeDocument/2006/relationships/hyperlink" Target="https://share.hdrinc.com/sites/CoW_FRLP/_layouts/DocIdRedir.aspx?ID=COWFRLPHDR-13-770" TargetMode="External"/><Relationship Id="rId584" Type="http://schemas.openxmlformats.org/officeDocument/2006/relationships/hyperlink" Target="https://share.hdrinc.com/sites/CoW_FRLP/_layouts/DocIdRedir.aspx?ID=COWFRLPHDR-13-1186" TargetMode="External"/><Relationship Id="rId805" Type="http://schemas.openxmlformats.org/officeDocument/2006/relationships/hyperlink" Target="https://share.hdrinc.com/sites/CoW_FRLP/_layouts/DocIdRedir.aspx?ID=COWFRLPHDR-5-693" TargetMode="External"/><Relationship Id="rId5" Type="http://schemas.openxmlformats.org/officeDocument/2006/relationships/hyperlink" Target="https://share.hdrinc.com/sites/CoW_FRLP/ENVIRONMENTAL/COW-FRMP_TR-002%20CONTACT%20Negotiator%20Report.docx" TargetMode="External"/><Relationship Id="rId237" Type="http://schemas.openxmlformats.org/officeDocument/2006/relationships/hyperlink" Target="https://share.hdrinc.com/sites/CoW_FRLP/ENVIRONMENTAL/COW-FRMP_TR-104%20CONTACT%20Negotiator%20Report.docx" TargetMode="External"/><Relationship Id="rId791" Type="http://schemas.openxmlformats.org/officeDocument/2006/relationships/hyperlink" Target="https://share.hdrinc.com/sites/CoW_FRLP/_layouts/DocIdRedir.aspx?ID=COWFRLPHDR-5-689" TargetMode="External"/><Relationship Id="rId444" Type="http://schemas.openxmlformats.org/officeDocument/2006/relationships/hyperlink" Target="https://share.hdrinc.com/sites/CoW_FRLP/_layouts/DocIdRedir.aspx?ID=COWFRLPHDR-13-774" TargetMode="External"/><Relationship Id="rId651" Type="http://schemas.openxmlformats.org/officeDocument/2006/relationships/hyperlink" Target="https://share.hdrinc.com/sites/CoW_FRLP/_layouts/DocIdRedir.aspx?ID=COWFRLPHDR-13-1031" TargetMode="External"/><Relationship Id="rId749" Type="http://schemas.openxmlformats.org/officeDocument/2006/relationships/hyperlink" Target="https://share.hdrinc.com/sites/CoW_FRLP/_layouts/DocIdRedir.aspx?ID=COWFRLPHDR-13-978" TargetMode="External"/><Relationship Id="rId290" Type="http://schemas.openxmlformats.org/officeDocument/2006/relationships/hyperlink" Target="https://share.hdrinc.com/sites/CoW_FRLP/ENVIRONMENTAL/COW-FRMP_TR-117%20TITLE%20Tax%20Card.pdf" TargetMode="External"/><Relationship Id="rId304" Type="http://schemas.openxmlformats.org/officeDocument/2006/relationships/hyperlink" Target="https://share.hdrinc.com/sites/CoW_FRLP/ENVIRONMENTAL/COW-FRMP_TR-121%20ENVIRONMENTAL%20Right-of-Entry%20Executed.pdf" TargetMode="External"/><Relationship Id="rId388" Type="http://schemas.openxmlformats.org/officeDocument/2006/relationships/hyperlink" Target="https://share.hdrinc.com/sites/CoW_FRLP/ENVIRONMENTAL/COW-FRMP_TR-178%20TITLE%20Tax%20Card.pdf" TargetMode="External"/><Relationship Id="rId511" Type="http://schemas.openxmlformats.org/officeDocument/2006/relationships/hyperlink" Target="https://share.hdrinc.com/sites/CoW_FRLP/_layouts/DocIdRedir.aspx?ID=COWFRLPHDR-13-1272" TargetMode="External"/><Relationship Id="rId609" Type="http://schemas.openxmlformats.org/officeDocument/2006/relationships/hyperlink" Target="https://share.hdrinc.com/sites/CoW_FRLP/_layouts/DocIdRedir.aspx?ID=COWFRLPHDR-13-775" TargetMode="External"/><Relationship Id="rId85" Type="http://schemas.openxmlformats.org/officeDocument/2006/relationships/hyperlink" Target="https://share.hdrinc.com/sites/CoW_FRLP/ENVIRONMENTAL/COW-FRMP_TR-028%20TITLE%20Tax%20Card.pdf" TargetMode="External"/><Relationship Id="rId150" Type="http://schemas.openxmlformats.org/officeDocument/2006/relationships/hyperlink" Target="https://share.hdrinc.com/sites/CoW_FRLP/ENVIRONMENTAL/COW-FRMP_TR-050%20TITLE%20Tax%20Card.pdf" TargetMode="External"/><Relationship Id="rId595" Type="http://schemas.openxmlformats.org/officeDocument/2006/relationships/hyperlink" Target="https://share.hdrinc.com/sites/CoW_FRLP/_layouts/DocIdRedir.aspx?ID=COWFRLPHDR-13-1145" TargetMode="External"/><Relationship Id="rId816" Type="http://schemas.openxmlformats.org/officeDocument/2006/relationships/hyperlink" Target="https://share.hdrinc.com/sites/CoW_FRLP/_layouts/DocIdRedir.aspx?ID=COWFRLPHDR-5-699" TargetMode="External"/><Relationship Id="rId248" Type="http://schemas.openxmlformats.org/officeDocument/2006/relationships/hyperlink" Target="https://share.hdrinc.com/sites/CoW_FRLP/ENVIRONMENTAL/COW-FRMP_TR-106%20TITLE%20Tax%20Card.pdf" TargetMode="External"/><Relationship Id="rId455" Type="http://schemas.openxmlformats.org/officeDocument/2006/relationships/hyperlink" Target="https://share.hdrinc.com/sites/CoW_FRLP/_layouts/DocIdRedir.aspx?ID=COWFRLPHDR-13-730" TargetMode="External"/><Relationship Id="rId662" Type="http://schemas.openxmlformats.org/officeDocument/2006/relationships/hyperlink" Target="https://share.hdrinc.com/sites/CoW_FRLP/_layouts/DocIdRedir.aspx?ID=COWFRLPHDR-13-849" TargetMode="External"/><Relationship Id="rId12" Type="http://schemas.openxmlformats.org/officeDocument/2006/relationships/hyperlink" Target="https://share.hdrinc.com/sites/CoW_FRLP/ENVIRONMENTAL/COW-FRMP_TR-003%20ENVIRONMENTAL%20Right-of-Entry%20Package.pdf" TargetMode="External"/><Relationship Id="rId108" Type="http://schemas.openxmlformats.org/officeDocument/2006/relationships/hyperlink" Target="https://share.hdrinc.com/sites/CoW_FRLP/ENVIRONMENTAL/COW-FRMP_TR-036%20CONTACT%20Negotiator%20Report.docx" TargetMode="External"/><Relationship Id="rId315" Type="http://schemas.openxmlformats.org/officeDocument/2006/relationships/hyperlink" Target="https://share.hdrinc.com/sites/CoW_FRLP/ENVIRONMENTAL/COW-FRMP_TR-125%20CONTACT%20Negotiator%20Report.docx" TargetMode="External"/><Relationship Id="rId522" Type="http://schemas.openxmlformats.org/officeDocument/2006/relationships/hyperlink" Target="https://share.hdrinc.com/sites/CoW_FRLP/_layouts/DocIdRedir.aspx?ID=COWFRLPHDR-13-1127" TargetMode="External"/><Relationship Id="rId96" Type="http://schemas.openxmlformats.org/officeDocument/2006/relationships/hyperlink" Target="https://share.hdrinc.com/sites/CoW_FRLP/ENVIRONMENTAL/COW-FRMP_TR-031%20TITLE%20Tax%20Card.pdf" TargetMode="External"/><Relationship Id="rId161" Type="http://schemas.openxmlformats.org/officeDocument/2006/relationships/hyperlink" Target="https://share.hdrinc.com/sites/CoW_FRLP/ENVIRONMENTAL/COW-FRMP_TR-053%20ENVIRONMENTAL%20Right-of-Entry%20Package.pdf" TargetMode="External"/><Relationship Id="rId399" Type="http://schemas.openxmlformats.org/officeDocument/2006/relationships/hyperlink" Target="https://share.hdrinc.com/sites/CoW_FRLP/ENVIRONMENTAL/COW-FRMP_TR-202%20ENVIRONMENTAL%20Right-of-Entry%20Package.pdf" TargetMode="External"/><Relationship Id="rId827" Type="http://schemas.openxmlformats.org/officeDocument/2006/relationships/hyperlink" Target="https://share.hdrinc.com/sites/CoW_FRLP/_layouts/DocIdRedir.aspx?ID=COWFRLPHDR-13-1072" TargetMode="External"/><Relationship Id="rId259" Type="http://schemas.openxmlformats.org/officeDocument/2006/relationships/hyperlink" Target="https://share.hdrinc.com/sites/CoW_FRLP/ENVIRONMENTAL/COW-FRMP_TR-109%20TITLE%20Tax%20Card.pdf" TargetMode="External"/><Relationship Id="rId466" Type="http://schemas.openxmlformats.org/officeDocument/2006/relationships/hyperlink" Target="https://share.hdrinc.com/sites/CoW_FRLP/_layouts/DocIdRedir.aspx?ID=COWFRLPHDR-13-1168" TargetMode="External"/><Relationship Id="rId673" Type="http://schemas.openxmlformats.org/officeDocument/2006/relationships/hyperlink" Target="https://share.hdrinc.com/sites/CoW_FRLP/_layouts/DocIdRedir.aspx?ID=COWFRLPHDR-13-733" TargetMode="External"/><Relationship Id="rId880" Type="http://schemas.openxmlformats.org/officeDocument/2006/relationships/hyperlink" Target="https://share.hdrinc.com/sites/CoW_FRLP/_layouts/DocIdRedir.aspx?ID=COWFRLPHDR-13-900" TargetMode="External"/><Relationship Id="rId23" Type="http://schemas.openxmlformats.org/officeDocument/2006/relationships/hyperlink" Target="https://share.hdrinc.com/sites/CoW_FRLP/ENVIRONMENTAL/COW-FRMP_TR-006%20ENVIRONMENTAL%20Right-of-Entry%20Package.pdf" TargetMode="External"/><Relationship Id="rId119" Type="http://schemas.openxmlformats.org/officeDocument/2006/relationships/hyperlink" Target="https://share.hdrinc.com/sites/CoW_FRLP/ENVIRONMENTAL/COW-FRMP_TR-039%20TITLE%20Tax%20Card.pdf" TargetMode="External"/><Relationship Id="rId326" Type="http://schemas.openxmlformats.org/officeDocument/2006/relationships/hyperlink" Target="https://share.hdrinc.com/sites/CoW_FRLP/ENVIRONMENTAL/COW-FRMP_TR-129%20ENVIRONMENTAL%20Right-of-Entry%20Executed.pdf" TargetMode="External"/><Relationship Id="rId533" Type="http://schemas.openxmlformats.org/officeDocument/2006/relationships/hyperlink" Target="https://share.hdrinc.com/sites/CoW_FRLP/_layouts/DocIdRedir.aspx?ID=COWFRLPHDR-13-1130" TargetMode="External"/><Relationship Id="rId740" Type="http://schemas.openxmlformats.org/officeDocument/2006/relationships/hyperlink" Target="https://share.hdrinc.com/sites/CoW_FRLP/_layouts/DocIdRedir.aspx?ID=COWFRLPHDR-13-1304" TargetMode="External"/><Relationship Id="rId838" Type="http://schemas.openxmlformats.org/officeDocument/2006/relationships/hyperlink" Target="https://share.hdrinc.com/sites/CoW_FRLP/_layouts/DocIdRedir.aspx?ID=COWFRLPHDR-13-1312" TargetMode="External"/><Relationship Id="rId172" Type="http://schemas.openxmlformats.org/officeDocument/2006/relationships/hyperlink" Target="https://share.hdrinc.com/sites/CoW_FRLP/ENVIRONMENTAL/COW-FRMP_TR-063%20ENVIRONMENTAL%20Right-of-Entry%20Package.pdf" TargetMode="External"/><Relationship Id="rId477" Type="http://schemas.openxmlformats.org/officeDocument/2006/relationships/hyperlink" Target="https://share.hdrinc.com/sites/CoW_FRLP/_layouts/DocIdRedir.aspx?ID=COWFRLPHDR-13-1170" TargetMode="External"/><Relationship Id="rId600" Type="http://schemas.openxmlformats.org/officeDocument/2006/relationships/hyperlink" Target="https://share.hdrinc.com/sites/CoW_FRLP/_layouts/DocIdRedir.aspx?ID=COWFRLPHDR-13-1298" TargetMode="External"/><Relationship Id="rId684" Type="http://schemas.openxmlformats.org/officeDocument/2006/relationships/hyperlink" Target="https://share.hdrinc.com/sites/CoW_FRLP/_layouts/DocIdRedir.aspx?ID=COWFRLPHDR-13-824" TargetMode="External"/><Relationship Id="rId337" Type="http://schemas.openxmlformats.org/officeDocument/2006/relationships/hyperlink" Target="https://share.hdrinc.com/sites/CoW_FRLP/ENVIRONMENTAL/COW-FRMP_TR-132%20ENVIRONMENTAL%20Right-of-Entry%20Package.pdf" TargetMode="External"/><Relationship Id="rId34" Type="http://schemas.openxmlformats.org/officeDocument/2006/relationships/hyperlink" Target="https://share.hdrinc.com/sites/CoW_FRLP/ENVIRONMENTAL/COW-FRMP_TR-010%20ENVIRONMENTAL%20Right-of-Entry%20Package.pdf" TargetMode="External"/><Relationship Id="rId544" Type="http://schemas.openxmlformats.org/officeDocument/2006/relationships/hyperlink" Target="https://share.hdrinc.com/sites/CoW_FRLP/_layouts/DocIdRedir.aspx?ID=COWFRLPHDR-13-795" TargetMode="External"/><Relationship Id="rId751" Type="http://schemas.openxmlformats.org/officeDocument/2006/relationships/hyperlink" Target="https://share.hdrinc.com/sites/CoW_FRLP/_layouts/DocIdRedir.aspx?ID=COWFRLPHDR-13-1286" TargetMode="External"/><Relationship Id="rId849" Type="http://schemas.openxmlformats.org/officeDocument/2006/relationships/hyperlink" Target="https://share.hdrinc.com/sites/CoW_FRLP/_layouts/DocIdRedir.aspx?ID=COWFRLPHDR-13-914" TargetMode="External"/><Relationship Id="rId183" Type="http://schemas.openxmlformats.org/officeDocument/2006/relationships/hyperlink" Target="https://share.hdrinc.com/sites/CoW_FRLP/ENVIRONMENTAL/COW-FRMP_TR-078%20ENVIRONMENTAL%20Right-of-Entry%20Package.pdf" TargetMode="External"/><Relationship Id="rId390" Type="http://schemas.openxmlformats.org/officeDocument/2006/relationships/hyperlink" Target="https://share.hdrinc.com/sites/CoW_FRLP/ENVIRONMENTAL/COW-FRMP_TR-179%20ENVIRONMENTAL%20Right-of-Entry%20Executed.pdf" TargetMode="External"/><Relationship Id="rId404" Type="http://schemas.openxmlformats.org/officeDocument/2006/relationships/hyperlink" Target="https://share.hdrinc.com/sites/CoW_FRLP/ENVIRONMENTAL/COW-FRMP_TR-214%20CONTACT%20Negotiator%20Report.docx" TargetMode="External"/><Relationship Id="rId611" Type="http://schemas.openxmlformats.org/officeDocument/2006/relationships/hyperlink" Target="https://share.hdrinc.com/sites/CoW_FRLP/_layouts/DocIdRedir.aspx?ID=COWFRLPHDR-13-1331" TargetMode="External"/></Relationships>
</file>

<file path=xl/worksheets/_rels/sheet6.xml.rels><?xml version="1.0" encoding="UTF-8" standalone="yes"?>
<Relationships xmlns="http://schemas.openxmlformats.org/package/2006/relationships"><Relationship Id="rId1522" Type="http://schemas.openxmlformats.org/officeDocument/2006/relationships/hyperlink" Target="https://share.hdrinc.com/sites/CoW_FRLP/_layouts/DocIdRedir.aspx?ID=COWFRLPHDR-5-1284" TargetMode="External"/><Relationship Id="rId1827" Type="http://schemas.openxmlformats.org/officeDocument/2006/relationships/hyperlink" Target="https://share.hdrinc.com/sites/CoW_FRLP/_layouts/DocIdRedir.aspx?ID=COWFRLPHDR-5-1106" TargetMode="External"/><Relationship Id="rId21" Type="http://schemas.openxmlformats.org/officeDocument/2006/relationships/hyperlink" Target="https://share.hdrinc.com/sites/CoW_FRLP/ACQUISITION/ContactRecords/COW-FRMP_TR-100%20CONTACT%20Negotiator%20Report.docx" TargetMode="External"/><Relationship Id="rId170" Type="http://schemas.openxmlformats.org/officeDocument/2006/relationships/hyperlink" Target="https://share.hdrinc.com/sites/CoW_FRLP/ACQUISITION/COW-FRMP_TR-210%20TITLE%20Tax%20Card.pdf" TargetMode="External"/><Relationship Id="rId268" Type="http://schemas.openxmlformats.org/officeDocument/2006/relationships/hyperlink" Target="https://share.hdrinc.com/sites/CoW_FRLP/ACQUISITION/COW-FRMP_TR-217%20NEGOTIATION%20Landowner%20Bill%20of%20Rights%20Letter.pdf" TargetMode="External"/><Relationship Id="rId475" Type="http://schemas.openxmlformats.org/officeDocument/2006/relationships/hyperlink" Target="https://share.hdrinc.com/sites/CoW_FRLP/ACQUISITION/COW-FRMP_TR-308%20APPRAISAL%20Just%20Compensation%20Memo.pdf" TargetMode="External"/><Relationship Id="rId682" Type="http://schemas.openxmlformats.org/officeDocument/2006/relationships/hyperlink" Target="https://share.hdrinc.com/sites/CoW_FRLP/ACQUISITION/COW-FRMP_TR-326%20CONTACT%20Letter%20of%20Intent-HDR.pdf" TargetMode="External"/><Relationship Id="rId128" Type="http://schemas.openxmlformats.org/officeDocument/2006/relationships/hyperlink" Target="https://share.hdrinc.com/sites/CoW_FRLP/ACQUISITION/COW-FRMP_TR-207%20SURVEY%20Description-Plat_USACOE.pdf" TargetMode="External"/><Relationship Id="rId335" Type="http://schemas.openxmlformats.org/officeDocument/2006/relationships/hyperlink" Target="https://share.hdrinc.com/sites/CoW_FRLP/ACQUISITION/COW-FRMP_TR-223%20SURVEY%20Right-of-Entry%20CMRR.pdf" TargetMode="External"/><Relationship Id="rId542" Type="http://schemas.openxmlformats.org/officeDocument/2006/relationships/hyperlink" Target="https://share.hdrinc.com/sites/CoW_FRLP/ACQUISITION/COW-FRMP_TR-312%20APPRAISAL%20Final%20Appraisal.pdf" TargetMode="External"/><Relationship Id="rId987" Type="http://schemas.openxmlformats.org/officeDocument/2006/relationships/hyperlink" Target="https://share.hdrinc.com/sites/CoW_FRLP/ACQUISITION/COW-FRMP_TR-T267%20CONTACT%20Negotiator%20Report.docx" TargetMode="External"/><Relationship Id="rId1172" Type="http://schemas.openxmlformats.org/officeDocument/2006/relationships/hyperlink" Target="https://share.hdrinc.com/sites/CoW_FRLP/_layouts/DocIdRedir.aspx?ID=COWFRLPHDR-5-486" TargetMode="External"/><Relationship Id="rId2016" Type="http://schemas.openxmlformats.org/officeDocument/2006/relationships/hyperlink" Target="https://share.hdrinc.com/sites/CoW_FRLP/_layouts/DocIdRedir.aspx?ID=COWFRLPHDR-5-1058" TargetMode="External"/><Relationship Id="rId402" Type="http://schemas.openxmlformats.org/officeDocument/2006/relationships/hyperlink" Target="https://share.hdrinc.com/sites/CoW_FRLP/ACQUISITION/COW-FRMP_TR-302%20NEGOTIATION%20Landowner%20Bill%20of%20Rights%20Letter.pdf" TargetMode="External"/><Relationship Id="rId847" Type="http://schemas.openxmlformats.org/officeDocument/2006/relationships/hyperlink" Target="https://share.hdrinc.com/sites/CoW_FRLP/ACQUISITION/COW-FRMP_TR-T191%20ROE%20Right-of-Entry%20Package.pdf" TargetMode="External"/><Relationship Id="rId1032" Type="http://schemas.openxmlformats.org/officeDocument/2006/relationships/hyperlink" Target="https://share.hdrinc.com/sites/CoW_FRLP/_layouts/DocIdRedir.aspx?ID=COWFRLPHDR-5-99" TargetMode="External"/><Relationship Id="rId1477" Type="http://schemas.openxmlformats.org/officeDocument/2006/relationships/hyperlink" Target="https://share.hdrinc.com/sites/CoW_FRLP/_layouts/DocIdRedir.aspx?ID=COWFRLPHDR-5-1193" TargetMode="External"/><Relationship Id="rId1684" Type="http://schemas.openxmlformats.org/officeDocument/2006/relationships/hyperlink" Target="https://share.hdrinc.com/sites/CoW_FRLP/_layouts/DocIdRedir.aspx?ID=COWFRLPHDR-5-570" TargetMode="External"/><Relationship Id="rId1891" Type="http://schemas.openxmlformats.org/officeDocument/2006/relationships/hyperlink" Target="https://share.hdrinc.com/sites/CoW_FRLP/_layouts/DocIdRedir.aspx?ID=COWFRLPHDR-5-957" TargetMode="External"/><Relationship Id="rId707" Type="http://schemas.openxmlformats.org/officeDocument/2006/relationships/hyperlink" Target="https://share.hdrinc.com/sites/CoW_FRLP/ACQUISITION/ContactRecords/COW-FRMP_TR-427%20CONTACT%20Negotiator%20Report.docx" TargetMode="External"/><Relationship Id="rId914" Type="http://schemas.openxmlformats.org/officeDocument/2006/relationships/hyperlink" Target="https://share.hdrinc.com/sites/CoW_FRLP/ACQUISITION/COW-FRMP_TR-T227%20ROE%20Right-of-Entry%20Executed.pdf" TargetMode="External"/><Relationship Id="rId1337" Type="http://schemas.openxmlformats.org/officeDocument/2006/relationships/hyperlink" Target="https://share.hdrinc.com/sites/CoW_FRLP/_layouts/DocIdRedir.aspx?ID=COWFRLPHDR-5-153" TargetMode="External"/><Relationship Id="rId1544" Type="http://schemas.openxmlformats.org/officeDocument/2006/relationships/hyperlink" Target="https://share.hdrinc.com/sites/CoW_FRLP/_layouts/DocIdRedir.aspx?ID=COWFRLPHDR-5-1354" TargetMode="External"/><Relationship Id="rId1751" Type="http://schemas.openxmlformats.org/officeDocument/2006/relationships/hyperlink" Target="https://share.hdrinc.com/sites/CoW_FRLP/_layouts/DocIdRedir.aspx?ID=COWFRLPHDR-5-1052" TargetMode="External"/><Relationship Id="rId1989" Type="http://schemas.openxmlformats.org/officeDocument/2006/relationships/hyperlink" Target="https://share.hdrinc.com/sites/CoW_FRLP/_layouts/DocIdRedir.aspx?ID=COWFRLPHDR-5-893" TargetMode="External"/><Relationship Id="rId43" Type="http://schemas.openxmlformats.org/officeDocument/2006/relationships/hyperlink" Target="https://share.hdrinc.com/sites/CoW_FRLP/ACQUISITION/COW-FRMP_TR-200%20CONTACT%20Pre-Appraisal%20Contact%20with%20Owner.pdf" TargetMode="External"/><Relationship Id="rId1404" Type="http://schemas.openxmlformats.org/officeDocument/2006/relationships/hyperlink" Target="https://share.hdrinc.com/sites/CoW_FRLP/_layouts/DocIdRedir.aspx?ID=COWFRLPHDR-5-181" TargetMode="External"/><Relationship Id="rId1611" Type="http://schemas.openxmlformats.org/officeDocument/2006/relationships/hyperlink" Target="https://share.hdrinc.com/sites/CoW_FRLP/_layouts/DocIdRedir.aspx?ID=COWFRLPHDR-5-259" TargetMode="External"/><Relationship Id="rId1849" Type="http://schemas.openxmlformats.org/officeDocument/2006/relationships/hyperlink" Target="https://share.hdrinc.com/sites/CoW_FRLP/_layouts/DocIdRedir.aspx?ID=COWFRLPHDR-5-1231" TargetMode="External"/><Relationship Id="rId192" Type="http://schemas.openxmlformats.org/officeDocument/2006/relationships/hyperlink" Target="https://share.hdrinc.com/sites/CoW_FRLP/ACQUISITION/COW-FRMP_TR-213%20APPRAISAL%20Final%20Appraisal.pdf" TargetMode="External"/><Relationship Id="rId1709" Type="http://schemas.openxmlformats.org/officeDocument/2006/relationships/hyperlink" Target="https://share.hdrinc.com/sites/CoW_FRLP/_layouts/DocIdRedir.aspx?ID=COWFRLPHDR-5-558" TargetMode="External"/><Relationship Id="rId1916" Type="http://schemas.openxmlformats.org/officeDocument/2006/relationships/hyperlink" Target="https://share.hdrinc.com/sites/CoW_FRLP/_layouts/DocIdRedir.aspx?ID=COWFRLPHDR-5-1279" TargetMode="External"/><Relationship Id="rId497" Type="http://schemas.openxmlformats.org/officeDocument/2006/relationships/hyperlink" Target="https://share.hdrinc.com/sites/CoW_FRLP/ACQUISITION/COW-FRMP_TR-309%20NEGOTIATION%20Information%20About%20Brokerage%20Services%20Acknowledgment.pdf" TargetMode="External"/><Relationship Id="rId357" Type="http://schemas.openxmlformats.org/officeDocument/2006/relationships/hyperlink" Target="https://share.hdrinc.com/sites/CoW_FRLP/ACQUISITION/ContactRecords/COW-FRMP_TR-230%20CONTACT%20Negotiator%20Report%20Newer+Smaller.docx" TargetMode="External"/><Relationship Id="rId1194" Type="http://schemas.openxmlformats.org/officeDocument/2006/relationships/hyperlink" Target="https://share.hdrinc.com/sites/CoW_FRLP/_layouts/DocIdRedir.aspx?ID=COWFRLPHDR-5-389" TargetMode="External"/><Relationship Id="rId217" Type="http://schemas.openxmlformats.org/officeDocument/2006/relationships/hyperlink" Target="https://share.hdrinc.com/sites/CoW_FRLP/ACQUISITION/ContactRecords/COW-FRMP_TR-214%20CONTACT%20Negotiator%20Report.docx" TargetMode="External"/><Relationship Id="rId564" Type="http://schemas.openxmlformats.org/officeDocument/2006/relationships/hyperlink" Target="https://share.hdrinc.com/sites/CoW_FRLP/ACQUISITION/COW-FRMP_TR-313%20CONTACT%20Letter%20of%20Intent-HDR.pdf" TargetMode="External"/><Relationship Id="rId771" Type="http://schemas.openxmlformats.org/officeDocument/2006/relationships/hyperlink" Target="https://share.hdrinc.com/sites/CoW_FRLP/ACQUISITION/COW-FRMP_TR-T162%20ENVIRONMENTAL%20Right-of-Entry%20Executed.pdf" TargetMode="External"/><Relationship Id="rId869" Type="http://schemas.openxmlformats.org/officeDocument/2006/relationships/hyperlink" Target="https://share.hdrinc.com/sites/CoW_FRLP/ACQUISITION/COW-FRMP_TR-T200%20ENVIRONMENTAL%20Right-of-Entry%20Executed.pdf" TargetMode="External"/><Relationship Id="rId1499" Type="http://schemas.openxmlformats.org/officeDocument/2006/relationships/hyperlink" Target="https://share.hdrinc.com/sites/CoW_FRLP/_layouts/DocIdRedir.aspx?ID=COWFRLPHDR-5-220" TargetMode="External"/><Relationship Id="rId424" Type="http://schemas.openxmlformats.org/officeDocument/2006/relationships/hyperlink" Target="https://share.hdrinc.com/sites/CoW_FRLP/ACQUISITION/COW-FRMP_TR-304%20APPRAISAL%20Final%20Appraisal.pdf" TargetMode="External"/><Relationship Id="rId631" Type="http://schemas.openxmlformats.org/officeDocument/2006/relationships/hyperlink" Target="https://share.hdrinc.com/sites/CoW_FRLP/ACQUISITION/COW-FRMP_TR-317%20SURVEY%20Description-Plat_USACOE.pdf" TargetMode="External"/><Relationship Id="rId729" Type="http://schemas.openxmlformats.org/officeDocument/2006/relationships/hyperlink" Target="https://share.hdrinc.com/sites/CoW_FRLP/ACQUISITION/COW-FRMP_TR-T068%20ENVIRONMENTAL%20Right-of-Entry%20Package.pdf" TargetMode="External"/><Relationship Id="rId1054" Type="http://schemas.openxmlformats.org/officeDocument/2006/relationships/hyperlink" Target="https://share.hdrinc.com/sites/CoW_FRLP/_layouts/DocIdRedir.aspx?ID=COWFRLPHDR-5-479" TargetMode="External"/><Relationship Id="rId1261" Type="http://schemas.openxmlformats.org/officeDocument/2006/relationships/hyperlink" Target="https://share.hdrinc.com/sites/CoW_FRLP/_layouts/DocIdRedir.aspx?ID=COWFRLPHDR-5-1155" TargetMode="External"/><Relationship Id="rId1359" Type="http://schemas.openxmlformats.org/officeDocument/2006/relationships/hyperlink" Target="https://share.hdrinc.com/sites/CoW_FRLP/_layouts/DocIdRedir.aspx?ID=COWFRLPHDR-5-362" TargetMode="External"/><Relationship Id="rId936" Type="http://schemas.openxmlformats.org/officeDocument/2006/relationships/hyperlink" Target="https://share.hdrinc.com/sites/CoW_FRLP/ACQUISITION/COW-FRMP_TR-T237%20TITLE%20Tax%20Card.pdf" TargetMode="External"/><Relationship Id="rId1121" Type="http://schemas.openxmlformats.org/officeDocument/2006/relationships/hyperlink" Target="https://share.hdrinc.com/sites/CoW_FRLP/_layouts/DocIdRedir.aspx?ID=COWFRLPHDR-5-59" TargetMode="External"/><Relationship Id="rId1219" Type="http://schemas.openxmlformats.org/officeDocument/2006/relationships/hyperlink" Target="https://share.hdrinc.com/sites/CoW_FRLP/_layouts/DocIdRedir.aspx?ID=COWFRLPHDR-5-188" TargetMode="External"/><Relationship Id="rId1566" Type="http://schemas.openxmlformats.org/officeDocument/2006/relationships/hyperlink" Target="https://share.hdrinc.com/sites/CoW_FRLP/_layouts/DocIdRedir.aspx?ID=COWFRLPHDR-5-146" TargetMode="External"/><Relationship Id="rId1773" Type="http://schemas.openxmlformats.org/officeDocument/2006/relationships/hyperlink" Target="https://share.hdrinc.com/sites/CoW_FRLP/_layouts/DocIdRedir.aspx?ID=COWFRLPHDR-5-1222" TargetMode="External"/><Relationship Id="rId1980" Type="http://schemas.openxmlformats.org/officeDocument/2006/relationships/hyperlink" Target="https://share.hdrinc.com/sites/CoW_FRLP/_layouts/DocIdRedir.aspx?ID=COWFRLPHDR-5-1328" TargetMode="External"/><Relationship Id="rId65" Type="http://schemas.openxmlformats.org/officeDocument/2006/relationships/hyperlink" Target="https://share.hdrinc.com/sites/CoW_FRLP/ACQUISITION/COW-FRMP_TR-202%20APPRAISAL%20Appraisal%20Review.pdf" TargetMode="External"/><Relationship Id="rId1426" Type="http://schemas.openxmlformats.org/officeDocument/2006/relationships/hyperlink" Target="https://share.hdrinc.com/sites/CoW_FRLP/_layouts/DocIdRedir.aspx?ID=COWFRLPHDR-5-1257" TargetMode="External"/><Relationship Id="rId1633" Type="http://schemas.openxmlformats.org/officeDocument/2006/relationships/hyperlink" Target="https://share.hdrinc.com/sites/CoW_FRLP/_layouts/DocIdRedir.aspx?ID=COWFRLPHDR-5-794" TargetMode="External"/><Relationship Id="rId1840" Type="http://schemas.openxmlformats.org/officeDocument/2006/relationships/hyperlink" Target="https://share.hdrinc.com/sites/CoW_FRLP/_layouts/DocIdRedir.aspx?ID=COWFRLPHDR-5-1127" TargetMode="External"/><Relationship Id="rId1700" Type="http://schemas.openxmlformats.org/officeDocument/2006/relationships/hyperlink" Target="https://share.hdrinc.com/sites/CoW_FRLP/_layouts/DocIdRedir.aspx?ID=COWFRLPHDR-5-232" TargetMode="External"/><Relationship Id="rId1938" Type="http://schemas.openxmlformats.org/officeDocument/2006/relationships/hyperlink" Target="https://share.hdrinc.com/sites/CoW_FRLP/_layouts/DocIdRedir.aspx?ID=COWFRLPHDR-5-989" TargetMode="External"/><Relationship Id="rId281" Type="http://schemas.openxmlformats.org/officeDocument/2006/relationships/hyperlink" Target="https://share.hdrinc.com/sites/CoW_FRLP/ACQUISITION/COW-FRMP_TR-218%20SURVEY%20Description-Plat_CITY.pdf" TargetMode="External"/><Relationship Id="rId141" Type="http://schemas.openxmlformats.org/officeDocument/2006/relationships/hyperlink" Target="https://share.hdrinc.com/sites/CoW_FRLP/ACQUISITION/ContactRecords/COW-FRMP_TR-208%20CONTACT%20Negotiator%20Report.docx" TargetMode="External"/><Relationship Id="rId379" Type="http://schemas.openxmlformats.org/officeDocument/2006/relationships/hyperlink" Target="https://share.hdrinc.com/sites/CoW_FRLP/ACQUISITION/COW-FRMP_TR-300%20SURVEY%20Right-of-Entry%20CMRR.pdf" TargetMode="External"/><Relationship Id="rId586" Type="http://schemas.openxmlformats.org/officeDocument/2006/relationships/hyperlink" Target="https://share.hdrinc.com/sites/CoW_FRLP/ACQUISITION/COW-FRMP_TR-314%20TITLE%20Commitment.pdf" TargetMode="External"/><Relationship Id="rId793" Type="http://schemas.openxmlformats.org/officeDocument/2006/relationships/hyperlink" Target="https://share.hdrinc.com/sites/CoW_FRLP/ACQUISITION/COW-FRMP_TR-T168%20TITLE%20Tax%20Card.pdf" TargetMode="External"/><Relationship Id="rId7" Type="http://schemas.openxmlformats.org/officeDocument/2006/relationships/hyperlink" Target="https://share.hdrinc.com/sites/CoW_FRLP/ACQUISITION/COW-FRMP_R027680%20SURVEY%20Right-of-Entry%20CMRR.pdf" TargetMode="External"/><Relationship Id="rId239" Type="http://schemas.openxmlformats.org/officeDocument/2006/relationships/hyperlink" Target="https://share.hdrinc.com/sites/CoW_FRLP/ACQUISITION/COW-FRMP_TR-215%20CONTACT%20Pre-Appraisal%20Contact%20with%20Owner.pdf" TargetMode="External"/><Relationship Id="rId446" Type="http://schemas.openxmlformats.org/officeDocument/2006/relationships/hyperlink" Target="https://share.hdrinc.com/sites/CoW_FRLP/ACQUISITION/COW-FRMP_TR-305%20CONTACT%20Initial%20Interview%20-%20Residential.pdf" TargetMode="External"/><Relationship Id="rId653" Type="http://schemas.openxmlformats.org/officeDocument/2006/relationships/hyperlink" Target="https://share.hdrinc.com/sites/CoW_FRLP/ACQUISITION/ContactRecords/COW-FRMP_TR-320%20CONTACT%20Negotiator%20Report.docx" TargetMode="External"/><Relationship Id="rId1076" Type="http://schemas.openxmlformats.org/officeDocument/2006/relationships/hyperlink" Target="https://share.hdrinc.com/sites/CoW_FRLP/_layouts/DocIdRedir.aspx?ID=COWFRLPHDR-5-797" TargetMode="External"/><Relationship Id="rId1283" Type="http://schemas.openxmlformats.org/officeDocument/2006/relationships/hyperlink" Target="https://share.hdrinc.com/sites/CoW_FRLP/_layouts/DocIdRedir.aspx?ID=COWFRLPHDR-5-841" TargetMode="External"/><Relationship Id="rId1490" Type="http://schemas.openxmlformats.org/officeDocument/2006/relationships/hyperlink" Target="https://share.hdrinc.com/sites/CoW_FRLP/_layouts/DocIdRedir.aspx?ID=COWFRLPHDR-5-534" TargetMode="External"/><Relationship Id="rId306" Type="http://schemas.openxmlformats.org/officeDocument/2006/relationships/hyperlink" Target="https://share.hdrinc.com/sites/CoW_FRLP/ACQUISITION/COW-FRMP_TR-220%20NEGOTIATION%20Landowner%20Bill%20of%20Rights%20Letter.pdf" TargetMode="External"/><Relationship Id="rId860" Type="http://schemas.openxmlformats.org/officeDocument/2006/relationships/hyperlink" Target="https://share.hdrinc.com/sites/CoW_FRLP/ACQUISITION/COW-FRMP_TR-T195%20ENVIRONMENTAL%20Right-of-Entry%20Package.pdf" TargetMode="External"/><Relationship Id="rId958" Type="http://schemas.openxmlformats.org/officeDocument/2006/relationships/hyperlink" Target="https://share.hdrinc.com/sites/CoW_FRLP/ACQUISITION/COW-FRMP_TR-T253%20ENVIRONMENTAL%20Right-of-Entry%20Package.pdf" TargetMode="External"/><Relationship Id="rId1143" Type="http://schemas.openxmlformats.org/officeDocument/2006/relationships/hyperlink" Target="https://share.hdrinc.com/sites/CoW_FRLP/_layouts/DocIdRedir.aspx?ID=COWFRLPHDR-5-85" TargetMode="External"/><Relationship Id="rId1588" Type="http://schemas.openxmlformats.org/officeDocument/2006/relationships/hyperlink" Target="https://share.hdrinc.com/sites/CoW_FRLP/_layouts/DocIdRedir.aspx?ID=COWFRLPHDR-5-408" TargetMode="External"/><Relationship Id="rId1795" Type="http://schemas.openxmlformats.org/officeDocument/2006/relationships/hyperlink" Target="https://share.hdrinc.com/sites/CoW_FRLP/_layouts/DocIdRedir.aspx?ID=COWFRLPHDR-5-1277" TargetMode="External"/><Relationship Id="rId87" Type="http://schemas.openxmlformats.org/officeDocument/2006/relationships/hyperlink" Target="https://share.hdrinc.com/sites/CoW_FRLP/ACQUISITION/COW-FRMP_TR-203%20NEGOTIATION%20Landowner%20Bill%20of%20Rights%20Letter.pdf" TargetMode="External"/><Relationship Id="rId513" Type="http://schemas.openxmlformats.org/officeDocument/2006/relationships/hyperlink" Target="https://share.hdrinc.com/sites/CoW_FRLP/ACQUISITION/COW-FRMP_TR-310%20CONTACT%20Letter%20of%20Intent-HDR.pdf" TargetMode="External"/><Relationship Id="rId720" Type="http://schemas.openxmlformats.org/officeDocument/2006/relationships/hyperlink" Target="https://share.hdrinc.com/sites/CoW_FRLP/ACQUISITION/COW-FRMP_TR-T066%20TITLE%20Tax%20Card.pdf" TargetMode="External"/><Relationship Id="rId818" Type="http://schemas.openxmlformats.org/officeDocument/2006/relationships/hyperlink" Target="https://share.hdrinc.com/sites/CoW_FRLP/ACQUISITION/COW-FRMP_TR-T185%20TITLE%20Tax%20Card.pdf" TargetMode="External"/><Relationship Id="rId1350" Type="http://schemas.openxmlformats.org/officeDocument/2006/relationships/hyperlink" Target="https://share.hdrinc.com/sites/CoW_FRLP/_layouts/DocIdRedir.aspx?ID=COWFRLPHDR-5-113" TargetMode="External"/><Relationship Id="rId1448" Type="http://schemas.openxmlformats.org/officeDocument/2006/relationships/hyperlink" Target="https://share.hdrinc.com/sites/CoW_FRLP/_layouts/DocIdRedir.aspx?ID=COWFRLPHDR-5-867" TargetMode="External"/><Relationship Id="rId1655" Type="http://schemas.openxmlformats.org/officeDocument/2006/relationships/hyperlink" Target="https://share.hdrinc.com/sites/CoW_FRLP/_layouts/DocIdRedir.aspx?ID=COWFRLPHDR-5-376" TargetMode="External"/><Relationship Id="rId1003" Type="http://schemas.openxmlformats.org/officeDocument/2006/relationships/hyperlink" Target="https://share.hdrinc.com/sites/CoW_FRLP/ACQUISITION/COW-FRMP_TR-T276%20ENVIRONMENTAL%20Right-of-Entry%20Executed.pdf" TargetMode="External"/><Relationship Id="rId1210" Type="http://schemas.openxmlformats.org/officeDocument/2006/relationships/hyperlink" Target="https://share.hdrinc.com/sites/CoW_FRLP/_layouts/DocIdRedir.aspx?ID=COWFRLPHDR-5-107" TargetMode="External"/><Relationship Id="rId1308" Type="http://schemas.openxmlformats.org/officeDocument/2006/relationships/hyperlink" Target="https://share.hdrinc.com/sites/CoW_FRLP/_layouts/DocIdRedir.aspx?ID=COWFRLPHDR-5-760" TargetMode="External"/><Relationship Id="rId1862" Type="http://schemas.openxmlformats.org/officeDocument/2006/relationships/hyperlink" Target="https://share.hdrinc.com/sites/CoW_FRLP/_layouts/DocIdRedir.aspx?ID=COWFRLPHDR-5-941" TargetMode="External"/><Relationship Id="rId1515" Type="http://schemas.openxmlformats.org/officeDocument/2006/relationships/hyperlink" Target="https://share.hdrinc.com/sites/CoW_FRLP/_layouts/DocIdRedir.aspx?ID=COWFRLPHDR-5-733" TargetMode="External"/><Relationship Id="rId1722" Type="http://schemas.openxmlformats.org/officeDocument/2006/relationships/hyperlink" Target="https://share.hdrinc.com/sites/CoW_FRLP/_layouts/DocIdRedir.aspx?ID=COWFRLPHDR-5-726" TargetMode="External"/><Relationship Id="rId14" Type="http://schemas.openxmlformats.org/officeDocument/2006/relationships/hyperlink" Target="https://share.hdrinc.com/sites/CoW_FRLP/ACQUISITION/COW-FRMP_R061704%20SURVEY%20Right-of-Entry%20CMRR.pdf" TargetMode="External"/><Relationship Id="rId163" Type="http://schemas.openxmlformats.org/officeDocument/2006/relationships/hyperlink" Target="https://share.hdrinc.com/sites/CoW_FRLP/ACQUISITION/COW-FRMP_TR-210%20NEGOTIATION%20Landowner%20Bill%20of%20Rights%20Letter.pdf" TargetMode="External"/><Relationship Id="rId370" Type="http://schemas.openxmlformats.org/officeDocument/2006/relationships/hyperlink" Target="https://share.hdrinc.com/sites/CoW_FRLP/ACQUISITION/COW-FRMP_TR-231%20TITLE%20Curative%20Plan.docx" TargetMode="External"/><Relationship Id="rId230" Type="http://schemas.openxmlformats.org/officeDocument/2006/relationships/hyperlink" Target="https://share.hdrinc.com/sites/CoW_FRLP/ACQUISITION/COW-FRMP_TR-215%20CONTACT%20Letter%20of%20Intent-HDR%20Gonzales.pdf" TargetMode="External"/><Relationship Id="rId468" Type="http://schemas.openxmlformats.org/officeDocument/2006/relationships/hyperlink" Target="https://share.hdrinc.com/sites/CoW_FRLP/ACQUISITION/COW-FRMP_TR-307%20SURVEY%20Right-of-Entry.pdf" TargetMode="External"/><Relationship Id="rId675" Type="http://schemas.openxmlformats.org/officeDocument/2006/relationships/hyperlink" Target="https://share.hdrinc.com/sites/CoW_FRLP/ACQUISITION/COW-FRMP_TR-322%20TITLE%20Commitment%20Backup%20Docs.pdf" TargetMode="External"/><Relationship Id="rId882" Type="http://schemas.openxmlformats.org/officeDocument/2006/relationships/hyperlink" Target="https://share.hdrinc.com/sites/CoW_FRLP/ACQUISITION/COW-FRMP_TR-T206%20TITLE%20Tax%20Card.pdf" TargetMode="External"/><Relationship Id="rId1098" Type="http://schemas.openxmlformats.org/officeDocument/2006/relationships/hyperlink" Target="https://share.hdrinc.com/sites/CoW_FRLP/_layouts/DocIdRedir.aspx?ID=COWFRLPHDR-5-482" TargetMode="External"/><Relationship Id="rId328" Type="http://schemas.openxmlformats.org/officeDocument/2006/relationships/hyperlink" Target="https://share.hdrinc.com/sites/CoW_FRLP/ACQUISITION/COW-FRMP_TR-223%20APPRAISAL%20Just%20Compensation%20Memo.pdf" TargetMode="External"/><Relationship Id="rId535" Type="http://schemas.openxmlformats.org/officeDocument/2006/relationships/hyperlink" Target="https://share.hdrinc.com/sites/CoW_FRLP/ACQUISITION/COW-FRMP_TR-311%20SURVEY%20Description-Plat_USACOE.pdf" TargetMode="External"/><Relationship Id="rId742" Type="http://schemas.openxmlformats.org/officeDocument/2006/relationships/hyperlink" Target="https://share.hdrinc.com/sites/CoW_FRLP/ACQUISITION/ContactRecords/COW-FRMP_TR-T071%20CONTACT%20Negotiator%20Report.docx" TargetMode="External"/><Relationship Id="rId1165" Type="http://schemas.openxmlformats.org/officeDocument/2006/relationships/hyperlink" Target="https://share.hdrinc.com/sites/CoW_FRLP/_layouts/DocIdRedir.aspx?ID=COWFRLPHDR-5-1186" TargetMode="External"/><Relationship Id="rId1372" Type="http://schemas.openxmlformats.org/officeDocument/2006/relationships/hyperlink" Target="https://share.hdrinc.com/sites/CoW_FRLP/_layouts/DocIdRedir.aspx?ID=COWFRLPHDR-5-795" TargetMode="External"/><Relationship Id="rId2009" Type="http://schemas.openxmlformats.org/officeDocument/2006/relationships/hyperlink" Target="https://share.hdrinc.com/sites/CoW_FRLP/_layouts/DocIdRedir.aspx?ID=COWFRLPHDR-5-1110" TargetMode="External"/><Relationship Id="rId602" Type="http://schemas.openxmlformats.org/officeDocument/2006/relationships/hyperlink" Target="https://share.hdrinc.com/sites/CoW_FRLP/ACQUISITION/COW-FRMP_TR-315%20SURVEY%20Description-Plat_CITY.pdf" TargetMode="External"/><Relationship Id="rId1025" Type="http://schemas.openxmlformats.org/officeDocument/2006/relationships/hyperlink" Target="https://share.hdrinc.com/sites/CoW_FRLP/_layouts/DocIdRedir.aspx?ID=COWFRLPHDR-5-141" TargetMode="External"/><Relationship Id="rId1232" Type="http://schemas.openxmlformats.org/officeDocument/2006/relationships/hyperlink" Target="https://share.hdrinc.com/sites/CoW_FRLP/_layouts/DocIdRedir.aspx?ID=COWFRLPHDR-5-749" TargetMode="External"/><Relationship Id="rId1677" Type="http://schemas.openxmlformats.org/officeDocument/2006/relationships/hyperlink" Target="https://share.hdrinc.com/sites/CoW_FRLP/_layouts/DocIdRedir.aspx?ID=COWFRLPHDR-5-459" TargetMode="External"/><Relationship Id="rId1884" Type="http://schemas.openxmlformats.org/officeDocument/2006/relationships/hyperlink" Target="https://share.hdrinc.com/sites/CoW_FRLP/_layouts/DocIdRedir.aspx?ID=COWFRLPHDR-5-1108" TargetMode="External"/><Relationship Id="rId907" Type="http://schemas.openxmlformats.org/officeDocument/2006/relationships/hyperlink" Target="https://share.hdrinc.com/sites/CoW_FRLP/ACQUISITION/COW-FRMP_TR-T215%20ENVIRONMENTAL%20Right-of-Entry%20Package.pdf" TargetMode="External"/><Relationship Id="rId1537" Type="http://schemas.openxmlformats.org/officeDocument/2006/relationships/hyperlink" Target="https://share.hdrinc.com/sites/CoW_FRLP/_layouts/DocIdRedir.aspx?ID=COWFRLPHDR-5-1202" TargetMode="External"/><Relationship Id="rId1744" Type="http://schemas.openxmlformats.org/officeDocument/2006/relationships/hyperlink" Target="https://share.hdrinc.com/sites/CoW_FRLP/_layouts/DocIdRedir.aspx?ID=COWFRLPHDR-5-1089" TargetMode="External"/><Relationship Id="rId1951" Type="http://schemas.openxmlformats.org/officeDocument/2006/relationships/hyperlink" Target="https://share.hdrinc.com/sites/CoW_FRLP/_layouts/DocIdRedir.aspx?ID=COWFRLPHDR-5-996" TargetMode="External"/><Relationship Id="rId36" Type="http://schemas.openxmlformats.org/officeDocument/2006/relationships/hyperlink" Target="https://share.hdrinc.com/sites/CoW_FRLP/ACQUISITION/COW-FRMP_TR-200%20APPRAISAL%20Final%20Appraisal.pdf" TargetMode="External"/><Relationship Id="rId1604" Type="http://schemas.openxmlformats.org/officeDocument/2006/relationships/hyperlink" Target="https://share.hdrinc.com/sites/CoW_FRLP/_layouts/DocIdRedir.aspx?ID=COWFRLPHDR-5-1224" TargetMode="External"/><Relationship Id="rId185" Type="http://schemas.openxmlformats.org/officeDocument/2006/relationships/hyperlink" Target="https://share.hdrinc.com/sites/CoW_FRLP/ACQUISITION/COW-FRMP_TR-212%20NEGOTIATION%20Landowner%20Bill%20of%20Rights%20Letter.pdf" TargetMode="External"/><Relationship Id="rId1811" Type="http://schemas.openxmlformats.org/officeDocument/2006/relationships/hyperlink" Target="https://share.hdrinc.com/sites/CoW_FRLP/_layouts/DocIdRedir.aspx?ID=COWFRLPHDR-5-926" TargetMode="External"/><Relationship Id="rId1909" Type="http://schemas.openxmlformats.org/officeDocument/2006/relationships/hyperlink" Target="https://share.hdrinc.com/sites/CoW_FRLP/_layouts/DocIdRedir.aspx?ID=COWFRLPHDR-5-970" TargetMode="External"/><Relationship Id="rId392" Type="http://schemas.openxmlformats.org/officeDocument/2006/relationships/hyperlink" Target="https://share.hdrinc.com/sites/CoW_FRLP/ACQUISITION/COW-FRMP_TR-301%20TITLE%20Commitment.pdf" TargetMode="External"/><Relationship Id="rId697" Type="http://schemas.openxmlformats.org/officeDocument/2006/relationships/hyperlink" Target="https://share.hdrinc.com/sites/CoW_FRLP/ACQUISITION/ContactRecords/COW-FRMP_TR-421A%20CONTACT%20Negotiator%20Report.docx" TargetMode="External"/><Relationship Id="rId252" Type="http://schemas.openxmlformats.org/officeDocument/2006/relationships/hyperlink" Target="https://share.hdrinc.com/sites/CoW_FRLP/ACQUISITION/ContactRecords/COW-FRMP_TR-216%20CONTACT%20Negotiator%20Report.docx" TargetMode="External"/><Relationship Id="rId1187" Type="http://schemas.openxmlformats.org/officeDocument/2006/relationships/hyperlink" Target="https://share.hdrinc.com/sites/CoW_FRLP/_layouts/DocIdRedir.aspx?ID=COWFRLPHDR-5-353" TargetMode="External"/><Relationship Id="rId112" Type="http://schemas.openxmlformats.org/officeDocument/2006/relationships/hyperlink" Target="https://share.hdrinc.com/sites/CoW_FRLP/ACQUISITION/COW-FRMP_TR-205%20TITLE%20Tax%20Card.pdf" TargetMode="External"/><Relationship Id="rId557" Type="http://schemas.openxmlformats.org/officeDocument/2006/relationships/hyperlink" Target="https://share.hdrinc.com/sites/CoW_FRLP/ACQUISITION/COW-FRMP_TR-313%20APPRAISAL%20Appraisal%20Review.pdf" TargetMode="External"/><Relationship Id="rId764" Type="http://schemas.openxmlformats.org/officeDocument/2006/relationships/hyperlink" Target="https://share.hdrinc.com/sites/CoW_FRLP/ACQUISITION/COW-FRMP_TR-T158%20ROE%20Right-of-Entry%20Package.pdf" TargetMode="External"/><Relationship Id="rId971" Type="http://schemas.openxmlformats.org/officeDocument/2006/relationships/hyperlink" Target="https://share.hdrinc.com/sites/CoW_FRLP/ACQUISITION/COW-FRMP_TR-T259%20ENVIRONMENTAL%20Right-of-Entry%20Package.pdf" TargetMode="External"/><Relationship Id="rId1394" Type="http://schemas.openxmlformats.org/officeDocument/2006/relationships/hyperlink" Target="https://share.hdrinc.com/sites/CoW_FRLP/_layouts/DocIdRedir.aspx?ID=COWFRLPHDR-5-36" TargetMode="External"/><Relationship Id="rId1699" Type="http://schemas.openxmlformats.org/officeDocument/2006/relationships/hyperlink" Target="https://share.hdrinc.com/sites/CoW_FRLP/_layouts/DocIdRedir.aspx?ID=COWFRLPHDR-5-165" TargetMode="External"/><Relationship Id="rId2000" Type="http://schemas.openxmlformats.org/officeDocument/2006/relationships/hyperlink" Target="https://share.hdrinc.com/sites/CoW_FRLP/_layouts/DocIdRedir.aspx?ID=COWFRLPHDR-5-1078" TargetMode="External"/><Relationship Id="rId417" Type="http://schemas.openxmlformats.org/officeDocument/2006/relationships/hyperlink" Target="https://share.hdrinc.com/sites/CoW_FRLP/ACQUISITION/COW-FRMP_TR-303%20SURVEY%20Description-Plat_CITY.pdf" TargetMode="External"/><Relationship Id="rId624" Type="http://schemas.openxmlformats.org/officeDocument/2006/relationships/hyperlink" Target="https://share.hdrinc.com/sites/CoW_FRLP/ACQUISITION/COW-FRMP_TR-316%20TITLE%20Tax%20Card.pdf" TargetMode="External"/><Relationship Id="rId831" Type="http://schemas.openxmlformats.org/officeDocument/2006/relationships/hyperlink" Target="https://share.hdrinc.com/sites/CoW_FRLP/ACQUISITION/COW-FRMP_TR-T188%20ENVIRONMENTAL%20Right-of-Entry%20Package.pdf" TargetMode="External"/><Relationship Id="rId1047" Type="http://schemas.openxmlformats.org/officeDocument/2006/relationships/hyperlink" Target="https://share.hdrinc.com/sites/CoW_FRLP/_layouts/DocIdRedir.aspx?ID=COWFRLPHDR-5-1260" TargetMode="External"/><Relationship Id="rId1254" Type="http://schemas.openxmlformats.org/officeDocument/2006/relationships/hyperlink" Target="https://share.hdrinc.com/sites/CoW_FRLP/_layouts/DocIdRedir.aspx?ID=COWFRLPHDR-5-750" TargetMode="External"/><Relationship Id="rId1461" Type="http://schemas.openxmlformats.org/officeDocument/2006/relationships/hyperlink" Target="https://share.hdrinc.com/sites/CoW_FRLP/_layouts/DocIdRedir.aspx?ID=COWFRLPHDR-5-277" TargetMode="External"/><Relationship Id="rId929" Type="http://schemas.openxmlformats.org/officeDocument/2006/relationships/hyperlink" Target="https://share.hdrinc.com/sites/CoW_FRLP/ACQUISITION/COW-FRMP_TR-T236%20ENVIRONMENTAL%20Right-of-Entry%20Package.pdf" TargetMode="External"/><Relationship Id="rId1114" Type="http://schemas.openxmlformats.org/officeDocument/2006/relationships/hyperlink" Target="https://share.hdrinc.com/sites/CoW_FRLP/_layouts/DocIdRedir.aspx?ID=COWFRLPHDR-5-267" TargetMode="External"/><Relationship Id="rId1321" Type="http://schemas.openxmlformats.org/officeDocument/2006/relationships/hyperlink" Target="https://share.hdrinc.com/sites/CoW_FRLP/_layouts/DocIdRedir.aspx?ID=COWFRLPHDR-5-843" TargetMode="External"/><Relationship Id="rId1559" Type="http://schemas.openxmlformats.org/officeDocument/2006/relationships/hyperlink" Target="https://share.hdrinc.com/sites/CoW_FRLP/_layouts/DocIdRedir.aspx?ID=COWFRLPHDR-5-528" TargetMode="External"/><Relationship Id="rId1766" Type="http://schemas.openxmlformats.org/officeDocument/2006/relationships/hyperlink" Target="https://share.hdrinc.com/sites/CoW_FRLP/_layouts/DocIdRedir.aspx?ID=COWFRLPHDR-5-896" TargetMode="External"/><Relationship Id="rId1973" Type="http://schemas.openxmlformats.org/officeDocument/2006/relationships/hyperlink" Target="https://share.hdrinc.com/sites/CoW_FRLP/_layouts/DocIdRedir.aspx?ID=COWFRLPHDR-5-884" TargetMode="External"/><Relationship Id="rId58" Type="http://schemas.openxmlformats.org/officeDocument/2006/relationships/hyperlink" Target="https://share.hdrinc.com/sites/CoW_FRLP/ACQUISITION/COW-FRMP_TR-201%20SURVEY%20Description-Plat_USACOE.pdf" TargetMode="External"/><Relationship Id="rId1419" Type="http://schemas.openxmlformats.org/officeDocument/2006/relationships/hyperlink" Target="https://share.hdrinc.com/sites/CoW_FRLP/_layouts/DocIdRedir.aspx?ID=COWFRLPHDR-5-122" TargetMode="External"/><Relationship Id="rId1626" Type="http://schemas.openxmlformats.org/officeDocument/2006/relationships/hyperlink" Target="https://share.hdrinc.com/sites/CoW_FRLP/_layouts/DocIdRedir.aspx?ID=COWFRLPHDR-5-98" TargetMode="External"/><Relationship Id="rId1833" Type="http://schemas.openxmlformats.org/officeDocument/2006/relationships/hyperlink" Target="https://share.hdrinc.com/sites/CoW_FRLP/_layouts/DocIdRedir.aspx?ID=COWFRLPHDR-5-935" TargetMode="External"/><Relationship Id="rId1900" Type="http://schemas.openxmlformats.org/officeDocument/2006/relationships/hyperlink" Target="https://share.hdrinc.com/sites/CoW_FRLP/_layouts/DocIdRedir.aspx?ID=COWFRLPHDR-5-965" TargetMode="External"/><Relationship Id="rId274" Type="http://schemas.openxmlformats.org/officeDocument/2006/relationships/hyperlink" Target="https://share.hdrinc.com/sites/CoW_FRLP/ACQUISITION/COW-FRMP_TR-217%20TITLE%20Curative%20Plan.docx" TargetMode="External"/><Relationship Id="rId481" Type="http://schemas.openxmlformats.org/officeDocument/2006/relationships/hyperlink" Target="https://share.hdrinc.com/sites/CoW_FRLP/ACQUISITION/COW-FRMP_TR-308%20SURVEY%20Description-Plat_USACOE.pdf" TargetMode="External"/><Relationship Id="rId134" Type="http://schemas.openxmlformats.org/officeDocument/2006/relationships/hyperlink" Target="https://share.hdrinc.com/sites/CoW_FRLP/ACQUISITION/COW-FRMP_TR-207%20TITLE%20Tax%20Card.pdf" TargetMode="External"/><Relationship Id="rId579" Type="http://schemas.openxmlformats.org/officeDocument/2006/relationships/hyperlink" Target="https://share.hdrinc.com/sites/CoW_FRLP/ACQUISITION/COW-FRMP_TR-314%20APPRAISAL%20USACOE%20Authorization%20to%20Proceed%20with%20Offer.pdf" TargetMode="External"/><Relationship Id="rId786" Type="http://schemas.openxmlformats.org/officeDocument/2006/relationships/hyperlink" Target="https://share.hdrinc.com/sites/CoW_FRLP/ACQUISITION/COW-FRMP_TR-T167%20ENVIRONMENTAL%20Right-of-Entry%20Executed.pdf" TargetMode="External"/><Relationship Id="rId993" Type="http://schemas.openxmlformats.org/officeDocument/2006/relationships/hyperlink" Target="https://share.hdrinc.com/sites/CoW_FRLP/ACQUISITION/COW-FRMP_TR-T269%20CONTACT%20Negotiator%20Report.docx" TargetMode="External"/><Relationship Id="rId341" Type="http://schemas.openxmlformats.org/officeDocument/2006/relationships/hyperlink" Target="https://share.hdrinc.com/sites/CoW_FRLP/ACQUISITION/COW-FRMP_TR-224%20CONTACT%20Letter%20of%20Intent-HDR.pdf" TargetMode="External"/><Relationship Id="rId439" Type="http://schemas.openxmlformats.org/officeDocument/2006/relationships/hyperlink" Target="https://share.hdrinc.com/sites/CoW_FRLP/ACQUISITION/COW-FRMP_TR-304%20TITLE%20Commitment.pdf" TargetMode="External"/><Relationship Id="rId646" Type="http://schemas.openxmlformats.org/officeDocument/2006/relationships/hyperlink" Target="https://share.hdrinc.com/sites/CoW_FRLP/ACQUISITION/COW-FRMP_TR-319%20SURVEY%20Right-of-Entry.pdf" TargetMode="External"/><Relationship Id="rId1069" Type="http://schemas.openxmlformats.org/officeDocument/2006/relationships/hyperlink" Target="https://share.hdrinc.com/sites/CoW_FRLP/_layouts/DocIdRedir.aspx?ID=COWFRLPHDR-5-419" TargetMode="External"/><Relationship Id="rId1276" Type="http://schemas.openxmlformats.org/officeDocument/2006/relationships/hyperlink" Target="https://share.hdrinc.com/sites/CoW_FRLP/_layouts/DocIdRedir.aspx?ID=COWFRLPHDR-5-1289" TargetMode="External"/><Relationship Id="rId1483" Type="http://schemas.openxmlformats.org/officeDocument/2006/relationships/hyperlink" Target="https://share.hdrinc.com/sites/CoW_FRLP/_layouts/DocIdRedir.aspx?ID=COWFRLPHDR-5-44" TargetMode="External"/><Relationship Id="rId2022" Type="http://schemas.openxmlformats.org/officeDocument/2006/relationships/hyperlink" Target="https://share.hdrinc.com/sites/CoW_FRLP/_layouts/DocIdRedir.aspx?ID=COWFRLPHDR-5-1112" TargetMode="External"/><Relationship Id="rId201" Type="http://schemas.openxmlformats.org/officeDocument/2006/relationships/hyperlink" Target="https://share.hdrinc.com/sites/CoW_FRLP/ACQUISITION/COW-FRMP_TR-213%20SURVEY%20Description-Plat_CITY.pdf" TargetMode="External"/><Relationship Id="rId506" Type="http://schemas.openxmlformats.org/officeDocument/2006/relationships/hyperlink" Target="https://share.hdrinc.com/sites/CoW_FRLP/ACQUISITION/COW-FRMP_TR-309%20TITLE%20Commitment%20Backup%20Docs.pdf" TargetMode="External"/><Relationship Id="rId853" Type="http://schemas.openxmlformats.org/officeDocument/2006/relationships/hyperlink" Target="https://share.hdrinc.com/sites/CoW_FRLP/ACQUISITION/COW-FRMP_TR-T193%20ROE%20Right-of-Entry%20Package.pdf" TargetMode="External"/><Relationship Id="rId1136" Type="http://schemas.openxmlformats.org/officeDocument/2006/relationships/hyperlink" Target="https://share.hdrinc.com/sites/CoW_FRLP/_layouts/DocIdRedir.aspx?ID=COWFRLPHDR-5-674" TargetMode="External"/><Relationship Id="rId1690" Type="http://schemas.openxmlformats.org/officeDocument/2006/relationships/hyperlink" Target="https://share.hdrinc.com/sites/CoW_FRLP/_layouts/DocIdRedir.aspx?ID=COWFRLPHDR-5-803" TargetMode="External"/><Relationship Id="rId1788" Type="http://schemas.openxmlformats.org/officeDocument/2006/relationships/hyperlink" Target="https://share.hdrinc.com/sites/CoW_FRLP/_layouts/DocIdRedir.aspx?ID=COWFRLPHDR-5-909" TargetMode="External"/><Relationship Id="rId1995" Type="http://schemas.openxmlformats.org/officeDocument/2006/relationships/hyperlink" Target="https://share.hdrinc.com/sites/CoW_FRLP/_layouts/DocIdRedir.aspx?ID=COWFRLPHDR-5-1179" TargetMode="External"/><Relationship Id="rId713" Type="http://schemas.openxmlformats.org/officeDocument/2006/relationships/hyperlink" Target="https://share.hdrinc.com/sites/CoW_FRLP/ACQUISITION/COW-FRMP_TR-427%20TITLE%20Commitment%20Backup%20Docs.pdf" TargetMode="External"/><Relationship Id="rId920" Type="http://schemas.openxmlformats.org/officeDocument/2006/relationships/hyperlink" Target="https://share.hdrinc.com/sites/CoW_FRLP/ACQUISITION/COW-FRMP_TR-T228%20ROE%20Right-of-Entry%20Executed.pdf" TargetMode="External"/><Relationship Id="rId1343" Type="http://schemas.openxmlformats.org/officeDocument/2006/relationships/hyperlink" Target="https://share.hdrinc.com/sites/CoW_FRLP/_layouts/DocIdRedir.aspx?ID=COWFRLPHDR-5-513" TargetMode="External"/><Relationship Id="rId1550" Type="http://schemas.openxmlformats.org/officeDocument/2006/relationships/hyperlink" Target="https://share.hdrinc.com/sites/CoW_FRLP/_layouts/DocIdRedir.aspx?ID=COWFRLPHDR-5-125" TargetMode="External"/><Relationship Id="rId1648" Type="http://schemas.openxmlformats.org/officeDocument/2006/relationships/hyperlink" Target="https://share.hdrinc.com/sites/CoW_FRLP/_layouts/DocIdRedir.aspx?ID=COWFRLPHDR-5-211" TargetMode="External"/><Relationship Id="rId1203" Type="http://schemas.openxmlformats.org/officeDocument/2006/relationships/hyperlink" Target="https://share.hdrinc.com/sites/CoW_FRLP/_layouts/DocIdRedir.aspx?ID=COWFRLPHDR-5-592" TargetMode="External"/><Relationship Id="rId1410" Type="http://schemas.openxmlformats.org/officeDocument/2006/relationships/hyperlink" Target="https://share.hdrinc.com/sites/CoW_FRLP/_layouts/DocIdRedir.aspx?ID=COWFRLPHDR-5-1252" TargetMode="External"/><Relationship Id="rId1508" Type="http://schemas.openxmlformats.org/officeDocument/2006/relationships/hyperlink" Target="https://share.hdrinc.com/sites/CoW_FRLP/_layouts/DocIdRedir.aspx?ID=COWFRLPHDR-5-369" TargetMode="External"/><Relationship Id="rId1855" Type="http://schemas.openxmlformats.org/officeDocument/2006/relationships/hyperlink" Target="https://share.hdrinc.com/sites/CoW_FRLP/_layouts/DocIdRedir.aspx?ID=COWFRLPHDR-5-1130" TargetMode="External"/><Relationship Id="rId1715" Type="http://schemas.openxmlformats.org/officeDocument/2006/relationships/hyperlink" Target="https://share.hdrinc.com/sites/CoW_FRLP/_layouts/DocIdRedir.aspx?ID=COWFRLPHDR-5-162" TargetMode="External"/><Relationship Id="rId1922" Type="http://schemas.openxmlformats.org/officeDocument/2006/relationships/hyperlink" Target="https://share.hdrinc.com/sites/CoW_FRLP/_layouts/DocIdRedir.aspx?ID=COWFRLPHDR-5-1122" TargetMode="External"/><Relationship Id="rId296" Type="http://schemas.openxmlformats.org/officeDocument/2006/relationships/hyperlink" Target="https://share.hdrinc.com/sites/CoW_FRLP/ACQUISITION/COW-FRMP_TR-219%20SURVEY%20Right-of-Entry%20CMRR.pdf" TargetMode="External"/><Relationship Id="rId156" Type="http://schemas.openxmlformats.org/officeDocument/2006/relationships/hyperlink" Target="https://share.hdrinc.com/sites/CoW_FRLP/ACQUISITION/COW-FRMP_TR-210%20APPRAISAL%20Just%20Compensation%20Memo.pdf" TargetMode="External"/><Relationship Id="rId363" Type="http://schemas.openxmlformats.org/officeDocument/2006/relationships/hyperlink" Target="https://share.hdrinc.com/sites/CoW_FRLP/ACQUISITION/COW-FRMP_TR-230%20TITLE%20Tax%20Card.pdf" TargetMode="External"/><Relationship Id="rId570" Type="http://schemas.openxmlformats.org/officeDocument/2006/relationships/hyperlink" Target="https://share.hdrinc.com/sites/CoW_FRLP/ACQUISITION/COW-FRMP_TR-313%20SURVEY%20Description-Plat_CITY.pdf" TargetMode="External"/><Relationship Id="rId223" Type="http://schemas.openxmlformats.org/officeDocument/2006/relationships/hyperlink" Target="https://share.hdrinc.com/sites/CoW_FRLP/ACQUISITION/COW-FRMP_TR-214%20TITLE%20Commitment%20Backup%20Docs.pdf" TargetMode="External"/><Relationship Id="rId430" Type="http://schemas.openxmlformats.org/officeDocument/2006/relationships/hyperlink" Target="https://share.hdrinc.com/sites/CoW_FRLP/ACQUISITION/COW-FRMP_TR-304%20CONTACT%20Letter%20of%20Intent-HDR%20L.%20Panes.pdf" TargetMode="External"/><Relationship Id="rId668" Type="http://schemas.openxmlformats.org/officeDocument/2006/relationships/hyperlink" Target="https://share.hdrinc.com/sites/CoW_FRLP/ACQUISITION/COW-FRMP_TR-321%20TITLE%20Curative%20Plan.docx" TargetMode="External"/><Relationship Id="rId875" Type="http://schemas.openxmlformats.org/officeDocument/2006/relationships/hyperlink" Target="https://share.hdrinc.com/sites/CoW_FRLP/ACQUISITION/COW-FRMP_TR-T205%20ENVIRONMENTAL%20Right-of-Entry%20Package.pdf" TargetMode="External"/><Relationship Id="rId1060" Type="http://schemas.openxmlformats.org/officeDocument/2006/relationships/hyperlink" Target="https://share.hdrinc.com/sites/CoW_FRLP/_layouts/DocIdRedir.aspx?ID=COWFRLPHDR-5-790" TargetMode="External"/><Relationship Id="rId1298" Type="http://schemas.openxmlformats.org/officeDocument/2006/relationships/hyperlink" Target="https://share.hdrinc.com/sites/CoW_FRLP/_layouts/DocIdRedir.aspx?ID=COWFRLPHDR-5-396" TargetMode="External"/><Relationship Id="rId528" Type="http://schemas.openxmlformats.org/officeDocument/2006/relationships/hyperlink" Target="https://share.hdrinc.com/sites/CoW_FRLP/ACQUISITION/COW-FRMP_TR-311%20APPRAISAL%20USACOE%20Authorization%20to%20Proceed%20with%20Offer%20Approval.pdf" TargetMode="External"/><Relationship Id="rId735" Type="http://schemas.openxmlformats.org/officeDocument/2006/relationships/hyperlink" Target="https://share.hdrinc.com/sites/CoW_FRLP/ACQUISITION/COW-FRMP_TR-T069%20ROE%20Right-of-Entry%20Package.pdf" TargetMode="External"/><Relationship Id="rId942" Type="http://schemas.openxmlformats.org/officeDocument/2006/relationships/hyperlink" Target="https://share.hdrinc.com/sites/CoW_FRLP/ACQUISITION/COW-FRMP_TR-T238%20TITLE%20Tax%20Card.pdf" TargetMode="External"/><Relationship Id="rId1158" Type="http://schemas.openxmlformats.org/officeDocument/2006/relationships/hyperlink" Target="https://share.hdrinc.com/sites/CoW_FRLP/_layouts/DocIdRedir.aspx?ID=COWFRLPHDR-5-1185" TargetMode="External"/><Relationship Id="rId1365" Type="http://schemas.openxmlformats.org/officeDocument/2006/relationships/hyperlink" Target="https://share.hdrinc.com/sites/CoW_FRLP/_layouts/DocIdRedir.aspx?ID=COWFRLPHDR-5-854" TargetMode="External"/><Relationship Id="rId1572" Type="http://schemas.openxmlformats.org/officeDocument/2006/relationships/hyperlink" Target="https://share.hdrinc.com/sites/CoW_FRLP/_layouts/DocIdRedir.aspx?ID=COWFRLPHDR-5-1311" TargetMode="External"/><Relationship Id="rId1018" Type="http://schemas.openxmlformats.org/officeDocument/2006/relationships/hyperlink" Target="https://share.hdrinc.com/sites/CoW_FRLP/_layouts/DocIdRedir.aspx?ID=COWFRLPHDR-5-117" TargetMode="External"/><Relationship Id="rId1225" Type="http://schemas.openxmlformats.org/officeDocument/2006/relationships/hyperlink" Target="https://share.hdrinc.com/sites/CoW_FRLP/_layouts/DocIdRedir.aspx?ID=COWFRLPHDR-5-1164" TargetMode="External"/><Relationship Id="rId1432" Type="http://schemas.openxmlformats.org/officeDocument/2006/relationships/hyperlink" Target="https://share.hdrinc.com/sites/CoW_FRLP/_layouts/DocIdRedir.aspx?ID=COWFRLPHDR-5-250" TargetMode="External"/><Relationship Id="rId1877" Type="http://schemas.openxmlformats.org/officeDocument/2006/relationships/hyperlink" Target="https://share.hdrinc.com/sites/CoW_FRLP/_layouts/DocIdRedir.aspx?ID=COWFRLPHDR-5-946" TargetMode="External"/><Relationship Id="rId71" Type="http://schemas.openxmlformats.org/officeDocument/2006/relationships/hyperlink" Target="https://share.hdrinc.com/sites/CoW_FRLP/ACQUISITION/COW-FRMP_TR-202%20APPRAISAL%20USACOE%20Authorization%20to%20Proceed%20with%20Offer%20Approval.pdf" TargetMode="External"/><Relationship Id="rId802" Type="http://schemas.openxmlformats.org/officeDocument/2006/relationships/hyperlink" Target="https://share.hdrinc.com/sites/CoW_FRLP/ACQUISITION/COW-FRMP_TR-T181%20TITLE%20Tax%20Card.pdf" TargetMode="External"/><Relationship Id="rId1737" Type="http://schemas.openxmlformats.org/officeDocument/2006/relationships/hyperlink" Target="https://share.hdrinc.com/sites/CoW_FRLP/_layouts/DocIdRedir.aspx?ID=COWFRLPHDR-5-1173" TargetMode="External"/><Relationship Id="rId1944" Type="http://schemas.openxmlformats.org/officeDocument/2006/relationships/hyperlink" Target="https://share.hdrinc.com/sites/CoW_FRLP/_layouts/DocIdRedir.aspx?ID=COWFRLPHDR-5-1034" TargetMode="External"/><Relationship Id="rId29" Type="http://schemas.openxmlformats.org/officeDocument/2006/relationships/hyperlink" Target="https://share.hdrinc.com/sites/CoW_FRLP/ACQUISITION/COW-FRMP_TR-100%20TITLE%20Tax%20Card.pdf" TargetMode="External"/><Relationship Id="rId178" Type="http://schemas.openxmlformats.org/officeDocument/2006/relationships/hyperlink" Target="https://share.hdrinc.com/sites/CoW_FRLP/ACQUISITION/COW-FRMP_TR-211%20SURVEY%20Right-of-Entry.pdf" TargetMode="External"/><Relationship Id="rId1804" Type="http://schemas.openxmlformats.org/officeDocument/2006/relationships/hyperlink" Target="https://share.hdrinc.com/sites/CoW_FRLP/_layouts/DocIdRedir.aspx?ID=COWFRLPHDR-5-920" TargetMode="External"/><Relationship Id="rId385" Type="http://schemas.openxmlformats.org/officeDocument/2006/relationships/hyperlink" Target="https://share.hdrinc.com/sites/CoW_FRLP/ACQUISITION/COW-FRMP_TR-301%20APPRAISAL%20Just%20Compensation%20Memo.pdf" TargetMode="External"/><Relationship Id="rId592" Type="http://schemas.openxmlformats.org/officeDocument/2006/relationships/hyperlink" Target="https://share.hdrinc.com/sites/CoW_FRLP/ACQUISITION/COW-FRMP_TR-315%20APPRAISAL%20Just%20Compensation%20Approval.pdf" TargetMode="External"/><Relationship Id="rId245" Type="http://schemas.openxmlformats.org/officeDocument/2006/relationships/hyperlink" Target="https://share.hdrinc.com/sites/CoW_FRLP/ACQUISITION/COW-FRMP_TR-215%20TITLE%20Commitment%20Backup%20Docs.pdf" TargetMode="External"/><Relationship Id="rId452" Type="http://schemas.openxmlformats.org/officeDocument/2006/relationships/hyperlink" Target="https://share.hdrinc.com/sites/CoW_FRLP/ACQUISITION/COW-FRMP_TR-305%20SURVEY%20Description-Plat_USACOE.pdf" TargetMode="External"/><Relationship Id="rId897" Type="http://schemas.openxmlformats.org/officeDocument/2006/relationships/hyperlink" Target="https://share.hdrinc.com/sites/CoW_FRLP/ACQUISITION/COW-FRMP_TR-T212%20ROE%20Right-of-Entry%20Executed.pdf" TargetMode="External"/><Relationship Id="rId1082" Type="http://schemas.openxmlformats.org/officeDocument/2006/relationships/hyperlink" Target="https://share.hdrinc.com/sites/CoW_FRLP/_layouts/DocIdRedir.aspx?ID=COWFRLPHDR-5-838" TargetMode="External"/><Relationship Id="rId105" Type="http://schemas.openxmlformats.org/officeDocument/2006/relationships/hyperlink" Target="https://share.hdrinc.com/sites/CoW_FRLP/ACQUISITION/COW-FRMP_TR-205%20NEGOTIATION%20Landowner%20Bill%20of%20Rights%20Letter.pdf" TargetMode="External"/><Relationship Id="rId312" Type="http://schemas.openxmlformats.org/officeDocument/2006/relationships/hyperlink" Target="https://share.hdrinc.com/sites/CoW_FRLP/ACQUISITION/COW-FRMP_TR-220%20TITLE%20Curative%20Plan.docx" TargetMode="External"/><Relationship Id="rId757" Type="http://schemas.openxmlformats.org/officeDocument/2006/relationships/hyperlink" Target="https://share.hdrinc.com/sites/CoW_FRLP/ACQUISITION/COW-FRMP_TR-T157%20ROE%20Right-of-Entry%20Package.pdf" TargetMode="External"/><Relationship Id="rId964" Type="http://schemas.openxmlformats.org/officeDocument/2006/relationships/hyperlink" Target="https://share.hdrinc.com/sites/CoW_FRLP/ACQUISITION/COW-FRMP_TR-T256%20ENVIRONMENTAL%20Right-of-Entry%20Executed.pdf" TargetMode="External"/><Relationship Id="rId1387" Type="http://schemas.openxmlformats.org/officeDocument/2006/relationships/hyperlink" Target="https://share.hdrinc.com/sites/CoW_FRLP/_layouts/DocIdRedir.aspx?ID=COWFRLPHDR-5-529" TargetMode="External"/><Relationship Id="rId1594" Type="http://schemas.openxmlformats.org/officeDocument/2006/relationships/hyperlink" Target="https://share.hdrinc.com/sites/CoW_FRLP/_layouts/DocIdRedir.aspx?ID=COWFRLPHDR-5-374" TargetMode="External"/><Relationship Id="rId93" Type="http://schemas.openxmlformats.org/officeDocument/2006/relationships/hyperlink" Target="https://share.hdrinc.com/sites/CoW_FRLP/ACQUISITION/COW-FRMP_TR-205%20APPRAISAL%20Appraisal%20Review.pdf" TargetMode="External"/><Relationship Id="rId617" Type="http://schemas.openxmlformats.org/officeDocument/2006/relationships/hyperlink" Target="https://share.hdrinc.com/sites/CoW_FRLP/ACQUISITION/COW-FRMP_TR-316%20SURVEY%20Description-Plat_CITY.pdf" TargetMode="External"/><Relationship Id="rId824" Type="http://schemas.openxmlformats.org/officeDocument/2006/relationships/hyperlink" Target="https://share.hdrinc.com/sites/CoW_FRLP/ACQUISITION/COW-FRMP_TR-T187%20CONTACT%20Negotiator%20Report.docx" TargetMode="External"/><Relationship Id="rId1247" Type="http://schemas.openxmlformats.org/officeDocument/2006/relationships/hyperlink" Target="https://share.hdrinc.com/sites/CoW_FRLP/_layouts/DocIdRedir.aspx?ID=COWFRLPHDR-5-498" TargetMode="External"/><Relationship Id="rId1454" Type="http://schemas.openxmlformats.org/officeDocument/2006/relationships/hyperlink" Target="https://share.hdrinc.com/sites/CoW_FRLP/_layouts/DocIdRedir.aspx?ID=COWFRLPHDR-5-406" TargetMode="External"/><Relationship Id="rId1661" Type="http://schemas.openxmlformats.org/officeDocument/2006/relationships/hyperlink" Target="https://share.hdrinc.com/sites/CoW_FRLP/_layouts/DocIdRedir.aspx?ID=COWFRLPHDR-5-151" TargetMode="External"/><Relationship Id="rId1899" Type="http://schemas.openxmlformats.org/officeDocument/2006/relationships/hyperlink" Target="https://share.hdrinc.com/sites/CoW_FRLP/_layouts/DocIdRedir.aspx?ID=COWFRLPHDR-5-964" TargetMode="External"/><Relationship Id="rId1107" Type="http://schemas.openxmlformats.org/officeDocument/2006/relationships/hyperlink" Target="https://share.hdrinc.com/sites/CoW_FRLP/_layouts/DocIdRedir.aspx?ID=COWFRLPHDR-5-1159" TargetMode="External"/><Relationship Id="rId1314" Type="http://schemas.openxmlformats.org/officeDocument/2006/relationships/hyperlink" Target="https://share.hdrinc.com/sites/CoW_FRLP/_layouts/DocIdRedir.aspx?ID=COWFRLPHDR-5-1299" TargetMode="External"/><Relationship Id="rId1521" Type="http://schemas.openxmlformats.org/officeDocument/2006/relationships/hyperlink" Target="https://share.hdrinc.com/sites/CoW_FRLP/_layouts/DocIdRedir.aspx?ID=COWFRLPHDR-5-651" TargetMode="External"/><Relationship Id="rId1759" Type="http://schemas.openxmlformats.org/officeDocument/2006/relationships/hyperlink" Target="https://share.hdrinc.com/sites/CoA_Buyout_6500/_layouts/DocIdRedir.aspx?ID=COABUYOUT65-9-40" TargetMode="External"/><Relationship Id="rId1966" Type="http://schemas.openxmlformats.org/officeDocument/2006/relationships/hyperlink" Target="https://share.hdrinc.com/sites/CoW_FRLP/_layouts/DocIdRedir.aspx?ID=COWFRLPHDR-5-1003" TargetMode="External"/><Relationship Id="rId1619" Type="http://schemas.openxmlformats.org/officeDocument/2006/relationships/hyperlink" Target="https://share.hdrinc.com/sites/CoW_FRLP/_layouts/DocIdRedir.aspx?ID=COWFRLPHDR-5-177" TargetMode="External"/><Relationship Id="rId1826" Type="http://schemas.openxmlformats.org/officeDocument/2006/relationships/hyperlink" Target="https://share.hdrinc.com/sites/CoW_FRLP/_layouts/DocIdRedir.aspx?ID=COWFRLPHDR-5-1066" TargetMode="External"/><Relationship Id="rId20" Type="http://schemas.openxmlformats.org/officeDocument/2006/relationships/hyperlink" Target="https://share.hdrinc.com/sites/CoW_FRLP/ACQUISITION/COW-FRMP_TR-100%20CONTACT%20Letter%20of%20Intent-HDR.pdf" TargetMode="External"/><Relationship Id="rId267" Type="http://schemas.openxmlformats.org/officeDocument/2006/relationships/hyperlink" Target="https://share.hdrinc.com/sites/CoW_FRLP/ACQUISITION/COW-FRMP_TR-217%20CONTACT%20Pre-Appraisal%20Contact%20with%20Owner.pdf" TargetMode="External"/><Relationship Id="rId474" Type="http://schemas.openxmlformats.org/officeDocument/2006/relationships/hyperlink" Target="https://share.hdrinc.com/sites/CoW_FRLP/ACQUISITION/COW-FRMP_TR-308%20APPRAISAL%20Final%20Appraisal.pdf" TargetMode="External"/><Relationship Id="rId127" Type="http://schemas.openxmlformats.org/officeDocument/2006/relationships/hyperlink" Target="https://share.hdrinc.com/sites/CoW_FRLP/ACQUISITION/COW-FRMP_TR-207%20SURVEY%20Description-Plat_CITY.pdf" TargetMode="External"/><Relationship Id="rId681" Type="http://schemas.openxmlformats.org/officeDocument/2006/relationships/hyperlink" Target="https://share.hdrinc.com/sites/CoW_FRLP/ACQUISITION/COW-FRMP_TR-326%20APPRAISAL%20Just%20Compensation%20Approval.pdf" TargetMode="External"/><Relationship Id="rId779" Type="http://schemas.openxmlformats.org/officeDocument/2006/relationships/hyperlink" Target="https://share.hdrinc.com/sites/CoW_FRLP/ACQUISITION/COW-FRMP_TR-T164%20CONTACT%20Negotiator%20Report.docx" TargetMode="External"/><Relationship Id="rId986" Type="http://schemas.openxmlformats.org/officeDocument/2006/relationships/hyperlink" Target="https://share.hdrinc.com/sites/CoW_FRLP/ACQUISITION/COW-FRMP_TR-T264%20ROE%20Right-of-Entry%20Package.pdf" TargetMode="External"/><Relationship Id="rId334" Type="http://schemas.openxmlformats.org/officeDocument/2006/relationships/hyperlink" Target="https://share.hdrinc.com/sites/CoW_FRLP/ACQUISITION/COW-FRMP_TR-223%20SURVEY%20Description-Plat_USACOE.pdf" TargetMode="External"/><Relationship Id="rId541" Type="http://schemas.openxmlformats.org/officeDocument/2006/relationships/hyperlink" Target="https://share.hdrinc.com/sites/CoW_FRLP/ACQUISITION/COW-FRMP_TR-311%20TITLE%20Tax%20Card.pdf" TargetMode="External"/><Relationship Id="rId639" Type="http://schemas.openxmlformats.org/officeDocument/2006/relationships/hyperlink" Target="https://share.hdrinc.com/sites/CoW_FRLP/ACQUISITION/COW-FRMP_TR-319%20APPRAISAL%20Just%20Compensation%20Memo.pdf" TargetMode="External"/><Relationship Id="rId1171" Type="http://schemas.openxmlformats.org/officeDocument/2006/relationships/hyperlink" Target="https://share.hdrinc.com/sites/CoW_FRLP/_layouts/DocIdRedir.aspx?ID=COWFRLPHDR-5-1308" TargetMode="External"/><Relationship Id="rId1269" Type="http://schemas.openxmlformats.org/officeDocument/2006/relationships/hyperlink" Target="https://share.hdrinc.com/sites/CoW_FRLP/_layouts/DocIdRedir.aspx?ID=COWFRLPHDR-5-167" TargetMode="External"/><Relationship Id="rId1476" Type="http://schemas.openxmlformats.org/officeDocument/2006/relationships/hyperlink" Target="https://share.hdrinc.com/sites/CoW_FRLP/_layouts/DocIdRedir.aspx?ID=COWFRLPHDR-5-445" TargetMode="External"/><Relationship Id="rId2015" Type="http://schemas.openxmlformats.org/officeDocument/2006/relationships/hyperlink" Target="https://share.hdrinc.com/sites/CoW_FRLP/_layouts/DocIdRedir.aspx?ID=COWFRLPHDR-5-1247" TargetMode="External"/><Relationship Id="rId401" Type="http://schemas.openxmlformats.org/officeDocument/2006/relationships/hyperlink" Target="https://share.hdrinc.com/sites/CoW_FRLP/ACQUISITION/ContactRecords/COW-FRMP_TR-302%20CONTACT%20Negotiator%20Report.docx" TargetMode="External"/><Relationship Id="rId846" Type="http://schemas.openxmlformats.org/officeDocument/2006/relationships/hyperlink" Target="https://share.hdrinc.com/sites/CoW_FRLP/ACQUISITION/COW-FRMP_TR-T191%20ROE%20Right-of-Entry%20Executed.pdf" TargetMode="External"/><Relationship Id="rId1031" Type="http://schemas.openxmlformats.org/officeDocument/2006/relationships/hyperlink" Target="https://share.hdrinc.com/sites/CoW_FRLP/_layouts/DocIdRedir.aspx?ID=COWFRLPHDR-5-1340" TargetMode="External"/><Relationship Id="rId1129" Type="http://schemas.openxmlformats.org/officeDocument/2006/relationships/hyperlink" Target="https://share.hdrinc.com/sites/CoW_FRLP/_layouts/DocIdRedir.aspx?ID=COWFRLPHDR-5-1305" TargetMode="External"/><Relationship Id="rId1683" Type="http://schemas.openxmlformats.org/officeDocument/2006/relationships/hyperlink" Target="https://share.hdrinc.com/sites/CoW_FRLP/_layouts/DocIdRedir.aspx?ID=COWFRLPHDR-5-704" TargetMode="External"/><Relationship Id="rId1890" Type="http://schemas.openxmlformats.org/officeDocument/2006/relationships/hyperlink" Target="https://share.hdrinc.com/sites/CoW_FRLP/_layouts/DocIdRedir.aspx?ID=COWFRLPHDR-5-956" TargetMode="External"/><Relationship Id="rId1988" Type="http://schemas.openxmlformats.org/officeDocument/2006/relationships/hyperlink" Target="https://share.hdrinc.com/sites/CoW_FRLP/_layouts/DocIdRedir.aspx?ID=COWFRLPHDR-5-1177" TargetMode="External"/><Relationship Id="rId706" Type="http://schemas.openxmlformats.org/officeDocument/2006/relationships/hyperlink" Target="https://share.hdrinc.com/sites/CoW_FRLP/ACQUISITION/COW-FRMP_TR-427%20CONTACT%20Letter%20of%20Intent-HDR.pdf" TargetMode="External"/><Relationship Id="rId913" Type="http://schemas.openxmlformats.org/officeDocument/2006/relationships/hyperlink" Target="https://share.hdrinc.com/sites/CoW_FRLP/ACQUISITION/COW-FRMP_TR-T227%20ENVIRONMENTAL%20Right-of-Entry%20Package.pdf" TargetMode="External"/><Relationship Id="rId1336" Type="http://schemas.openxmlformats.org/officeDocument/2006/relationships/hyperlink" Target="https://share.hdrinc.com/sites/CoW_FRLP/_layouts/DocIdRedir.aspx?ID=COWFRLPHDR-5-152" TargetMode="External"/><Relationship Id="rId1543" Type="http://schemas.openxmlformats.org/officeDocument/2006/relationships/hyperlink" Target="https://share.hdrinc.com/sites/CoW_FRLP/_layouts/DocIdRedir.aspx?ID=COWFRLPHDR-5-388" TargetMode="External"/><Relationship Id="rId1750" Type="http://schemas.openxmlformats.org/officeDocument/2006/relationships/hyperlink" Target="https://share.hdrinc.com/sites/CoA_Buyout_6500/_layouts/DocIdRedir.aspx?ID=COABUYOUT65-9-40" TargetMode="External"/><Relationship Id="rId42" Type="http://schemas.openxmlformats.org/officeDocument/2006/relationships/hyperlink" Target="https://share.hdrinc.com/sites/CoW_FRLP/ACQUISITION/ContactRecords/COW-FRMP_TR-200%20CONTACT%20Negotiator%20Report.docx" TargetMode="External"/><Relationship Id="rId1403" Type="http://schemas.openxmlformats.org/officeDocument/2006/relationships/hyperlink" Target="https://share.hdrinc.com/sites/CoW_FRLP/_layouts/DocIdRedir.aspx?ID=COWFRLPHDR-5-1192" TargetMode="External"/><Relationship Id="rId1610" Type="http://schemas.openxmlformats.org/officeDocument/2006/relationships/hyperlink" Target="https://share.hdrinc.com/sites/CoW_FRLP/_layouts/DocIdRedir.aspx?ID=COWFRLPHDR-5-546" TargetMode="External"/><Relationship Id="rId1848" Type="http://schemas.openxmlformats.org/officeDocument/2006/relationships/hyperlink" Target="https://share.hdrinc.com/sites/CoW_FRLP/_layouts/DocIdRedir.aspx?ID=COWFRLPHDR-5-1073" TargetMode="External"/><Relationship Id="rId191" Type="http://schemas.openxmlformats.org/officeDocument/2006/relationships/hyperlink" Target="https://share.hdrinc.com/sites/CoW_FRLP/ACQUISITION/COW-FRMP_TR-213%20APPRAISAL%20Appraisal%20Review.pdf" TargetMode="External"/><Relationship Id="rId1708" Type="http://schemas.openxmlformats.org/officeDocument/2006/relationships/hyperlink" Target="https://share.hdrinc.com/sites/CoW_FRLP/_layouts/DocIdRedir.aspx?ID=COWFRLPHDR-5-465" TargetMode="External"/><Relationship Id="rId1915" Type="http://schemas.openxmlformats.org/officeDocument/2006/relationships/hyperlink" Target="https://share.hdrinc.com/sites/CoW_FRLP/_layouts/DocIdRedir.aspx?ID=COWFRLPHDR-5-974" TargetMode="External"/><Relationship Id="rId289" Type="http://schemas.openxmlformats.org/officeDocument/2006/relationships/hyperlink" Target="https://share.hdrinc.com/sites/CoW_FRLP/ACQUISITION/COW-FRMP_TR-219%20CONTACT%20Initial%20Interview%20-%20Residential.pdf" TargetMode="External"/><Relationship Id="rId496" Type="http://schemas.openxmlformats.org/officeDocument/2006/relationships/hyperlink" Target="https://share.hdrinc.com/sites/CoW_FRLP/ACQUISITION/COW-FRMP_TR-309%20CONTACT%20Pre-Appraisal%20Contact%20with%20Owner.pdf" TargetMode="External"/><Relationship Id="rId149" Type="http://schemas.openxmlformats.org/officeDocument/2006/relationships/hyperlink" Target="https://share.hdrinc.com/sites/CoW_FRLP/ACQUISITION/COW-FRMP_TR-208%20TITLE%20Commitment%20Backup%20Documents.pdf" TargetMode="External"/><Relationship Id="rId356" Type="http://schemas.openxmlformats.org/officeDocument/2006/relationships/hyperlink" Target="https://share.hdrinc.com/sites/CoW_FRLP/ACQUISITION/ContactRecords/COW-FRMP_TR-230%20CONTACT%20Negotiator%20Report%20Older+Larger.docx" TargetMode="External"/><Relationship Id="rId563" Type="http://schemas.openxmlformats.org/officeDocument/2006/relationships/hyperlink" Target="https://share.hdrinc.com/sites/CoW_FRLP/ACQUISITION/COW-FRMP_TR-313%20CONTACT%20Initial%20Interview%20-%20Residential.pdf" TargetMode="External"/><Relationship Id="rId770" Type="http://schemas.openxmlformats.org/officeDocument/2006/relationships/hyperlink" Target="https://share.hdrinc.com/sites/CoW_FRLP/ACQUISITION/COW-FRMP_TR-T162%20CONTACT%20Negotiator%20Report.docx" TargetMode="External"/><Relationship Id="rId1193" Type="http://schemas.openxmlformats.org/officeDocument/2006/relationships/hyperlink" Target="https://share.hdrinc.com/sites/CoW_FRLP/_layouts/DocIdRedir.aspx?ID=COWFRLPHDR-5-247" TargetMode="External"/><Relationship Id="rId216" Type="http://schemas.openxmlformats.org/officeDocument/2006/relationships/hyperlink" Target="https://share.hdrinc.com/sites/CoW_FRLP/ACQUISITION/COW-FRMP_TR-214%20CONTACT%20Letter%20of%20Intent-HDR.pdf" TargetMode="External"/><Relationship Id="rId423" Type="http://schemas.openxmlformats.org/officeDocument/2006/relationships/hyperlink" Target="https://share.hdrinc.com/sites/CoW_FRLP/ACQUISITION/COW-FRMP_TR-303%20TITLE%20Tax%20Card.pdf" TargetMode="External"/><Relationship Id="rId868" Type="http://schemas.openxmlformats.org/officeDocument/2006/relationships/hyperlink" Target="https://share.hdrinc.com/sites/CoW_FRLP/ACQUISITION/COW-FRMP_TR-T198%20TITLE%20Tax%20Card.pdf" TargetMode="External"/><Relationship Id="rId1053" Type="http://schemas.openxmlformats.org/officeDocument/2006/relationships/hyperlink" Target="https://share.hdrinc.com/sites/CoW_FRLP/_layouts/DocIdRedir.aspx?ID=COWFRLPHDR-5-1266" TargetMode="External"/><Relationship Id="rId1260" Type="http://schemas.openxmlformats.org/officeDocument/2006/relationships/hyperlink" Target="https://share.hdrinc.com/sites/CoW_FRLP/_layouts/DocIdRedir.aspx?ID=COWFRLPHDR-5-596" TargetMode="External"/><Relationship Id="rId1498" Type="http://schemas.openxmlformats.org/officeDocument/2006/relationships/hyperlink" Target="https://share.hdrinc.com/sites/CoW_FRLP/_layouts/DocIdRedir.aspx?ID=COWFRLPHDR-5-192" TargetMode="External"/><Relationship Id="rId630" Type="http://schemas.openxmlformats.org/officeDocument/2006/relationships/hyperlink" Target="https://share.hdrinc.com/sites/CoW_FRLP/ACQUISITION/COW-FRMP_TR-317%20SURVEY%20Description-Plat_CITY.pdf" TargetMode="External"/><Relationship Id="rId728" Type="http://schemas.openxmlformats.org/officeDocument/2006/relationships/hyperlink" Target="https://share.hdrinc.com/sites/CoW_FRLP/ACQUISITION/COW-FRMP_TR-T068%20ENVIRONMENTAL%20Right-of-Entry%20Executed.pdf" TargetMode="External"/><Relationship Id="rId935" Type="http://schemas.openxmlformats.org/officeDocument/2006/relationships/hyperlink" Target="https://share.hdrinc.com/sites/CoW_FRLP/ACQUISITION/COW-FRMP_TR-T237%20ROE%20Right-of-Entry%20Package.pdf" TargetMode="External"/><Relationship Id="rId1358" Type="http://schemas.openxmlformats.org/officeDocument/2006/relationships/hyperlink" Target="https://share.hdrinc.com/sites/CoW_FRLP/_layouts/DocIdRedir.aspx?ID=COWFRLPHDR-5-361" TargetMode="External"/><Relationship Id="rId1565" Type="http://schemas.openxmlformats.org/officeDocument/2006/relationships/hyperlink" Target="https://share.hdrinc.com/sites/CoW_FRLP/_layouts/DocIdRedir.aspx?ID=COWFRLPHDR-5-49" TargetMode="External"/><Relationship Id="rId1772" Type="http://schemas.openxmlformats.org/officeDocument/2006/relationships/hyperlink" Target="https://share.hdrinc.com/sites/CoW_FRLP/_layouts/DocIdRedir.aspx?ID=COWFRLPHDR-5-899" TargetMode="External"/><Relationship Id="rId64" Type="http://schemas.openxmlformats.org/officeDocument/2006/relationships/hyperlink" Target="https://share.hdrinc.com/sites/CoW_FRLP/ACQUISITION/COW-FRMP_TR-201%20TITLE%20Tax%20Card.pdf" TargetMode="External"/><Relationship Id="rId1120" Type="http://schemas.openxmlformats.org/officeDocument/2006/relationships/hyperlink" Target="https://share.hdrinc.com/sites/CoW_FRLP/_layouts/DocIdRedir.aspx?ID=COWFRLPHDR-5-807" TargetMode="External"/><Relationship Id="rId1218" Type="http://schemas.openxmlformats.org/officeDocument/2006/relationships/hyperlink" Target="https://share.hdrinc.com/sites/CoW_FRLP/_layouts/DocIdRedir.aspx?ID=COWFRLPHDR-5-187" TargetMode="External"/><Relationship Id="rId1425" Type="http://schemas.openxmlformats.org/officeDocument/2006/relationships/hyperlink" Target="https://share.hdrinc.com/sites/CoW_FRLP/_layouts/DocIdRedir.aspx?ID=COWFRLPHDR-5-1256" TargetMode="External"/><Relationship Id="rId1632" Type="http://schemas.openxmlformats.org/officeDocument/2006/relationships/hyperlink" Target="https://share.hdrinc.com/sites/CoW_FRLP/_layouts/DocIdRedir.aspx?ID=COWFRLPHDR-5-228" TargetMode="External"/><Relationship Id="rId1937" Type="http://schemas.openxmlformats.org/officeDocument/2006/relationships/hyperlink" Target="https://share.hdrinc.com/sites/CoW_FRLP/_layouts/DocIdRedir.aspx?ID=COWFRLPHDR-5-990" TargetMode="External"/><Relationship Id="rId280" Type="http://schemas.openxmlformats.org/officeDocument/2006/relationships/hyperlink" Target="https://share.hdrinc.com/sites/CoW_FRLP/ACQUISITION/COW-FRMP_TR-218%20NEGOTIATION%20Landowner%20Bill%20of%20Rights%20Letter.pdf" TargetMode="External"/><Relationship Id="rId140" Type="http://schemas.openxmlformats.org/officeDocument/2006/relationships/hyperlink" Target="https://share.hdrinc.com/sites/CoW_FRLP/ACQUISITION/COW-FRMP_TR-208%20CONTACT%20Letter%20of%20Intent-HDR.pdf" TargetMode="External"/><Relationship Id="rId378" Type="http://schemas.openxmlformats.org/officeDocument/2006/relationships/hyperlink" Target="https://share.hdrinc.com/sites/CoW_FRLP/ACQUISITION/COW-FRMP_TR-300%20SURVEY%20Description-Plat_USACOE.pdf" TargetMode="External"/><Relationship Id="rId585" Type="http://schemas.openxmlformats.org/officeDocument/2006/relationships/hyperlink" Target="https://share.hdrinc.com/sites/CoW_FRLP/ACQUISITION/COW-FRMP_TR-314%20SURVEY%20Right-of-Entry.pdf" TargetMode="External"/><Relationship Id="rId792" Type="http://schemas.openxmlformats.org/officeDocument/2006/relationships/hyperlink" Target="https://share.hdrinc.com/sites/CoW_FRLP/ACQUISITION/COW-FRMP_TR-T168%20ROE%20Right-of-Entry%20Package.pdf" TargetMode="External"/><Relationship Id="rId6" Type="http://schemas.openxmlformats.org/officeDocument/2006/relationships/hyperlink" Target="https://share.hdrinc.com/sites/CoW_FRLP/ACQUISITION/COW-FRMP_R071321%20SURVEY%20Right-of-Entry%20CMRR.pdf" TargetMode="External"/><Relationship Id="rId238" Type="http://schemas.openxmlformats.org/officeDocument/2006/relationships/hyperlink" Target="https://share.hdrinc.com/sites/CoW_FRLP/ACQUISITION/ContactRecords/COW-FRMP_TR-215%20CONTACT%20Negotiator%20Report%20(1).docx" TargetMode="External"/><Relationship Id="rId445" Type="http://schemas.openxmlformats.org/officeDocument/2006/relationships/hyperlink" Target="https://share.hdrinc.com/sites/CoW_FRLP/ACQUISITION/COW-FRMP_TR-305%20APPRAISAL%20USACOE%20Authorization%20to%20Proceed%20with%20Offer.pdf" TargetMode="External"/><Relationship Id="rId652" Type="http://schemas.openxmlformats.org/officeDocument/2006/relationships/hyperlink" Target="https://share.hdrinc.com/sites/CoW_FRLP/ACQUISITION/COW-FRMP_TR-320%20CONTACT%20Letter%20of%20Intent-HDR.pdf" TargetMode="External"/><Relationship Id="rId1075" Type="http://schemas.openxmlformats.org/officeDocument/2006/relationships/hyperlink" Target="https://share.hdrinc.com/sites/CoW_FRLP/_layouts/DocIdRedir.aspx?ID=COWFRLPHDR-5-217" TargetMode="External"/><Relationship Id="rId1282" Type="http://schemas.openxmlformats.org/officeDocument/2006/relationships/hyperlink" Target="https://share.hdrinc.com/sites/CoW_FRLP/_layouts/DocIdRedir.aspx?ID=COWFRLPHDR-5-730" TargetMode="External"/><Relationship Id="rId305" Type="http://schemas.openxmlformats.org/officeDocument/2006/relationships/hyperlink" Target="https://share.hdrinc.com/sites/CoW_FRLP/ACQUISITION/ContactRecords/COW-FRMP_TR-220%20CONTACT%20Negotiator%20Report.docx" TargetMode="External"/><Relationship Id="rId512" Type="http://schemas.openxmlformats.org/officeDocument/2006/relationships/hyperlink" Target="https://share.hdrinc.com/sites/CoW_FRLP/ACQUISITION/COW-FRMP_TR-310%20CONTACT%20Initial%20Interview%20-%20Residential.pdf" TargetMode="External"/><Relationship Id="rId957" Type="http://schemas.openxmlformats.org/officeDocument/2006/relationships/hyperlink" Target="https://share.hdrinc.com/sites/CoW_FRLP/ACQUISITION/COW-FRMP_TR-T243%20TITLE%20Tax%20Card.pdf" TargetMode="External"/><Relationship Id="rId1142" Type="http://schemas.openxmlformats.org/officeDocument/2006/relationships/hyperlink" Target="https://share.hdrinc.com/sites/CoW_FRLP/_layouts/DocIdRedir.aspx?ID=COWFRLPHDR-5-752" TargetMode="External"/><Relationship Id="rId1587" Type="http://schemas.openxmlformats.org/officeDocument/2006/relationships/hyperlink" Target="https://share.hdrinc.com/sites/CoW_FRLP/_layouts/DocIdRedir.aspx?ID=COWFRLPHDR-5-149" TargetMode="External"/><Relationship Id="rId1794" Type="http://schemas.openxmlformats.org/officeDocument/2006/relationships/hyperlink" Target="https://share.hdrinc.com/sites/CoW_FRLP/_layouts/DocIdRedir.aspx?ID=COWFRLPHDR-5-913" TargetMode="External"/><Relationship Id="rId86" Type="http://schemas.openxmlformats.org/officeDocument/2006/relationships/hyperlink" Target="https://share.hdrinc.com/sites/CoW_FRLP/ACQUISITION/ContactRecords/COW-FRMP_TR-203%20CONTACT%20Negotiator%20Report.docx" TargetMode="External"/><Relationship Id="rId817" Type="http://schemas.openxmlformats.org/officeDocument/2006/relationships/hyperlink" Target="https://share.hdrinc.com/sites/CoW_FRLP/ACQUISITION/COW-FRMP_TR-T185%20ROE%20Right-of-Entry%20Package.pdf" TargetMode="External"/><Relationship Id="rId1002" Type="http://schemas.openxmlformats.org/officeDocument/2006/relationships/hyperlink" Target="https://share.hdrinc.com/sites/CoW_FRLP/ACQUISITION/COW-FRMP_TR-T275%20ROE%20Right-of-Entry%20Executed.pdf" TargetMode="External"/><Relationship Id="rId1447" Type="http://schemas.openxmlformats.org/officeDocument/2006/relationships/hyperlink" Target="https://share.hdrinc.com/sites/CoW_FRLP/_layouts/DocIdRedir.aspx?ID=COWFRLPHDR-5-443" TargetMode="External"/><Relationship Id="rId1654" Type="http://schemas.openxmlformats.org/officeDocument/2006/relationships/hyperlink" Target="https://share.hdrinc.com/sites/CoW_FRLP/_layouts/DocIdRedir.aspx?ID=COWFRLPHDR-5-562" TargetMode="External"/><Relationship Id="rId1861" Type="http://schemas.openxmlformats.org/officeDocument/2006/relationships/hyperlink" Target="https://share.hdrinc.com/sites/CoW_FRLP/_layouts/DocIdRedir.aspx?ID=COWFRLPHDR-5-1027" TargetMode="External"/><Relationship Id="rId1307" Type="http://schemas.openxmlformats.org/officeDocument/2006/relationships/hyperlink" Target="https://share.hdrinc.com/sites/CoW_FRLP/_layouts/DocIdRedir.aspx?ID=COWFRLPHDR-5-842" TargetMode="External"/><Relationship Id="rId1514" Type="http://schemas.openxmlformats.org/officeDocument/2006/relationships/hyperlink" Target="https://share.hdrinc.com/sites/CoW_FRLP/_layouts/DocIdRedir.aspx?ID=COWFRLPHDR-5-448" TargetMode="External"/><Relationship Id="rId1721" Type="http://schemas.openxmlformats.org/officeDocument/2006/relationships/hyperlink" Target="https://share.hdrinc.com/sites/CoW_FRLP/_layouts/DocIdRedir.aspx?ID=COWFRLPHDR-5-466" TargetMode="External"/><Relationship Id="rId1959" Type="http://schemas.openxmlformats.org/officeDocument/2006/relationships/hyperlink" Target="https://share.hdrinc.com/sites/CoW_FRLP/_layouts/DocIdRedir.aspx?ID=COWFRLPHDR-5-1141" TargetMode="External"/><Relationship Id="rId13" Type="http://schemas.openxmlformats.org/officeDocument/2006/relationships/hyperlink" Target="https://share.hdrinc.com/sites/CoW_FRLP/ACQUISITION/COW-FRMP_R027673%20SURVEY%20Right-of-Entry%20CMRR.pdf" TargetMode="External"/><Relationship Id="rId1819" Type="http://schemas.openxmlformats.org/officeDocument/2006/relationships/hyperlink" Target="https://share.hdrinc.com/sites/CoW_FRLP/_layouts/DocIdRedir.aspx?ID=COWFRLPHDR-5-1104" TargetMode="External"/><Relationship Id="rId162" Type="http://schemas.openxmlformats.org/officeDocument/2006/relationships/hyperlink" Target="https://share.hdrinc.com/sites/CoW_FRLP/ACQUISITION/COW-FRMP_TR-210%20NEGOTIATION%20Initial%20Offer%20Package%20CMRR.pdf" TargetMode="External"/><Relationship Id="rId467" Type="http://schemas.openxmlformats.org/officeDocument/2006/relationships/hyperlink" Target="https://share.hdrinc.com/sites/CoW_FRLP/ACQUISITION/COW-FRMP_TR-307%20NEGOTIATION%20Landowner%20Bill%20of%20Rights%20Letter.pdf" TargetMode="External"/><Relationship Id="rId1097" Type="http://schemas.openxmlformats.org/officeDocument/2006/relationships/hyperlink" Target="https://share.hdrinc.com/sites/CoW_FRLP/_layouts/DocIdRedir.aspx?ID=COWFRLPHDR-5-577" TargetMode="External"/><Relationship Id="rId1220" Type="http://schemas.openxmlformats.org/officeDocument/2006/relationships/hyperlink" Target="https://share.hdrinc.com/sites/CoW_FRLP/_layouts/DocIdRedir.aspx?ID=COWFRLPHDR-5-390" TargetMode="External"/><Relationship Id="rId1318" Type="http://schemas.openxmlformats.org/officeDocument/2006/relationships/hyperlink" Target="https://share.hdrinc.com/sites/CoW_FRLP/_layouts/DocIdRedir.aspx?ID=COWFRLPHDR-5-275" TargetMode="External"/><Relationship Id="rId1525" Type="http://schemas.openxmlformats.org/officeDocument/2006/relationships/hyperlink" Target="https://share.hdrinc.com/sites/CoW_FRLP/_layouts/DocIdRedir.aspx?ID=COWFRLPHDR-5-111" TargetMode="External"/><Relationship Id="rId674" Type="http://schemas.openxmlformats.org/officeDocument/2006/relationships/hyperlink" Target="https://share.hdrinc.com/sites/CoW_FRLP/ACQUISITION/COW-FRMP_TR-KCSR%20TITLE%20Commitment.pdf" TargetMode="External"/><Relationship Id="rId881" Type="http://schemas.openxmlformats.org/officeDocument/2006/relationships/hyperlink" Target="https://share.hdrinc.com/sites/CoW_FRLP/ACQUISITION/COW-FRMP_TR-T206%20ROE%20Right-of-Entry%20Package.pdf" TargetMode="External"/><Relationship Id="rId979" Type="http://schemas.openxmlformats.org/officeDocument/2006/relationships/hyperlink" Target="https://share.hdrinc.com/sites/CoW_FRLP/ACQUISITION/COW-FRMP_TR-T261%20TITLE%20Tax%20Card.pdf" TargetMode="External"/><Relationship Id="rId1732" Type="http://schemas.openxmlformats.org/officeDocument/2006/relationships/hyperlink" Target="https://share.hdrinc.com/sites/CoW_FRLP/_layouts/DocIdRedir.aspx?ID=COWFRLPHDR-5-1087" TargetMode="External"/><Relationship Id="rId24" Type="http://schemas.openxmlformats.org/officeDocument/2006/relationships/hyperlink" Target="https://share.hdrinc.com/sites/CoW_FRLP/ACQUISITION/COW-FRMP_TR-100%20SURVEY%20Right-of-Entry.pdf" TargetMode="External"/><Relationship Id="rId327" Type="http://schemas.openxmlformats.org/officeDocument/2006/relationships/hyperlink" Target="https://share.hdrinc.com/sites/CoW_FRLP/ACQUISITION/COW-FRMP_TR-223%20APPRAISAL%20Final%20Appraisal.pdf" TargetMode="External"/><Relationship Id="rId534" Type="http://schemas.openxmlformats.org/officeDocument/2006/relationships/hyperlink" Target="https://share.hdrinc.com/sites/CoW_FRLP/ACQUISITION/COW-FRMP_TR-311%20SURVEY%20Description-Plat_CITY.pdf" TargetMode="External"/><Relationship Id="rId741" Type="http://schemas.openxmlformats.org/officeDocument/2006/relationships/hyperlink" Target="https://share.hdrinc.com/sites/CoW_FRLP/ACQUISITION/COW-FRMP_TR-T070%20TITLE%20Tax%20Card.pdf" TargetMode="External"/><Relationship Id="rId839" Type="http://schemas.openxmlformats.org/officeDocument/2006/relationships/hyperlink" Target="https://share.hdrinc.com/sites/CoW_FRLP/ACQUISITION/COW-FRMP_TR-T190%20CONTACT%20Negotiator%20Report.docx" TargetMode="External"/><Relationship Id="rId1164" Type="http://schemas.openxmlformats.org/officeDocument/2006/relationships/hyperlink" Target="https://share.hdrinc.com/sites/CoW_FRLP/_layouts/DocIdRedir.aspx?ID=COWFRLPHDR-5-756" TargetMode="External"/><Relationship Id="rId1371" Type="http://schemas.openxmlformats.org/officeDocument/2006/relationships/hyperlink" Target="https://share.hdrinc.com/sites/CoW_FRLP/_layouts/DocIdRedir.aspx?ID=COWFRLPHDR-5-1083" TargetMode="External"/><Relationship Id="rId1469" Type="http://schemas.openxmlformats.org/officeDocument/2006/relationships/hyperlink" Target="https://share.hdrinc.com/sites/CoW_FRLP/_layouts/DocIdRedir.aspx?ID=COWFRLPHDR-5-407" TargetMode="External"/><Relationship Id="rId2008" Type="http://schemas.openxmlformats.org/officeDocument/2006/relationships/hyperlink" Target="https://share.hdrinc.com/sites/CoW_FRLP/_layouts/DocIdRedir.aspx?ID=COWFRLPHDR-5-1119" TargetMode="External"/><Relationship Id="rId173" Type="http://schemas.openxmlformats.org/officeDocument/2006/relationships/hyperlink" Target="https://share.hdrinc.com/sites/CoW_FRLP/ACQUISITION/COW-FRMP_TR-211%20CONTACT%20Letter%20of%20Intent-HDR%2012-13-19.pdf" TargetMode="External"/><Relationship Id="rId380" Type="http://schemas.openxmlformats.org/officeDocument/2006/relationships/hyperlink" Target="https://share.hdrinc.com/sites/CoW_FRLP/ACQUISITION/COW-FRMP_TR-300%20TITLE%20Commitment.pdf" TargetMode="External"/><Relationship Id="rId601" Type="http://schemas.openxmlformats.org/officeDocument/2006/relationships/hyperlink" Target="https://share.hdrinc.com/sites/CoW_FRLP/ACQUISITION/COW-FRMP_TR-315%20NEGOTIATION%20Landowner%20Bill%20of%20Rights%20Letter.pdf" TargetMode="External"/><Relationship Id="rId1024" Type="http://schemas.openxmlformats.org/officeDocument/2006/relationships/hyperlink" Target="https://share.hdrinc.com/sites/CoW_FRLP/_layouts/DocIdRedir.aspx?ID=COWFRLPHDR-5-139" TargetMode="External"/><Relationship Id="rId1231" Type="http://schemas.openxmlformats.org/officeDocument/2006/relationships/hyperlink" Target="https://share.hdrinc.com/sites/CoW_FRLP/_layouts/DocIdRedir.aspx?ID=COWFRLPHDR-5-429" TargetMode="External"/><Relationship Id="rId1676" Type="http://schemas.openxmlformats.org/officeDocument/2006/relationships/hyperlink" Target="https://share.hdrinc.com/sites/CoW_FRLP/_layouts/DocIdRedir.aspx?ID=COWFRLPHDR-5-378" TargetMode="External"/><Relationship Id="rId1883" Type="http://schemas.openxmlformats.org/officeDocument/2006/relationships/hyperlink" Target="https://share.hdrinc.com/sites/CoW_FRLP/_layouts/DocIdRedir.aspx?ID=COWFRLPHDR-5-950" TargetMode="External"/><Relationship Id="rId240" Type="http://schemas.openxmlformats.org/officeDocument/2006/relationships/hyperlink" Target="https://share.hdrinc.com/sites/CoW_FRLP/ACQUISITION/COW-FRMP_TR-215%20NEGOTIATION%20Landowner%20Bill%20of%20Rights%20Letter.pdf" TargetMode="External"/><Relationship Id="rId478" Type="http://schemas.openxmlformats.org/officeDocument/2006/relationships/hyperlink" Target="https://share.hdrinc.com/sites/CoW_FRLP/ACQUISITION/ContactRecords/COW-FRMP_TR-308%20CONTACT%20Negotiator%20Report.docx" TargetMode="External"/><Relationship Id="rId685" Type="http://schemas.openxmlformats.org/officeDocument/2006/relationships/hyperlink" Target="https://share.hdrinc.com/sites/CoW_FRLP/ACQUISITION/COW-FRMP_TR-326%20SURVEY%20Description-Plat_CITY.pdf" TargetMode="External"/><Relationship Id="rId892" Type="http://schemas.openxmlformats.org/officeDocument/2006/relationships/hyperlink" Target="https://share.hdrinc.com/sites/CoW_FRLP/ACQUISITION/COW-FRMP_TR-T211%20ROE%20Right-of-Entry%20Package.pdf" TargetMode="External"/><Relationship Id="rId906" Type="http://schemas.openxmlformats.org/officeDocument/2006/relationships/hyperlink" Target="https://share.hdrinc.com/sites/CoW_FRLP/ACQUISITION/COW-FRMP_TR-T215%20CONTACT%20Negotiator%20Report.docx" TargetMode="External"/><Relationship Id="rId1329" Type="http://schemas.openxmlformats.org/officeDocument/2006/relationships/hyperlink" Target="https://share.hdrinc.com/sites/CoW_FRLP/_layouts/DocIdRedir.aspx?ID=COWFRLPHDR-5-1239" TargetMode="External"/><Relationship Id="rId1536" Type="http://schemas.openxmlformats.org/officeDocument/2006/relationships/hyperlink" Target="https://share.hdrinc.com/sites/CoW_FRLP/_layouts/DocIdRedir.aspx?ID=COWFRLPHDR-5-1201" TargetMode="External"/><Relationship Id="rId1743" Type="http://schemas.openxmlformats.org/officeDocument/2006/relationships/hyperlink" Target="https://share.hdrinc.com/sites/CoW_FRLP/_layouts/DocIdRedir.aspx?ID=COWFRLPHDR-5-1230" TargetMode="External"/><Relationship Id="rId1950" Type="http://schemas.openxmlformats.org/officeDocument/2006/relationships/hyperlink" Target="https://share.hdrinc.com/sites/CoW_FRLP/_layouts/DocIdRedir.aspx?ID=COWFRLPHDR-5-1150" TargetMode="External"/><Relationship Id="rId35" Type="http://schemas.openxmlformats.org/officeDocument/2006/relationships/hyperlink" Target="https://share.hdrinc.com/sites/CoW_FRLP/ACQUISITION/COW-FRMP_TR-200%20APPRAISAL%20Appraisal%20Review.pdf" TargetMode="External"/><Relationship Id="rId100" Type="http://schemas.openxmlformats.org/officeDocument/2006/relationships/hyperlink" Target="https://share.hdrinc.com/sites/CoW_FRLP/ACQUISITION/COW-FRMP_TR-205%20CONTACT%20Letter%20of%20Intent-HDR.pdf" TargetMode="External"/><Relationship Id="rId338" Type="http://schemas.openxmlformats.org/officeDocument/2006/relationships/hyperlink" Target="https://share.hdrinc.com/sites/CoW_FRLP/ACQUISITION/COW-FRMP_TR-223%20TITLE%20Curative%20Plan.docx" TargetMode="External"/><Relationship Id="rId545" Type="http://schemas.openxmlformats.org/officeDocument/2006/relationships/hyperlink" Target="https://share.hdrinc.com/sites/CoW_FRLP/ACQUISITION/COW-FRMP_TR-312%20CONTACT%20Initial%20Interview%20-%20Residential.pdf" TargetMode="External"/><Relationship Id="rId752" Type="http://schemas.openxmlformats.org/officeDocument/2006/relationships/hyperlink" Target="https://share.hdrinc.com/sites/CoW_FRLP/ACQUISITION/COW-FRMP_TR-T091%20ROE%20Right-of-Entry%20Package.pdf" TargetMode="External"/><Relationship Id="rId1175" Type="http://schemas.openxmlformats.org/officeDocument/2006/relationships/hyperlink" Target="https://share.hdrinc.com/sites/CoW_FRLP/_layouts/DocIdRedir.aspx?ID=COWFRLPHDR-5-1351" TargetMode="External"/><Relationship Id="rId1382" Type="http://schemas.openxmlformats.org/officeDocument/2006/relationships/hyperlink" Target="https://share.hdrinc.com/sites/CoW_FRLP/_layouts/DocIdRedir.aspx?ID=COWFRLPHDR-5-1365" TargetMode="External"/><Relationship Id="rId1603" Type="http://schemas.openxmlformats.org/officeDocument/2006/relationships/hyperlink" Target="https://share.hdrinc.com/sites/CoW_FRLP/_layouts/DocIdRedir.aspx?ID=COWFRLPHDR-5-1327" TargetMode="External"/><Relationship Id="rId1810" Type="http://schemas.openxmlformats.org/officeDocument/2006/relationships/hyperlink" Target="https://share.hdrinc.com/sites/CoW_FRLP/_layouts/DocIdRedir.aspx?ID=COWFRLPHDR-5-925" TargetMode="External"/><Relationship Id="rId2019" Type="http://schemas.openxmlformats.org/officeDocument/2006/relationships/hyperlink" Target="https://share.hdrinc.com/sites/CoW_FRLP/_layouts/DocIdRedir.aspx?ID=COWFRLPHDR-5-1248" TargetMode="External"/><Relationship Id="rId184" Type="http://schemas.openxmlformats.org/officeDocument/2006/relationships/hyperlink" Target="https://share.hdrinc.com/sites/CoW_FRLP/ACQUISITION/ContactRecords/COW-FRMP_TR-212%20CONTACT%20Negotiator%20Report.docx" TargetMode="External"/><Relationship Id="rId391" Type="http://schemas.openxmlformats.org/officeDocument/2006/relationships/hyperlink" Target="https://share.hdrinc.com/sites/CoW_FRLP/ACQUISITION/COW-FRMP_TR-301%20SURVEY%20Right-of-Entry.pdf" TargetMode="External"/><Relationship Id="rId405" Type="http://schemas.openxmlformats.org/officeDocument/2006/relationships/hyperlink" Target="https://share.hdrinc.com/sites/CoW_FRLP/ACQUISITION/COW-FRMP_TR-302%20SURVEY%20Right-of-Entry.pdf" TargetMode="External"/><Relationship Id="rId612" Type="http://schemas.openxmlformats.org/officeDocument/2006/relationships/hyperlink" Target="https://share.hdrinc.com/sites/CoW_FRLP/ACQUISITION/COW-FRMP_TR-316%20APPRAISAL%20USACOE%20Authorization%20to%20Proceed%20with%20Offer.pdf" TargetMode="External"/><Relationship Id="rId1035" Type="http://schemas.openxmlformats.org/officeDocument/2006/relationships/hyperlink" Target="https://share.hdrinc.com/sites/CoW_FRLP/_layouts/DocIdRedir.aspx?ID=COWFRLPHDR-5-417" TargetMode="External"/><Relationship Id="rId1242" Type="http://schemas.openxmlformats.org/officeDocument/2006/relationships/hyperlink" Target="https://share.hdrinc.com/sites/CoW_FRLP/_layouts/DocIdRedir.aspx?ID=COWFRLPHDR-5-493" TargetMode="External"/><Relationship Id="rId1687" Type="http://schemas.openxmlformats.org/officeDocument/2006/relationships/hyperlink" Target="https://share.hdrinc.com/sites/CoW_FRLP/_layouts/DocIdRedir.aspx?ID=COWFRLPHDR-5-1356" TargetMode="External"/><Relationship Id="rId1894" Type="http://schemas.openxmlformats.org/officeDocument/2006/relationships/hyperlink" Target="https://share.hdrinc.com/sites/CoW_FRLP/_layouts/DocIdRedir.aspx?ID=COWFRLPHDR-5-1135" TargetMode="External"/><Relationship Id="rId1908" Type="http://schemas.openxmlformats.org/officeDocument/2006/relationships/hyperlink" Target="https://share.hdrinc.com/sites/CoW_FRLP/_layouts/DocIdRedir.aspx?ID=COWFRLPHDR-5-971" TargetMode="External"/><Relationship Id="rId251" Type="http://schemas.openxmlformats.org/officeDocument/2006/relationships/hyperlink" Target="https://share.hdrinc.com/sites/CoW_FRLP/ACQUISITION/COW-FRMP_TR-216%20CONTACT%20Letter%20of%20Intent-HDR.pdf" TargetMode="External"/><Relationship Id="rId489" Type="http://schemas.openxmlformats.org/officeDocument/2006/relationships/hyperlink" Target="https://share.hdrinc.com/sites/CoW_FRLP/ACQUISITION/COW-FRMP_TR-309%20APPRAISAL%20Final%20Appraisal.pdf" TargetMode="External"/><Relationship Id="rId696" Type="http://schemas.openxmlformats.org/officeDocument/2006/relationships/hyperlink" Target="https://share.hdrinc.com/sites/CoW_FRLP/ACQUISITION/COW-FRMP_TR-421A%20CONTACT%20Letter%20of%20Intent-HDR.pdf" TargetMode="External"/><Relationship Id="rId917" Type="http://schemas.openxmlformats.org/officeDocument/2006/relationships/hyperlink" Target="https://share.hdrinc.com/sites/CoW_FRLP/ACQUISITION/COW-FRMP_TR-T228%20CONTACT%20Negotiator%20Report.docx" TargetMode="External"/><Relationship Id="rId1102" Type="http://schemas.openxmlformats.org/officeDocument/2006/relationships/hyperlink" Target="https://share.hdrinc.com/sites/CoW_FRLP/_layouts/DocIdRedir.aspx?ID=COWFRLPHDR-5-189" TargetMode="External"/><Relationship Id="rId1547" Type="http://schemas.openxmlformats.org/officeDocument/2006/relationships/hyperlink" Target="https://share.hdrinc.com/sites/CoW_FRLP/_layouts/DocIdRedir.aspx?ID=COWFRLPHDR-5-735" TargetMode="External"/><Relationship Id="rId1754" Type="http://schemas.openxmlformats.org/officeDocument/2006/relationships/hyperlink" Target="https://share.hdrinc.com/sites/CoW_FRLP/_layouts/DocIdRedir.aspx?ID=COWFRLPHDR-5-1054" TargetMode="External"/><Relationship Id="rId1961" Type="http://schemas.openxmlformats.org/officeDocument/2006/relationships/hyperlink" Target="https://share.hdrinc.com/sites/CoW_FRLP/_layouts/DocIdRedir.aspx?ID=COWFRLPHDR-5-1151" TargetMode="External"/><Relationship Id="rId46" Type="http://schemas.openxmlformats.org/officeDocument/2006/relationships/hyperlink" Target="https://share.hdrinc.com/sites/CoW_FRLP/ACQUISITION/COW-FRMP_TR-200%20NEGOTIATION%20Landowner%20Bill%20of%20Rights%20Letter.pdf" TargetMode="External"/><Relationship Id="rId349" Type="http://schemas.openxmlformats.org/officeDocument/2006/relationships/hyperlink" Target="https://share.hdrinc.com/sites/CoW_FRLP/ACQUISITION/COW-FRMP_TR-224%20TITLE%20Tax%20Card.pdf" TargetMode="External"/><Relationship Id="rId556" Type="http://schemas.openxmlformats.org/officeDocument/2006/relationships/hyperlink" Target="https://share.hdrinc.com/sites/CoW_FRLP/ACQUISITION/COW-FRMP_TR-312%20TITLE%20Tax%20Card.pdf" TargetMode="External"/><Relationship Id="rId763" Type="http://schemas.openxmlformats.org/officeDocument/2006/relationships/hyperlink" Target="https://share.hdrinc.com/sites/CoW_FRLP/ACQUISITION/COW-FRMP_TR-T158%20ROE%20Right-of-Entry%20Executed.pdf" TargetMode="External"/><Relationship Id="rId1186" Type="http://schemas.openxmlformats.org/officeDocument/2006/relationships/hyperlink" Target="https://share.hdrinc.com/sites/CoW_FRLP/_layouts/DocIdRedir.aspx?ID=COWFRLPHDR-5-703" TargetMode="External"/><Relationship Id="rId1393" Type="http://schemas.openxmlformats.org/officeDocument/2006/relationships/hyperlink" Target="https://share.hdrinc.com/sites/CoW_FRLP/_layouts/DocIdRedir.aspx?ID=COWFRLPHDR-5-35" TargetMode="External"/><Relationship Id="rId1407" Type="http://schemas.openxmlformats.org/officeDocument/2006/relationships/hyperlink" Target="https://share.hdrinc.com/sites/CoW_FRLP/_layouts/DocIdRedir.aspx?ID=COWFRLPHDR-5-403" TargetMode="External"/><Relationship Id="rId1614" Type="http://schemas.openxmlformats.org/officeDocument/2006/relationships/hyperlink" Target="https://share.hdrinc.com/sites/CoW_FRLP/_layouts/DocIdRedir.aspx?ID=COWFRLPHDR-5-454" TargetMode="External"/><Relationship Id="rId1821" Type="http://schemas.openxmlformats.org/officeDocument/2006/relationships/hyperlink" Target="https://share.hdrinc.com/sites/CoW_FRLP/_layouts/DocIdRedir.aspx?ID=COWFRLPHDR-5-930" TargetMode="External"/><Relationship Id="rId111" Type="http://schemas.openxmlformats.org/officeDocument/2006/relationships/hyperlink" Target="https://share.hdrinc.com/sites/CoW_FRLP/ACQUISITION/COW-FRMP_TR-205%20TITLE%20Curative%20Plan.docx" TargetMode="External"/><Relationship Id="rId195" Type="http://schemas.openxmlformats.org/officeDocument/2006/relationships/hyperlink" Target="https://share.hdrinc.com/sites/CoW_FRLP/ACQUISITION/COW-FRMP_TR-213%20APPRAISAL%20USACOE%20Authorization%20to%20Proceed%20with%20Offer.pdf" TargetMode="External"/><Relationship Id="rId209" Type="http://schemas.openxmlformats.org/officeDocument/2006/relationships/hyperlink" Target="https://share.hdrinc.com/sites/CoW_FRLP/ACQUISITION/COW-FRMP_TR-214%20APPRAISAL%20Appraisal%20Review.pdf" TargetMode="External"/><Relationship Id="rId416" Type="http://schemas.openxmlformats.org/officeDocument/2006/relationships/hyperlink" Target="https://share.hdrinc.com/sites/CoW_FRLP/ACQUISITION/COW-FRMP_TR-303%20NEGOTIATION%20Landowner%20Bill%20of%20Rights%20Letter.pdf" TargetMode="External"/><Relationship Id="rId970" Type="http://schemas.openxmlformats.org/officeDocument/2006/relationships/hyperlink" Target="https://share.hdrinc.com/sites/CoW_FRLP/ACQUISITION/COW-FRMP_TR-T259%20ENVIRONMENTAL%20Right-of-Entry%20Executed.pdf" TargetMode="External"/><Relationship Id="rId1046" Type="http://schemas.openxmlformats.org/officeDocument/2006/relationships/hyperlink" Target="https://share.hdrinc.com/sites/CoW_FRLP/_layouts/DocIdRedir.aspx?ID=COWFRLPHDR-5-1259" TargetMode="External"/><Relationship Id="rId1253" Type="http://schemas.openxmlformats.org/officeDocument/2006/relationships/hyperlink" Target="https://share.hdrinc.com/sites/CoW_FRLP/_layouts/DocIdRedir.aspx?ID=COWFRLPHDR-5-430" TargetMode="External"/><Relationship Id="rId1698" Type="http://schemas.openxmlformats.org/officeDocument/2006/relationships/hyperlink" Target="https://share.hdrinc.com/sites/CoW_FRLP/_layouts/DocIdRedir.aspx?ID=COWFRLPHDR-5-725" TargetMode="External"/><Relationship Id="rId1919" Type="http://schemas.openxmlformats.org/officeDocument/2006/relationships/hyperlink" Target="https://share.hdrinc.com/sites/CoW_FRLP/_layouts/DocIdRedir.aspx?ID=COWFRLPHDR-5-977" TargetMode="External"/><Relationship Id="rId623" Type="http://schemas.openxmlformats.org/officeDocument/2006/relationships/hyperlink" Target="https://share.hdrinc.com/sites/CoW_FRLP/ACQUISITION/COW-FRMP_TR-316%20TITLE%20Curative%20Plan.docx" TargetMode="External"/><Relationship Id="rId830" Type="http://schemas.openxmlformats.org/officeDocument/2006/relationships/hyperlink" Target="https://share.hdrinc.com/sites/CoW_FRLP/ACQUISITION/COW-FRMP_TR-T188%20ENVIRONMENTAL%20Right-of-Entry%20Executed.pdf" TargetMode="External"/><Relationship Id="rId928" Type="http://schemas.openxmlformats.org/officeDocument/2006/relationships/hyperlink" Target="https://share.hdrinc.com/sites/CoW_FRLP/ACQUISITION/COW-FRMP_TR-T236%20ENVIRONMENTAL%20Right-of-Entry%20Executed.pdf" TargetMode="External"/><Relationship Id="rId1460" Type="http://schemas.openxmlformats.org/officeDocument/2006/relationships/hyperlink" Target="https://share.hdrinc.com/sites/CoW_FRLP/_layouts/DocIdRedir.aspx?ID=COWFRLPHDR-5-770" TargetMode="External"/><Relationship Id="rId1558" Type="http://schemas.openxmlformats.org/officeDocument/2006/relationships/hyperlink" Target="https://share.hdrinc.com/sites/CoW_FRLP/_layouts/DocIdRedir.aspx?ID=COWFRLPHDR-5-95" TargetMode="External"/><Relationship Id="rId1765" Type="http://schemas.openxmlformats.org/officeDocument/2006/relationships/hyperlink" Target="https://share.hdrinc.com/sites/CoW_FRLP/_layouts/DocIdRedir.aspx?ID=COWFRLPHDR-5-1094" TargetMode="External"/><Relationship Id="rId57" Type="http://schemas.openxmlformats.org/officeDocument/2006/relationships/hyperlink" Target="https://share.hdrinc.com/sites/CoW_FRLP/ACQUISITION/COW-FRMP_TR-201%20SURVEY%20Description-Plat_CITY.pdf" TargetMode="External"/><Relationship Id="rId262" Type="http://schemas.openxmlformats.org/officeDocument/2006/relationships/hyperlink" Target="https://share.hdrinc.com/sites/CoW_FRLP/ACQUISITION/COW-FRMP_TR-217%20APPRAISAL%20Just%20Compensation%20Memo.pdf" TargetMode="External"/><Relationship Id="rId567" Type="http://schemas.openxmlformats.org/officeDocument/2006/relationships/hyperlink" Target="https://share.hdrinc.com/sites/CoW_FRLP/ACQUISITION/COW-FRMP_TR-313%20NEGOTIATION%20Initial%20Offer%20Package%20CMRR.pdf" TargetMode="External"/><Relationship Id="rId1113" Type="http://schemas.openxmlformats.org/officeDocument/2006/relationships/hyperlink" Target="https://share.hdrinc.com/sites/CoW_FRLP/_layouts/DocIdRedir.aspx?ID=COWFRLPHDR-5-503" TargetMode="External"/><Relationship Id="rId1197" Type="http://schemas.openxmlformats.org/officeDocument/2006/relationships/hyperlink" Target="https://share.hdrinc.com/sites/CoW_FRLP/_layouts/DocIdRedir.aspx?ID=COWFRLPHDR-5-354" TargetMode="External"/><Relationship Id="rId1320" Type="http://schemas.openxmlformats.org/officeDocument/2006/relationships/hyperlink" Target="https://share.hdrinc.com/sites/CoW_FRLP/_layouts/DocIdRedir.aspx?ID=COWFRLPHDR-5-817" TargetMode="External"/><Relationship Id="rId1418" Type="http://schemas.openxmlformats.org/officeDocument/2006/relationships/hyperlink" Target="https://share.hdrinc.com/sites/CoW_FRLP/_layouts/DocIdRedir.aspx?ID=COWFRLPHDR-5-160" TargetMode="External"/><Relationship Id="rId1972" Type="http://schemas.openxmlformats.org/officeDocument/2006/relationships/hyperlink" Target="https://share.hdrinc.com/sites/CoW_FRLP/_layouts/DocIdRedir.aspx?ID=COWFRLPHDR-5-882" TargetMode="External"/><Relationship Id="rId122" Type="http://schemas.openxmlformats.org/officeDocument/2006/relationships/hyperlink" Target="https://share.hdrinc.com/sites/CoW_FRLP/ACQUISITION/ContactRecords/COW-FRMP_TR-207%20CONTACT%20Negotiator%20Report.docx" TargetMode="External"/><Relationship Id="rId774" Type="http://schemas.openxmlformats.org/officeDocument/2006/relationships/hyperlink" Target="https://share.hdrinc.com/sites/CoW_FRLP/ACQUISITION/COW-FRMP_TR-T162%20TITLE%20Tax%20Card.pdf" TargetMode="External"/><Relationship Id="rId981" Type="http://schemas.openxmlformats.org/officeDocument/2006/relationships/hyperlink" Target="https://share.hdrinc.com/sites/CoW_FRLP/ACQUISITION/COW-FRMP_TR-T262%20ROE%20Right-of-Entry%20Package.pdf" TargetMode="External"/><Relationship Id="rId1057" Type="http://schemas.openxmlformats.org/officeDocument/2006/relationships/hyperlink" Target="https://share.hdrinc.com/sites/CoW_FRLP/_layouts/DocIdRedir.aspx?ID=COWFRLPHDR-5-1301" TargetMode="External"/><Relationship Id="rId1625" Type="http://schemas.openxmlformats.org/officeDocument/2006/relationships/hyperlink" Target="https://share.hdrinc.com/sites/CoW_FRLP/_layouts/DocIdRedir.aspx?ID=COWFRLPHDR-5-1169" TargetMode="External"/><Relationship Id="rId1832" Type="http://schemas.openxmlformats.org/officeDocument/2006/relationships/hyperlink" Target="https://share.hdrinc.com/sites/CoW_FRLP/_layouts/DocIdRedir.aspx?ID=COWFRLPHDR-5-934" TargetMode="External"/><Relationship Id="rId2010" Type="http://schemas.openxmlformats.org/officeDocument/2006/relationships/hyperlink" Target="https://share.hdrinc.com/sites/CoW_FRLP/_layouts/DocIdRedir.aspx?ID=COWFRLPHDR-5-1111" TargetMode="External"/><Relationship Id="rId427" Type="http://schemas.openxmlformats.org/officeDocument/2006/relationships/hyperlink" Target="https://share.hdrinc.com/sites/CoW_FRLP/ACQUISITION/COW-FRMP_TR-304%20CONTACT%20Initial%20Interview%20-%20Residential%20-%20Guzman.pdf" TargetMode="External"/><Relationship Id="rId634" Type="http://schemas.openxmlformats.org/officeDocument/2006/relationships/hyperlink" Target="https://share.hdrinc.com/sites/CoW_FRLP/ACQUISITION/COW-FRMP_TR-317%20TITLE%20Commitment.pdf" TargetMode="External"/><Relationship Id="rId841" Type="http://schemas.openxmlformats.org/officeDocument/2006/relationships/hyperlink" Target="https://share.hdrinc.com/sites/CoW_FRLP/ACQUISITION/COW-FRMP_TR-T190%20ROE%20Right-of-Entry%20Executed.pdf" TargetMode="External"/><Relationship Id="rId1264" Type="http://schemas.openxmlformats.org/officeDocument/2006/relationships/hyperlink" Target="https://share.hdrinc.com/sites/CoW_FRLP/_layouts/DocIdRedir.aspx?ID=COWFRLPHDR-5-504" TargetMode="External"/><Relationship Id="rId1471" Type="http://schemas.openxmlformats.org/officeDocument/2006/relationships/hyperlink" Target="https://share.hdrinc.com/sites/CoW_FRLP/_layouts/DocIdRedir.aspx?ID=COWFRLPHDR-5-540" TargetMode="External"/><Relationship Id="rId1569" Type="http://schemas.openxmlformats.org/officeDocument/2006/relationships/hyperlink" Target="https://share.hdrinc.com/sites/CoW_FRLP/_layouts/DocIdRedir.aspx?ID=COWFRLPHDR-5-654" TargetMode="External"/><Relationship Id="rId273" Type="http://schemas.openxmlformats.org/officeDocument/2006/relationships/hyperlink" Target="https://share.hdrinc.com/sites/CoW_FRLP/ACQUISITION/COW-FRMP_TR-217%20TITLE%20Commitment%20Backup%20Docs.pdf" TargetMode="External"/><Relationship Id="rId480" Type="http://schemas.openxmlformats.org/officeDocument/2006/relationships/hyperlink" Target="https://share.hdrinc.com/sites/CoW_FRLP/ACQUISITION/COW-FRMP_TR-308%20SURVEY%20Description-Plat_CITY.pdf" TargetMode="External"/><Relationship Id="rId701" Type="http://schemas.openxmlformats.org/officeDocument/2006/relationships/hyperlink" Target="https://share.hdrinc.com/sites/CoW_FRLP/ACQUISITION/COW-FRMP_TR-421A%20SURVEY%20Description-Plat_CITY.pdf" TargetMode="External"/><Relationship Id="rId939" Type="http://schemas.openxmlformats.org/officeDocument/2006/relationships/hyperlink" Target="https://share.hdrinc.com/sites/CoW_FRLP/ACQUISITION/COW-FRMP_TR-T238%20ENVIRONMENTAL%20Right-of-Entry%20Package.pdf" TargetMode="External"/><Relationship Id="rId1124" Type="http://schemas.openxmlformats.org/officeDocument/2006/relationships/hyperlink" Target="https://share.hdrinc.com/sites/CoW_FRLP/_layouts/DocIdRedir.aspx?ID=COWFRLPHDR-5-383" TargetMode="External"/><Relationship Id="rId1331" Type="http://schemas.openxmlformats.org/officeDocument/2006/relationships/hyperlink" Target="https://share.hdrinc.com/sites/CoW_FRLP/_layouts/DocIdRedir.aspx?ID=COWFRLPHDR-5-253" TargetMode="External"/><Relationship Id="rId1776" Type="http://schemas.openxmlformats.org/officeDocument/2006/relationships/hyperlink" Target="https://share.hdrinc.com/sites/CoW_FRLP/_layouts/DocIdRedir.aspx?ID=COWFRLPHDR-5-1332" TargetMode="External"/><Relationship Id="rId1983" Type="http://schemas.openxmlformats.org/officeDocument/2006/relationships/hyperlink" Target="https://share.hdrinc.com/sites/CoW_FRLP/_layouts/DocIdRedir.aspx?ID=COWFRLPHDR-5-890" TargetMode="External"/><Relationship Id="rId68" Type="http://schemas.openxmlformats.org/officeDocument/2006/relationships/hyperlink" Target="https://share.hdrinc.com/sites/CoW_FRLP/ACQUISITION/COW-FRMP_TR-202%20APPRAISAL%20Just%20Compensation%20Memo.pdf" TargetMode="External"/><Relationship Id="rId133" Type="http://schemas.openxmlformats.org/officeDocument/2006/relationships/hyperlink" Target="https://share.hdrinc.com/sites/CoW_FRLP/ACQUISITION/COW-FRMP_TR-207%20TITLE%20Curative%20Plan.docx" TargetMode="External"/><Relationship Id="rId340" Type="http://schemas.openxmlformats.org/officeDocument/2006/relationships/hyperlink" Target="https://share.hdrinc.com/sites/CoW_FRLP/ACQUISITION/COW-FRMP_TR-223%20TITLE%20Tax%20Card.pdf" TargetMode="External"/><Relationship Id="rId578" Type="http://schemas.openxmlformats.org/officeDocument/2006/relationships/hyperlink" Target="https://share.hdrinc.com/sites/CoW_FRLP/ACQUISITION/COW-FRMP_TR-314%20APPRAISAL%20Just%20Compensation%20Memo.pdf" TargetMode="External"/><Relationship Id="rId785" Type="http://schemas.openxmlformats.org/officeDocument/2006/relationships/hyperlink" Target="https://share.hdrinc.com/sites/CoW_FRLP/ACQUISITION/COW-FRMP_TR-T167%20CONTACT%20Negotiator%20Report.docx" TargetMode="External"/><Relationship Id="rId992" Type="http://schemas.openxmlformats.org/officeDocument/2006/relationships/hyperlink" Target="https://share.hdrinc.com/sites/CoW_FRLP/ACQUISITION/COW-FRMP_TR-T268%20ROE%20Right-of-Entry%20Package.pdf" TargetMode="External"/><Relationship Id="rId1429" Type="http://schemas.openxmlformats.org/officeDocument/2006/relationships/hyperlink" Target="https://share.hdrinc.com/sites/CoW_FRLP/_layouts/DocIdRedir.aspx?ID=COWFRLPHDR-5-442" TargetMode="External"/><Relationship Id="rId1636" Type="http://schemas.openxmlformats.org/officeDocument/2006/relationships/hyperlink" Target="https://share.hdrinc.com/sites/CoW_FRLP/_layouts/DocIdRedir.aspx?ID=COWFRLPHDR-5-235" TargetMode="External"/><Relationship Id="rId1843" Type="http://schemas.openxmlformats.org/officeDocument/2006/relationships/hyperlink" Target="https://share.hdrinc.com/sites/CoW_FRLP/_layouts/DocIdRedir.aspx?ID=COWFRLPHDR-5-1069" TargetMode="External"/><Relationship Id="rId2021" Type="http://schemas.openxmlformats.org/officeDocument/2006/relationships/hyperlink" Target="https://share.hdrinc.com/sites/CoW_FRLP/_layouts/DocIdRedir.aspx?ID=COWFRLPHDR-5-135" TargetMode="External"/><Relationship Id="rId200" Type="http://schemas.openxmlformats.org/officeDocument/2006/relationships/hyperlink" Target="https://share.hdrinc.com/sites/CoW_FRLP/ACQUISITION/COW-FRMP_TR-213%20NEGOTIATION%20Landowner%20Bill%20of%20Rights%20Letter.pdf" TargetMode="External"/><Relationship Id="rId438" Type="http://schemas.openxmlformats.org/officeDocument/2006/relationships/hyperlink" Target="https://share.hdrinc.com/sites/CoW_FRLP/ACQUISITION/COW-FRMP_TR-304%20SURVEY%20Right-of-Entry%20CMRR.pdf" TargetMode="External"/><Relationship Id="rId645" Type="http://schemas.openxmlformats.org/officeDocument/2006/relationships/hyperlink" Target="https://share.hdrinc.com/sites/CoW_FRLP/ACQUISITION/COW-FRMP_TR-319%20SURVEY%20Description-Plat_USACOE.pdf" TargetMode="External"/><Relationship Id="rId852" Type="http://schemas.openxmlformats.org/officeDocument/2006/relationships/hyperlink" Target="https://share.hdrinc.com/sites/CoW_FRLP/ACQUISITION/COW-FRMP_TR-T193%20CONTACT%20Negotiator%20Report.docx" TargetMode="External"/><Relationship Id="rId1068" Type="http://schemas.openxmlformats.org/officeDocument/2006/relationships/hyperlink" Target="https://share.hdrinc.com/sites/CoW_FRLP/_layouts/DocIdRedir.aspx?ID=COWFRLPHDR-5-251" TargetMode="External"/><Relationship Id="rId1275" Type="http://schemas.openxmlformats.org/officeDocument/2006/relationships/hyperlink" Target="https://share.hdrinc.com/sites/CoW_FRLP/_layouts/DocIdRedir.aspx?ID=COWFRLPHDR-5-1288" TargetMode="External"/><Relationship Id="rId1482" Type="http://schemas.openxmlformats.org/officeDocument/2006/relationships/hyperlink" Target="https://share.hdrinc.com/sites/CoW_FRLP/_layouts/DocIdRedir.aspx?ID=COWFRLPHDR-5-39" TargetMode="External"/><Relationship Id="rId1703" Type="http://schemas.openxmlformats.org/officeDocument/2006/relationships/hyperlink" Target="https://share.hdrinc.com/sites/CoW_FRLP/_layouts/DocIdRedir.aspx?ID=COWFRLPHDR-5-810" TargetMode="External"/><Relationship Id="rId1910" Type="http://schemas.openxmlformats.org/officeDocument/2006/relationships/hyperlink" Target="https://share.hdrinc.com/sites/CoW_FRLP/_layouts/DocIdRedir.aspx?ID=COWFRLPHDR-5-1333" TargetMode="External"/><Relationship Id="rId284" Type="http://schemas.openxmlformats.org/officeDocument/2006/relationships/hyperlink" Target="https://share.hdrinc.com/sites/CoW_FRLP/ACQUISITION/COW-FRMP_TR-218%20TITLE%20Commitment%20Backup%20Docs.pdf" TargetMode="External"/><Relationship Id="rId491" Type="http://schemas.openxmlformats.org/officeDocument/2006/relationships/hyperlink" Target="https://share.hdrinc.com/sites/CoW_FRLP/ACQUISITION/COW-FRMP_TR-309%20APPRAISAL%20Just%20Compensation%20Memo.pdf" TargetMode="External"/><Relationship Id="rId505" Type="http://schemas.openxmlformats.org/officeDocument/2006/relationships/hyperlink" Target="https://share.hdrinc.com/sites/CoW_FRLP/ACQUISITION/COW-FRMP_TR-309%20TITLE%20Commitment.pdf" TargetMode="External"/><Relationship Id="rId712" Type="http://schemas.openxmlformats.org/officeDocument/2006/relationships/hyperlink" Target="https://share.hdrinc.com/sites/CoW_FRLP/ACQUISITION/COW-FRMP_TR-427%20TITLE%20Commitment.pdf" TargetMode="External"/><Relationship Id="rId1135" Type="http://schemas.openxmlformats.org/officeDocument/2006/relationships/hyperlink" Target="https://share.hdrinc.com/sites/CoW_FRLP/_layouts/DocIdRedir.aspx?ID=COWFRLPHDR-5-268" TargetMode="External"/><Relationship Id="rId1342" Type="http://schemas.openxmlformats.org/officeDocument/2006/relationships/hyperlink" Target="https://share.hdrinc.com/sites/CoW_FRLP/_layouts/DocIdRedir.aspx?ID=COWFRLPHDR-5-1251" TargetMode="External"/><Relationship Id="rId1787" Type="http://schemas.openxmlformats.org/officeDocument/2006/relationships/hyperlink" Target="https://share.hdrinc.com/sites/CoW_FRLP/_layouts/DocIdRedir.aspx?ID=COWFRLPHDR-5-908" TargetMode="External"/><Relationship Id="rId1994" Type="http://schemas.openxmlformats.org/officeDocument/2006/relationships/hyperlink" Target="https://share.hdrinc.com/sites/CoW_FRLP/_layouts/DocIdRedir.aspx?ID=COWFRLPHDR-5-1114" TargetMode="External"/><Relationship Id="rId79" Type="http://schemas.openxmlformats.org/officeDocument/2006/relationships/hyperlink" Target="https://share.hdrinc.com/sites/CoW_FRLP/ACQUISITION/COW-FRMP_TR-202%20SURVEY%20Right-of-Entry.pdf" TargetMode="External"/><Relationship Id="rId144" Type="http://schemas.openxmlformats.org/officeDocument/2006/relationships/hyperlink" Target="https://share.hdrinc.com/sites/CoW_FRLP/ACQUISITION/COW-FRMP_TR-208%20SURVEY%20Description-Plat_CITY.pdf" TargetMode="External"/><Relationship Id="rId589" Type="http://schemas.openxmlformats.org/officeDocument/2006/relationships/hyperlink" Target="https://share.hdrinc.com/sites/CoW_FRLP/ACQUISITION/COW-FRMP_TR-314%20TITLE%20Tax%20Card.pdf" TargetMode="External"/><Relationship Id="rId796" Type="http://schemas.openxmlformats.org/officeDocument/2006/relationships/hyperlink" Target="https://share.hdrinc.com/sites/CoW_FRLP/ACQUISITION/COW-FRMP_TR-T169%20ENVIRONMENTAL%20Right-of-Entry%20Package.pdf" TargetMode="External"/><Relationship Id="rId1202" Type="http://schemas.openxmlformats.org/officeDocument/2006/relationships/hyperlink" Target="https://share.hdrinc.com/sites/CoW_FRLP/_layouts/DocIdRedir.aspx?ID=COWFRLPHDR-5-707" TargetMode="External"/><Relationship Id="rId1647" Type="http://schemas.openxmlformats.org/officeDocument/2006/relationships/hyperlink" Target="https://share.hdrinc.com/sites/CoW_FRLP/_layouts/DocIdRedir.aspx?ID=COWFRLPHDR-5-210" TargetMode="External"/><Relationship Id="rId1854" Type="http://schemas.openxmlformats.org/officeDocument/2006/relationships/hyperlink" Target="https://share.hdrinc.com/sites/CoW_FRLP/_layouts/DocIdRedir.aspx?ID=COWFRLPHDR-5-1368" TargetMode="External"/><Relationship Id="rId351" Type="http://schemas.openxmlformats.org/officeDocument/2006/relationships/hyperlink" Target="https://share.hdrinc.com/sites/CoW_FRLP/ACQUISITION/COW-FRMP_TR-226%20SURVEY%20Description-Plat_CITY.pdf" TargetMode="External"/><Relationship Id="rId449" Type="http://schemas.openxmlformats.org/officeDocument/2006/relationships/hyperlink" Target="https://share.hdrinc.com/sites/CoW_FRLP/ACQUISITION/COW-FRMP_TR-305%20CONTACT%20Pre-Appraisal%20Contact%20with%20Owner.pdf" TargetMode="External"/><Relationship Id="rId656" Type="http://schemas.openxmlformats.org/officeDocument/2006/relationships/hyperlink" Target="https://share.hdrinc.com/sites/CoW_FRLP/ACQUISITION/COW-FRMP_TR-320%20SURVEY%20Description-Plat_CITY.pdf" TargetMode="External"/><Relationship Id="rId863" Type="http://schemas.openxmlformats.org/officeDocument/2006/relationships/hyperlink" Target="https://share.hdrinc.com/sites/CoW_FRLP/ACQUISITION/COW-FRMP_TR-T195%20TITLE%20Tax%20Card.pdf" TargetMode="External"/><Relationship Id="rId1079" Type="http://schemas.openxmlformats.org/officeDocument/2006/relationships/hyperlink" Target="https://share.hdrinc.com/sites/CoW_FRLP/_layouts/DocIdRedir.aspx?ID=COWFRLPHDR-5-836" TargetMode="External"/><Relationship Id="rId1286" Type="http://schemas.openxmlformats.org/officeDocument/2006/relationships/hyperlink" Target="https://share.hdrinc.com/sites/CoW_FRLP/_layouts/DocIdRedir.aspx?ID=COWFRLPHDR-5-22" TargetMode="External"/><Relationship Id="rId1493" Type="http://schemas.openxmlformats.org/officeDocument/2006/relationships/hyperlink" Target="https://share.hdrinc.com/sites/CoW_FRLP/_layouts/DocIdRedir.aspx?ID=COWFRLPHDR-5-732" TargetMode="External"/><Relationship Id="rId1507" Type="http://schemas.openxmlformats.org/officeDocument/2006/relationships/hyperlink" Target="https://share.hdrinc.com/sites/CoW_FRLP/_layouts/DocIdRedir.aspx?ID=COWFRLPHDR-5-531" TargetMode="External"/><Relationship Id="rId1714" Type="http://schemas.openxmlformats.org/officeDocument/2006/relationships/hyperlink" Target="https://share.hdrinc.com/sites/CoW_FRLP/_layouts/DocIdRedir.aspx?ID=COWFRLPHDR-5-724" TargetMode="External"/><Relationship Id="rId211" Type="http://schemas.openxmlformats.org/officeDocument/2006/relationships/hyperlink" Target="https://share.hdrinc.com/sites/CoW_FRLP/ACQUISITION/COW-FRMP_TR-214%20APPRAISAL%20Just%20Compensation%20Approval.pdf" TargetMode="External"/><Relationship Id="rId295" Type="http://schemas.openxmlformats.org/officeDocument/2006/relationships/hyperlink" Target="https://share.hdrinc.com/sites/CoW_FRLP/ACQUISITION/COW-FRMP_TR-219%20SURVEY%20Right-of-Entry.pdf" TargetMode="External"/><Relationship Id="rId309" Type="http://schemas.openxmlformats.org/officeDocument/2006/relationships/hyperlink" Target="https://share.hdrinc.com/sites/CoW_FRLP/ACQUISITION/COW-FRMP_TR-220%20SURVEY%20Right-of-Entry.pdf" TargetMode="External"/><Relationship Id="rId516" Type="http://schemas.openxmlformats.org/officeDocument/2006/relationships/hyperlink" Target="https://share.hdrinc.com/sites/CoW_FRLP/ACQUISITION/COW-FRMP_TR-310%20SURVEY%20Description-Plat_CITY.pdf" TargetMode="External"/><Relationship Id="rId1146" Type="http://schemas.openxmlformats.org/officeDocument/2006/relationships/hyperlink" Target="https://share.hdrinc.com/sites/CoW_FRLP/_layouts/DocIdRedir.aspx?ID=COWFRLPHDR-5-384" TargetMode="External"/><Relationship Id="rId1798" Type="http://schemas.openxmlformats.org/officeDocument/2006/relationships/hyperlink" Target="https://share.hdrinc.com/sites/CoA_Buyout_6500/_layouts/DocIdRedir.aspx?ID=COABUYOUT65-9-40" TargetMode="External"/><Relationship Id="rId1921" Type="http://schemas.openxmlformats.org/officeDocument/2006/relationships/hyperlink" Target="https://share.hdrinc.com/sites/CoW_FRLP/_layouts/DocIdRedir.aspx?ID=COWFRLPHDR-5-1336" TargetMode="External"/><Relationship Id="rId723" Type="http://schemas.openxmlformats.org/officeDocument/2006/relationships/hyperlink" Target="https://share.hdrinc.com/sites/CoW_FRLP/ACQUISITION/COW-FRMP_TR-T067%20ENVIRONMENTAL%20Right-of-Entry%20Package.pdf" TargetMode="External"/><Relationship Id="rId930" Type="http://schemas.openxmlformats.org/officeDocument/2006/relationships/hyperlink" Target="https://share.hdrinc.com/sites/CoW_FRLP/ACQUISITION/COW-FRMP_TR-T236%20ROE%20Right-of-Entry%20Executed.pdf" TargetMode="External"/><Relationship Id="rId1006" Type="http://schemas.openxmlformats.org/officeDocument/2006/relationships/hyperlink" Target="https://share.hdrinc.com/sites/CoW_FRLP/ACQUISITION/COW-FRMP_TR-T277%20ROE%20Right-of-Entry%20Executed.pdf" TargetMode="External"/><Relationship Id="rId1353" Type="http://schemas.openxmlformats.org/officeDocument/2006/relationships/hyperlink" Target="https://share.hdrinc.com/sites/CoW_FRLP/_layouts/DocIdRedir.aspx?ID=COWFRLPHDR-5-636" TargetMode="External"/><Relationship Id="rId1560" Type="http://schemas.openxmlformats.org/officeDocument/2006/relationships/hyperlink" Target="https://share.hdrinc.com/sites/CoW_FRLP/_layouts/DocIdRedir.aspx?ID=COWFRLPHDR-5-372" TargetMode="External"/><Relationship Id="rId1658" Type="http://schemas.openxmlformats.org/officeDocument/2006/relationships/hyperlink" Target="https://share.hdrinc.com/sites/CoW_FRLP/_layouts/DocIdRedir.aspx?ID=COWFRLPHDR-5-1196" TargetMode="External"/><Relationship Id="rId1865" Type="http://schemas.openxmlformats.org/officeDocument/2006/relationships/hyperlink" Target="https://share.hdrinc.com/sites/CoW_FRLP/_layouts/DocIdRedir.aspx?ID=COWFRLPHDR-5-944" TargetMode="External"/><Relationship Id="rId155" Type="http://schemas.openxmlformats.org/officeDocument/2006/relationships/hyperlink" Target="https://share.hdrinc.com/sites/CoW_FRLP/ACQUISITION/COW-FRMP_TR-210%20APPRAISAL%20Just%20Compensation%20Approval.pdf" TargetMode="External"/><Relationship Id="rId362" Type="http://schemas.openxmlformats.org/officeDocument/2006/relationships/hyperlink" Target="https://share.hdrinc.com/sites/CoW_FRLP/ACQUISITION/COW-FRMP_TR-230%20TITLE%20Curative%20Plan.docx" TargetMode="External"/><Relationship Id="rId1213" Type="http://schemas.openxmlformats.org/officeDocument/2006/relationships/hyperlink" Target="https://share.hdrinc.com/sites/CoW_FRLP/_layouts/DocIdRedir.aspx?ID=COWFRLPHDR-5-428" TargetMode="External"/><Relationship Id="rId1297" Type="http://schemas.openxmlformats.org/officeDocument/2006/relationships/hyperlink" Target="https://share.hdrinc.com/sites/CoW_FRLP/_layouts/DocIdRedir.aspx?ID=COWFRLPHDR-5-18" TargetMode="External"/><Relationship Id="rId1420" Type="http://schemas.openxmlformats.org/officeDocument/2006/relationships/hyperlink" Target="https://share.hdrinc.com/sites/CoW_FRLP/_layouts/DocIdRedir.aspx?ID=COWFRLPHDR-5-230" TargetMode="External"/><Relationship Id="rId1518" Type="http://schemas.openxmlformats.org/officeDocument/2006/relationships/hyperlink" Target="https://share.hdrinc.com/sites/CoW_FRLP/_layouts/DocIdRedir.aspx?ID=COWFRLPHDR-5-193" TargetMode="External"/><Relationship Id="rId222" Type="http://schemas.openxmlformats.org/officeDocument/2006/relationships/hyperlink" Target="https://share.hdrinc.com/sites/CoW_FRLP/ACQUISITION/COW-FRMP_TR-214%20TITLE%20Commitment.pdf" TargetMode="External"/><Relationship Id="rId667" Type="http://schemas.openxmlformats.org/officeDocument/2006/relationships/hyperlink" Target="https://share.hdrinc.com/sites/CoW_FRLP/ACQUISITION/COW-FRMP_TR-321%20TITLE%20Commitment%20Backup%20Docs.pdf" TargetMode="External"/><Relationship Id="rId874" Type="http://schemas.openxmlformats.org/officeDocument/2006/relationships/hyperlink" Target="https://share.hdrinc.com/sites/CoW_FRLP/ACQUISITION/COW-FRMP_TR-T205%20ENVIRONMENTAL%20Right-of-Entry%20Executed.pdf" TargetMode="External"/><Relationship Id="rId1725" Type="http://schemas.openxmlformats.org/officeDocument/2006/relationships/hyperlink" Target="https://share.hdrinc.com/sites/CoW_FRLP/_layouts/DocIdRedir.aspx?ID=COWFRLPHDR-5-214" TargetMode="External"/><Relationship Id="rId1932" Type="http://schemas.openxmlformats.org/officeDocument/2006/relationships/hyperlink" Target="https://share.hdrinc.com/sites/CoW_FRLP/_layouts/DocIdRedir.aspx?ID=COWFRLPHDR-5-986" TargetMode="External"/><Relationship Id="rId17" Type="http://schemas.openxmlformats.org/officeDocument/2006/relationships/hyperlink" Target="https://share.hdrinc.com/sites/CoW_FRLP/ACQUISITION/COW-FRMP_TR-100%20APPRAISAL%20Just%20Compensation%20Memo.pdf" TargetMode="External"/><Relationship Id="rId527" Type="http://schemas.openxmlformats.org/officeDocument/2006/relationships/hyperlink" Target="https://share.hdrinc.com/sites/CoW_FRLP/ACQUISITION/COW-FRMP_TR-311%20APPRAISAL%20USACOE%20Authorization%20to%20Proceed%20with%20Offer.pdf" TargetMode="External"/><Relationship Id="rId734" Type="http://schemas.openxmlformats.org/officeDocument/2006/relationships/hyperlink" Target="https://share.hdrinc.com/sites/CoW_FRLP/ACQUISITION/COW-FRMP_TR-T069%20NEGOTIATION%20Owner%20Representation%20Letter.pdf" TargetMode="External"/><Relationship Id="rId941" Type="http://schemas.openxmlformats.org/officeDocument/2006/relationships/hyperlink" Target="https://share.hdrinc.com/sites/CoW_FRLP/ACQUISITION/COW-FRMP_TR-T238%20ROE%20Right-of-Entry%20Package.pdf" TargetMode="External"/><Relationship Id="rId1157" Type="http://schemas.openxmlformats.org/officeDocument/2006/relationships/hyperlink" Target="https://share.hdrinc.com/sites/CoW_FRLP/_layouts/DocIdRedir.aspx?ID=COWFRLPHDR-5-1184" TargetMode="External"/><Relationship Id="rId1364" Type="http://schemas.openxmlformats.org/officeDocument/2006/relationships/hyperlink" Target="https://share.hdrinc.com/sites/CoW_FRLP/_layouts/DocIdRedir.aspx?ID=COWFRLPHDR-5-857" TargetMode="External"/><Relationship Id="rId1571" Type="http://schemas.openxmlformats.org/officeDocument/2006/relationships/hyperlink" Target="https://share.hdrinc.com/sites/CoW_FRLP/_layouts/DocIdRedir.aspx?ID=COWFRLPHDR-5-1218" TargetMode="External"/><Relationship Id="rId70" Type="http://schemas.openxmlformats.org/officeDocument/2006/relationships/hyperlink" Target="https://share.hdrinc.com/sites/CoW_FRLP/ACQUISITION/COW-FRMP_TR-202%20APPRAISAL%20USACOE%20Authorization%20to%20Proceed%20with%20Offer.pdf" TargetMode="External"/><Relationship Id="rId166" Type="http://schemas.openxmlformats.org/officeDocument/2006/relationships/hyperlink" Target="https://share.hdrinc.com/sites/CoW_FRLP/ACQUISITION/COW-FRMP_TR-210%20SURVEY%20Right-of-Entry.pdf" TargetMode="External"/><Relationship Id="rId373" Type="http://schemas.openxmlformats.org/officeDocument/2006/relationships/hyperlink" Target="https://share.hdrinc.com/sites/CoW_FRLP/ACQUISITION/COW-FRMP_TR-300%20CONTACT%20Letter%20of%20Intent-HDR%20Hughes.pdf" TargetMode="External"/><Relationship Id="rId580" Type="http://schemas.openxmlformats.org/officeDocument/2006/relationships/hyperlink" Target="https://share.hdrinc.com/sites/CoW_FRLP/ACQUISITION/COW-FRMP_TR-314%20CONTACT%20Letter%20of%20Intent-HDR.pdf" TargetMode="External"/><Relationship Id="rId801" Type="http://schemas.openxmlformats.org/officeDocument/2006/relationships/hyperlink" Target="https://share.hdrinc.com/sites/CoW_FRLP/ACQUISITION/COW-FRMP_TR-T181%20ROE%20Right-of-Entry%20Package.pdf" TargetMode="External"/><Relationship Id="rId1017" Type="http://schemas.openxmlformats.org/officeDocument/2006/relationships/hyperlink" Target="https://share.hdrinc.com/sites/CoW_FRLP/_layouts/DocIdRedir.aspx?ID=COWFRLPHDR-5-416" TargetMode="External"/><Relationship Id="rId1224" Type="http://schemas.openxmlformats.org/officeDocument/2006/relationships/hyperlink" Target="https://share.hdrinc.com/sites/CoW_FRLP/_layouts/DocIdRedir.aspx?ID=COWFRLPHDR-5-1271" TargetMode="External"/><Relationship Id="rId1431" Type="http://schemas.openxmlformats.org/officeDocument/2006/relationships/hyperlink" Target="https://share.hdrinc.com/sites/CoW_FRLP/_layouts/DocIdRedir.aspx?ID=COWFRLPHDR-5-845" TargetMode="External"/><Relationship Id="rId1669" Type="http://schemas.openxmlformats.org/officeDocument/2006/relationships/hyperlink" Target="https://share.hdrinc.com/sites/CoW_FRLP/_layouts/DocIdRedir.aspx?ID=COWFRLPHDR-5-742" TargetMode="External"/><Relationship Id="rId1876" Type="http://schemas.openxmlformats.org/officeDocument/2006/relationships/hyperlink" Target="https://share.hdrinc.com/sites/CoW_FRLP/_layouts/DocIdRedir.aspx?ID=COWFRLPHDR-5-1031" TargetMode="External"/><Relationship Id="rId1" Type="http://schemas.openxmlformats.org/officeDocument/2006/relationships/hyperlink" Target="https://share.hdrinc.com/sites/CoW_FRLP/ACQUISITION/Neg%20Log%20230.docx" TargetMode="External"/><Relationship Id="rId233" Type="http://schemas.openxmlformats.org/officeDocument/2006/relationships/hyperlink" Target="https://share.hdrinc.com/sites/CoW_FRLP/ACQUISITION/COW-FRMP_TR-215%20CONTACT%20Letter%20of%20Intent-HDR%20Muniz.pdf" TargetMode="External"/><Relationship Id="rId440" Type="http://schemas.openxmlformats.org/officeDocument/2006/relationships/hyperlink" Target="https://share.hdrinc.com/sites/CoW_FRLP/ACQUISITION/COW-FRMP_TR-304%20TITLE%20Commitment%20Backup%20Docs.pdf" TargetMode="External"/><Relationship Id="rId678" Type="http://schemas.openxmlformats.org/officeDocument/2006/relationships/hyperlink" Target="https://share.hdrinc.com/sites/CoW_FRLP/ACQUISITION/COW-FRMP_TR-323%20SURVEY%20Description-Plat_USACOE.pdf" TargetMode="External"/><Relationship Id="rId885" Type="http://schemas.openxmlformats.org/officeDocument/2006/relationships/hyperlink" Target="https://share.hdrinc.com/sites/CoW_FRLP/ACQUISITION/COW-FRMP_TR-T207%20TITLE%20Tax%20Card.pdf" TargetMode="External"/><Relationship Id="rId1070" Type="http://schemas.openxmlformats.org/officeDocument/2006/relationships/hyperlink" Target="https://share.hdrinc.com/sites/CoW_FRLP/_layouts/DocIdRedir.aspx?ID=COWFRLPHDR-5-743" TargetMode="External"/><Relationship Id="rId1529" Type="http://schemas.openxmlformats.org/officeDocument/2006/relationships/hyperlink" Target="https://share.hdrinc.com/sites/CoW_FRLP/_layouts/DocIdRedir.aspx?ID=COWFRLPHDR-5-734" TargetMode="External"/><Relationship Id="rId1736" Type="http://schemas.openxmlformats.org/officeDocument/2006/relationships/hyperlink" Target="https://share.hdrinc.com/sites/CoW_FRLP/_layouts/DocIdRedir.aspx?ID=COWFRLPHDR-5-1042" TargetMode="External"/><Relationship Id="rId1943" Type="http://schemas.openxmlformats.org/officeDocument/2006/relationships/hyperlink" Target="https://share.hdrinc.com/sites/CoW_FRLP/_layouts/DocIdRedir.aspx?ID=COWFRLPHDR-5-1109" TargetMode="External"/><Relationship Id="rId28" Type="http://schemas.openxmlformats.org/officeDocument/2006/relationships/hyperlink" Target="https://share.hdrinc.com/sites/CoW_FRLP/ACQUISITION/COW-FRMP_TR-100%20TITLE%20SOS%20Business%20Organization%20Inquiry.pdf" TargetMode="External"/><Relationship Id="rId300" Type="http://schemas.openxmlformats.org/officeDocument/2006/relationships/hyperlink" Target="https://share.hdrinc.com/sites/CoW_FRLP/ACQUISITION/COW-FRMP_TR-219%20TITLE%20Tax%20Card.pdf" TargetMode="External"/><Relationship Id="rId538" Type="http://schemas.openxmlformats.org/officeDocument/2006/relationships/hyperlink" Target="https://share.hdrinc.com/sites/CoW_FRLP/ACQUISITION/COW-FRMP_TR-311%20TITLE%20Commitment.pdf" TargetMode="External"/><Relationship Id="rId745" Type="http://schemas.openxmlformats.org/officeDocument/2006/relationships/hyperlink" Target="https://share.hdrinc.com/sites/CoW_FRLP/ACQUISITION/COW-FRMP_TR-T071%20TITLE%20Tax%20Card.pdf" TargetMode="External"/><Relationship Id="rId952" Type="http://schemas.openxmlformats.org/officeDocument/2006/relationships/hyperlink" Target="https://share.hdrinc.com/sites/CoW_FRLP/ACQUISITION/COW-FRMP_TR-T242%20ROE%20Right-of-Entry%20Package.pdf" TargetMode="External"/><Relationship Id="rId1168" Type="http://schemas.openxmlformats.org/officeDocument/2006/relationships/hyperlink" Target="https://share.hdrinc.com/sites/CoW_FRLP/_layouts/DocIdRedir.aspx?ID=COWFRLPHDR-5-1307" TargetMode="External"/><Relationship Id="rId1375" Type="http://schemas.openxmlformats.org/officeDocument/2006/relationships/hyperlink" Target="https://share.hdrinc.com/sites/CoW_FRLP/_layouts/DocIdRedir.aspx?ID=COWFRLPHDR-5-781" TargetMode="External"/><Relationship Id="rId1582" Type="http://schemas.openxmlformats.org/officeDocument/2006/relationships/hyperlink" Target="https://share.hdrinc.com/sites/CoW_FRLP/_layouts/DocIdRedir.aspx?ID=COWFRLPHDR-5-473" TargetMode="External"/><Relationship Id="rId1803" Type="http://schemas.openxmlformats.org/officeDocument/2006/relationships/hyperlink" Target="https://share.hdrinc.com/sites/CoA_Buyout_6500/_layouts/DocIdRedir.aspx?ID=COABUYOUT65-9-40" TargetMode="External"/><Relationship Id="rId81" Type="http://schemas.openxmlformats.org/officeDocument/2006/relationships/hyperlink" Target="https://share.hdrinc.com/sites/CoW_FRLP/ACQUISITION/COW-FRMP_TR-202%20TITLE%20Commitment%20Backup%20Docs.pdf" TargetMode="External"/><Relationship Id="rId177" Type="http://schemas.openxmlformats.org/officeDocument/2006/relationships/hyperlink" Target="https://share.hdrinc.com/sites/CoW_FRLP/ACQUISITION/COW-FRMP_TR-211%20SURVEY%20Description-Plat_USACOE.pdf" TargetMode="External"/><Relationship Id="rId384" Type="http://schemas.openxmlformats.org/officeDocument/2006/relationships/hyperlink" Target="https://share.hdrinc.com/sites/CoW_FRLP/ACQUISITION/COW-FRMP_TR-301%20APPRAISAL%20Final%20Appraisal.pdf" TargetMode="External"/><Relationship Id="rId591" Type="http://schemas.openxmlformats.org/officeDocument/2006/relationships/hyperlink" Target="https://share.hdrinc.com/sites/CoW_FRLP/ACQUISITION/COW-FRMP_TR-315%20APPRAISAL%20Final%20Appraisal.pdf" TargetMode="External"/><Relationship Id="rId605" Type="http://schemas.openxmlformats.org/officeDocument/2006/relationships/hyperlink" Target="https://share.hdrinc.com/sites/CoW_FRLP/ACQUISITION/COW-FRMP_TR-315%20SURVEY%20Right-of-Entry%20CMRR.pdf" TargetMode="External"/><Relationship Id="rId812" Type="http://schemas.openxmlformats.org/officeDocument/2006/relationships/hyperlink" Target="https://share.hdrinc.com/sites/CoW_FRLP/ACQUISITION/COW-FRMP_TR-T184%20ENVIRONMENTAL%20Right-of-Entry%20Executed.pdf" TargetMode="External"/><Relationship Id="rId1028" Type="http://schemas.openxmlformats.org/officeDocument/2006/relationships/hyperlink" Target="https://share.hdrinc.com/sites/CoW_FRLP/_layouts/DocIdRedir.aspx?ID=COWFRLPHDR-5-144" TargetMode="External"/><Relationship Id="rId1235" Type="http://schemas.openxmlformats.org/officeDocument/2006/relationships/hyperlink" Target="https://share.hdrinc.com/sites/CoW_FRLP/_layouts/DocIdRedir.aspx?ID=COWFRLPHDR-5-86" TargetMode="External"/><Relationship Id="rId1442" Type="http://schemas.openxmlformats.org/officeDocument/2006/relationships/hyperlink" Target="https://share.hdrinc.com/sites/CoW_FRLP/_layouts/DocIdRedir.aspx?ID=COWFRLPHDR-5-541" TargetMode="External"/><Relationship Id="rId1887" Type="http://schemas.openxmlformats.org/officeDocument/2006/relationships/hyperlink" Target="https://share.hdrinc.com/sites/CoW_FRLP/_layouts/DocIdRedir.aspx?ID=COWFRLPHDR-5-955" TargetMode="External"/><Relationship Id="rId244" Type="http://schemas.openxmlformats.org/officeDocument/2006/relationships/hyperlink" Target="https://share.hdrinc.com/sites/CoW_FRLP/ACQUISITION/COW-FRMP_TR-215%20TITLE%20Commitment.pdf" TargetMode="External"/><Relationship Id="rId689" Type="http://schemas.openxmlformats.org/officeDocument/2006/relationships/hyperlink" Target="https://share.hdrinc.com/sites/CoW_FRLP/ACQUISITION/COW-FRMP_TR-326%20TITLE%20Curative%20Plan.docx" TargetMode="External"/><Relationship Id="rId896" Type="http://schemas.openxmlformats.org/officeDocument/2006/relationships/hyperlink" Target="https://share.hdrinc.com/sites/CoW_FRLP/ACQUISITION/COW-FRMP_TR-T212%20ENVIRONMENTAL%20Right-of-Entry%20Package.pdf" TargetMode="External"/><Relationship Id="rId1081" Type="http://schemas.openxmlformats.org/officeDocument/2006/relationships/hyperlink" Target="https://share.hdrinc.com/sites/CoW_FRLP/_layouts/DocIdRedir.aspx?ID=COWFRLPHDR-5-837" TargetMode="External"/><Relationship Id="rId1302" Type="http://schemas.openxmlformats.org/officeDocument/2006/relationships/hyperlink" Target="https://share.hdrinc.com/sites/CoW_FRLP/_layouts/DocIdRedir.aspx?ID=COWFRLPHDR-5-89" TargetMode="External"/><Relationship Id="rId1747" Type="http://schemas.openxmlformats.org/officeDocument/2006/relationships/hyperlink" Target="https://share.hdrinc.com/sites/CoW_FRLP/_layouts/DocIdRedir.aspx?ID=COWFRLPHDR-5-1049" TargetMode="External"/><Relationship Id="rId1954" Type="http://schemas.openxmlformats.org/officeDocument/2006/relationships/hyperlink" Target="https://share.hdrinc.com/sites/CoW_FRLP/_layouts/DocIdRedir.aspx?ID=COWFRLPHDR-5-1140" TargetMode="External"/><Relationship Id="rId39" Type="http://schemas.openxmlformats.org/officeDocument/2006/relationships/hyperlink" Target="https://share.hdrinc.com/sites/CoW_FRLP/ACQUISITION/COW-FRMP_TR-200%20APPRAISAL%20USACOE%20Authorization%20to%20Proceed%20with%20Offer.pdf" TargetMode="External"/><Relationship Id="rId451" Type="http://schemas.openxmlformats.org/officeDocument/2006/relationships/hyperlink" Target="https://share.hdrinc.com/sites/CoW_FRLP/ACQUISITION/COW-FRMP_TR-305%20SURVEY%20Description-Plat_CITY.pdf" TargetMode="External"/><Relationship Id="rId549" Type="http://schemas.openxmlformats.org/officeDocument/2006/relationships/hyperlink" Target="https://share.hdrinc.com/sites/CoW_FRLP/ACQUISITION/COW-FRMP_TR-312%20NEGOTIATION%20Owner%20Representation%20Letter.pdf" TargetMode="External"/><Relationship Id="rId756" Type="http://schemas.openxmlformats.org/officeDocument/2006/relationships/hyperlink" Target="https://share.hdrinc.com/sites/CoW_FRLP/ACQUISITION/COW-FRMP_TR-T157%20ENVIRONMENTAL%20Right-of-Entry%20Package.pdf" TargetMode="External"/><Relationship Id="rId1179" Type="http://schemas.openxmlformats.org/officeDocument/2006/relationships/hyperlink" Target="https://share.hdrinc.com/sites/CoW_FRLP/_layouts/DocIdRedir.aspx?ID=COWFRLPHDR-5-71" TargetMode="External"/><Relationship Id="rId1386" Type="http://schemas.openxmlformats.org/officeDocument/2006/relationships/hyperlink" Target="https://share.hdrinc.com/sites/CoW_FRLP/_layouts/DocIdRedir.aspx?ID=COWFRLPHDR-5-526" TargetMode="External"/><Relationship Id="rId1593" Type="http://schemas.openxmlformats.org/officeDocument/2006/relationships/hyperlink" Target="https://share.hdrinc.com/sites/CoW_FRLP/_layouts/DocIdRedir.aspx?ID=COWFRLPHDR-5-508" TargetMode="External"/><Relationship Id="rId1607" Type="http://schemas.openxmlformats.org/officeDocument/2006/relationships/hyperlink" Target="https://share.hdrinc.com/sites/CoW_FRLP/_layouts/DocIdRedir.aspx?ID=COWFRLPHDR-5-1226" TargetMode="External"/><Relationship Id="rId1814" Type="http://schemas.openxmlformats.org/officeDocument/2006/relationships/hyperlink" Target="https://share.hdrinc.com/sites/CoW_FRLP/_layouts/DocIdRedir.aspx?ID=COWFRLPHDR-5-1103" TargetMode="External"/><Relationship Id="rId104" Type="http://schemas.openxmlformats.org/officeDocument/2006/relationships/hyperlink" Target="https://share.hdrinc.com/sites/CoW_FRLP/ACQUISITION/COW-FRMP_TR-205%20NEGOTIATION%20Initial%20Offer%20Package%20CMRR.pdf" TargetMode="External"/><Relationship Id="rId188" Type="http://schemas.openxmlformats.org/officeDocument/2006/relationships/hyperlink" Target="https://share.hdrinc.com/sites/CoW_FRLP/ACQUISITION/COW-FRMP_TR-212%20TITLE%20Commitment%20Backup%20Docs.pdf" TargetMode="External"/><Relationship Id="rId311" Type="http://schemas.openxmlformats.org/officeDocument/2006/relationships/hyperlink" Target="https://share.hdrinc.com/sites/CoW_FRLP/ACQUISITION/COW-FRMP_TR-220%20TITLE%20Commitment%20Backup%20Docs.pdf" TargetMode="External"/><Relationship Id="rId395" Type="http://schemas.openxmlformats.org/officeDocument/2006/relationships/hyperlink" Target="https://share.hdrinc.com/sites/CoW_FRLP/ACQUISITION/COW-FRMP_TR-301%20TITLE%20SOS%20Business%20Organization%20Inquiry.pdf" TargetMode="External"/><Relationship Id="rId409" Type="http://schemas.openxmlformats.org/officeDocument/2006/relationships/hyperlink" Target="https://share.hdrinc.com/sites/CoW_FRLP/ACQUISITION/COW-FRMP_TR-302%20TITLE%20Curative%20Plan.docx" TargetMode="External"/><Relationship Id="rId963" Type="http://schemas.openxmlformats.org/officeDocument/2006/relationships/hyperlink" Target="https://share.hdrinc.com/sites/CoW_FRLP/ACQUISITION/COW-FRMP_TR-T254%20TITLE%20Tax%20Card.pdf" TargetMode="External"/><Relationship Id="rId1039" Type="http://schemas.openxmlformats.org/officeDocument/2006/relationships/hyperlink" Target="https://share.hdrinc.com/sites/CoW_FRLP/_layouts/DocIdRedir.aspx?ID=COWFRLPHDR-5-12" TargetMode="External"/><Relationship Id="rId1246" Type="http://schemas.openxmlformats.org/officeDocument/2006/relationships/hyperlink" Target="https://share.hdrinc.com/sites/CoW_FRLP/_layouts/DocIdRedir.aspx?ID=COWFRLPHDR-5-497" TargetMode="External"/><Relationship Id="rId1898" Type="http://schemas.openxmlformats.org/officeDocument/2006/relationships/hyperlink" Target="https://share.hdrinc.com/sites/CoW_FRLP/_layouts/DocIdRedir.aspx?ID=COWFRLPHDR-5-963" TargetMode="External"/><Relationship Id="rId92" Type="http://schemas.openxmlformats.org/officeDocument/2006/relationships/hyperlink" Target="https://share.hdrinc.com/sites/CoW_FRLP/ACQUISITION/COW-FRMP_TR-203%20TITLE%20Tax%20Card.pdf" TargetMode="External"/><Relationship Id="rId616" Type="http://schemas.openxmlformats.org/officeDocument/2006/relationships/hyperlink" Target="https://share.hdrinc.com/sites/CoW_FRLP/ACQUISITION/COW-FRMP_TR-316%20NEGOTIATION%20Landowner%20Bill%20of%20Rights%20Letter.pdf" TargetMode="External"/><Relationship Id="rId823" Type="http://schemas.openxmlformats.org/officeDocument/2006/relationships/hyperlink" Target="https://share.hdrinc.com/sites/CoW_FRLP/ACQUISITION/COW-FRMP_TR-T186%20TITLE%20Tax%20Card.pdf" TargetMode="External"/><Relationship Id="rId1453" Type="http://schemas.openxmlformats.org/officeDocument/2006/relationships/hyperlink" Target="https://share.hdrinc.com/sites/CoW_FRLP/_layouts/DocIdRedir.aspx?ID=COWFRLPHDR-5-88" TargetMode="External"/><Relationship Id="rId1660" Type="http://schemas.openxmlformats.org/officeDocument/2006/relationships/hyperlink" Target="https://share.hdrinc.com/sites/CoW_FRLP/_layouts/DocIdRedir.aspx?ID=COWFRLPHDR-5-150" TargetMode="External"/><Relationship Id="rId1758" Type="http://schemas.openxmlformats.org/officeDocument/2006/relationships/hyperlink" Target="https://share.hdrinc.com/sites/CoW_FRLP/_layouts/DocIdRedir.aspx?ID=COWFRLPHDR-5-872" TargetMode="External"/><Relationship Id="rId255" Type="http://schemas.openxmlformats.org/officeDocument/2006/relationships/hyperlink" Target="https://share.hdrinc.com/sites/CoW_FRLP/ACQUISITION/COW-FRMP_TR-216%20SURVEY%20Description-Plat_USACOE.pdf" TargetMode="External"/><Relationship Id="rId462" Type="http://schemas.openxmlformats.org/officeDocument/2006/relationships/hyperlink" Target="https://share.hdrinc.com/sites/CoW_FRLP/ACQUISITION/ContactRecords/COW-FRMP_TR-306%20CONTACT%20Negotiator%20Report.docx" TargetMode="External"/><Relationship Id="rId1092" Type="http://schemas.openxmlformats.org/officeDocument/2006/relationships/hyperlink" Target="https://share.hdrinc.com/sites/CoW_FRLP/_layouts/DocIdRedir.aspx?ID=COWFRLPHDR-5-6" TargetMode="External"/><Relationship Id="rId1106" Type="http://schemas.openxmlformats.org/officeDocument/2006/relationships/hyperlink" Target="https://share.hdrinc.com/sites/CoW_FRLP/_layouts/DocIdRedir.aspx?ID=COWFRLPHDR-5-1158" TargetMode="External"/><Relationship Id="rId1313" Type="http://schemas.openxmlformats.org/officeDocument/2006/relationships/hyperlink" Target="https://share.hdrinc.com/sites/CoW_FRLP/_layouts/DocIdRedir.aspx?ID=COWFRLPHDR-5-762" TargetMode="External"/><Relationship Id="rId1397" Type="http://schemas.openxmlformats.org/officeDocument/2006/relationships/hyperlink" Target="https://share.hdrinc.com/sites/CoW_FRLP/_layouts/DocIdRedir.aspx?ID=COWFRLPHDR-5-1342" TargetMode="External"/><Relationship Id="rId1520" Type="http://schemas.openxmlformats.org/officeDocument/2006/relationships/hyperlink" Target="https://share.hdrinc.com/sites/CoW_FRLP/_layouts/DocIdRedir.aspx?ID=COWFRLPHDR-5-221" TargetMode="External"/><Relationship Id="rId1965" Type="http://schemas.openxmlformats.org/officeDocument/2006/relationships/hyperlink" Target="https://share.hdrinc.com/sites/CoW_FRLP/_layouts/DocIdRedir.aspx?ID=COWFRLPHDR-5-1142" TargetMode="External"/><Relationship Id="rId115" Type="http://schemas.openxmlformats.org/officeDocument/2006/relationships/hyperlink" Target="https://share.hdrinc.com/sites/CoW_FRLP/ACQUISITION/COW-FRMP_TR-207%20APPRAISAL%20Final%20Appraisal.pdf" TargetMode="External"/><Relationship Id="rId322" Type="http://schemas.openxmlformats.org/officeDocument/2006/relationships/hyperlink" Target="https://share.hdrinc.com/sites/CoW_FRLP/ACQUISITION/COW-FRMP_TR-222%20SURVEY%20Right-of-Entry%20CMRR.pdf" TargetMode="External"/><Relationship Id="rId767" Type="http://schemas.openxmlformats.org/officeDocument/2006/relationships/hyperlink" Target="https://share.hdrinc.com/sites/CoW_FRLP/ACQUISITION/COW-FRMP_TR-T159%20ENVIRONMENTAL%20Right-of-Entry%20Package.pdf" TargetMode="External"/><Relationship Id="rId974" Type="http://schemas.openxmlformats.org/officeDocument/2006/relationships/hyperlink" Target="https://share.hdrinc.com/sites/CoW_FRLP/ACQUISITION/COW-FRMP_TR-T259%20TITLE%20Tax%20Card.pdf" TargetMode="External"/><Relationship Id="rId1618" Type="http://schemas.openxmlformats.org/officeDocument/2006/relationships/hyperlink" Target="https://share.hdrinc.com/sites/CoW_FRLP/_layouts/DocIdRedir.aspx?ID=COWFRLPHDR-5-124" TargetMode="External"/><Relationship Id="rId1825" Type="http://schemas.openxmlformats.org/officeDocument/2006/relationships/hyperlink" Target="https://share.hdrinc.com/sites/CoW_FRLP/_layouts/DocIdRedir.aspx?ID=COWFRLPHDR-5-1065" TargetMode="External"/><Relationship Id="rId2003" Type="http://schemas.openxmlformats.org/officeDocument/2006/relationships/hyperlink" Target="https://share.hdrinc.com/sites/CoW_FRLP/_layouts/DocIdRedir.aspx?ID=COWFRLPHDR-5-1079" TargetMode="External"/><Relationship Id="rId199" Type="http://schemas.openxmlformats.org/officeDocument/2006/relationships/hyperlink" Target="https://share.hdrinc.com/sites/CoW_FRLP/ACQUISITION/COW-FRMP_TR-213%20CONTACT%20Pre-Appraisal%20Contact%20with%20Owner.pdf" TargetMode="External"/><Relationship Id="rId627" Type="http://schemas.openxmlformats.org/officeDocument/2006/relationships/hyperlink" Target="https://share.hdrinc.com/sites/CoW_FRLP/ACQUISITION/COW-FRMP_TR-317%20CONTACT%20Letter%20of%20Intent-HDR.pdf" TargetMode="External"/><Relationship Id="rId834" Type="http://schemas.openxmlformats.org/officeDocument/2006/relationships/hyperlink" Target="https://share.hdrinc.com/sites/CoW_FRLP/ACQUISITION/COW-FRMP_TR-T189%20CONTACT%20Negotiator%20Report.docx" TargetMode="External"/><Relationship Id="rId1257" Type="http://schemas.openxmlformats.org/officeDocument/2006/relationships/hyperlink" Target="https://share.hdrinc.com/sites/CoW_FRLP/_layouts/DocIdRedir.aspx?ID=COWFRLPHDR-5-31" TargetMode="External"/><Relationship Id="rId1464" Type="http://schemas.openxmlformats.org/officeDocument/2006/relationships/hyperlink" Target="https://share.hdrinc.com/sites/CoW_FRLP/_layouts/DocIdRedir.aspx?ID=COWFRLPHDR-5-875" TargetMode="External"/><Relationship Id="rId1671" Type="http://schemas.openxmlformats.org/officeDocument/2006/relationships/hyperlink" Target="https://share.hdrinc.com/sites/CoW_FRLP/_layouts/DocIdRedir.aspx?ID=COWFRLPHDR-5-77" TargetMode="External"/><Relationship Id="rId266" Type="http://schemas.openxmlformats.org/officeDocument/2006/relationships/hyperlink" Target="https://share.hdrinc.com/sites/CoW_FRLP/ACQUISITION/ContactRecords/COW-FRMP_TR-217%20CONTACT%20Negotiator%20Report.docx" TargetMode="External"/><Relationship Id="rId473" Type="http://schemas.openxmlformats.org/officeDocument/2006/relationships/hyperlink" Target="https://share.hdrinc.com/sites/CoW_FRLP/ACQUISITION/COW-FRMP_TR-307%20TITLE%20Tax%20Card.pdf" TargetMode="External"/><Relationship Id="rId680" Type="http://schemas.openxmlformats.org/officeDocument/2006/relationships/hyperlink" Target="https://share.hdrinc.com/sites/CoW_FRLP/ACQUISITION/COW-FRMP_TR-325%20SURVEY%20Description-Plat_USACOE.pdf" TargetMode="External"/><Relationship Id="rId901" Type="http://schemas.openxmlformats.org/officeDocument/2006/relationships/hyperlink" Target="https://share.hdrinc.com/sites/CoW_FRLP/ACQUISITION/COW-FRMP_TR-T213%20ENVIRONMENTAL%20Right-of-Entry%20Executed.pdf" TargetMode="External"/><Relationship Id="rId1117" Type="http://schemas.openxmlformats.org/officeDocument/2006/relationships/hyperlink" Target="https://share.hdrinc.com/sites/CoW_FRLP/_layouts/DocIdRedir.aspx?ID=COWFRLPHDR-5-1358" TargetMode="External"/><Relationship Id="rId1324" Type="http://schemas.openxmlformats.org/officeDocument/2006/relationships/hyperlink" Target="https://share.hdrinc.com/sites/CoW_FRLP/_layouts/DocIdRedir.aspx?ID=COWFRLPHDR-5-206" TargetMode="External"/><Relationship Id="rId1531" Type="http://schemas.openxmlformats.org/officeDocument/2006/relationships/hyperlink" Target="https://share.hdrinc.com/sites/CoW_FRLP/_layouts/DocIdRedir.aspx?ID=COWFRLPHDR-5-50" TargetMode="External"/><Relationship Id="rId1769" Type="http://schemas.openxmlformats.org/officeDocument/2006/relationships/hyperlink" Target="https://share.hdrinc.com/sites/CoW_FRLP/_layouts/DocIdRedir.aspx?ID=COWFRLPHDR-5-898" TargetMode="External"/><Relationship Id="rId1976" Type="http://schemas.openxmlformats.org/officeDocument/2006/relationships/hyperlink" Target="https://share.hdrinc.com/sites/CoW_FRLP/_layouts/DocIdRedir.aspx?ID=COWFRLPHDR-5-885" TargetMode="External"/><Relationship Id="rId30" Type="http://schemas.openxmlformats.org/officeDocument/2006/relationships/hyperlink" Target="https://share.hdrinc.com/sites/CoW_FRLP/ACQUISITION/COW-FRMP_TR-101%20TITLE%20Commitment.pdf" TargetMode="External"/><Relationship Id="rId126" Type="http://schemas.openxmlformats.org/officeDocument/2006/relationships/hyperlink" Target="https://share.hdrinc.com/sites/CoW_FRLP/ACQUISITION/COW-FRMP_TR-207%20NEGOTIATION%20Landowner%20Bill%20of%20Rights%20Letter.pdf" TargetMode="External"/><Relationship Id="rId333" Type="http://schemas.openxmlformats.org/officeDocument/2006/relationships/hyperlink" Target="https://share.hdrinc.com/sites/CoW_FRLP/ACQUISITION/COW-FRMP_TR-223%20SURVEY%20Description-Plat_CITY.pdf" TargetMode="External"/><Relationship Id="rId540" Type="http://schemas.openxmlformats.org/officeDocument/2006/relationships/hyperlink" Target="https://share.hdrinc.com/sites/CoW_FRLP/ACQUISITION/COW-FRMP_TR-311%20TITLE%20Curative%20Plan.docx" TargetMode="External"/><Relationship Id="rId778" Type="http://schemas.openxmlformats.org/officeDocument/2006/relationships/hyperlink" Target="https://share.hdrinc.com/sites/CoW_FRLP/ACQUISITION/COW-FRMP_TR-T163%20TITLE%20Tax%20Card.pdf" TargetMode="External"/><Relationship Id="rId985" Type="http://schemas.openxmlformats.org/officeDocument/2006/relationships/hyperlink" Target="https://share.hdrinc.com/sites/CoW_FRLP/ACQUISITION/COW-FRMP_TR-T264%20ROE%20Right-of-Entry%20Executed.pdf" TargetMode="External"/><Relationship Id="rId1170" Type="http://schemas.openxmlformats.org/officeDocument/2006/relationships/hyperlink" Target="https://share.hdrinc.com/sites/CoW_FRLP/_layouts/DocIdRedir.aspx?ID=COWFRLPHDR-5-1263" TargetMode="External"/><Relationship Id="rId1629" Type="http://schemas.openxmlformats.org/officeDocument/2006/relationships/hyperlink" Target="https://share.hdrinc.com/sites/CoW_FRLP/_layouts/DocIdRedir.aspx?ID=COWFRLPHDR-5-455" TargetMode="External"/><Relationship Id="rId1836" Type="http://schemas.openxmlformats.org/officeDocument/2006/relationships/hyperlink" Target="https://share.hdrinc.com/sites/CoW_FRLP/_layouts/DocIdRedir.aspx?ID=COWFRLPHDR-5-936" TargetMode="External"/><Relationship Id="rId2014" Type="http://schemas.openxmlformats.org/officeDocument/2006/relationships/hyperlink" Target="https://share.hdrinc.com/sites/CoW_FRLP/_layouts/DocIdRedir.aspx?ID=COWFRLPHDR-5-981" TargetMode="External"/><Relationship Id="rId638" Type="http://schemas.openxmlformats.org/officeDocument/2006/relationships/hyperlink" Target="https://share.hdrinc.com/sites/CoW_FRLP/ACQUISITION/COW-FRMP_TR-319%20APPRAISAL%20Final%20Appraisal.pdf" TargetMode="External"/><Relationship Id="rId845" Type="http://schemas.openxmlformats.org/officeDocument/2006/relationships/hyperlink" Target="https://share.hdrinc.com/sites/CoW_FRLP/ACQUISITION/COW-FRMP_TR-T191%20ENVIRONMENTAL%20Right-of-Entry%20Executed.pdf" TargetMode="External"/><Relationship Id="rId1030" Type="http://schemas.openxmlformats.org/officeDocument/2006/relationships/hyperlink" Target="https://share.hdrinc.com/sites/CoW_FRLP/_layouts/DocIdRedir.aspx?ID=COWFRLPHDR-5-1339" TargetMode="External"/><Relationship Id="rId1268" Type="http://schemas.openxmlformats.org/officeDocument/2006/relationships/hyperlink" Target="https://share.hdrinc.com/sites/CoW_FRLP/_layouts/DocIdRedir.aspx?ID=COWFRLPHDR-5-840" TargetMode="External"/><Relationship Id="rId1475" Type="http://schemas.openxmlformats.org/officeDocument/2006/relationships/hyperlink" Target="https://share.hdrinc.com/sites/CoW_FRLP/_layouts/DocIdRedir.aspx?ID=COWFRLPHDR-5-464" TargetMode="External"/><Relationship Id="rId1682" Type="http://schemas.openxmlformats.org/officeDocument/2006/relationships/hyperlink" Target="https://share.hdrinc.com/sites/CoW_FRLP/_layouts/DocIdRedir.aspx?ID=COWFRLPHDR-5-666" TargetMode="External"/><Relationship Id="rId1903" Type="http://schemas.openxmlformats.org/officeDocument/2006/relationships/hyperlink" Target="https://share.hdrinc.com/sites/CoW_FRLP/_layouts/DocIdRedir.aspx?ID=COWFRLPHDR-5-1147" TargetMode="External"/><Relationship Id="rId277" Type="http://schemas.openxmlformats.org/officeDocument/2006/relationships/hyperlink" Target="https://share.hdrinc.com/sites/CoW_FRLP/ACQUISITION/COW-FRMP_TR-218%20CONTACT%20Letter%20of%20Intent-HDR.pdf" TargetMode="External"/><Relationship Id="rId400" Type="http://schemas.openxmlformats.org/officeDocument/2006/relationships/hyperlink" Target="https://share.hdrinc.com/sites/CoW_FRLP/ACQUISITION/COW-FRMP_TR-302%20CONTACT%20Letter%20of%20Intent-HDR.pdf" TargetMode="External"/><Relationship Id="rId484" Type="http://schemas.openxmlformats.org/officeDocument/2006/relationships/hyperlink" Target="https://share.hdrinc.com/sites/CoW_FRLP/ACQUISITION/COW-FRMP_TR-308%20TITLE%20Commitment.pdf" TargetMode="External"/><Relationship Id="rId705" Type="http://schemas.openxmlformats.org/officeDocument/2006/relationships/hyperlink" Target="https://share.hdrinc.com/sites/CoW_FRLP/ACQUISITION/COW-FRMP_TR-421A%20TITLE%20Curative%20Plan.docx" TargetMode="External"/><Relationship Id="rId1128" Type="http://schemas.openxmlformats.org/officeDocument/2006/relationships/hyperlink" Target="https://share.hdrinc.com/sites/CoW_FRLP/_layouts/DocIdRedir.aspx?ID=COWFRLPHDR-5-1212" TargetMode="External"/><Relationship Id="rId1335" Type="http://schemas.openxmlformats.org/officeDocument/2006/relationships/hyperlink" Target="https://share.hdrinc.com/sites/CoW_FRLP/_layouts/DocIdRedir.aspx?ID=COWFRLPHDR-5-121" TargetMode="External"/><Relationship Id="rId1542" Type="http://schemas.openxmlformats.org/officeDocument/2006/relationships/hyperlink" Target="https://share.hdrinc.com/sites/CoW_FRLP/_layouts/DocIdRedir.aspx?ID=COWFRLPHDR-5-530" TargetMode="External"/><Relationship Id="rId1987" Type="http://schemas.openxmlformats.org/officeDocument/2006/relationships/hyperlink" Target="https://share.hdrinc.com/sites/CoW_FRLP/_layouts/DocIdRedir.aspx?ID=COWFRLPHDR-5-891" TargetMode="External"/><Relationship Id="rId137" Type="http://schemas.openxmlformats.org/officeDocument/2006/relationships/hyperlink" Target="https://share.hdrinc.com/sites/CoW_FRLP/ACQUISITION/COW-FRMP_TR-208%20APPRAISAL%20USACOE%20Authorization%20to%20Proceed%20with%20Offer.pdf" TargetMode="External"/><Relationship Id="rId344" Type="http://schemas.openxmlformats.org/officeDocument/2006/relationships/hyperlink" Target="https://share.hdrinc.com/sites/CoW_FRLP/ACQUISITION/COW-FRMP_TR-224%20SURVEY%20Right-of-Entry.pdf" TargetMode="External"/><Relationship Id="rId691" Type="http://schemas.openxmlformats.org/officeDocument/2006/relationships/hyperlink" Target="https://share.hdrinc.com/sites/CoW_FRLP/ACQUISITION/COW-FRMP_TR-421A%20APPRAISAL%20Final%20Appraisal.pdf" TargetMode="External"/><Relationship Id="rId789" Type="http://schemas.openxmlformats.org/officeDocument/2006/relationships/hyperlink" Target="https://share.hdrinc.com/sites/CoW_FRLP/ACQUISITION/COW-FRMP_TR-T167%20ROE%20Right-of-Entry%20Package.pdf" TargetMode="External"/><Relationship Id="rId912" Type="http://schemas.openxmlformats.org/officeDocument/2006/relationships/hyperlink" Target="https://share.hdrinc.com/sites/CoW_FRLP/ACQUISITION/COW-FRMP_TR-T227%20ENVIRONMENTAL%20Right-of-Entry%20Executed.pdf" TargetMode="External"/><Relationship Id="rId996" Type="http://schemas.openxmlformats.org/officeDocument/2006/relationships/hyperlink" Target="https://share.hdrinc.com/sites/CoW_FRLP/ACQUISITION/COW-FRMP_TR-T271%20ROE%20Right-of-Entry%20Executed.pdf" TargetMode="External"/><Relationship Id="rId1847" Type="http://schemas.openxmlformats.org/officeDocument/2006/relationships/hyperlink" Target="https://share.hdrinc.com/sites/CoW_FRLP/_layouts/DocIdRedir.aspx?ID=COWFRLPHDR-5-1072" TargetMode="External"/><Relationship Id="rId2025" Type="http://schemas.openxmlformats.org/officeDocument/2006/relationships/hyperlink" Target="https://share.hdrinc.com/sites/CoW_FRLP/_layouts/DocIdRedir.aspx?ID=COWFRLPHDR-5-245" TargetMode="External"/><Relationship Id="rId41" Type="http://schemas.openxmlformats.org/officeDocument/2006/relationships/hyperlink" Target="https://share.hdrinc.com/sites/CoW_FRLP/ACQUISITION/COW-FRMP_TR-200%20CONTACT%20Letter%20of%20Intent-HDR.pdf" TargetMode="External"/><Relationship Id="rId551" Type="http://schemas.openxmlformats.org/officeDocument/2006/relationships/hyperlink" Target="https://share.hdrinc.com/sites/CoW_FRLP/ACQUISITION/COW-FRMP_TR-312%20SURVEY%20Description-Plat_USACOE.pdf" TargetMode="External"/><Relationship Id="rId649" Type="http://schemas.openxmlformats.org/officeDocument/2006/relationships/hyperlink" Target="https://share.hdrinc.com/sites/CoW_FRLP/ACQUISITION/COW-FRMP_TR-319%20TITLE%20Curative%20Plan.docx" TargetMode="External"/><Relationship Id="rId856" Type="http://schemas.openxmlformats.org/officeDocument/2006/relationships/hyperlink" Target="https://share.hdrinc.com/sites/CoW_FRLP/ACQUISITION/COW-FRMP_TR-T194%20ENVIRONMENTAL%20Right-of-Entry%20Package.pdf" TargetMode="External"/><Relationship Id="rId1181" Type="http://schemas.openxmlformats.org/officeDocument/2006/relationships/hyperlink" Target="https://share.hdrinc.com/sites/CoW_FRLP/_layouts/DocIdRedir.aspx?ID=COWFRLPHDR-5-204" TargetMode="External"/><Relationship Id="rId1279" Type="http://schemas.openxmlformats.org/officeDocument/2006/relationships/hyperlink" Target="https://share.hdrinc.com/sites/CoW_FRLP/_layouts/DocIdRedir.aspx?ID=COWFRLPHDR-5-274" TargetMode="External"/><Relationship Id="rId1402" Type="http://schemas.openxmlformats.org/officeDocument/2006/relationships/hyperlink" Target="https://share.hdrinc.com/sites/CoW_FRLP/_layouts/DocIdRedir.aspx?ID=COWFRLPHDR-5-440" TargetMode="External"/><Relationship Id="rId1486" Type="http://schemas.openxmlformats.org/officeDocument/2006/relationships/hyperlink" Target="https://share.hdrinc.com/sites/CoW_FRLP/_layouts/DocIdRedir.aspx?ID=COWFRLPHDR-5-649" TargetMode="External"/><Relationship Id="rId1707" Type="http://schemas.openxmlformats.org/officeDocument/2006/relationships/hyperlink" Target="https://share.hdrinc.com/sites/CoW_FRLP/_layouts/DocIdRedir.aspx?ID=COWFRLPHDR-5-1293" TargetMode="External"/><Relationship Id="rId190" Type="http://schemas.openxmlformats.org/officeDocument/2006/relationships/hyperlink" Target="https://share.hdrinc.com/sites/CoW_FRLP/ACQUISITION/COW-FRMP_TR-212%20TITLE%20Tax%20Card.pdf" TargetMode="External"/><Relationship Id="rId204" Type="http://schemas.openxmlformats.org/officeDocument/2006/relationships/hyperlink" Target="https://share.hdrinc.com/sites/CoW_FRLP/ACQUISITION/COW-FRMP_TR-213%20SURVEY%20Right-of-Entry%20CMRR.pdf" TargetMode="External"/><Relationship Id="rId288" Type="http://schemas.openxmlformats.org/officeDocument/2006/relationships/hyperlink" Target="https://share.hdrinc.com/sites/CoW_FRLP/ACQUISITION/COW-FRMP_TR-219%20APPRAISAL%20USACOE%20Authorization%20to%20Proceed%20with%20Offer.pdf" TargetMode="External"/><Relationship Id="rId411" Type="http://schemas.openxmlformats.org/officeDocument/2006/relationships/hyperlink" Target="https://share.hdrinc.com/sites/CoW_FRLP/ACQUISITION/COW-FRMP_TR-303%20APPRAISAL%20Final%20Appraisal.pdf" TargetMode="External"/><Relationship Id="rId509" Type="http://schemas.openxmlformats.org/officeDocument/2006/relationships/hyperlink" Target="https://share.hdrinc.com/sites/CoW_FRLP/ACQUISITION/COW-FRMP_TR-310%20APPRAISAL%20Final%20Appraisal.pdf" TargetMode="External"/><Relationship Id="rId1041" Type="http://schemas.openxmlformats.org/officeDocument/2006/relationships/hyperlink" Target="https://share.hdrinc.com/sites/CoW_FRLP/_layouts/DocIdRedir.aspx?ID=COWFRLPHDR-5-712" TargetMode="External"/><Relationship Id="rId1139" Type="http://schemas.openxmlformats.org/officeDocument/2006/relationships/hyperlink" Target="https://share.hdrinc.com/sites/CoW_FRLP/_layouts/DocIdRedir.aspx?ID=COWFRLPHDR-5-423" TargetMode="External"/><Relationship Id="rId1346" Type="http://schemas.openxmlformats.org/officeDocument/2006/relationships/hyperlink" Target="https://share.hdrinc.com/sites/CoW_FRLP/_layouts/DocIdRedir.aspx?ID=COWFRLPHDR-5-785" TargetMode="External"/><Relationship Id="rId1693" Type="http://schemas.openxmlformats.org/officeDocument/2006/relationships/hyperlink" Target="https://share.hdrinc.com/sites/CoW_FRLP/_layouts/DocIdRedir.aspx?ID=COWFRLPHDR-5-1198" TargetMode="External"/><Relationship Id="rId1914" Type="http://schemas.openxmlformats.org/officeDocument/2006/relationships/hyperlink" Target="https://share.hdrinc.com/sites/CoW_FRLP/_layouts/DocIdRedir.aspx?ID=COWFRLPHDR-5-975" TargetMode="External"/><Relationship Id="rId1998" Type="http://schemas.openxmlformats.org/officeDocument/2006/relationships/hyperlink" Target="https://share.hdrinc.com/sites/CoW_FRLP/_layouts/DocIdRedir.aspx?ID=COWFRLPHDR-5-1245" TargetMode="External"/><Relationship Id="rId495" Type="http://schemas.openxmlformats.org/officeDocument/2006/relationships/hyperlink" Target="https://share.hdrinc.com/sites/CoW_FRLP/ACQUISITION/ContactRecords/COW-FRMP_TR-309%20CONTACT%20Negotiator%20Report.docx" TargetMode="External"/><Relationship Id="rId716" Type="http://schemas.openxmlformats.org/officeDocument/2006/relationships/hyperlink" Target="https://share.hdrinc.com/sites/CoW_FRLP/ACQUISITION/COW-FRMP_TR-T066%20CONTACT%20Negotiator%20Report.docx" TargetMode="External"/><Relationship Id="rId923" Type="http://schemas.openxmlformats.org/officeDocument/2006/relationships/hyperlink" Target="https://share.hdrinc.com/sites/CoW_FRLP/ACQUISITION/COW-FRMP_TR-T234%20CONTACT%20Negotiator%20Report.docx" TargetMode="External"/><Relationship Id="rId1553" Type="http://schemas.openxmlformats.org/officeDocument/2006/relationships/hyperlink" Target="https://share.hdrinc.com/sites/CoW_FRLP/_layouts/DocIdRedir.aspx?ID=COWFRLPHDR-5-223" TargetMode="External"/><Relationship Id="rId1760" Type="http://schemas.openxmlformats.org/officeDocument/2006/relationships/hyperlink" Target="https://share.hdrinc.com/sites/CoW_FRLP/_layouts/DocIdRedir.aspx?ID=COWFRLPHDR-5-1056" TargetMode="External"/><Relationship Id="rId1858" Type="http://schemas.openxmlformats.org/officeDocument/2006/relationships/hyperlink" Target="https://share.hdrinc.com/sites/CoW_FRLP/_layouts/DocIdRedir.aspx?ID=COWFRLPHDR-5-1026" TargetMode="External"/><Relationship Id="rId52" Type="http://schemas.openxmlformats.org/officeDocument/2006/relationships/hyperlink" Target="https://share.hdrinc.com/sites/CoW_FRLP/ACQUISITION/COW-FRMP_TR-200%20TITLE%20SOS%20Business%20Organization%20Inquiry.pdf" TargetMode="External"/><Relationship Id="rId148" Type="http://schemas.openxmlformats.org/officeDocument/2006/relationships/hyperlink" Target="https://share.hdrinc.com/sites/CoW_FRLP/ACQUISITION/COW-FRMP_TR-208%20TITLE%20Commitment%20Backup%20Docs.pdf" TargetMode="External"/><Relationship Id="rId355" Type="http://schemas.openxmlformats.org/officeDocument/2006/relationships/hyperlink" Target="https://share.hdrinc.com/sites/CoW_FRLP/ACQUISITION/COW-FRMP_TR-228%20SURVEY%20Description-Plat_USACOE.pdf" TargetMode="External"/><Relationship Id="rId562" Type="http://schemas.openxmlformats.org/officeDocument/2006/relationships/hyperlink" Target="https://share.hdrinc.com/sites/CoW_FRLP/ACQUISITION/COW-FRMP_TR-313%20APPRAISAL%20USACOE%20Authorization%20to%20Proceed%20with%20Offer%20Approval.pdf" TargetMode="External"/><Relationship Id="rId1192" Type="http://schemas.openxmlformats.org/officeDocument/2006/relationships/hyperlink" Target="https://share.hdrinc.com/sites/CoW_FRLP/_layouts/DocIdRedir.aspx?ID=COWFRLPHDR-5-246" TargetMode="External"/><Relationship Id="rId1206" Type="http://schemas.openxmlformats.org/officeDocument/2006/relationships/hyperlink" Target="https://share.hdrinc.com/sites/CoW_FRLP/_layouts/DocIdRedir.aspx?ID=COWFRLPHDR-5-1315" TargetMode="External"/><Relationship Id="rId1413" Type="http://schemas.openxmlformats.org/officeDocument/2006/relationships/hyperlink" Target="https://share.hdrinc.com/sites/CoW_FRLP/_layouts/DocIdRedir.aspx?ID=COWFRLPHDR-5-535" TargetMode="External"/><Relationship Id="rId1620" Type="http://schemas.openxmlformats.org/officeDocument/2006/relationships/hyperlink" Target="https://share.hdrinc.com/sites/CoW_FRLP/_layouts/DocIdRedir.aspx?ID=COWFRLPHDR-5-178" TargetMode="External"/><Relationship Id="rId215" Type="http://schemas.openxmlformats.org/officeDocument/2006/relationships/hyperlink" Target="https://share.hdrinc.com/sites/CoW_FRLP/ACQUISITION/COW-FRMP_TR-214%20CONTACT%20Initial%20Interview%20-%20Residential.pdf" TargetMode="External"/><Relationship Id="rId422" Type="http://schemas.openxmlformats.org/officeDocument/2006/relationships/hyperlink" Target="https://share.hdrinc.com/sites/CoW_FRLP/ACQUISITION/COW-FRMP_TR-303%20TITLE%20Curative%20Plan.docx" TargetMode="External"/><Relationship Id="rId867" Type="http://schemas.openxmlformats.org/officeDocument/2006/relationships/hyperlink" Target="https://share.hdrinc.com/sites/CoW_FRLP/ACQUISITION/COW-FRMP_TR-T198%20NEGOTIATION%20Owner%20Representation%20Letter.pdf" TargetMode="External"/><Relationship Id="rId1052" Type="http://schemas.openxmlformats.org/officeDocument/2006/relationships/hyperlink" Target="https://share.hdrinc.com/sites/CoW_FRLP/_layouts/DocIdRedir.aspx?ID=COWFRLPHDR-5-1176" TargetMode="External"/><Relationship Id="rId1497" Type="http://schemas.openxmlformats.org/officeDocument/2006/relationships/hyperlink" Target="https://share.hdrinc.com/sites/CoW_FRLP/_layouts/DocIdRedir.aspx?ID=COWFRLPHDR-5-191" TargetMode="External"/><Relationship Id="rId1718" Type="http://schemas.openxmlformats.org/officeDocument/2006/relationships/hyperlink" Target="https://share.hdrinc.com/sites/CoW_FRLP/_layouts/DocIdRedir.aspx?ID=COWFRLPHDR-5-412" TargetMode="External"/><Relationship Id="rId1925" Type="http://schemas.openxmlformats.org/officeDocument/2006/relationships/hyperlink" Target="https://share.hdrinc.com/sites/CoW_FRLP/_layouts/DocIdRedir.aspx?ID=COWFRLPHDR-5-983" TargetMode="External"/><Relationship Id="rId299" Type="http://schemas.openxmlformats.org/officeDocument/2006/relationships/hyperlink" Target="https://share.hdrinc.com/sites/CoW_FRLP/ACQUISITION/COW-FRMP_TR-219%20TITLE%20Curative%20Plan.docx" TargetMode="External"/><Relationship Id="rId727" Type="http://schemas.openxmlformats.org/officeDocument/2006/relationships/hyperlink" Target="https://share.hdrinc.com/sites/CoW_FRLP/ACQUISITION/COW-FRMP_TR-T068%20CONTACT%20Negotiator%20Report.docx" TargetMode="External"/><Relationship Id="rId934" Type="http://schemas.openxmlformats.org/officeDocument/2006/relationships/hyperlink" Target="https://share.hdrinc.com/sites/CoW_FRLP/ACQUISITION/COW-FRMP_TR-T237%20ENVIRONMENTAL%20Right-of-Entry%20Package.pdf" TargetMode="External"/><Relationship Id="rId1357" Type="http://schemas.openxmlformats.org/officeDocument/2006/relationships/hyperlink" Target="https://share.hdrinc.com/sites/CoW_FRLP/_layouts/DocIdRedir.aspx?ID=COWFRLPHDR-5-766" TargetMode="External"/><Relationship Id="rId1564" Type="http://schemas.openxmlformats.org/officeDocument/2006/relationships/hyperlink" Target="https://share.hdrinc.com/sites/CoW_FRLP/_layouts/DocIdRedir.aspx?ID=COWFRLPHDR-5-848" TargetMode="External"/><Relationship Id="rId1771" Type="http://schemas.openxmlformats.org/officeDocument/2006/relationships/hyperlink" Target="https://share.hdrinc.com/sites/CoW_FRLP/_layouts/DocIdRedir.aspx?ID=COWFRLPHDR-5-873" TargetMode="External"/><Relationship Id="rId63" Type="http://schemas.openxmlformats.org/officeDocument/2006/relationships/hyperlink" Target="https://share.hdrinc.com/sites/CoW_FRLP/ACQUISITION/COW-FRMP_TR-201%20TITLE%20SOS%20Business%20Organization%20Inquiry.pdf" TargetMode="External"/><Relationship Id="rId159" Type="http://schemas.openxmlformats.org/officeDocument/2006/relationships/hyperlink" Target="https://share.hdrinc.com/sites/CoW_FRLP/ACQUISITION/COW-FRMP_TR-210%20CONTACT%20Letter%20of%20Intent-HDR%20R023712.pdf" TargetMode="External"/><Relationship Id="rId366" Type="http://schemas.openxmlformats.org/officeDocument/2006/relationships/hyperlink" Target="https://share.hdrinc.com/sites/CoW_FRLP/ACQUISITION/COW-FRMP_TR-231%20ENVIRONMENTAL%20Right-of-Entry%20Package.pdf" TargetMode="External"/><Relationship Id="rId573" Type="http://schemas.openxmlformats.org/officeDocument/2006/relationships/hyperlink" Target="https://share.hdrinc.com/sites/CoW_FRLP/ACQUISITION/COW-FRMP_TR-313%20TITLE%20Commitment.pdf" TargetMode="External"/><Relationship Id="rId780" Type="http://schemas.openxmlformats.org/officeDocument/2006/relationships/hyperlink" Target="https://share.hdrinc.com/sites/CoW_FRLP/ACQUISITION/COW-FRMP_TR-T164%20ENVIRONMENTAL%20Right-of-Entry%20Executed.pdf" TargetMode="External"/><Relationship Id="rId1217" Type="http://schemas.openxmlformats.org/officeDocument/2006/relationships/hyperlink" Target="https://share.hdrinc.com/sites/CoW_FRLP/_layouts/DocIdRedir.aspx?ID=COWFRLPHDR-5-84" TargetMode="External"/><Relationship Id="rId1424" Type="http://schemas.openxmlformats.org/officeDocument/2006/relationships/hyperlink" Target="https://share.hdrinc.com/sites/CoW_FRLP/_layouts/DocIdRedir.aspx?ID=COWFRLPHDR-5-1255" TargetMode="External"/><Relationship Id="rId1631" Type="http://schemas.openxmlformats.org/officeDocument/2006/relationships/hyperlink" Target="https://share.hdrinc.com/sites/CoW_FRLP/_layouts/DocIdRedir.aspx?ID=COWFRLPHDR-5-870" TargetMode="External"/><Relationship Id="rId1869" Type="http://schemas.openxmlformats.org/officeDocument/2006/relationships/hyperlink" Target="https://share.hdrinc.com/sites/CoW_FRLP/_layouts/DocIdRedir.aspx?ID=COWFRLPHDR-5-1363" TargetMode="External"/><Relationship Id="rId226" Type="http://schemas.openxmlformats.org/officeDocument/2006/relationships/hyperlink" Target="https://share.hdrinc.com/sites/CoW_FRLP/ACQUISITION/COW-FRMP_TR-215%20APPRAISAL%20Final%20Appraisal.pdf" TargetMode="External"/><Relationship Id="rId433" Type="http://schemas.openxmlformats.org/officeDocument/2006/relationships/hyperlink" Target="https://share.hdrinc.com/sites/CoW_FRLP/ACQUISITION/ContactRecords/COW-FRMP_TR-304%20CONTACT%20Negotiator%20Report.docx" TargetMode="External"/><Relationship Id="rId878" Type="http://schemas.openxmlformats.org/officeDocument/2006/relationships/hyperlink" Target="https://share.hdrinc.com/sites/CoW_FRLP/ACQUISITION/COW-FRMP_TR-T206%20CONTACT%20Negotiator%20Report.docx" TargetMode="External"/><Relationship Id="rId1063" Type="http://schemas.openxmlformats.org/officeDocument/2006/relationships/hyperlink" Target="https://share.hdrinc.com/sites/CoW_FRLP/_layouts/DocIdRedir.aspx?ID=COWFRLPHDR-5-196" TargetMode="External"/><Relationship Id="rId1270" Type="http://schemas.openxmlformats.org/officeDocument/2006/relationships/hyperlink" Target="https://share.hdrinc.com/sites/CoW_FRLP/_layouts/DocIdRedir.aspx?ID=COWFRLPHDR-5-42" TargetMode="External"/><Relationship Id="rId1729" Type="http://schemas.openxmlformats.org/officeDocument/2006/relationships/hyperlink" Target="https://share.hdrinc.com/sites/CoA_Buyout_6500/_layouts/DocIdRedir.aspx?ID=COABUYOUT65-9-40" TargetMode="External"/><Relationship Id="rId1936" Type="http://schemas.openxmlformats.org/officeDocument/2006/relationships/hyperlink" Target="https://share.hdrinc.com/sites/CoW_FRLP/_layouts/DocIdRedir.aspx?ID=COWFRLPHDR-5-1148" TargetMode="External"/><Relationship Id="rId640" Type="http://schemas.openxmlformats.org/officeDocument/2006/relationships/hyperlink" Target="https://share.hdrinc.com/sites/CoW_FRLP/ACQUISITION/COW-FRMP_TR-319%20APPRAISAL%20USACOE%20Authorization%20to%20Proceed%20with%20Offer.pdf" TargetMode="External"/><Relationship Id="rId738" Type="http://schemas.openxmlformats.org/officeDocument/2006/relationships/hyperlink" Target="https://share.hdrinc.com/sites/CoW_FRLP/ACQUISITION/COW-FRMP_TR-T070%20ENVIRONMENTAL%20Right-of-Entry%20Executed.pdf" TargetMode="External"/><Relationship Id="rId945" Type="http://schemas.openxmlformats.org/officeDocument/2006/relationships/hyperlink" Target="https://share.hdrinc.com/sites/CoW_FRLP/ACQUISITION/COW-FRMP_TR-T241%20ENVIRONMENTAL%20Right-of-Entry%20Package.pdf" TargetMode="External"/><Relationship Id="rId1368" Type="http://schemas.openxmlformats.org/officeDocument/2006/relationships/hyperlink" Target="https://share.hdrinc.com/sites/CoW_FRLP/_layouts/DocIdRedir.aspx?ID=COWFRLPHDR-5-856" TargetMode="External"/><Relationship Id="rId1575" Type="http://schemas.openxmlformats.org/officeDocument/2006/relationships/hyperlink" Target="https://share.hdrinc.com/sites/CoW_FRLP/_layouts/DocIdRedir.aspx?ID=COWFRLPHDR-5-1312" TargetMode="External"/><Relationship Id="rId1782" Type="http://schemas.openxmlformats.org/officeDocument/2006/relationships/hyperlink" Target="https://share.hdrinc.com/sites/CoW_FRLP/_layouts/DocIdRedir.aspx?ID=COWFRLPHDR-5-905" TargetMode="External"/><Relationship Id="rId74" Type="http://schemas.openxmlformats.org/officeDocument/2006/relationships/hyperlink" Target="https://share.hdrinc.com/sites/CoW_FRLP/ACQUISITION/COW-FRMP_TR-202%20NEGOTIATION%20Initial%20Offer%20Package.pdf" TargetMode="External"/><Relationship Id="rId377" Type="http://schemas.openxmlformats.org/officeDocument/2006/relationships/hyperlink" Target="https://share.hdrinc.com/sites/CoW_FRLP/ACQUISITION/COW-FRMP_TR-300%20SURVEY%20Description-Plat_CITY.pdf" TargetMode="External"/><Relationship Id="rId500" Type="http://schemas.openxmlformats.org/officeDocument/2006/relationships/hyperlink" Target="https://share.hdrinc.com/sites/CoW_FRLP/ACQUISITION/COW-FRMP_TR-309%20NEGOTIATION%20Initial%20Offer%20Package%20CMRR.pdf" TargetMode="External"/><Relationship Id="rId584" Type="http://schemas.openxmlformats.org/officeDocument/2006/relationships/hyperlink" Target="https://share.hdrinc.com/sites/CoW_FRLP/ACQUISITION/COW-FRMP_TR-314%20SURVEY%20Description-Plat_USACOE.pdf" TargetMode="External"/><Relationship Id="rId805" Type="http://schemas.openxmlformats.org/officeDocument/2006/relationships/hyperlink" Target="https://share.hdrinc.com/sites/CoW_FRLP/ACQUISITION/COW-FRMP_TR-T182%20ROE%20Right-of-Entry%20Executed.pdf" TargetMode="External"/><Relationship Id="rId1130" Type="http://schemas.openxmlformats.org/officeDocument/2006/relationships/hyperlink" Target="https://share.hdrinc.com/sites/CoW_FRLP/_layouts/DocIdRedir.aspx?ID=COWFRLPHDR-5-1213" TargetMode="External"/><Relationship Id="rId1228" Type="http://schemas.openxmlformats.org/officeDocument/2006/relationships/hyperlink" Target="https://share.hdrinc.com/sites/CoW_FRLP/_layouts/DocIdRedir.aspx?ID=COWFRLPHDR-5-104" TargetMode="External"/><Relationship Id="rId1435" Type="http://schemas.openxmlformats.org/officeDocument/2006/relationships/hyperlink" Target="https://share.hdrinc.com/sites/CoW_FRLP/_layouts/DocIdRedir.aspx?ID=COWFRLPHDR-5-405" TargetMode="External"/><Relationship Id="rId5" Type="http://schemas.openxmlformats.org/officeDocument/2006/relationships/hyperlink" Target="https://share.hdrinc.com/sites/CoW_FRLP/ACQUISITION/COW-FRMP_R027683%20SURVEY%20Right-of-Entry%20CMRR.pdf" TargetMode="External"/><Relationship Id="rId237" Type="http://schemas.openxmlformats.org/officeDocument/2006/relationships/hyperlink" Target="https://share.hdrinc.com/sites/CoW_FRLP/ACQUISITION/ContactRecords/COW-FRMP_TR-215%20CONTACT%20Negotiator%20Report.docx" TargetMode="External"/><Relationship Id="rId791" Type="http://schemas.openxmlformats.org/officeDocument/2006/relationships/hyperlink" Target="https://share.hdrinc.com/sites/CoW_FRLP/ACQUISITION/COW-FRMP_TR-T168%20ENVIRONMENTAL%20Right-of-Entry%20Package.pdf" TargetMode="External"/><Relationship Id="rId889" Type="http://schemas.openxmlformats.org/officeDocument/2006/relationships/hyperlink" Target="https://share.hdrinc.com/sites/CoW_FRLP/ACQUISITION/COW-FRMP_TR-T210%20TITLE%20Tax%20Card.pdf" TargetMode="External"/><Relationship Id="rId1074" Type="http://schemas.openxmlformats.org/officeDocument/2006/relationships/hyperlink" Target="https://share.hdrinc.com/sites/CoW_FRLP/_layouts/DocIdRedir.aspx?ID=COWFRLPHDR-5-198" TargetMode="External"/><Relationship Id="rId1642" Type="http://schemas.openxmlformats.org/officeDocument/2006/relationships/hyperlink" Target="https://share.hdrinc.com/sites/CoW_FRLP/_layouts/DocIdRedir.aspx?ID=COWFRLPHDR-5-456" TargetMode="External"/><Relationship Id="rId1947" Type="http://schemas.openxmlformats.org/officeDocument/2006/relationships/hyperlink" Target="https://share.hdrinc.com/sites/CoW_FRLP/_layouts/DocIdRedir.aspx?ID=COWFRLPHDR-5-992" TargetMode="External"/><Relationship Id="rId444" Type="http://schemas.openxmlformats.org/officeDocument/2006/relationships/hyperlink" Target="https://share.hdrinc.com/sites/CoW_FRLP/ACQUISITION/COW-FRMP_TR-305%20APPRAISAL%20Just%20Compensation%20Memo.pdf" TargetMode="External"/><Relationship Id="rId651" Type="http://schemas.openxmlformats.org/officeDocument/2006/relationships/hyperlink" Target="https://share.hdrinc.com/sites/CoW_FRLP/ACQUISITION/COW-FRMP_TR-320%20CONTACT%20Initial%20Interview%20-%20Residential.pdf" TargetMode="External"/><Relationship Id="rId749" Type="http://schemas.openxmlformats.org/officeDocument/2006/relationships/hyperlink" Target="https://share.hdrinc.com/sites/CoW_FRLP/ACQUISITION/COW-FRMP_TR-T072%20TITLE%20Tax%20Card.pdf" TargetMode="External"/><Relationship Id="rId1281" Type="http://schemas.openxmlformats.org/officeDocument/2006/relationships/hyperlink" Target="https://share.hdrinc.com/sites/CoW_FRLP/_layouts/DocIdRedir.aspx?ID=COWFRLPHDR-5-432" TargetMode="External"/><Relationship Id="rId1379" Type="http://schemas.openxmlformats.org/officeDocument/2006/relationships/hyperlink" Target="https://share.hdrinc.com/sites/CoW_FRLP/_layouts/DocIdRedir.aspx?ID=COWFRLPHDR-5-825" TargetMode="External"/><Relationship Id="rId1502" Type="http://schemas.openxmlformats.org/officeDocument/2006/relationships/hyperlink" Target="https://share.hdrinc.com/sites/CoW_FRLP/_layouts/DocIdRedir.aspx?ID=COWFRLPHDR-5-1207" TargetMode="External"/><Relationship Id="rId1586" Type="http://schemas.openxmlformats.org/officeDocument/2006/relationships/hyperlink" Target="https://share.hdrinc.com/sites/CoW_FRLP/_layouts/DocIdRedir.aspx?ID=COWFRLPHDR-5-148" TargetMode="External"/><Relationship Id="rId1807" Type="http://schemas.openxmlformats.org/officeDocument/2006/relationships/hyperlink" Target="https://share.hdrinc.com/sites/CoW_FRLP/_layouts/DocIdRedir.aspx?ID=COWFRLPHDR-5-922" TargetMode="External"/><Relationship Id="rId290" Type="http://schemas.openxmlformats.org/officeDocument/2006/relationships/hyperlink" Target="https://share.hdrinc.com/sites/CoW_FRLP/ACQUISITION/COW-FRMP_TR-219%20CONTACT%20Letter%20of%20Intent-HDR.pdf" TargetMode="External"/><Relationship Id="rId304" Type="http://schemas.openxmlformats.org/officeDocument/2006/relationships/hyperlink" Target="https://share.hdrinc.com/sites/CoW_FRLP/ACQUISITION/COW-FRMP_TR-220%20CONTACT%20Letter%20of%20Intent-HDR.pdf" TargetMode="External"/><Relationship Id="rId388" Type="http://schemas.openxmlformats.org/officeDocument/2006/relationships/hyperlink" Target="https://share.hdrinc.com/sites/CoW_FRLP/ACQUISITION/ContactRecords/COW-FRMP_TR-301%20CONTACT%20Negotiator%20Report.docx" TargetMode="External"/><Relationship Id="rId511" Type="http://schemas.openxmlformats.org/officeDocument/2006/relationships/hyperlink" Target="https://share.hdrinc.com/sites/CoW_FRLP/ACQUISITION/COW-FRMP_TR-310%20APPRAISAL%20USACOE%20Authorization%20to%20Proceed%20with%20Offer.pdf" TargetMode="External"/><Relationship Id="rId609" Type="http://schemas.openxmlformats.org/officeDocument/2006/relationships/hyperlink" Target="https://share.hdrinc.com/sites/CoW_FRLP/ACQUISITION/COW-FRMP_TR-315%20TITLE%20Tax%20Card.pdf" TargetMode="External"/><Relationship Id="rId956" Type="http://schemas.openxmlformats.org/officeDocument/2006/relationships/hyperlink" Target="https://share.hdrinc.com/sites/CoW_FRLP/ACQUISITION/COW-FRMP_TR-T243%20ROE%20Right-of-Entry%20Package.pdf" TargetMode="External"/><Relationship Id="rId1141" Type="http://schemas.openxmlformats.org/officeDocument/2006/relationships/hyperlink" Target="https://share.hdrinc.com/sites/CoW_FRLP/_layouts/DocIdRedir.aspx?ID=COWFRLPHDR-5-818" TargetMode="External"/><Relationship Id="rId1239" Type="http://schemas.openxmlformats.org/officeDocument/2006/relationships/hyperlink" Target="https://share.hdrinc.com/sites/CoW_FRLP/_layouts/DocIdRedir.aspx?ID=COWFRLPHDR-5-1321" TargetMode="External"/><Relationship Id="rId1793" Type="http://schemas.openxmlformats.org/officeDocument/2006/relationships/hyperlink" Target="https://share.hdrinc.com/sites/CoW_FRLP/_layouts/DocIdRedir.aspx?ID=COWFRLPHDR-5-914" TargetMode="External"/><Relationship Id="rId85" Type="http://schemas.openxmlformats.org/officeDocument/2006/relationships/hyperlink" Target="https://share.hdrinc.com/sites/CoW_FRLP/ACQUISITION/COW-FRMP_TR-203%20CONTACT%20Letter%20of%20Intent-HDR.pdf" TargetMode="External"/><Relationship Id="rId150" Type="http://schemas.openxmlformats.org/officeDocument/2006/relationships/hyperlink" Target="https://share.hdrinc.com/sites/CoW_FRLP/ACQUISITION/COW-FRMP_TR-208%20TITLE%20Curative%20Plan.docx" TargetMode="External"/><Relationship Id="rId595" Type="http://schemas.openxmlformats.org/officeDocument/2006/relationships/hyperlink" Target="https://share.hdrinc.com/sites/CoW_FRLP/ACQUISITION/COW-FRMP_TR-315%20APPRAISAL%20USACOE%20Authorization%20to%20Proceed%20with%20Offer%20Approval.pdf" TargetMode="External"/><Relationship Id="rId816" Type="http://schemas.openxmlformats.org/officeDocument/2006/relationships/hyperlink" Target="https://share.hdrinc.com/sites/CoW_FRLP/ACQUISITION/COW-FRMP_TR-T185%20CONTACT%20Negotiator%20Report.docx" TargetMode="External"/><Relationship Id="rId1001" Type="http://schemas.openxmlformats.org/officeDocument/2006/relationships/hyperlink" Target="https://share.hdrinc.com/sites/CoW_FRLP/ACQUISITION/COW-FRMP_TR-T274%20TITLE%20Tax%20Card.pdf" TargetMode="External"/><Relationship Id="rId1446" Type="http://schemas.openxmlformats.org/officeDocument/2006/relationships/hyperlink" Target="https://share.hdrinc.com/sites/CoW_FRLP/_layouts/DocIdRedir.aspx?ID=COWFRLPHDR-5-276" TargetMode="External"/><Relationship Id="rId1653" Type="http://schemas.openxmlformats.org/officeDocument/2006/relationships/hyperlink" Target="https://share.hdrinc.com/sites/CoW_FRLP/_layouts/DocIdRedir.aspx?ID=COWFRLPHDR-5-1382" TargetMode="External"/><Relationship Id="rId1860" Type="http://schemas.openxmlformats.org/officeDocument/2006/relationships/hyperlink" Target="https://share.hdrinc.com/sites/CoW_FRLP/_layouts/DocIdRedir.aspx?ID=COWFRLPHDR-5-1131" TargetMode="External"/><Relationship Id="rId248" Type="http://schemas.openxmlformats.org/officeDocument/2006/relationships/hyperlink" Target="https://share.hdrinc.com/sites/CoW_FRLP/ACQUISITION/COW-FRMP_TR-216%20APPRAISAL%20Final%20Appraisal.pdf" TargetMode="External"/><Relationship Id="rId455" Type="http://schemas.openxmlformats.org/officeDocument/2006/relationships/hyperlink" Target="https://share.hdrinc.com/sites/CoW_FRLP/ACQUISITION/COW-FRMP_TR-305%20TITLE%20Commitment%20Backup%20Docs.pdf" TargetMode="External"/><Relationship Id="rId662" Type="http://schemas.openxmlformats.org/officeDocument/2006/relationships/hyperlink" Target="https://share.hdrinc.com/sites/CoW_FRLP/ACQUISITION/COW-FRMP_TR-320%20TITLE%20Tax%20Card.pdf" TargetMode="External"/><Relationship Id="rId1085" Type="http://schemas.openxmlformats.org/officeDocument/2006/relationships/hyperlink" Target="https://share.hdrinc.com/sites/CoW_FRLP/_layouts/DocIdRedir.aspx?ID=COWFRLPHDR-5-481" TargetMode="External"/><Relationship Id="rId1292" Type="http://schemas.openxmlformats.org/officeDocument/2006/relationships/hyperlink" Target="https://share.hdrinc.com/sites/CoW_FRLP/_layouts/DocIdRedir.aspx?ID=COWFRLPHDR-5-679" TargetMode="External"/><Relationship Id="rId1306" Type="http://schemas.openxmlformats.org/officeDocument/2006/relationships/hyperlink" Target="https://share.hdrinc.com/sites/CoW_FRLP/_layouts/DocIdRedir.aspx?ID=COWFRLPHDR-5-816" TargetMode="External"/><Relationship Id="rId1513" Type="http://schemas.openxmlformats.org/officeDocument/2006/relationships/hyperlink" Target="https://share.hdrinc.com/sites/CoW_FRLP/_layouts/DocIdRedir.aspx?ID=COWFRLPHDR-5-1324" TargetMode="External"/><Relationship Id="rId1720" Type="http://schemas.openxmlformats.org/officeDocument/2006/relationships/hyperlink" Target="https://share.hdrinc.com/sites/CoW_FRLP/_layouts/DocIdRedir.aspx?ID=COWFRLPHDR-5-463" TargetMode="External"/><Relationship Id="rId1958" Type="http://schemas.openxmlformats.org/officeDocument/2006/relationships/hyperlink" Target="https://share.hdrinc.com/sites/CoW_FRLP/_layouts/DocIdRedir.aspx?ID=COWFRLPHDR-5-998" TargetMode="External"/><Relationship Id="rId12" Type="http://schemas.openxmlformats.org/officeDocument/2006/relationships/hyperlink" Target="https://share.hdrinc.com/sites/CoW_FRLP/ACQUISITION/COW-FRMP_R069705%20SURVEY%20Right-of-Entry%20CMRR.pdf" TargetMode="External"/><Relationship Id="rId108" Type="http://schemas.openxmlformats.org/officeDocument/2006/relationships/hyperlink" Target="https://share.hdrinc.com/sites/CoW_FRLP/ACQUISITION/COW-FRMP_TR-205%20SURVEY%20Right-of-Entry.pdf" TargetMode="External"/><Relationship Id="rId315" Type="http://schemas.openxmlformats.org/officeDocument/2006/relationships/hyperlink" Target="https://share.hdrinc.com/sites/CoW_FRLP/ACQUISITION/COW-FRMP_TR-222%20APPRAISAL%20Just%20Compensation%20Memo.pdf" TargetMode="External"/><Relationship Id="rId522" Type="http://schemas.openxmlformats.org/officeDocument/2006/relationships/hyperlink" Target="https://share.hdrinc.com/sites/CoW_FRLP/ACQUISITION/COW-FRMP_TR-310%20TITLE%20Tax%20Card.pdf" TargetMode="External"/><Relationship Id="rId967" Type="http://schemas.openxmlformats.org/officeDocument/2006/relationships/hyperlink" Target="https://share.hdrinc.com/sites/CoW_FRLP/ACQUISITION/COW-FRMP_TR-T256%20ROE%20Right-of-Entry%20Executed.pdf" TargetMode="External"/><Relationship Id="rId1152" Type="http://schemas.openxmlformats.org/officeDocument/2006/relationships/hyperlink" Target="https://share.hdrinc.com/sites/CoW_FRLP/_layouts/DocIdRedir.aspx?ID=COWFRLPHDR-5-108" TargetMode="External"/><Relationship Id="rId1597" Type="http://schemas.openxmlformats.org/officeDocument/2006/relationships/hyperlink" Target="https://share.hdrinc.com/sites/CoW_FRLP/_layouts/DocIdRedir.aspx?ID=COWFRLPHDR-5-850" TargetMode="External"/><Relationship Id="rId1818" Type="http://schemas.openxmlformats.org/officeDocument/2006/relationships/hyperlink" Target="https://share.hdrinc.com/sites/CoW_FRLP/_layouts/DocIdRedir.aspx?ID=COWFRLPHDR-5-1278" TargetMode="External"/><Relationship Id="rId96" Type="http://schemas.openxmlformats.org/officeDocument/2006/relationships/hyperlink" Target="https://share.hdrinc.com/sites/CoW_FRLP/ACQUISITION/COW-FRMP_TR-205%20APPRAISAL%20Just%20Compensation%20Memo.pdf" TargetMode="External"/><Relationship Id="rId161" Type="http://schemas.openxmlformats.org/officeDocument/2006/relationships/hyperlink" Target="https://share.hdrinc.com/sites/CoW_FRLP/ACQUISITION/COW-FRMP_TR-210%20NEGOTIATION%20Initial%20Offer%20Package.pdf" TargetMode="External"/><Relationship Id="rId399" Type="http://schemas.openxmlformats.org/officeDocument/2006/relationships/hyperlink" Target="https://share.hdrinc.com/sites/CoW_FRLP/ACQUISITION/COW-FRMP_TR-302%20APPRAISAL%20USACOE%20Authorization%20to%20Proceed%20with%20Offer.pdf" TargetMode="External"/><Relationship Id="rId827" Type="http://schemas.openxmlformats.org/officeDocument/2006/relationships/hyperlink" Target="https://share.hdrinc.com/sites/CoW_FRLP/ACQUISITION/COW-FRMP_TR-T187%20ROE%20Right-of-Entry%20Package.pdf" TargetMode="External"/><Relationship Id="rId1012" Type="http://schemas.openxmlformats.org/officeDocument/2006/relationships/hyperlink" Target="https://share.hdrinc.com/sites/CoW_FRLP/ACQUISITION/COW-FRMP_TR-T281%20ROE%20Right-of-Entry%20Executed.pdf" TargetMode="External"/><Relationship Id="rId1457" Type="http://schemas.openxmlformats.org/officeDocument/2006/relationships/hyperlink" Target="https://share.hdrinc.com/sites/CoW_FRLP/_layouts/DocIdRedir.aspx?ID=COWFRLPHDR-5-1228" TargetMode="External"/><Relationship Id="rId1664" Type="http://schemas.openxmlformats.org/officeDocument/2006/relationships/hyperlink" Target="https://share.hdrinc.com/sites/CoW_FRLP/_layouts/DocIdRedir.aspx?ID=COWFRLPHDR-5-105" TargetMode="External"/><Relationship Id="rId1871" Type="http://schemas.openxmlformats.org/officeDocument/2006/relationships/hyperlink" Target="https://share.hdrinc.com/sites/CoA_Buyout_6500/_layouts/DocIdRedir.aspx?ID=COABUYOUT65-9-40" TargetMode="External"/><Relationship Id="rId259" Type="http://schemas.openxmlformats.org/officeDocument/2006/relationships/hyperlink" Target="https://share.hdrinc.com/sites/CoW_FRLP/ACQUISITION/COW-FRMP_TR-216%20TITLE%20Curative%20Plan.docx" TargetMode="External"/><Relationship Id="rId466" Type="http://schemas.openxmlformats.org/officeDocument/2006/relationships/hyperlink" Target="https://share.hdrinc.com/sites/CoW_FRLP/ACQUISITION/ContactRecords/COW-FRMP_TR-307%20CONTACT%20Negotiator%20Report.docx" TargetMode="External"/><Relationship Id="rId673" Type="http://schemas.openxmlformats.org/officeDocument/2006/relationships/hyperlink" Target="https://share.hdrinc.com/sites/CoW_FRLP/ACQUISITION/COW-FRMP_TR-322%20TITLE%20Commitment.pdf" TargetMode="External"/><Relationship Id="rId880" Type="http://schemas.openxmlformats.org/officeDocument/2006/relationships/hyperlink" Target="https://share.hdrinc.com/sites/CoW_FRLP/ACQUISITION/COW-FRMP_TR-T206%20ENVIRONMENTAL%20Right-of-Entry%20Package.pdf" TargetMode="External"/><Relationship Id="rId1096" Type="http://schemas.openxmlformats.org/officeDocument/2006/relationships/hyperlink" Target="https://share.hdrinc.com/sites/CoW_FRLP/_layouts/DocIdRedir.aspx?ID=COWFRLPHDR-5-799" TargetMode="External"/><Relationship Id="rId1317" Type="http://schemas.openxmlformats.org/officeDocument/2006/relationships/hyperlink" Target="https://share.hdrinc.com/sites/CoW_FRLP/_layouts/DocIdRedir.aspx?ID=COWFRLPHDR-5-763" TargetMode="External"/><Relationship Id="rId1524" Type="http://schemas.openxmlformats.org/officeDocument/2006/relationships/hyperlink" Target="https://share.hdrinc.com/sites/CoW_FRLP/_layouts/DocIdRedir.aspx?ID=COWFRLPHDR-5-1286" TargetMode="External"/><Relationship Id="rId1731" Type="http://schemas.openxmlformats.org/officeDocument/2006/relationships/hyperlink" Target="https://share.hdrinc.com/sites/CoW_FRLP/_layouts/DocIdRedir.aspx?ID=COWFRLPHDR-5-1275" TargetMode="External"/><Relationship Id="rId1969" Type="http://schemas.openxmlformats.org/officeDocument/2006/relationships/hyperlink" Target="https://share.hdrinc.com/sites/CoW_FRLP/_layouts/DocIdRedir.aspx?ID=COWFRLPHDR-5-1143" TargetMode="External"/><Relationship Id="rId23" Type="http://schemas.openxmlformats.org/officeDocument/2006/relationships/hyperlink" Target="https://share.hdrinc.com/sites/CoW_FRLP/ACQUISITION/COW-FRMP_TR-100%20SURVEY%20Description-Plat_USACOE.pdf" TargetMode="External"/><Relationship Id="rId119" Type="http://schemas.openxmlformats.org/officeDocument/2006/relationships/hyperlink" Target="https://share.hdrinc.com/sites/CoW_FRLP/ACQUISITION/COW-FRMP_TR-207%20APPRAISAL%20USACOE%20Authorization%20to%20Proceed%20with%20Offer%20Approval.pdf" TargetMode="External"/><Relationship Id="rId326" Type="http://schemas.openxmlformats.org/officeDocument/2006/relationships/hyperlink" Target="https://share.hdrinc.com/sites/CoW_FRLP/ACQUISITION/COW-FRMP_TR-222%20TITLE%20Tax%20Card.pdf" TargetMode="External"/><Relationship Id="rId533" Type="http://schemas.openxmlformats.org/officeDocument/2006/relationships/hyperlink" Target="https://share.hdrinc.com/sites/CoW_FRLP/ACQUISITION/COW-FRMP_TR-311%20NEGOTIATION%20Landowner%20Bill%20of%20Rights%20Letter.pdf" TargetMode="External"/><Relationship Id="rId978" Type="http://schemas.openxmlformats.org/officeDocument/2006/relationships/hyperlink" Target="https://share.hdrinc.com/sites/CoW_FRLP/ACQUISITION/COW-FRMP_TR-T261%20ROE%20Right-of-Entry%20Package.pdf" TargetMode="External"/><Relationship Id="rId1163" Type="http://schemas.openxmlformats.org/officeDocument/2006/relationships/hyperlink" Target="https://share.hdrinc.com/sites/CoW_FRLP/_layouts/DocIdRedir.aspx?ID=COWFRLPHDR-5-385" TargetMode="External"/><Relationship Id="rId1370" Type="http://schemas.openxmlformats.org/officeDocument/2006/relationships/hyperlink" Target="https://share.hdrinc.com/sites/CoW_FRLP/_layouts/DocIdRedir.aspx?ID=COABUYOUT65-9-40" TargetMode="External"/><Relationship Id="rId1829" Type="http://schemas.openxmlformats.org/officeDocument/2006/relationships/hyperlink" Target="https://share.hdrinc.com/sites/CoW_FRLP/_layouts/DocIdRedir.aspx?ID=COWFRLPHDR-5-932" TargetMode="External"/><Relationship Id="rId2007" Type="http://schemas.openxmlformats.org/officeDocument/2006/relationships/hyperlink" Target="https://share.hdrinc.com/sites/CoW_FRLP/_layouts/DocIdRedir.aspx?ID=COWFRLPHDR-5-1233" TargetMode="External"/><Relationship Id="rId740" Type="http://schemas.openxmlformats.org/officeDocument/2006/relationships/hyperlink" Target="https://share.hdrinc.com/sites/CoW_FRLP/ACQUISITION/COW-FRMP_TR-T070%20ROE%20Right-of-Entry%20Package.pdf" TargetMode="External"/><Relationship Id="rId838" Type="http://schemas.openxmlformats.org/officeDocument/2006/relationships/hyperlink" Target="https://share.hdrinc.com/sites/CoW_FRLP/ACQUISITION/COW-FRMP_TR-T189%20TITLE%20Tax%20Card.pdf" TargetMode="External"/><Relationship Id="rId1023" Type="http://schemas.openxmlformats.org/officeDocument/2006/relationships/hyperlink" Target="https://share.hdrinc.com/sites/CoW_FRLP/_layouts/DocIdRedir.aspx?ID=COWFRLPHDR-5-138" TargetMode="External"/><Relationship Id="rId1468" Type="http://schemas.openxmlformats.org/officeDocument/2006/relationships/hyperlink" Target="https://share.hdrinc.com/sites/CoW_FRLP/_layouts/DocIdRedir.aspx?ID=COWFRLPHDR-5-14" TargetMode="External"/><Relationship Id="rId1675" Type="http://schemas.openxmlformats.org/officeDocument/2006/relationships/hyperlink" Target="https://share.hdrinc.com/sites/CoW_FRLP/_layouts/DocIdRedir.aspx?ID=COWFRLPHDR-5-665" TargetMode="External"/><Relationship Id="rId1882" Type="http://schemas.openxmlformats.org/officeDocument/2006/relationships/hyperlink" Target="https://share.hdrinc.com/sites/CoW_FRLP/_layouts/DocIdRedir.aspx?ID=COWFRLPHDR-5-951" TargetMode="External"/><Relationship Id="rId172" Type="http://schemas.openxmlformats.org/officeDocument/2006/relationships/hyperlink" Target="https://share.hdrinc.com/sites/CoW_FRLP/ACQUISITION/COW-FRMP_TR-211%20CONTACT%20Letter%20of%20Intent-HDR.pdf" TargetMode="External"/><Relationship Id="rId477" Type="http://schemas.openxmlformats.org/officeDocument/2006/relationships/hyperlink" Target="https://share.hdrinc.com/sites/CoW_FRLP/ACQUISITION/COW-FRMP_TR-308%20CONTACT%20Letter%20of%20Intent-HDR%20Torres.pdf" TargetMode="External"/><Relationship Id="rId600" Type="http://schemas.openxmlformats.org/officeDocument/2006/relationships/hyperlink" Target="https://share.hdrinc.com/sites/CoW_FRLP/ACQUISITION/COW-FRMP_TR-315%20NEGOTIATION%20Initial%20Offer%20Package%20CMRR.pdf" TargetMode="External"/><Relationship Id="rId684" Type="http://schemas.openxmlformats.org/officeDocument/2006/relationships/hyperlink" Target="https://share.hdrinc.com/sites/CoW_FRLP/ACQUISITION/COW-FRMP_TR-326%20NEGOTIATION%20Landowner%20Bill%20of%20Rights%20Letter.pdf" TargetMode="External"/><Relationship Id="rId1230" Type="http://schemas.openxmlformats.org/officeDocument/2006/relationships/hyperlink" Target="https://share.hdrinc.com/sites/CoW_FRLP/_layouts/DocIdRedir.aspx?ID=COWFRLPHDR-5-272" TargetMode="External"/><Relationship Id="rId1328" Type="http://schemas.openxmlformats.org/officeDocument/2006/relationships/hyperlink" Target="https://share.hdrinc.com/sites/CoW_FRLP/_layouts/DocIdRedir.aspx?ID=COWFRLPHDR-5-1238" TargetMode="External"/><Relationship Id="rId1535" Type="http://schemas.openxmlformats.org/officeDocument/2006/relationships/hyperlink" Target="https://share.hdrinc.com/sites/CoW_FRLP/_layouts/DocIdRedir.aspx?ID=COWFRLPHDR-5-652" TargetMode="External"/><Relationship Id="rId337" Type="http://schemas.openxmlformats.org/officeDocument/2006/relationships/hyperlink" Target="https://share.hdrinc.com/sites/CoW_FRLP/ACQUISITION/COW-FRMP_TR-223%20TITLE%20Commitment%20Backup%20Docs.pdf" TargetMode="External"/><Relationship Id="rId891" Type="http://schemas.openxmlformats.org/officeDocument/2006/relationships/hyperlink" Target="https://share.hdrinc.com/sites/CoW_FRLP/ACQUISITION/COW-FRMP_TR-T211%20ENVIRONMENTAL%20Right-of-Entry%20Package.pdf" TargetMode="External"/><Relationship Id="rId905" Type="http://schemas.openxmlformats.org/officeDocument/2006/relationships/hyperlink" Target="https://share.hdrinc.com/sites/CoW_FRLP/ACQUISITION/COW-FRMP_TR-T213%20TITLE%20Tax%20Card.pdf" TargetMode="External"/><Relationship Id="rId989" Type="http://schemas.openxmlformats.org/officeDocument/2006/relationships/hyperlink" Target="https://share.hdrinc.com/sites/CoW_FRLP/ACQUISITION/COW-FRMP_TR-T267%20ROE%20Right-of-Entry%20Package.pdf" TargetMode="External"/><Relationship Id="rId1742" Type="http://schemas.openxmlformats.org/officeDocument/2006/relationships/hyperlink" Target="https://share.hdrinc.com/sites/CoW_FRLP/_layouts/DocIdRedir.aspx?ID=COWFRLPHDR-5-1046" TargetMode="External"/><Relationship Id="rId2018" Type="http://schemas.openxmlformats.org/officeDocument/2006/relationships/hyperlink" Target="https://share.hdrinc.com/sites/CoW_FRLP/_layouts/DocIdRedir.aspx?ID=COWFRLPHDR-5-1059" TargetMode="External"/><Relationship Id="rId34" Type="http://schemas.openxmlformats.org/officeDocument/2006/relationships/hyperlink" Target="https://share.hdrinc.com/sites/CoW_FRLP/ACQUISITION/COW-FRMP_TR-102%20TITLE%20Curative%20Plan.docx" TargetMode="External"/><Relationship Id="rId544" Type="http://schemas.openxmlformats.org/officeDocument/2006/relationships/hyperlink" Target="https://share.hdrinc.com/sites/CoW_FRLP/ACQUISITION/COW-FRMP_TR-312%20APPRAISAL%20USACOE%20Authorization%20to%20Proceed%20with%20Offer.pdf" TargetMode="External"/><Relationship Id="rId751" Type="http://schemas.openxmlformats.org/officeDocument/2006/relationships/hyperlink" Target="https://share.hdrinc.com/sites/CoW_FRLP/ACQUISITION/COW-FRMP_TR-T091%20ENVIRONMENTAL%20Right-of-Entry%20Package.pdf" TargetMode="External"/><Relationship Id="rId849" Type="http://schemas.openxmlformats.org/officeDocument/2006/relationships/hyperlink" Target="https://share.hdrinc.com/sites/CoW_FRLP/ACQUISITION/COW-FRMP_TR-T192%20CONTACT%20Negotiator%20Report.docx" TargetMode="External"/><Relationship Id="rId1174" Type="http://schemas.openxmlformats.org/officeDocument/2006/relationships/hyperlink" Target="https://share.hdrinc.com/sites/CoW_FRLP/_layouts/DocIdRedir.aspx?ID=COWFRLPHDR-5-1352" TargetMode="External"/><Relationship Id="rId1381" Type="http://schemas.openxmlformats.org/officeDocument/2006/relationships/hyperlink" Target="https://share.hdrinc.com/sites/CoW_FRLP/_layouts/DocIdRedir.aspx?ID=COWFRLPHDR-5-1221" TargetMode="External"/><Relationship Id="rId1479" Type="http://schemas.openxmlformats.org/officeDocument/2006/relationships/hyperlink" Target="https://share.hdrinc.com/sites/CoW_FRLP/_layouts/DocIdRedir.aspx?ID=COWFRLPHDR-5-261" TargetMode="External"/><Relationship Id="rId1602" Type="http://schemas.openxmlformats.org/officeDocument/2006/relationships/hyperlink" Target="https://share.hdrinc.com/sites/CoW_FRLP/_layouts/DocIdRedir.aspx?ID=COWFRLPHDR-5-776" TargetMode="External"/><Relationship Id="rId1686" Type="http://schemas.openxmlformats.org/officeDocument/2006/relationships/hyperlink" Target="https://share.hdrinc.com/sites/CoW_FRLP/_layouts/DocIdRedir.aspx?ID=COWFRLPHDR-5-381" TargetMode="External"/><Relationship Id="rId183" Type="http://schemas.openxmlformats.org/officeDocument/2006/relationships/hyperlink" Target="https://share.hdrinc.com/sites/CoW_FRLP/ACQUISITION/COW-FRMP_TR-211%20TITLE%20Tax%20Card.pdf" TargetMode="External"/><Relationship Id="rId390" Type="http://schemas.openxmlformats.org/officeDocument/2006/relationships/hyperlink" Target="https://share.hdrinc.com/sites/CoW_FRLP/ACQUISITION/COW-FRMP_TR-301%20SURVEY%20Description-Plat_USACOE.pdf" TargetMode="External"/><Relationship Id="rId404" Type="http://schemas.openxmlformats.org/officeDocument/2006/relationships/hyperlink" Target="https://share.hdrinc.com/sites/CoW_FRLP/ACQUISITION/COW-FRMP_TR-302%20SURVEY%20Description-Plat_USACOE.pdf" TargetMode="External"/><Relationship Id="rId611" Type="http://schemas.openxmlformats.org/officeDocument/2006/relationships/hyperlink" Target="https://share.hdrinc.com/sites/CoW_FRLP/ACQUISITION/COW-FRMP_TR-316%20APPRAISAL%20Just%20Compensation%20Memo.pdf" TargetMode="External"/><Relationship Id="rId1034" Type="http://schemas.openxmlformats.org/officeDocument/2006/relationships/hyperlink" Target="https://share.hdrinc.com/sites/CoW_FRLP/_layouts/DocIdRedir.aspx?ID=COWFRLPHDR-5-350" TargetMode="External"/><Relationship Id="rId1241" Type="http://schemas.openxmlformats.org/officeDocument/2006/relationships/hyperlink" Target="https://share.hdrinc.com/sites/CoW_FRLP/_layouts/DocIdRedir.aspx?ID=COWFRLPHDR-5-1323" TargetMode="External"/><Relationship Id="rId1339" Type="http://schemas.openxmlformats.org/officeDocument/2006/relationships/hyperlink" Target="https://share.hdrinc.com/sites/CoW_FRLP/_layouts/DocIdRedir.aspx?ID=COWFRLPHDR-5-635" TargetMode="External"/><Relationship Id="rId1893" Type="http://schemas.openxmlformats.org/officeDocument/2006/relationships/hyperlink" Target="https://share.hdrinc.com/sites/CoW_FRLP/_layouts/DocIdRedir.aspx?ID=COWFRLPHDR-5-958" TargetMode="External"/><Relationship Id="rId1907" Type="http://schemas.openxmlformats.org/officeDocument/2006/relationships/hyperlink" Target="https://share.hdrinc.com/sites/CoA_Buyout_6500/_layouts/DocIdRedir.aspx?ID=COABUYOUT65-9-40" TargetMode="External"/><Relationship Id="rId250" Type="http://schemas.openxmlformats.org/officeDocument/2006/relationships/hyperlink" Target="https://share.hdrinc.com/sites/CoW_FRLP/ACQUISITION/COW-FRMP_TR-216%20APPRAISAL%20USACOE%20Authorization%20to%20Proceed%20with%20Offer.pdf" TargetMode="External"/><Relationship Id="rId488" Type="http://schemas.openxmlformats.org/officeDocument/2006/relationships/hyperlink" Target="https://share.hdrinc.com/sites/CoW_FRLP/ACQUISITION/COW-FRMP_TR-309%20APPRAISAL%20Appraisal%20Review.pdf" TargetMode="External"/><Relationship Id="rId695" Type="http://schemas.openxmlformats.org/officeDocument/2006/relationships/hyperlink" Target="https://share.hdrinc.com/sites/CoW_FRLP/ACQUISITION/COW-FRMP_TR-421A%20CONTACT%20Initial%20Interview%20-%20Residential.pdf" TargetMode="External"/><Relationship Id="rId709" Type="http://schemas.openxmlformats.org/officeDocument/2006/relationships/hyperlink" Target="https://share.hdrinc.com/sites/CoW_FRLP/ACQUISITION/COW-FRMP_TR-427%20SURVEY%20Description-Plat_CITY.pdf" TargetMode="External"/><Relationship Id="rId916" Type="http://schemas.openxmlformats.org/officeDocument/2006/relationships/hyperlink" Target="https://share.hdrinc.com/sites/CoW_FRLP/ACQUISITION/COW-FRMP_TR-T227%20TITLE%20Tax%20Card.pdf" TargetMode="External"/><Relationship Id="rId1101" Type="http://schemas.openxmlformats.org/officeDocument/2006/relationships/hyperlink" Target="https://share.hdrinc.com/sites/CoW_FRLP/_layouts/DocIdRedir.aspx?ID=COWFRLPHDR-5-114" TargetMode="External"/><Relationship Id="rId1546" Type="http://schemas.openxmlformats.org/officeDocument/2006/relationships/hyperlink" Target="https://share.hdrinc.com/sites/CoW_FRLP/_layouts/DocIdRedir.aspx?ID=COWFRLPHDR-5-450" TargetMode="External"/><Relationship Id="rId1753" Type="http://schemas.openxmlformats.org/officeDocument/2006/relationships/hyperlink" Target="https://share.hdrinc.com/sites/CoW_FRLP/_layouts/DocIdRedir.aspx?ID=COWFRLPHDR-5-1091" TargetMode="External"/><Relationship Id="rId1960" Type="http://schemas.openxmlformats.org/officeDocument/2006/relationships/hyperlink" Target="https://share.hdrinc.com/sites/CoW_FRLP/_layouts/DocIdRedir.aspx?ID=COWFRLPHDR-5-1000" TargetMode="External"/><Relationship Id="rId45" Type="http://schemas.openxmlformats.org/officeDocument/2006/relationships/hyperlink" Target="https://share.hdrinc.com/sites/CoW_FRLP/ACQUISITION/COW-FRMP_TR-200%20NEGOTIATION%20Initial%20Offer%20Package%20CMRR.pdf" TargetMode="External"/><Relationship Id="rId110" Type="http://schemas.openxmlformats.org/officeDocument/2006/relationships/hyperlink" Target="https://share.hdrinc.com/sites/CoW_FRLP/ACQUISITION/COW-FRMP_TR-205%20TITLE%20Commitment%20Backup%20Docs.pdf" TargetMode="External"/><Relationship Id="rId348" Type="http://schemas.openxmlformats.org/officeDocument/2006/relationships/hyperlink" Target="https://share.hdrinc.com/sites/CoW_FRLP/ACQUISITION/COW-FRMP_TR-224%20TITLE%20SOS%20Business%20Organization%20Inquiry.pdf" TargetMode="External"/><Relationship Id="rId555" Type="http://schemas.openxmlformats.org/officeDocument/2006/relationships/hyperlink" Target="https://share.hdrinc.com/sites/CoW_FRLP/ACQUISITION/COW-FRMP_TR-312%20TITLE%20Curative%20Plan.docx" TargetMode="External"/><Relationship Id="rId762" Type="http://schemas.openxmlformats.org/officeDocument/2006/relationships/hyperlink" Target="https://share.hdrinc.com/sites/CoW_FRLP/ACQUISITION/COW-FRMP_TR-T158%20ENVIRONMENTAL%20Right-of-Entry%20Package.pdf" TargetMode="External"/><Relationship Id="rId1185" Type="http://schemas.openxmlformats.org/officeDocument/2006/relationships/hyperlink" Target="https://share.hdrinc.com/sites/CoW_FRLP/_layouts/DocIdRedir.aspx?ID=COWFRLPHDR-5-502" TargetMode="External"/><Relationship Id="rId1392" Type="http://schemas.openxmlformats.org/officeDocument/2006/relationships/hyperlink" Target="https://share.hdrinc.com/sites/CoW_FRLP/_layouts/DocIdRedir.aspx?ID=COWFRLPHDR-5-793" TargetMode="External"/><Relationship Id="rId1406" Type="http://schemas.openxmlformats.org/officeDocument/2006/relationships/hyperlink" Target="https://share.hdrinc.com/sites/CoW_FRLP/_layouts/DocIdRedir.aspx?ID=COWFRLPHDR-5-16" TargetMode="External"/><Relationship Id="rId1613" Type="http://schemas.openxmlformats.org/officeDocument/2006/relationships/hyperlink" Target="https://share.hdrinc.com/sites/CoW_FRLP/_layouts/DocIdRedir.aspx?ID=COWFRLPHDR-5-1360" TargetMode="External"/><Relationship Id="rId1820" Type="http://schemas.openxmlformats.org/officeDocument/2006/relationships/hyperlink" Target="https://share.hdrinc.com/sites/CoW_FRLP/_layouts/DocIdRedir.aspx?ID=COWFRLPHDR-5-1063" TargetMode="External"/><Relationship Id="rId194" Type="http://schemas.openxmlformats.org/officeDocument/2006/relationships/hyperlink" Target="https://share.hdrinc.com/sites/CoW_FRLP/ACQUISITION/COW-FRMP_TR-213%20APPRAISAL%20Just%20Compensation%20Memo.pdf" TargetMode="External"/><Relationship Id="rId208" Type="http://schemas.openxmlformats.org/officeDocument/2006/relationships/hyperlink" Target="https://share.hdrinc.com/sites/CoW_FRLP/ACQUISITION/COW-FRMP_TR-213%20TITLE%20Tax%20Card.pdf" TargetMode="External"/><Relationship Id="rId415" Type="http://schemas.openxmlformats.org/officeDocument/2006/relationships/hyperlink" Target="https://share.hdrinc.com/sites/CoW_FRLP/ACQUISITION/ContactRecords/COW-FRMP_TR-303%20CONTACT%20Negotiator%20Report.docx" TargetMode="External"/><Relationship Id="rId622" Type="http://schemas.openxmlformats.org/officeDocument/2006/relationships/hyperlink" Target="https://share.hdrinc.com/sites/CoW_FRLP/ACQUISITION/COW-FRMP_TR-316%20TITLE%20Commitment%20Backup%20Docs.pdf" TargetMode="External"/><Relationship Id="rId1045" Type="http://schemas.openxmlformats.org/officeDocument/2006/relationships/hyperlink" Target="https://share.hdrinc.com/sites/CoW_FRLP/_layouts/DocIdRedir.aspx?ID=COWFRLPHDR-5-1211" TargetMode="External"/><Relationship Id="rId1252" Type="http://schemas.openxmlformats.org/officeDocument/2006/relationships/hyperlink" Target="https://share.hdrinc.com/sites/CoW_FRLP/_layouts/DocIdRedir.aspx?ID=COWFRLPHDR-5-677" TargetMode="External"/><Relationship Id="rId1697" Type="http://schemas.openxmlformats.org/officeDocument/2006/relationships/hyperlink" Target="https://share.hdrinc.com/sites/CoW_FRLP/_layouts/DocIdRedir.aspx?ID=COWFRLPHDR-5-461" TargetMode="External"/><Relationship Id="rId1918" Type="http://schemas.openxmlformats.org/officeDocument/2006/relationships/hyperlink" Target="https://share.hdrinc.com/sites/CoW_FRLP/_layouts/DocIdRedir.aspx?ID=COWFRLPHDR-5-976" TargetMode="External"/><Relationship Id="rId261" Type="http://schemas.openxmlformats.org/officeDocument/2006/relationships/hyperlink" Target="https://share.hdrinc.com/sites/CoW_FRLP/ACQUISITION/COW-FRMP_TR-217%20APPRAISAL%20Final%20Appraisal.pdf" TargetMode="External"/><Relationship Id="rId499" Type="http://schemas.openxmlformats.org/officeDocument/2006/relationships/hyperlink" Target="https://share.hdrinc.com/sites/CoW_FRLP/ACQUISITION/COW-FRMP_TR-309%20NEGOTIATION%20Initial%20Offer%20Package%20Acknowledgment.pdf" TargetMode="External"/><Relationship Id="rId927" Type="http://schemas.openxmlformats.org/officeDocument/2006/relationships/hyperlink" Target="https://share.hdrinc.com/sites/CoW_FRLP/ACQUISITION/COW-FRMP_TR-T234%20TITLE%20Tax%20Card.pdf" TargetMode="External"/><Relationship Id="rId1112" Type="http://schemas.openxmlformats.org/officeDocument/2006/relationships/hyperlink" Target="https://share.hdrinc.com/sites/CoW_FRLP/_layouts/DocIdRedir.aspx?ID=COWFRLPHDR-5-90" TargetMode="External"/><Relationship Id="rId1557" Type="http://schemas.openxmlformats.org/officeDocument/2006/relationships/hyperlink" Target="https://share.hdrinc.com/sites/CoW_FRLP/_layouts/DocIdRedir.aspx?ID=COWFRLPHDR-5-1292" TargetMode="External"/><Relationship Id="rId1764" Type="http://schemas.openxmlformats.org/officeDocument/2006/relationships/hyperlink" Target="https://share.hdrinc.com/sites/CoW_FRLP/_layouts/DocIdRedir.aspx?ID=COWFRLPHDR-5-895" TargetMode="External"/><Relationship Id="rId1971" Type="http://schemas.openxmlformats.org/officeDocument/2006/relationships/hyperlink" Target="https://share.hdrinc.com/sites/CoW_FRLP/_layouts/DocIdRedir.aspx?ID=COWFRLPHDR-5-881" TargetMode="External"/><Relationship Id="rId56" Type="http://schemas.openxmlformats.org/officeDocument/2006/relationships/hyperlink" Target="https://share.hdrinc.com/sites/CoW_FRLP/ACQUISITION/COW-FRMP_TR-201%20NEGOTIATION%20Landowner%20Bill%20of%20Rights%20Letter.pdf" TargetMode="External"/><Relationship Id="rId359" Type="http://schemas.openxmlformats.org/officeDocument/2006/relationships/hyperlink" Target="https://share.hdrinc.com/sites/CoW_FRLP/ACQUISITION/COW-FRMP_TR-230%20SURVEY%20Right-of-Entry%20CMRR.pdf" TargetMode="External"/><Relationship Id="rId566" Type="http://schemas.openxmlformats.org/officeDocument/2006/relationships/hyperlink" Target="https://share.hdrinc.com/sites/CoW_FRLP/ACQUISITION/COW-FRMP_TR-313%20NEGOTIATION%20Initial%20Offer%20Package.pdf" TargetMode="External"/><Relationship Id="rId773" Type="http://schemas.openxmlformats.org/officeDocument/2006/relationships/hyperlink" Target="https://share.hdrinc.com/sites/CoW_FRLP/ACQUISITION/COW-FRMP_TR-T162%20ROE%20Right-of-Entry%20Package.pdf" TargetMode="External"/><Relationship Id="rId1196" Type="http://schemas.openxmlformats.org/officeDocument/2006/relationships/hyperlink" Target="https://share.hdrinc.com/sites/CoW_FRLP/_layouts/DocIdRedir.aspx?ID=COWFRLPHDR-5-591" TargetMode="External"/><Relationship Id="rId1417" Type="http://schemas.openxmlformats.org/officeDocument/2006/relationships/hyperlink" Target="https://share.hdrinc.com/sites/CoW_FRLP/_layouts/DocIdRedir.aspx?ID=COWFRLPHDR-5-844" TargetMode="External"/><Relationship Id="rId1624" Type="http://schemas.openxmlformats.org/officeDocument/2006/relationships/hyperlink" Target="https://share.hdrinc.com/sites/CoW_FRLP/_layouts/DocIdRedir.aspx?ID=COWFRLPHDR-5-1168" TargetMode="External"/><Relationship Id="rId1831" Type="http://schemas.openxmlformats.org/officeDocument/2006/relationships/hyperlink" Target="https://share.hdrinc.com/sites/CoW_FRLP/_layouts/DocIdRedir.aspx?ID=COWFRLPHDR-5-933" TargetMode="External"/><Relationship Id="rId121" Type="http://schemas.openxmlformats.org/officeDocument/2006/relationships/hyperlink" Target="https://share.hdrinc.com/sites/CoW_FRLP/ACQUISITION/COW-FRMP_TR-207%20CONTACT%20Letter%20of%20Intent-HDR.pdf" TargetMode="External"/><Relationship Id="rId219" Type="http://schemas.openxmlformats.org/officeDocument/2006/relationships/hyperlink" Target="https://share.hdrinc.com/sites/CoW_FRLP/ACQUISITION/COW-FRMP_TR-214%20SURVEY%20Description-Plat_CITY.pdf" TargetMode="External"/><Relationship Id="rId426" Type="http://schemas.openxmlformats.org/officeDocument/2006/relationships/hyperlink" Target="https://share.hdrinc.com/sites/CoW_FRLP/ACQUISITION/COW-FRMP_TR-304%20APPRAISAL%20USACOE%20Authorization%20to%20Proceed%20with%20Offer.pdf" TargetMode="External"/><Relationship Id="rId633" Type="http://schemas.openxmlformats.org/officeDocument/2006/relationships/hyperlink" Target="https://share.hdrinc.com/sites/CoW_FRLP/ACQUISITION/COW-FRMP_TR-317%20SURVEY%20Right-of-Entry%20CMRR.pdf" TargetMode="External"/><Relationship Id="rId980" Type="http://schemas.openxmlformats.org/officeDocument/2006/relationships/hyperlink" Target="https://share.hdrinc.com/sites/CoW_FRLP/ACQUISITION/COW-FRMP_TR-T262%20CONTACT%20Negotiator%20Report.docx" TargetMode="External"/><Relationship Id="rId1056" Type="http://schemas.openxmlformats.org/officeDocument/2006/relationships/hyperlink" Target="https://share.hdrinc.com/sites/CoW_FRLP/_layouts/DocIdRedir.aspx?ID=COWFRLPHDR-5-672" TargetMode="External"/><Relationship Id="rId1263" Type="http://schemas.openxmlformats.org/officeDocument/2006/relationships/hyperlink" Target="https://share.hdrinc.com/sites/CoW_FRLP/_layouts/DocIdRedir.aspx?ID=COWFRLPHDR-5-1157" TargetMode="External"/><Relationship Id="rId1929" Type="http://schemas.openxmlformats.org/officeDocument/2006/relationships/hyperlink" Target="https://share.hdrinc.com/sites/CoW_FRLP/_layouts/DocIdRedir.aspx?ID=COWFRLPHDR-5-984" TargetMode="External"/><Relationship Id="rId840" Type="http://schemas.openxmlformats.org/officeDocument/2006/relationships/hyperlink" Target="https://share.hdrinc.com/sites/CoW_FRLP/ACQUISITION/COW-FRMP_TR-T190%20ENVIRONMENTAL%20Right-of-Entry%20Package.pdf" TargetMode="External"/><Relationship Id="rId938" Type="http://schemas.openxmlformats.org/officeDocument/2006/relationships/hyperlink" Target="https://share.hdrinc.com/sites/CoW_FRLP/ACQUISITION/COW-FRMP_TR-T238%20ENVIRONMENTAL%20Right-of-Entry%20Executed.pdf" TargetMode="External"/><Relationship Id="rId1470" Type="http://schemas.openxmlformats.org/officeDocument/2006/relationships/hyperlink" Target="https://share.hdrinc.com/sites/CoW_FRLP/_layouts/DocIdRedir.aspx?ID=COWFRLPHDR-5-772" TargetMode="External"/><Relationship Id="rId1568" Type="http://schemas.openxmlformats.org/officeDocument/2006/relationships/hyperlink" Target="https://share.hdrinc.com/sites/CoW_FRLP/_layouts/DocIdRedir.aspx?ID=COWFRLPHDR-5-224" TargetMode="External"/><Relationship Id="rId1775" Type="http://schemas.openxmlformats.org/officeDocument/2006/relationships/hyperlink" Target="https://share.hdrinc.com/sites/CoW_FRLP/_layouts/DocIdRedir.aspx?ID=COWFRLPHDR-5-900" TargetMode="External"/><Relationship Id="rId67" Type="http://schemas.openxmlformats.org/officeDocument/2006/relationships/hyperlink" Target="https://share.hdrinc.com/sites/CoW_FRLP/ACQUISITION/COW-FRMP_TR-202%20APPRAISAL%20Just%20Compensation%20Approval.pdf" TargetMode="External"/><Relationship Id="rId272" Type="http://schemas.openxmlformats.org/officeDocument/2006/relationships/hyperlink" Target="https://share.hdrinc.com/sites/CoW_FRLP/ACQUISITION/COW-FRMP_TR-217%20TITLE%20Commitment.pdf" TargetMode="External"/><Relationship Id="rId577" Type="http://schemas.openxmlformats.org/officeDocument/2006/relationships/hyperlink" Target="https://share.hdrinc.com/sites/CoW_FRLP/ACQUISITION/COW-FRMP_TR-314%20APPRAISAL%20Final%20Appraisal.pdf" TargetMode="External"/><Relationship Id="rId700" Type="http://schemas.openxmlformats.org/officeDocument/2006/relationships/hyperlink" Target="https://share.hdrinc.com/sites/CoW_FRLP/ACQUISITION/COW-FRMP_TR-421A%20NEGOTIATION%20Landowner%20Bill%20of%20Rights%20Letter.pdf" TargetMode="External"/><Relationship Id="rId1123" Type="http://schemas.openxmlformats.org/officeDocument/2006/relationships/hyperlink" Target="https://share.hdrinc.com/sites/CoW_FRLP/_layouts/DocIdRedir.aspx?ID=COWFRLPHDR-5-24" TargetMode="External"/><Relationship Id="rId1330" Type="http://schemas.openxmlformats.org/officeDocument/2006/relationships/hyperlink" Target="https://share.hdrinc.com/sites/CoW_FRLP/_layouts/DocIdRedir.aspx?ID=COWFRLPHDR-5-512" TargetMode="External"/><Relationship Id="rId1428" Type="http://schemas.openxmlformats.org/officeDocument/2006/relationships/hyperlink" Target="https://share.hdrinc.com/sites/CoW_FRLP/_layouts/DocIdRedir.aspx?ID=COWFRLPHDR-5-258" TargetMode="External"/><Relationship Id="rId1635" Type="http://schemas.openxmlformats.org/officeDocument/2006/relationships/hyperlink" Target="https://share.hdrinc.com/sites/CoW_FRLP/_layouts/DocIdRedir.aspx?ID=COWFRLPHDR-5-170" TargetMode="External"/><Relationship Id="rId1982" Type="http://schemas.openxmlformats.org/officeDocument/2006/relationships/hyperlink" Target="https://share.hdrinc.com/sites/CoW_FRLP/_layouts/DocIdRedir.aspx?ID=COWFRLPHDR-5-1153" TargetMode="External"/><Relationship Id="rId132" Type="http://schemas.openxmlformats.org/officeDocument/2006/relationships/hyperlink" Target="https://share.hdrinc.com/sites/CoW_FRLP/ACQUISITION/COW-FRMP_TR-207%20TITLE%20Commitment%20Backup%20Docs.pdf" TargetMode="External"/><Relationship Id="rId784" Type="http://schemas.openxmlformats.org/officeDocument/2006/relationships/hyperlink" Target="https://share.hdrinc.com/sites/CoW_FRLP/ACQUISITION/COW-FRMP_TR-T164%20TITLE%20Tax%20Card.pdf" TargetMode="External"/><Relationship Id="rId991" Type="http://schemas.openxmlformats.org/officeDocument/2006/relationships/hyperlink" Target="https://share.hdrinc.com/sites/CoW_FRLP/ACQUISITION/COW-FRMP_TR-T268%20ROE%20Right-of-Entry%20Executed.pdf" TargetMode="External"/><Relationship Id="rId1067" Type="http://schemas.openxmlformats.org/officeDocument/2006/relationships/hyperlink" Target="https://share.hdrinc.com/sites/CoW_FRLP/_layouts/DocIdRedir.aspx?ID=COWFRLPHDR-5-480" TargetMode="External"/><Relationship Id="rId1842" Type="http://schemas.openxmlformats.org/officeDocument/2006/relationships/hyperlink" Target="https://share.hdrinc.com/sites/CoW_FRLP/_layouts/DocIdRedir.aspx?ID=COWFRLPHDR-5-1068" TargetMode="External"/><Relationship Id="rId2020" Type="http://schemas.openxmlformats.org/officeDocument/2006/relationships/hyperlink" Target="https://share.hdrinc.com/sites/CoW_FRLP/_layouts/DocIdRedir.aspx?ID=COWFRLPHDR-5-243" TargetMode="External"/><Relationship Id="rId437" Type="http://schemas.openxmlformats.org/officeDocument/2006/relationships/hyperlink" Target="https://share.hdrinc.com/sites/CoW_FRLP/ACQUISITION/COW-FRMP_TR-304%20SURVEY%20Right-of-Entry.pdf" TargetMode="External"/><Relationship Id="rId644" Type="http://schemas.openxmlformats.org/officeDocument/2006/relationships/hyperlink" Target="https://share.hdrinc.com/sites/CoW_FRLP/ACQUISITION/COW-FRMP_TR-319%20SURVEY%20Description-Plat_CITY.pdf" TargetMode="External"/><Relationship Id="rId851" Type="http://schemas.openxmlformats.org/officeDocument/2006/relationships/hyperlink" Target="https://share.hdrinc.com/sites/CoW_FRLP/ACQUISITION/COW-FRMP_TR-T192%20TITLE%20Tax%20Card.pdf" TargetMode="External"/><Relationship Id="rId1274" Type="http://schemas.openxmlformats.org/officeDocument/2006/relationships/hyperlink" Target="https://share.hdrinc.com/sites/CoW_FRLP/_layouts/DocIdRedir.aspx?ID=COWFRLPHDR-5-1287" TargetMode="External"/><Relationship Id="rId1481" Type="http://schemas.openxmlformats.org/officeDocument/2006/relationships/hyperlink" Target="https://share.hdrinc.com/sites/CoW_FRLP/_layouts/DocIdRedir.aspx?ID=COWFRLPHDR-5-397" TargetMode="External"/><Relationship Id="rId1579" Type="http://schemas.openxmlformats.org/officeDocument/2006/relationships/hyperlink" Target="https://share.hdrinc.com/sites/CoW_FRLP/_layouts/DocIdRedir.aspx?ID=COWFRLPHDR-5-1379" TargetMode="External"/><Relationship Id="rId1702" Type="http://schemas.openxmlformats.org/officeDocument/2006/relationships/hyperlink" Target="https://share.hdrinc.com/sites/CoW_FRLP/_layouts/DocIdRedir.aspx?ID=COWFRLPHDR-5-413" TargetMode="External"/><Relationship Id="rId283" Type="http://schemas.openxmlformats.org/officeDocument/2006/relationships/hyperlink" Target="https://share.hdrinc.com/sites/CoW_FRLP/ACQUISITION/COW-FRMP_TR-218%20TITLE%20Commitment.pdf" TargetMode="External"/><Relationship Id="rId490" Type="http://schemas.openxmlformats.org/officeDocument/2006/relationships/hyperlink" Target="https://share.hdrinc.com/sites/CoW_FRLP/ACQUISITION/COW-FRMP_TR-309%20APPRAISAL%20Just%20Compensation%20Approval.pdf" TargetMode="External"/><Relationship Id="rId504" Type="http://schemas.openxmlformats.org/officeDocument/2006/relationships/hyperlink" Target="https://share.hdrinc.com/sites/CoW_FRLP/ACQUISITION/COW-FRMP_TR-309%20SURVEY%20Right-of-Entry.pdf" TargetMode="External"/><Relationship Id="rId711" Type="http://schemas.openxmlformats.org/officeDocument/2006/relationships/hyperlink" Target="https://share.hdrinc.com/sites/CoW_FRLP/ACQUISITION/COW-FRMP_TR-427%20SURVEY%20Right-of-Entry%20CMRR.pdf" TargetMode="External"/><Relationship Id="rId949" Type="http://schemas.openxmlformats.org/officeDocument/2006/relationships/hyperlink" Target="https://share.hdrinc.com/sites/CoW_FRLP/ACQUISITION/COW-FRMP_TR-T242%20ENVIRONMENTAL%20Right-of-Entry%20Executed.pdf" TargetMode="External"/><Relationship Id="rId1134" Type="http://schemas.openxmlformats.org/officeDocument/2006/relationships/hyperlink" Target="https://share.hdrinc.com/sites/CoW_FRLP/_layouts/DocIdRedir.aspx?ID=COWFRLPHDR-5-474" TargetMode="External"/><Relationship Id="rId1341" Type="http://schemas.openxmlformats.org/officeDocument/2006/relationships/hyperlink" Target="https://share.hdrinc.com/sites/CoW_FRLP/_layouts/DocIdRedir.aspx?ID=COWFRLPHDR-5-1250" TargetMode="External"/><Relationship Id="rId1786" Type="http://schemas.openxmlformats.org/officeDocument/2006/relationships/hyperlink" Target="https://share.hdrinc.com/sites/CoW_FRLP/_layouts/DocIdRedir.aspx?ID=COWFRLPHDR-5-1098" TargetMode="External"/><Relationship Id="rId1993" Type="http://schemas.openxmlformats.org/officeDocument/2006/relationships/hyperlink" Target="https://share.hdrinc.com/sites/CoW_FRLP/_layouts/DocIdRedir.aspx?ID=COWFRLPHDR-5-1178" TargetMode="External"/><Relationship Id="rId78" Type="http://schemas.openxmlformats.org/officeDocument/2006/relationships/hyperlink" Target="https://share.hdrinc.com/sites/CoW_FRLP/ACQUISITION/COW-FRMP_TR-202%20SURVEY%20Description-Plat_USACOE.pdf" TargetMode="External"/><Relationship Id="rId143" Type="http://schemas.openxmlformats.org/officeDocument/2006/relationships/hyperlink" Target="https://share.hdrinc.com/sites/CoW_FRLP/ACQUISITION/COW-FRMP_TR-208%20NEGOTIATION%20Landowner%20Bill%20of%20Rights%20Letter.pdf" TargetMode="External"/><Relationship Id="rId350" Type="http://schemas.openxmlformats.org/officeDocument/2006/relationships/hyperlink" Target="https://share.hdrinc.com/sites/CoW_FRLP/ACQUISITION/COW-FRMP_TR-225%20SURVEY%20Description-Plat_USACOE.pdf" TargetMode="External"/><Relationship Id="rId588" Type="http://schemas.openxmlformats.org/officeDocument/2006/relationships/hyperlink" Target="https://share.hdrinc.com/sites/CoW_FRLP/ACQUISITION/COW-FRMP_TR-314%20TITLE%20Curative%20Plan.docx" TargetMode="External"/><Relationship Id="rId795" Type="http://schemas.openxmlformats.org/officeDocument/2006/relationships/hyperlink" Target="https://share.hdrinc.com/sites/CoW_FRLP/ACQUISITION/COW-FRMP_TR-T169%20ENVIRONMENTAL%20Right-of-Entry%20Executed.pdf" TargetMode="External"/><Relationship Id="rId809" Type="http://schemas.openxmlformats.org/officeDocument/2006/relationships/hyperlink" Target="https://share.hdrinc.com/sites/CoW_FRLP/ACQUISITION/COW-FRMP_TR-T183%20ROE%20Right-of-Entry%20Package.pdf" TargetMode="External"/><Relationship Id="rId1201" Type="http://schemas.openxmlformats.org/officeDocument/2006/relationships/hyperlink" Target="https://share.hdrinc.com/sites/CoW_FRLP/_layouts/DocIdRedir.aspx?ID=COWFRLPHDR-5-705" TargetMode="External"/><Relationship Id="rId1439" Type="http://schemas.openxmlformats.org/officeDocument/2006/relationships/hyperlink" Target="https://share.hdrinc.com/sites/CoW_FRLP/_layouts/DocIdRedir.aspx?ID=COWFRLPHDR-5-1374" TargetMode="External"/><Relationship Id="rId1646" Type="http://schemas.openxmlformats.org/officeDocument/2006/relationships/hyperlink" Target="https://share.hdrinc.com/sites/CoW_FRLP/_layouts/DocIdRedir.aspx?ID=COWFRLPHDR-5-82" TargetMode="External"/><Relationship Id="rId1853" Type="http://schemas.openxmlformats.org/officeDocument/2006/relationships/hyperlink" Target="https://share.hdrinc.com/sites/CoW_FRLP/_layouts/DocIdRedir.aspx?ID=COWFRLPHDR-5-1023" TargetMode="External"/><Relationship Id="rId9" Type="http://schemas.openxmlformats.org/officeDocument/2006/relationships/hyperlink" Target="https://share.hdrinc.com/sites/CoW_FRLP/ACQUISITION/COW-FRMP_R027674%20SURVEY%20Right-of-Entry%20CMRR.pdf" TargetMode="External"/><Relationship Id="rId210" Type="http://schemas.openxmlformats.org/officeDocument/2006/relationships/hyperlink" Target="https://share.hdrinc.com/sites/CoW_FRLP/ACQUISITION/COW-FRMP_TR-214%20APPRAISAL%20Final%20Appraisal.pdf" TargetMode="External"/><Relationship Id="rId448" Type="http://schemas.openxmlformats.org/officeDocument/2006/relationships/hyperlink" Target="https://share.hdrinc.com/sites/CoW_FRLP/ACQUISITION/ContactRecords/COW-FRMP_TR-305%20CONTACT%20Negotiator%20Report.docx" TargetMode="External"/><Relationship Id="rId655" Type="http://schemas.openxmlformats.org/officeDocument/2006/relationships/hyperlink" Target="https://share.hdrinc.com/sites/CoW_FRLP/ACQUISITION/COW-FRMP_TR-320%20NEGOTIATION%20Landowner%20Bill%20of%20Rights%20Letter.pdf" TargetMode="External"/><Relationship Id="rId862" Type="http://schemas.openxmlformats.org/officeDocument/2006/relationships/hyperlink" Target="https://share.hdrinc.com/sites/CoW_FRLP/ACQUISITION/COW-FRMP_TR-T195%20ROE%20Right-of-Entry%20Package.pdf" TargetMode="External"/><Relationship Id="rId1078" Type="http://schemas.openxmlformats.org/officeDocument/2006/relationships/hyperlink" Target="https://share.hdrinc.com/sites/CoW_FRLP/_layouts/DocIdRedir.aspx?ID=COWFRLPHDR-5-835" TargetMode="External"/><Relationship Id="rId1285" Type="http://schemas.openxmlformats.org/officeDocument/2006/relationships/hyperlink" Target="https://share.hdrinc.com/sites/CoW_FRLP/_layouts/DocIdRedir.aspx?ID=COWFRLPHDR-5-21" TargetMode="External"/><Relationship Id="rId1492" Type="http://schemas.openxmlformats.org/officeDocument/2006/relationships/hyperlink" Target="https://share.hdrinc.com/sites/CoW_FRLP/_layouts/DocIdRedir.aspx?ID=COWFRLPHDR-5-447" TargetMode="External"/><Relationship Id="rId1506" Type="http://schemas.openxmlformats.org/officeDocument/2006/relationships/hyperlink" Target="https://share.hdrinc.com/sites/CoW_FRLP/_layouts/DocIdRedir.aspx?ID=COWFRLPHDR-5-1274" TargetMode="External"/><Relationship Id="rId1713" Type="http://schemas.openxmlformats.org/officeDocument/2006/relationships/hyperlink" Target="https://share.hdrinc.com/sites/CoW_FRLP/_layouts/DocIdRedir.aspx?ID=COWFRLPHDR-5-460" TargetMode="External"/><Relationship Id="rId1920" Type="http://schemas.openxmlformats.org/officeDocument/2006/relationships/hyperlink" Target="https://share.hdrinc.com/sites/CoW_FRLP/_layouts/DocIdRedir.aspx?ID=COWFRLPHDR-5-978" TargetMode="External"/><Relationship Id="rId294" Type="http://schemas.openxmlformats.org/officeDocument/2006/relationships/hyperlink" Target="https://share.hdrinc.com/sites/CoW_FRLP/ACQUISITION/COW-FRMP_TR-219%20SURVEY%20Description-Plat_USACOE.pdf" TargetMode="External"/><Relationship Id="rId308" Type="http://schemas.openxmlformats.org/officeDocument/2006/relationships/hyperlink" Target="https://share.hdrinc.com/sites/CoW_FRLP/ACQUISITION/COW-FRMP_TR-220%20SURVEY%20Description-Plat_USACOE.pdf" TargetMode="External"/><Relationship Id="rId515" Type="http://schemas.openxmlformats.org/officeDocument/2006/relationships/hyperlink" Target="https://share.hdrinc.com/sites/CoW_FRLP/ACQUISITION/COW-FRMP_TR-310%20NEGOTIATION%20Landowner%20Bill%20of%20Rights%20Letter.pdf" TargetMode="External"/><Relationship Id="rId722" Type="http://schemas.openxmlformats.org/officeDocument/2006/relationships/hyperlink" Target="https://share.hdrinc.com/sites/CoW_FRLP/ACQUISITION/COW-FRMP_TR-T067%20ENVIRONMENTAL%20Right-of-Entry%20Executed.pdf" TargetMode="External"/><Relationship Id="rId1145" Type="http://schemas.openxmlformats.org/officeDocument/2006/relationships/hyperlink" Target="https://share.hdrinc.com/sites/CoW_FRLP/_layouts/DocIdRedir.aspx?ID=COWFRLPHDR-5-38" TargetMode="External"/><Relationship Id="rId1352" Type="http://schemas.openxmlformats.org/officeDocument/2006/relationships/hyperlink" Target="https://share.hdrinc.com/sites/CoW_FRLP/_layouts/DocIdRedir.aspx?ID=COWFRLPHDR-5-800" TargetMode="External"/><Relationship Id="rId1797" Type="http://schemas.openxmlformats.org/officeDocument/2006/relationships/hyperlink" Target="https://share.hdrinc.com/sites/CoW_FRLP/_layouts/DocIdRedir.aspx?ID=COWFRLPHDR-5-915" TargetMode="External"/><Relationship Id="rId89" Type="http://schemas.openxmlformats.org/officeDocument/2006/relationships/hyperlink" Target="https://share.hdrinc.com/sites/CoW_FRLP/ACQUISITION/COW-FRMP_TR-203%20TITLE%20Commitment.pdf" TargetMode="External"/><Relationship Id="rId154" Type="http://schemas.openxmlformats.org/officeDocument/2006/relationships/hyperlink" Target="https://share.hdrinc.com/sites/CoW_FRLP/ACQUISITION/COW-FRMP_TR-210%20APPRAISAL%20Final%20Appraisal.pdf" TargetMode="External"/><Relationship Id="rId361" Type="http://schemas.openxmlformats.org/officeDocument/2006/relationships/hyperlink" Target="https://share.hdrinc.com/sites/CoW_FRLP/ACQUISITION/COW-FRMP_TR-230%20TITLE%20Commitment%20Backup%20Docs.pdf" TargetMode="External"/><Relationship Id="rId599" Type="http://schemas.openxmlformats.org/officeDocument/2006/relationships/hyperlink" Target="https://share.hdrinc.com/sites/CoW_FRLP/ACQUISITION/COW-FRMP_TR-315%20NEGOTIATION%20Initial%20Offer%20Package.pdf" TargetMode="External"/><Relationship Id="rId1005" Type="http://schemas.openxmlformats.org/officeDocument/2006/relationships/hyperlink" Target="https://share.hdrinc.com/sites/CoW_FRLP/ACQUISITION/COW-FRMP_TR-T276%20TITLE%20Tax%20Card.pdf" TargetMode="External"/><Relationship Id="rId1212" Type="http://schemas.openxmlformats.org/officeDocument/2006/relationships/hyperlink" Target="https://share.hdrinc.com/sites/CoW_FRLP/_layouts/DocIdRedir.aspx?ID=COWFRLPHDR-5-676" TargetMode="External"/><Relationship Id="rId1657" Type="http://schemas.openxmlformats.org/officeDocument/2006/relationships/hyperlink" Target="https://share.hdrinc.com/sites/CoW_FRLP/_layouts/DocIdRedir.aspx?ID=COWFRLPHDR-5-741" TargetMode="External"/><Relationship Id="rId1864" Type="http://schemas.openxmlformats.org/officeDocument/2006/relationships/hyperlink" Target="https://share.hdrinc.com/sites/CoW_FRLP/_layouts/DocIdRedir.aspx?ID=COWFRLPHDR-5-943" TargetMode="External"/><Relationship Id="rId459" Type="http://schemas.openxmlformats.org/officeDocument/2006/relationships/hyperlink" Target="https://share.hdrinc.com/sites/CoW_FRLP/ACQUISITION/ContactRecords/COW-FRMP_TR-305MH%20CONTACT%20Negotiator%20Report.docx" TargetMode="External"/><Relationship Id="rId666" Type="http://schemas.openxmlformats.org/officeDocument/2006/relationships/hyperlink" Target="https://share.hdrinc.com/sites/CoW_FRLP/ACQUISITION/COW-FRMP_TR-321%20TITLE%20Commitment.pdf" TargetMode="External"/><Relationship Id="rId873" Type="http://schemas.openxmlformats.org/officeDocument/2006/relationships/hyperlink" Target="https://share.hdrinc.com/sites/CoW_FRLP/ACQUISITION/COW-FRMP_TR-T205%20CONTACT%20Negotiator%20Report.docx" TargetMode="External"/><Relationship Id="rId1089" Type="http://schemas.openxmlformats.org/officeDocument/2006/relationships/hyperlink" Target="https://share.hdrinc.com/sites/CoW_FRLP/_layouts/DocIdRedir.aspx?ID=COWFRLPHDR-5-420" TargetMode="External"/><Relationship Id="rId1296" Type="http://schemas.openxmlformats.org/officeDocument/2006/relationships/hyperlink" Target="https://share.hdrinc.com/sites/CoW_FRLP/_layouts/DocIdRedir.aspx?ID=COWFRLPHDR-5-17" TargetMode="External"/><Relationship Id="rId1517" Type="http://schemas.openxmlformats.org/officeDocument/2006/relationships/hyperlink" Target="https://share.hdrinc.com/sites/CoW_FRLP/_layouts/DocIdRedir.aspx?ID=COWFRLPHDR-5-242" TargetMode="External"/><Relationship Id="rId1724" Type="http://schemas.openxmlformats.org/officeDocument/2006/relationships/hyperlink" Target="https://share.hdrinc.com/sites/CoW_FRLP/_layouts/DocIdRedir.aspx?ID=COWFRLPHDR-5-791" TargetMode="External"/><Relationship Id="rId16" Type="http://schemas.openxmlformats.org/officeDocument/2006/relationships/hyperlink" Target="https://share.hdrinc.com/sites/CoW_FRLP/ACQUISITION/COW-FRMP_TR-100%20APPRAISAL%20Final%20Appraisal.pdf" TargetMode="External"/><Relationship Id="rId221" Type="http://schemas.openxmlformats.org/officeDocument/2006/relationships/hyperlink" Target="https://share.hdrinc.com/sites/CoW_FRLP/ACQUISITION/COW-FRMP_TR-214%20SURVEY%20Right-of-Entry.pdf" TargetMode="External"/><Relationship Id="rId319" Type="http://schemas.openxmlformats.org/officeDocument/2006/relationships/hyperlink" Target="https://share.hdrinc.com/sites/CoW_FRLP/ACQUISITION/COW-FRMP_TR-222%20NEGOTIATION%20Landowner%20Bill%20of%20Rights%20Letter.pdf" TargetMode="External"/><Relationship Id="rId526" Type="http://schemas.openxmlformats.org/officeDocument/2006/relationships/hyperlink" Target="https://share.hdrinc.com/sites/CoW_FRLP/ACQUISITION/COW-FRMP_TR-311%20APPRAISAL%20Just%20Compensation%20Memo.pdf" TargetMode="External"/><Relationship Id="rId1156" Type="http://schemas.openxmlformats.org/officeDocument/2006/relationships/hyperlink" Target="https://share.hdrinc.com/sites/CoW_FRLP/_layouts/DocIdRedir.aspx?ID=COWFRLPHDR-5-424" TargetMode="External"/><Relationship Id="rId1363" Type="http://schemas.openxmlformats.org/officeDocument/2006/relationships/hyperlink" Target="https://share.hdrinc.com/sites/CoW_FRLP/_layouts/DocIdRedir.aspx?ID=COWFRLPHDR-5-1190" TargetMode="External"/><Relationship Id="rId1931" Type="http://schemas.openxmlformats.org/officeDocument/2006/relationships/hyperlink" Target="https://share.hdrinc.com/sites/CoW_FRLP/_layouts/DocIdRedir.aspx?ID=COWFRLPHDR-5-987" TargetMode="External"/><Relationship Id="rId733" Type="http://schemas.openxmlformats.org/officeDocument/2006/relationships/hyperlink" Target="https://share.hdrinc.com/sites/CoW_FRLP/ACQUISITION/COW-FRMP_TR-T069%20CONTACT%20Negotiator%20Report.docx" TargetMode="External"/><Relationship Id="rId940" Type="http://schemas.openxmlformats.org/officeDocument/2006/relationships/hyperlink" Target="https://share.hdrinc.com/sites/CoW_FRLP/ACQUISITION/COW-FRMP_TR-T238%20ROE%20Right-of-Entry%20Executed.pdf" TargetMode="External"/><Relationship Id="rId1016" Type="http://schemas.openxmlformats.org/officeDocument/2006/relationships/hyperlink" Target="https://share.hdrinc.com/sites/CoW_FRLP/_layouts/DocIdRedir.aspx?ID=COWFRLPHDR-5-244" TargetMode="External"/><Relationship Id="rId1570" Type="http://schemas.openxmlformats.org/officeDocument/2006/relationships/hyperlink" Target="https://share.hdrinc.com/sites/CoW_FRLP/_layouts/DocIdRedir.aspx?ID=COWFRLPHDR-5-1326" TargetMode="External"/><Relationship Id="rId1668" Type="http://schemas.openxmlformats.org/officeDocument/2006/relationships/hyperlink" Target="https://share.hdrinc.com/sites/CoW_FRLP/_layouts/DocIdRedir.aspx?ID=COWFRLPHDR-5-458" TargetMode="External"/><Relationship Id="rId1875" Type="http://schemas.openxmlformats.org/officeDocument/2006/relationships/hyperlink" Target="https://share.hdrinc.com/sites/CoW_FRLP/_layouts/DocIdRedir.aspx?ID=COWFRLPHDR-5-1133" TargetMode="External"/><Relationship Id="rId165" Type="http://schemas.openxmlformats.org/officeDocument/2006/relationships/hyperlink" Target="https://share.hdrinc.com/sites/CoW_FRLP/ACQUISITION/COW-FRMP_TR-210%20SURVEY%20Description-Plat_USACOE.pdf" TargetMode="External"/><Relationship Id="rId372" Type="http://schemas.openxmlformats.org/officeDocument/2006/relationships/hyperlink" Target="https://share.hdrinc.com/sites/CoW_FRLP/ACQUISITION/COW-FRMP_TR-300%20CONTACT%20Letter%20of%20Intent-HDR%20Coleman-Copy.pdf" TargetMode="External"/><Relationship Id="rId677" Type="http://schemas.openxmlformats.org/officeDocument/2006/relationships/hyperlink" Target="https://share.hdrinc.com/sites/CoW_FRLP/ACQUISITION/COW-FRMP_TR-322%20TITLE%20SOS%20Business%20Organization%20Inquiry.pdf" TargetMode="External"/><Relationship Id="rId800" Type="http://schemas.openxmlformats.org/officeDocument/2006/relationships/hyperlink" Target="https://share.hdrinc.com/sites/CoW_FRLP/ACQUISITION/COW-FRMP_TR-T181%20ENVIRONMENTAL%20Right-of-Entry%20Package.pdf" TargetMode="External"/><Relationship Id="rId1223" Type="http://schemas.openxmlformats.org/officeDocument/2006/relationships/hyperlink" Target="https://share.hdrinc.com/sites/CoW_FRLP/_layouts/DocIdRedir.aspx?ID=COWFRLPHDR-5-1163" TargetMode="External"/><Relationship Id="rId1430" Type="http://schemas.openxmlformats.org/officeDocument/2006/relationships/hyperlink" Target="https://share.hdrinc.com/sites/CoW_FRLP/_layouts/DocIdRedir.aspx?ID=COWFRLPHDR-5-788" TargetMode="External"/><Relationship Id="rId1528" Type="http://schemas.openxmlformats.org/officeDocument/2006/relationships/hyperlink" Target="https://share.hdrinc.com/sites/CoW_FRLP/_layouts/DocIdRedir.aspx?ID=COWFRLPHDR-5-449" TargetMode="External"/><Relationship Id="rId232" Type="http://schemas.openxmlformats.org/officeDocument/2006/relationships/hyperlink" Target="https://share.hdrinc.com/sites/CoW_FRLP/ACQUISITION/COW-FRMP_TR-215%20CONTACT%20Letter%20of%20Intent-HDR%20(Jerry%20Ramirez).pdf" TargetMode="External"/><Relationship Id="rId884" Type="http://schemas.openxmlformats.org/officeDocument/2006/relationships/hyperlink" Target="https://share.hdrinc.com/sites/CoW_FRLP/ACQUISITION/COW-FRMP_TR-T207%20ENVIRONMENTAL%20Right-of-Entry%20Package.pdf" TargetMode="External"/><Relationship Id="rId1735" Type="http://schemas.openxmlformats.org/officeDocument/2006/relationships/hyperlink" Target="https://share.hdrinc.com/sites/CoW_FRLP/_layouts/DocIdRedir.aspx?ID=COWFRLPHDR-5-1041" TargetMode="External"/><Relationship Id="rId1942" Type="http://schemas.openxmlformats.org/officeDocument/2006/relationships/hyperlink" Target="https://share.hdrinc.com/sites/CoW_FRLP/_layouts/DocIdRedir.aspx?ID=COWFRLPHDR-5-1033" TargetMode="External"/><Relationship Id="rId27" Type="http://schemas.openxmlformats.org/officeDocument/2006/relationships/hyperlink" Target="https://share.hdrinc.com/sites/CoW_FRLP/ACQUISITION/COW-FRMP_TR-100%20TITLE%20Curative%20Plan.docx" TargetMode="External"/><Relationship Id="rId537" Type="http://schemas.openxmlformats.org/officeDocument/2006/relationships/hyperlink" Target="https://share.hdrinc.com/sites/CoW_FRLP/ACQUISITION/COW-FRMP_TR-311%20SURVEY%20Right-of-Entry%20CMRR.pdf" TargetMode="External"/><Relationship Id="rId744" Type="http://schemas.openxmlformats.org/officeDocument/2006/relationships/hyperlink" Target="https://share.hdrinc.com/sites/CoW_FRLP/ACQUISITION/COW-FRMP_TR-T071%20ROE%20Right-of-Entry%20Package.pdf" TargetMode="External"/><Relationship Id="rId951" Type="http://schemas.openxmlformats.org/officeDocument/2006/relationships/hyperlink" Target="https://share.hdrinc.com/sites/CoW_FRLP/ACQUISITION/COW-FRMP_TR-T242%20ROE%20Right-of-Entry%20Executed.pdf" TargetMode="External"/><Relationship Id="rId1167" Type="http://schemas.openxmlformats.org/officeDocument/2006/relationships/hyperlink" Target="https://share.hdrinc.com/sites/CoW_FRLP/_layouts/DocIdRedir.aspx?ID=COWFRLPHDR-5-1261" TargetMode="External"/><Relationship Id="rId1374" Type="http://schemas.openxmlformats.org/officeDocument/2006/relationships/hyperlink" Target="https://share.hdrinc.com/sites/CoW_FRLP/_layouts/DocIdRedir.aspx?ID=COWFRLPHDR-5-783" TargetMode="External"/><Relationship Id="rId1581" Type="http://schemas.openxmlformats.org/officeDocument/2006/relationships/hyperlink" Target="https://share.hdrinc.com/sites/CoW_FRLP/_layouts/DocIdRedir.aspx?ID=COWFRLPHDR-5-452" TargetMode="External"/><Relationship Id="rId1679" Type="http://schemas.openxmlformats.org/officeDocument/2006/relationships/hyperlink" Target="https://share.hdrinc.com/sites/CoW_FRLP/_layouts/DocIdRedir.aspx?ID=COWFRLPHDR-5-212" TargetMode="External"/><Relationship Id="rId1802" Type="http://schemas.openxmlformats.org/officeDocument/2006/relationships/hyperlink" Target="https://share.hdrinc.com/sites/CoW_FRLP/_layouts/DocIdRedir.aspx?ID=COWFRLPHDR-5-1101" TargetMode="External"/><Relationship Id="rId80" Type="http://schemas.openxmlformats.org/officeDocument/2006/relationships/hyperlink" Target="https://share.hdrinc.com/sites/CoW_FRLP/ACQUISITION/COW-FRMP_TR-202%20TITLE%20Commitment.pdf" TargetMode="External"/><Relationship Id="rId176" Type="http://schemas.openxmlformats.org/officeDocument/2006/relationships/hyperlink" Target="https://share.hdrinc.com/sites/CoW_FRLP/ACQUISITION/COW-FRMP_TR-211%20SURVEY%20Description-Plat_CITY.pdf" TargetMode="External"/><Relationship Id="rId383" Type="http://schemas.openxmlformats.org/officeDocument/2006/relationships/hyperlink" Target="https://share.hdrinc.com/sites/CoW_FRLP/ACQUISITION/COW-FRMP_TR-300%20TITLE%20Tax%20Card.pdf" TargetMode="External"/><Relationship Id="rId590" Type="http://schemas.openxmlformats.org/officeDocument/2006/relationships/hyperlink" Target="https://share.hdrinc.com/sites/CoW_FRLP/ACQUISITION/COW-FRMP_TR-315%20APPRAISAL%20Appraisal%20Review.pdf" TargetMode="External"/><Relationship Id="rId604" Type="http://schemas.openxmlformats.org/officeDocument/2006/relationships/hyperlink" Target="https://share.hdrinc.com/sites/CoW_FRLP/ACQUISITION/COW-FRMP_TR-315%20SURVEY%20Right-of-Entry.pdf" TargetMode="External"/><Relationship Id="rId811" Type="http://schemas.openxmlformats.org/officeDocument/2006/relationships/hyperlink" Target="https://share.hdrinc.com/sites/CoW_FRLP/ACQUISITION/COW-FRMP_TR-T184%20CONTACT%20Negotiator%20Report.docx" TargetMode="External"/><Relationship Id="rId1027" Type="http://schemas.openxmlformats.org/officeDocument/2006/relationships/hyperlink" Target="https://share.hdrinc.com/sites/CoW_FRLP/_layouts/DocIdRedir.aspx?ID=COWFRLPHDR-5-143" TargetMode="External"/><Relationship Id="rId1234" Type="http://schemas.openxmlformats.org/officeDocument/2006/relationships/hyperlink" Target="https://share.hdrinc.com/sites/CoW_FRLP/_layouts/DocIdRedir.aspx?ID=COWFRLPHDR-5-57" TargetMode="External"/><Relationship Id="rId1441" Type="http://schemas.openxmlformats.org/officeDocument/2006/relationships/hyperlink" Target="https://share.hdrinc.com/sites/CoW_FRLP/_layouts/DocIdRedir.aspx?ID=COWFRLPHDR-5-102" TargetMode="External"/><Relationship Id="rId1886" Type="http://schemas.openxmlformats.org/officeDocument/2006/relationships/hyperlink" Target="https://share.hdrinc.com/sites/CoW_FRLP/_layouts/DocIdRedir.aspx?ID=COWFRLPHDR-5-953" TargetMode="External"/><Relationship Id="rId243" Type="http://schemas.openxmlformats.org/officeDocument/2006/relationships/hyperlink" Target="https://share.hdrinc.com/sites/CoW_FRLP/ACQUISITION/COW-FRMP_TR-215%20SURVEY%20Right-of-Entry.pdf" TargetMode="External"/><Relationship Id="rId450" Type="http://schemas.openxmlformats.org/officeDocument/2006/relationships/hyperlink" Target="https://share.hdrinc.com/sites/CoW_FRLP/ACQUISITION/COW-FRMP_TR-305%20NEGOTIATION%20Landowner%20Bill%20of%20Rights%20Letter.pdf" TargetMode="External"/><Relationship Id="rId688" Type="http://schemas.openxmlformats.org/officeDocument/2006/relationships/hyperlink" Target="https://share.hdrinc.com/sites/CoW_FRLP/ACQUISITION/COW-FRMP_TR-326%20TITLE%20Commitment%20Backup%20Docs.pdf" TargetMode="External"/><Relationship Id="rId895" Type="http://schemas.openxmlformats.org/officeDocument/2006/relationships/hyperlink" Target="https://share.hdrinc.com/sites/CoW_FRLP/ACQUISITION/COW-FRMP_TR-T212%20ENVIRONMENTAL%20Right-of-Entry%20Executed.pdf" TargetMode="External"/><Relationship Id="rId909" Type="http://schemas.openxmlformats.org/officeDocument/2006/relationships/hyperlink" Target="https://share.hdrinc.com/sites/CoW_FRLP/ACQUISITION/COW-FRMP_TR-T215%20ROE%20Right-of-Entry%20Package.pdf" TargetMode="External"/><Relationship Id="rId1080" Type="http://schemas.openxmlformats.org/officeDocument/2006/relationships/hyperlink" Target="https://share.hdrinc.com/sites/CoW_FRLP/_layouts/DocIdRedir.aspx?ID=COWFRLPHDR-5-1267" TargetMode="External"/><Relationship Id="rId1301" Type="http://schemas.openxmlformats.org/officeDocument/2006/relationships/hyperlink" Target="https://share.hdrinc.com/sites/CoW_FRLP/_layouts/DocIdRedir.aspx?ID=COWFRLPHDR-5-1236" TargetMode="External"/><Relationship Id="rId1539" Type="http://schemas.openxmlformats.org/officeDocument/2006/relationships/hyperlink" Target="https://share.hdrinc.com/sites/CoW_FRLP/_layouts/DocIdRedir.aspx?ID=COWFRLPHDR-5-1203" TargetMode="External"/><Relationship Id="rId1746" Type="http://schemas.openxmlformats.org/officeDocument/2006/relationships/hyperlink" Target="https://share.hdrinc.com/sites/CoA_Buyout_6500/_layouts/DocIdRedir.aspx?ID=COABUYOUT65-9-40" TargetMode="External"/><Relationship Id="rId1953" Type="http://schemas.openxmlformats.org/officeDocument/2006/relationships/hyperlink" Target="https://share.hdrinc.com/sites/CoW_FRLP/_layouts/DocIdRedir.aspx?ID=COWFRLPHDR-5-1384" TargetMode="External"/><Relationship Id="rId38" Type="http://schemas.openxmlformats.org/officeDocument/2006/relationships/hyperlink" Target="https://share.hdrinc.com/sites/CoW_FRLP/ACQUISITION/COW-FRMP_TR-200%20APPRAISAL%20Just%20Compensation%20Memo.pdf" TargetMode="External"/><Relationship Id="rId103" Type="http://schemas.openxmlformats.org/officeDocument/2006/relationships/hyperlink" Target="https://share.hdrinc.com/sites/CoW_FRLP/ACQUISITION/COW-FRMP_TR-205%20NEGOTIATION%20Initial%20Offer%20Package.pdf" TargetMode="External"/><Relationship Id="rId310" Type="http://schemas.openxmlformats.org/officeDocument/2006/relationships/hyperlink" Target="https://share.hdrinc.com/sites/CoW_FRLP/ACQUISITION/COW-FRMP_TR-220%20TITLE%20Commitment.pdf" TargetMode="External"/><Relationship Id="rId548" Type="http://schemas.openxmlformats.org/officeDocument/2006/relationships/hyperlink" Target="https://share.hdrinc.com/sites/CoW_FRLP/ACQUISITION/COW-FRMP_TR-312%20NEGOTIATION%20Landowner%20Bill%20of%20Rights%20Letter.pdf" TargetMode="External"/><Relationship Id="rId755" Type="http://schemas.openxmlformats.org/officeDocument/2006/relationships/hyperlink" Target="https://share.hdrinc.com/sites/CoW_FRLP/ACQUISITION/T157.docx" TargetMode="External"/><Relationship Id="rId962" Type="http://schemas.openxmlformats.org/officeDocument/2006/relationships/hyperlink" Target="https://share.hdrinc.com/sites/CoW_FRLP/ACQUISITION/COW-FRMP_TR-T254%20ROE%20Right-of-Entry%20Executed.pdf" TargetMode="External"/><Relationship Id="rId1178" Type="http://schemas.openxmlformats.org/officeDocument/2006/relationships/hyperlink" Target="https://share.hdrinc.com/sites/CoW_FRLP/_layouts/DocIdRedir.aspx?ID=COWFRLPHDR-5-819" TargetMode="External"/><Relationship Id="rId1385" Type="http://schemas.openxmlformats.org/officeDocument/2006/relationships/hyperlink" Target="https://share.hdrinc.com/sites/CoW_FRLP/_layouts/DocIdRedir.aspx?ID=COWFRLPHDR-5-525" TargetMode="External"/><Relationship Id="rId1592" Type="http://schemas.openxmlformats.org/officeDocument/2006/relationships/hyperlink" Target="https://share.hdrinc.com/sites/CoW_FRLP/_layouts/DocIdRedir.aspx?ID=COWFRLPHDR-5-1348" TargetMode="External"/><Relationship Id="rId1606" Type="http://schemas.openxmlformats.org/officeDocument/2006/relationships/hyperlink" Target="https://share.hdrinc.com/sites/CoW_FRLP/_layouts/DocIdRedir.aspx?ID=COWFRLPHDR-5-1225" TargetMode="External"/><Relationship Id="rId1813" Type="http://schemas.openxmlformats.org/officeDocument/2006/relationships/hyperlink" Target="https://share.hdrinc.com/sites/CoW_FRLP/_layouts/DocIdRedir.aspx?ID=COWFRLPHDR-5-927" TargetMode="External"/><Relationship Id="rId91" Type="http://schemas.openxmlformats.org/officeDocument/2006/relationships/hyperlink" Target="https://share.hdrinc.com/sites/CoW_FRLP/ACQUISITION/COW-FRMP_TR-203%20TITLE%20Curative%20Plan.docx" TargetMode="External"/><Relationship Id="rId187" Type="http://schemas.openxmlformats.org/officeDocument/2006/relationships/hyperlink" Target="https://share.hdrinc.com/sites/CoW_FRLP/ACQUISITION/COW-FRMP_TR-212%20TITLE%20Commitment.pdf" TargetMode="External"/><Relationship Id="rId394" Type="http://schemas.openxmlformats.org/officeDocument/2006/relationships/hyperlink" Target="https://share.hdrinc.com/sites/CoW_FRLP/ACQUISITION/COW-FRMP_TR-301%20TITLE%20Curative%20Plan.docx" TargetMode="External"/><Relationship Id="rId408" Type="http://schemas.openxmlformats.org/officeDocument/2006/relationships/hyperlink" Target="https://share.hdrinc.com/sites/CoW_FRLP/ACQUISITION/COW-FRMP_TR-302%20TITLE%20Commitment%20Backup%20Docs.pdf" TargetMode="External"/><Relationship Id="rId615" Type="http://schemas.openxmlformats.org/officeDocument/2006/relationships/hyperlink" Target="https://share.hdrinc.com/sites/CoW_FRLP/ACQUISITION/ContactRecords/COW-FRMP_TR-316%20CONTACT%20Negotiator%20Report.docx" TargetMode="External"/><Relationship Id="rId822" Type="http://schemas.openxmlformats.org/officeDocument/2006/relationships/hyperlink" Target="https://share.hdrinc.com/sites/CoW_FRLP/ACQUISITION/COW-FRMP_TR-T186%20ROE%20Right-of-Entry%20Package.pdf" TargetMode="External"/><Relationship Id="rId1038" Type="http://schemas.openxmlformats.org/officeDocument/2006/relationships/hyperlink" Target="https://share.hdrinc.com/sites/CoW_FRLP/_layouts/DocIdRedir.aspx?ID=COWFRLPHDR-5-11" TargetMode="External"/><Relationship Id="rId1245" Type="http://schemas.openxmlformats.org/officeDocument/2006/relationships/hyperlink" Target="https://share.hdrinc.com/sites/CoW_FRLP/_layouts/DocIdRedir.aspx?ID=COWFRLPHDR-5-496" TargetMode="External"/><Relationship Id="rId1452" Type="http://schemas.openxmlformats.org/officeDocument/2006/relationships/hyperlink" Target="https://share.hdrinc.com/sites/CoW_FRLP/_layouts/DocIdRedir.aspx?ID=COWFRLPHDR-5-87" TargetMode="External"/><Relationship Id="rId1897" Type="http://schemas.openxmlformats.org/officeDocument/2006/relationships/hyperlink" Target="https://share.hdrinc.com/sites/CoW_FRLP/_layouts/DocIdRedir.aspx?ID=COWFRLPHDR-5-962" TargetMode="External"/><Relationship Id="rId254" Type="http://schemas.openxmlformats.org/officeDocument/2006/relationships/hyperlink" Target="https://share.hdrinc.com/sites/CoW_FRLP/ACQUISITION/COW-FRMP_TR-216%20SURVEY%20Description-Plat_CITY.pdf" TargetMode="External"/><Relationship Id="rId699" Type="http://schemas.openxmlformats.org/officeDocument/2006/relationships/hyperlink" Target="https://share.hdrinc.com/sites/CoW_FRLP/ACQUISITION/COW-FRMP_TR-421A%20NEGOTIATION%20Initial%20Offer%20Package%20CMRR.pdf" TargetMode="External"/><Relationship Id="rId1091" Type="http://schemas.openxmlformats.org/officeDocument/2006/relationships/hyperlink" Target="https://share.hdrinc.com/sites/CoW_FRLP/_layouts/DocIdRedir.aspx?ID=COWFRLPHDR-5-806" TargetMode="External"/><Relationship Id="rId1105" Type="http://schemas.openxmlformats.org/officeDocument/2006/relationships/hyperlink" Target="https://share.hdrinc.com/sites/CoW_FRLP/_layouts/DocIdRedir.aspx?ID=COWFRLPHDR-5-578" TargetMode="External"/><Relationship Id="rId1312" Type="http://schemas.openxmlformats.org/officeDocument/2006/relationships/hyperlink" Target="https://share.hdrinc.com/sites/CoW_FRLP/_layouts/DocIdRedir.aspx?ID=COWFRLPHDR-5-398" TargetMode="External"/><Relationship Id="rId1757" Type="http://schemas.openxmlformats.org/officeDocument/2006/relationships/hyperlink" Target="https://share.hdrinc.com/sites/CoW_FRLP/_layouts/DocIdRedir.aspx?ID=COWFRLPHDR-5-1092" TargetMode="External"/><Relationship Id="rId1964" Type="http://schemas.openxmlformats.org/officeDocument/2006/relationships/hyperlink" Target="https://share.hdrinc.com/sites/CoW_FRLP/_layouts/DocIdRedir.aspx?ID=COWFRLPHDR-5-1282" TargetMode="External"/><Relationship Id="rId49" Type="http://schemas.openxmlformats.org/officeDocument/2006/relationships/hyperlink" Target="https://share.hdrinc.com/sites/CoW_FRLP/ACQUISITION/COW-FRMP_TR-200%20TITLE%20Commitment.pdf" TargetMode="External"/><Relationship Id="rId114" Type="http://schemas.openxmlformats.org/officeDocument/2006/relationships/hyperlink" Target="https://share.hdrinc.com/sites/CoW_FRLP/ACQUISITION/COW-FRMP_TR-207%20APPRAISAL%20Appraisal%20Review.pdf" TargetMode="External"/><Relationship Id="rId461" Type="http://schemas.openxmlformats.org/officeDocument/2006/relationships/hyperlink" Target="https://share.hdrinc.com/sites/CoW_FRLP/ACQUISITION/COW-FRMP_TR-305MH%20TITLE%20Tax%20Card.pdf" TargetMode="External"/><Relationship Id="rId559" Type="http://schemas.openxmlformats.org/officeDocument/2006/relationships/hyperlink" Target="https://share.hdrinc.com/sites/CoW_FRLP/ACQUISITION/COW-FRMP_TR-313%20APPRAISAL%20Just%20Compensation%20Approval.pdf" TargetMode="External"/><Relationship Id="rId766" Type="http://schemas.openxmlformats.org/officeDocument/2006/relationships/hyperlink" Target="https://share.hdrinc.com/sites/CoW_FRLP/ACQUISITION/COW-FRMP_TR-T159%20CONTACT%20Negotiator%20Report.docx" TargetMode="External"/><Relationship Id="rId1189" Type="http://schemas.openxmlformats.org/officeDocument/2006/relationships/hyperlink" Target="https://share.hdrinc.com/sites/CoW_FRLP/_layouts/DocIdRedir.aspx?ID=COWFRLPHDR-5-804" TargetMode="External"/><Relationship Id="rId1396" Type="http://schemas.openxmlformats.org/officeDocument/2006/relationships/hyperlink" Target="https://share.hdrinc.com/sites/CoW_FRLP/_layouts/DocIdRedir.aspx?ID=COWFRLPHDR-5-639" TargetMode="External"/><Relationship Id="rId1617" Type="http://schemas.openxmlformats.org/officeDocument/2006/relationships/hyperlink" Target="https://share.hdrinc.com/sites/CoW_FRLP/_layouts/DocIdRedir.aspx?ID=COWFRLPHDR-5-265" TargetMode="External"/><Relationship Id="rId1824" Type="http://schemas.openxmlformats.org/officeDocument/2006/relationships/hyperlink" Target="https://share.hdrinc.com/sites/CoW_FRLP/_layouts/DocIdRedir.aspx?ID=COWFRLPHDR-5-1064" TargetMode="External"/><Relationship Id="rId198" Type="http://schemas.openxmlformats.org/officeDocument/2006/relationships/hyperlink" Target="https://share.hdrinc.com/sites/CoW_FRLP/ACQUISITION/ContactRecords/COW-FRMP_TR-213%20CONTACT%20Negotiator%20Report.docx" TargetMode="External"/><Relationship Id="rId321" Type="http://schemas.openxmlformats.org/officeDocument/2006/relationships/hyperlink" Target="https://share.hdrinc.com/sites/CoW_FRLP/ACQUISITION/COW-FRMP_TR-222%20SURVEY%20Description-Plat_USACOE.pdf" TargetMode="External"/><Relationship Id="rId419" Type="http://schemas.openxmlformats.org/officeDocument/2006/relationships/hyperlink" Target="https://share.hdrinc.com/sites/CoW_FRLP/ACQUISITION/COW-FRMP_TR-303%20SURVEY%20Right-of-Entry%20CMRR.pdf" TargetMode="External"/><Relationship Id="rId626" Type="http://schemas.openxmlformats.org/officeDocument/2006/relationships/hyperlink" Target="https://share.hdrinc.com/sites/CoW_FRLP/ACQUISITION/COW-FRMP_TR-317%20CONTACT%20Initial%20Interview%20-%20Residential%20-%20Manlongat.pdf" TargetMode="External"/><Relationship Id="rId973" Type="http://schemas.openxmlformats.org/officeDocument/2006/relationships/hyperlink" Target="https://share.hdrinc.com/sites/CoW_FRLP/ACQUISITION/COW-FRMP_TR-T259%20ROE%20Right-of-Entry%20Package.pdf" TargetMode="External"/><Relationship Id="rId1049" Type="http://schemas.openxmlformats.org/officeDocument/2006/relationships/hyperlink" Target="https://share.hdrinc.com/sites/CoW_FRLP/_layouts/DocIdRedir.aspx?ID=COWFRLPHDR-5-1171" TargetMode="External"/><Relationship Id="rId1256" Type="http://schemas.openxmlformats.org/officeDocument/2006/relationships/hyperlink" Target="https://share.hdrinc.com/sites/CoW_FRLP/_layouts/DocIdRedir.aspx?ID=COWFRLPHDR-5-9" TargetMode="External"/><Relationship Id="rId2002" Type="http://schemas.openxmlformats.org/officeDocument/2006/relationships/hyperlink" Target="https://share.hdrinc.com/sites/CoW_FRLP/_layouts/DocIdRedir.aspx?ID=COWFRLPHDR-5-1117" TargetMode="External"/><Relationship Id="rId833" Type="http://schemas.openxmlformats.org/officeDocument/2006/relationships/hyperlink" Target="https://share.hdrinc.com/sites/CoW_FRLP/ACQUISITION/COW-FRMP_TR-T188%20TITLE%20Tax%20Card.pdf" TargetMode="External"/><Relationship Id="rId1116" Type="http://schemas.openxmlformats.org/officeDocument/2006/relationships/hyperlink" Target="https://share.hdrinc.com/sites/CoW_FRLP/_layouts/DocIdRedir.aspx?ID=COWFRLPHDR-5-1359" TargetMode="External"/><Relationship Id="rId1463" Type="http://schemas.openxmlformats.org/officeDocument/2006/relationships/hyperlink" Target="https://share.hdrinc.com/sites/CoW_FRLP/_layouts/DocIdRedir.aspx?ID=COWFRLPHDR-5-444" TargetMode="External"/><Relationship Id="rId1670" Type="http://schemas.openxmlformats.org/officeDocument/2006/relationships/hyperlink" Target="https://share.hdrinc.com/sites/CoW_FRLP/_layouts/DocIdRedir.aspx?ID=COWFRLPHDR-5-851" TargetMode="External"/><Relationship Id="rId1768" Type="http://schemas.openxmlformats.org/officeDocument/2006/relationships/hyperlink" Target="https://share.hdrinc.com/sites/CoW_FRLP/_layouts/DocIdRedir.aspx?ID=COWFRLPHDR-5-1223" TargetMode="External"/><Relationship Id="rId265" Type="http://schemas.openxmlformats.org/officeDocument/2006/relationships/hyperlink" Target="https://share.hdrinc.com/sites/CoW_FRLP/ACQUISITION/COW-FRMP_TR-217%20CONTACT%20Letter%20of%20Intent-HDR.pdf" TargetMode="External"/><Relationship Id="rId472" Type="http://schemas.openxmlformats.org/officeDocument/2006/relationships/hyperlink" Target="https://share.hdrinc.com/sites/CoW_FRLP/ACQUISITION/COW-FRMP_TR-307%20TITLE%20SOS%20Business%20Organization%20Inquiry.pdf" TargetMode="External"/><Relationship Id="rId900" Type="http://schemas.openxmlformats.org/officeDocument/2006/relationships/hyperlink" Target="https://share.hdrinc.com/sites/CoW_FRLP/ACQUISITION/COW-FRMP_TR-T213%20CONTACT%20Negotiator%20Report.docx" TargetMode="External"/><Relationship Id="rId1323" Type="http://schemas.openxmlformats.org/officeDocument/2006/relationships/hyperlink" Target="https://share.hdrinc.com/sites/CoW_FRLP/_layouts/DocIdRedir.aspx?ID=COWFRLPHDR-5-205" TargetMode="External"/><Relationship Id="rId1530" Type="http://schemas.openxmlformats.org/officeDocument/2006/relationships/hyperlink" Target="https://share.hdrinc.com/sites/CoW_FRLP/_layouts/DocIdRedir.aspx?ID=COWFRLPHDR-5-877" TargetMode="External"/><Relationship Id="rId1628" Type="http://schemas.openxmlformats.org/officeDocument/2006/relationships/hyperlink" Target="https://share.hdrinc.com/sites/CoW_FRLP/_layouts/DocIdRedir.aspx?ID=COWFRLPHDR-5-375" TargetMode="External"/><Relationship Id="rId1975" Type="http://schemas.openxmlformats.org/officeDocument/2006/relationships/hyperlink" Target="https://share.hdrinc.com/sites/CoW_FRLP/_layouts/DocIdRedir.aspx?ID=COWFRLPHDR-5-1244" TargetMode="External"/><Relationship Id="rId125" Type="http://schemas.openxmlformats.org/officeDocument/2006/relationships/hyperlink" Target="https://share.hdrinc.com/sites/CoW_FRLP/ACQUISITION/COW-FRMP_TR-207%20NEGOTIATION%20Initial%20Offer%20Package%20CMRR.pdf" TargetMode="External"/><Relationship Id="rId332" Type="http://schemas.openxmlformats.org/officeDocument/2006/relationships/hyperlink" Target="https://share.hdrinc.com/sites/CoW_FRLP/ACQUISITION/COW-FRMP_TR-223%20NEGOTIATION%20Landowner%20Bill%20of%20Rights%20Letter.pdf" TargetMode="External"/><Relationship Id="rId777" Type="http://schemas.openxmlformats.org/officeDocument/2006/relationships/hyperlink" Target="https://share.hdrinc.com/sites/CoW_FRLP/ACQUISITION/COW-FRMP_TR-T163%20ROE%20Right-of-Entry%20Package.pdf" TargetMode="External"/><Relationship Id="rId984" Type="http://schemas.openxmlformats.org/officeDocument/2006/relationships/hyperlink" Target="https://share.hdrinc.com/sites/CoW_FRLP/ACQUISITION/COW-FRMP_TR-T264%20CONTACT%20Negotiator%20Report.docx" TargetMode="External"/><Relationship Id="rId1835" Type="http://schemas.openxmlformats.org/officeDocument/2006/relationships/hyperlink" Target="https://share.hdrinc.com/sites/CoW_FRLP/_layouts/DocIdRedir.aspx?ID=COWFRLPHDR-5-1084" TargetMode="External"/><Relationship Id="rId2013" Type="http://schemas.openxmlformats.org/officeDocument/2006/relationships/hyperlink" Target="https://share.hdrinc.com/sites/CoW_FRLP/_layouts/DocIdRedir.aspx?ID=COWFRLPHDR-5-1076" TargetMode="External"/><Relationship Id="rId637" Type="http://schemas.openxmlformats.org/officeDocument/2006/relationships/hyperlink" Target="https://share.hdrinc.com/sites/CoW_FRLP/ACQUISITION/COW-FRMP_TR-317%20TITLE%20Tax%20Card.pdf" TargetMode="External"/><Relationship Id="rId844" Type="http://schemas.openxmlformats.org/officeDocument/2006/relationships/hyperlink" Target="https://share.hdrinc.com/sites/CoW_FRLP/ACQUISITION/COW-FRMP_TR-T191%20CONTACT%20Negotiator%20Report.docx" TargetMode="External"/><Relationship Id="rId1267" Type="http://schemas.openxmlformats.org/officeDocument/2006/relationships/hyperlink" Target="https://share.hdrinc.com/sites/CoW_FRLP/_layouts/DocIdRedir.aspx?ID=COWFRLPHDR-5-729" TargetMode="External"/><Relationship Id="rId1474" Type="http://schemas.openxmlformats.org/officeDocument/2006/relationships/hyperlink" Target="https://share.hdrinc.com/sites/CoW_FRLP/_layouts/DocIdRedir.aspx?ID=COWFRLPHDR-5-648" TargetMode="External"/><Relationship Id="rId1681" Type="http://schemas.openxmlformats.org/officeDocument/2006/relationships/hyperlink" Target="https://share.hdrinc.com/sites/CoW_FRLP/_layouts/DocIdRedir.aspx?ID=COWFRLPHDR-5-239" TargetMode="External"/><Relationship Id="rId1902" Type="http://schemas.openxmlformats.org/officeDocument/2006/relationships/hyperlink" Target="https://share.hdrinc.com/sites/CoW_FRLP/_layouts/DocIdRedir.aspx?ID=COWFRLPHDR-5-966" TargetMode="External"/><Relationship Id="rId276" Type="http://schemas.openxmlformats.org/officeDocument/2006/relationships/hyperlink" Target="https://share.hdrinc.com/sites/CoW_FRLP/ACQUISITION/COW-FRMP_TR-218%20CONTACT%20Initial%20Interview%20-%20Residential.pdf" TargetMode="External"/><Relationship Id="rId483" Type="http://schemas.openxmlformats.org/officeDocument/2006/relationships/hyperlink" Target="https://share.hdrinc.com/sites/CoW_FRLP/ACQUISITION/COW-FRMP_TR-308%20SURVEY%20Right-of-Entry%20CMRR.pdf" TargetMode="External"/><Relationship Id="rId690" Type="http://schemas.openxmlformats.org/officeDocument/2006/relationships/hyperlink" Target="https://share.hdrinc.com/sites/CoW_FRLP/ACQUISITION/COW-FRMP_TR-421A%20APPRAISAL%20Appraisal%20Review.pdf" TargetMode="External"/><Relationship Id="rId704" Type="http://schemas.openxmlformats.org/officeDocument/2006/relationships/hyperlink" Target="https://share.hdrinc.com/sites/CoW_FRLP/ACQUISITION/COW-FRMP_TR-421A%20TITLE%20Commitment%20Backup%20Docs.pdf" TargetMode="External"/><Relationship Id="rId911" Type="http://schemas.openxmlformats.org/officeDocument/2006/relationships/hyperlink" Target="https://share.hdrinc.com/sites/CoW_FRLP/ACQUISITION/COW-FRMP_TR-T227%20CONTACT%20Negotiator%20Report.docx" TargetMode="External"/><Relationship Id="rId1127" Type="http://schemas.openxmlformats.org/officeDocument/2006/relationships/hyperlink" Target="https://share.hdrinc.com/sites/CoW_FRLP/_layouts/DocIdRedir.aspx?ID=COWFRLPHDR-5-1317" TargetMode="External"/><Relationship Id="rId1334" Type="http://schemas.openxmlformats.org/officeDocument/2006/relationships/hyperlink" Target="https://share.hdrinc.com/sites/CoW_FRLP/_layouts/DocIdRedir.aspx?ID=COWFRLPHDR-5-852" TargetMode="External"/><Relationship Id="rId1541" Type="http://schemas.openxmlformats.org/officeDocument/2006/relationships/hyperlink" Target="https://share.hdrinc.com/sites/CoW_FRLP/_layouts/DocIdRedir.aspx?ID=COWFRLPHDR-5-1310" TargetMode="External"/><Relationship Id="rId1779" Type="http://schemas.openxmlformats.org/officeDocument/2006/relationships/hyperlink" Target="https://share.hdrinc.com/sites/CoW_FRLP/_layouts/DocIdRedir.aspx?ID=COWFRLPHDR-5-903" TargetMode="External"/><Relationship Id="rId1986" Type="http://schemas.openxmlformats.org/officeDocument/2006/relationships/hyperlink" Target="https://share.hdrinc.com/sites/CoW_FRLP/_layouts/DocIdRedir.aspx?ID=COWFRLPHDR-5-1144" TargetMode="External"/><Relationship Id="rId40" Type="http://schemas.openxmlformats.org/officeDocument/2006/relationships/hyperlink" Target="https://share.hdrinc.com/sites/CoW_FRLP/ACQUISITION/COW-FRMP_TR-200%20APPRAISAL%20USACOE%20Authorization%20to%20Proceed%20with%20Offer%20Approval.pdf" TargetMode="External"/><Relationship Id="rId136" Type="http://schemas.openxmlformats.org/officeDocument/2006/relationships/hyperlink" Target="https://share.hdrinc.com/sites/CoW_FRLP/ACQUISITION/COW-FRMP_TR-208%20APPRAISAL%20Just%20Compensation%20Memo.pdf" TargetMode="External"/><Relationship Id="rId343" Type="http://schemas.openxmlformats.org/officeDocument/2006/relationships/hyperlink" Target="https://share.hdrinc.com/sites/CoW_FRLP/ACQUISITION/COW-FRMP_TR-224%20NEGOTIATION%20Landowner%20Bill%20of%20Rights%20Letter.pdf" TargetMode="External"/><Relationship Id="rId550" Type="http://schemas.openxmlformats.org/officeDocument/2006/relationships/hyperlink" Target="https://share.hdrinc.com/sites/CoW_FRLP/ACQUISITION/COW-FRMP_TR-312%20SURVEY%20Description-Plat_CITY.pdf" TargetMode="External"/><Relationship Id="rId788" Type="http://schemas.openxmlformats.org/officeDocument/2006/relationships/hyperlink" Target="https://share.hdrinc.com/sites/CoW_FRLP/ACQUISITION/COW-FRMP_TR-T167%20ROE%20Right-of-Entry%20Executed.pdf" TargetMode="External"/><Relationship Id="rId995" Type="http://schemas.openxmlformats.org/officeDocument/2006/relationships/hyperlink" Target="https://share.hdrinc.com/sites/CoW_FRLP/ACQUISITION/COW-FRMP_TR-T269%20ROE%20Right-of-Entry%20Package.pdf" TargetMode="External"/><Relationship Id="rId1180" Type="http://schemas.openxmlformats.org/officeDocument/2006/relationships/hyperlink" Target="https://share.hdrinc.com/sites/CoW_FRLP/_layouts/DocIdRedir.aspx?ID=COWFRLPHDR-5-203" TargetMode="External"/><Relationship Id="rId1401" Type="http://schemas.openxmlformats.org/officeDocument/2006/relationships/hyperlink" Target="https://share.hdrinc.com/sites/CoW_FRLP/_layouts/DocIdRedir.aspx?ID=COWFRLPHDR-5-257" TargetMode="External"/><Relationship Id="rId1639" Type="http://schemas.openxmlformats.org/officeDocument/2006/relationships/hyperlink" Target="https://share.hdrinc.com/sites/CoW_FRLP/_layouts/DocIdRedir.aspx?ID=COWFRLPHDR-5-103" TargetMode="External"/><Relationship Id="rId1846" Type="http://schemas.openxmlformats.org/officeDocument/2006/relationships/hyperlink" Target="https://share.hdrinc.com/sites/CoW_FRLP/_layouts/DocIdRedir.aspx?ID=COWFRLPHDR-5-1071" TargetMode="External"/><Relationship Id="rId2024" Type="http://schemas.openxmlformats.org/officeDocument/2006/relationships/hyperlink" Target="https://share.hdrinc.com/sites/CoW_FRLP/_layouts/DocIdRedir.aspx?ID=COWFRLPHDR-5-128" TargetMode="External"/><Relationship Id="rId203" Type="http://schemas.openxmlformats.org/officeDocument/2006/relationships/hyperlink" Target="https://share.hdrinc.com/sites/CoW_FRLP/ACQUISITION/COW-FRMP_TR-213%20SURVEY%20Right-of-Entry.pdf" TargetMode="External"/><Relationship Id="rId648" Type="http://schemas.openxmlformats.org/officeDocument/2006/relationships/hyperlink" Target="https://share.hdrinc.com/sites/CoW_FRLP/ACQUISITION/COW-FRMP_TR-319%20TITLE%20Commitment%20Backup%20Docs.pdf" TargetMode="External"/><Relationship Id="rId855" Type="http://schemas.openxmlformats.org/officeDocument/2006/relationships/hyperlink" Target="https://share.hdrinc.com/sites/CoW_FRLP/ACQUISITION/COW-FRMP_TR-T194%20CONTACT%20Negotiator%20Report.docx" TargetMode="External"/><Relationship Id="rId1040" Type="http://schemas.openxmlformats.org/officeDocument/2006/relationships/hyperlink" Target="https://share.hdrinc.com/sites/CoW_FRLP/_layouts/DocIdRedir.aspx?ID=COWFRLPHDR-5-215" TargetMode="External"/><Relationship Id="rId1278" Type="http://schemas.openxmlformats.org/officeDocument/2006/relationships/hyperlink" Target="https://share.hdrinc.com/sites/CoW_FRLP/_layouts/DocIdRedir.aspx?ID=COWFRLPHDR-5-505" TargetMode="External"/><Relationship Id="rId1485" Type="http://schemas.openxmlformats.org/officeDocument/2006/relationships/hyperlink" Target="https://share.hdrinc.com/sites/CoW_FRLP/_layouts/DocIdRedir.aspx?ID=COWFRLPHDR-5-802" TargetMode="External"/><Relationship Id="rId1692" Type="http://schemas.openxmlformats.org/officeDocument/2006/relationships/hyperlink" Target="https://share.hdrinc.com/sites/CoW_FRLP/_layouts/DocIdRedir.aspx?ID=COWFRLPHDR-5-1331" TargetMode="External"/><Relationship Id="rId1706" Type="http://schemas.openxmlformats.org/officeDocument/2006/relationships/hyperlink" Target="https://share.hdrinc.com/sites/CoW_FRLP/_layouts/DocIdRedir.aspx?ID=COWFRLPHDR-5-812" TargetMode="External"/><Relationship Id="rId1913" Type="http://schemas.openxmlformats.org/officeDocument/2006/relationships/hyperlink" Target="https://share.hdrinc.com/sites/CoA_Buyout_6500/_layouts/DocIdRedir.aspx?ID=COABUYOUT65-9-40" TargetMode="External"/><Relationship Id="rId287" Type="http://schemas.openxmlformats.org/officeDocument/2006/relationships/hyperlink" Target="https://share.hdrinc.com/sites/CoW_FRLP/ACQUISITION/COW-FRMP_TR-219%20APPRAISAL%20Just%20Compensation%20Memo.pdf" TargetMode="External"/><Relationship Id="rId410" Type="http://schemas.openxmlformats.org/officeDocument/2006/relationships/hyperlink" Target="https://share.hdrinc.com/sites/CoW_FRLP/ACQUISITION/COW-FRMP_TR-302%20TITLE%20Tax%20Card.pdf" TargetMode="External"/><Relationship Id="rId494" Type="http://schemas.openxmlformats.org/officeDocument/2006/relationships/hyperlink" Target="https://share.hdrinc.com/sites/CoW_FRLP/ACQUISITION/COW-FRMP_TR-309%20CONTACT%20Letter%20of%20Intent-HDR%20Garza.pdf" TargetMode="External"/><Relationship Id="rId508" Type="http://schemas.openxmlformats.org/officeDocument/2006/relationships/hyperlink" Target="https://share.hdrinc.com/sites/CoW_FRLP/ACQUISITION/COW-FRMP_TR-309%20TITLE%20Tax%20Card.pdf" TargetMode="External"/><Relationship Id="rId715" Type="http://schemas.openxmlformats.org/officeDocument/2006/relationships/hyperlink" Target="https://share.hdrinc.com/sites/CoW_FRLP/ACQUISITION/COW-FRMP_TR-427%20TITLE%20Tax%20Card.pdf" TargetMode="External"/><Relationship Id="rId922" Type="http://schemas.openxmlformats.org/officeDocument/2006/relationships/hyperlink" Target="https://share.hdrinc.com/sites/CoW_FRLP/ACQUISITION/COW-FRMP_TR-T228%20TITLE%20Tax%20Card.pdf" TargetMode="External"/><Relationship Id="rId1138" Type="http://schemas.openxmlformats.org/officeDocument/2006/relationships/hyperlink" Target="https://share.hdrinc.com/sites/CoW_FRLP/_layouts/DocIdRedir.aspx?ID=COWFRLPHDR-5-1349" TargetMode="External"/><Relationship Id="rId1345" Type="http://schemas.openxmlformats.org/officeDocument/2006/relationships/hyperlink" Target="https://share.hdrinc.com/sites/CoW_FRLP/_layouts/DocIdRedir.aspx?ID=COWFRLPHDR-5-437" TargetMode="External"/><Relationship Id="rId1552" Type="http://schemas.openxmlformats.org/officeDocument/2006/relationships/hyperlink" Target="https://share.hdrinc.com/sites/CoW_FRLP/_layouts/DocIdRedir.aspx?ID=COWFRLPHDR-5-46" TargetMode="External"/><Relationship Id="rId1997" Type="http://schemas.openxmlformats.org/officeDocument/2006/relationships/hyperlink" Target="https://share.hdrinc.com/sites/CoW_FRLP/_layouts/DocIdRedir.aspx?ID=COWFRLPHDR-5-1205" TargetMode="External"/><Relationship Id="rId147" Type="http://schemas.openxmlformats.org/officeDocument/2006/relationships/hyperlink" Target="https://share.hdrinc.com/sites/CoW_FRLP/ACQUISITION/COW-FRMP_TR-208%20TITLE%20Commitment.pdf" TargetMode="External"/><Relationship Id="rId354" Type="http://schemas.openxmlformats.org/officeDocument/2006/relationships/hyperlink" Target="https://share.hdrinc.com/sites/CoW_FRLP/ACQUISITION/COW-FRMP_TR-227%20SURVEY%20Description-Plat_USACOE.pdf" TargetMode="External"/><Relationship Id="rId799" Type="http://schemas.openxmlformats.org/officeDocument/2006/relationships/hyperlink" Target="https://share.hdrinc.com/sites/CoW_FRLP/ACQUISITION/COW-FRMP_TR-T181%20ENVIRONMENTAL%20Right-of-Entry%20Executed.pdf" TargetMode="External"/><Relationship Id="rId1191" Type="http://schemas.openxmlformats.org/officeDocument/2006/relationships/hyperlink" Target="https://share.hdrinc.com/sites/CoW_FRLP/_layouts/DocIdRedir.aspx?ID=COWFRLPHDR-5-7" TargetMode="External"/><Relationship Id="rId1205" Type="http://schemas.openxmlformats.org/officeDocument/2006/relationships/hyperlink" Target="https://share.hdrinc.com/sites/CoW_FRLP/_layouts/DocIdRedir.aspx?ID=COWFRLPHDR-5-1215" TargetMode="External"/><Relationship Id="rId1857" Type="http://schemas.openxmlformats.org/officeDocument/2006/relationships/hyperlink" Target="https://share.hdrinc.com/sites/CoW_FRLP/_layouts/DocIdRedir.aspx?ID=COWFRLPHDR-5-1025" TargetMode="External"/><Relationship Id="rId51" Type="http://schemas.openxmlformats.org/officeDocument/2006/relationships/hyperlink" Target="https://share.hdrinc.com/sites/CoW_FRLP/ACQUISITION/COW-FRMP_TR-200%20TITLE%20Curative%20Plan.docx" TargetMode="External"/><Relationship Id="rId561" Type="http://schemas.openxmlformats.org/officeDocument/2006/relationships/hyperlink" Target="https://share.hdrinc.com/sites/CoW_FRLP/ACQUISITION/COW-FRMP_TR-313%20APPRAISAL%20USACOE%20Authorization%20to%20Proceed%20with%20Offer.pdf" TargetMode="External"/><Relationship Id="rId659" Type="http://schemas.openxmlformats.org/officeDocument/2006/relationships/hyperlink" Target="https://share.hdrinc.com/sites/CoW_FRLP/ACQUISITION/COW-FRMP_TR-320%20TITLE%20Commitment.pdf" TargetMode="External"/><Relationship Id="rId866" Type="http://schemas.openxmlformats.org/officeDocument/2006/relationships/hyperlink" Target="https://share.hdrinc.com/sites/CoW_FRLP/ACQUISITION/COW-FRMP_TR-T198%20ENVIRONMENTAL%20Right-of-Entry%20Package.pdf" TargetMode="External"/><Relationship Id="rId1289" Type="http://schemas.openxmlformats.org/officeDocument/2006/relationships/hyperlink" Target="https://share.hdrinc.com/sites/CoW_FRLP/_layouts/DocIdRedir.aspx?ID=COWFRLPHDR-5-94" TargetMode="External"/><Relationship Id="rId1412" Type="http://schemas.openxmlformats.org/officeDocument/2006/relationships/hyperlink" Target="https://share.hdrinc.com/sites/CoW_FRLP/_layouts/DocIdRedir.aspx?ID=COWFRLPHDR-5-1254" TargetMode="External"/><Relationship Id="rId1496" Type="http://schemas.openxmlformats.org/officeDocument/2006/relationships/hyperlink" Target="https://share.hdrinc.com/sites/CoW_FRLP/_layouts/DocIdRedir.aspx?ID=COWFRLPHDR-5-123" TargetMode="External"/><Relationship Id="rId1717" Type="http://schemas.openxmlformats.org/officeDocument/2006/relationships/hyperlink" Target="https://share.hdrinc.com/sites/CoW_FRLP/_layouts/DocIdRedir.aspx?ID=COWFRLPHDR-5-176" TargetMode="External"/><Relationship Id="rId1924" Type="http://schemas.openxmlformats.org/officeDocument/2006/relationships/hyperlink" Target="https://share.hdrinc.com/sites/CoW_FRLP/_layouts/DocIdRedir.aspx?ID=COWFRLPHDR-5-1180" TargetMode="External"/><Relationship Id="rId214" Type="http://schemas.openxmlformats.org/officeDocument/2006/relationships/hyperlink" Target="https://share.hdrinc.com/sites/CoW_FRLP/ACQUISITION/COW-FRMP_TR-214%20APPRAISAL%20USACOE%20Authorization%20to%20Proceed%20with%20Offer%20Approval.pdf" TargetMode="External"/><Relationship Id="rId298" Type="http://schemas.openxmlformats.org/officeDocument/2006/relationships/hyperlink" Target="https://share.hdrinc.com/sites/CoW_FRLP/ACQUISITION/COW-FRMP_TR-219%20TITLE%20Commitment%20Backup%20Docs.pdf" TargetMode="External"/><Relationship Id="rId421" Type="http://schemas.openxmlformats.org/officeDocument/2006/relationships/hyperlink" Target="https://share.hdrinc.com/sites/CoW_FRLP/ACQUISITION/COW-FRMP_TR-303%20TITLE%20Commitment%20Backup%20Docs.pdf" TargetMode="External"/><Relationship Id="rId519" Type="http://schemas.openxmlformats.org/officeDocument/2006/relationships/hyperlink" Target="https://share.hdrinc.com/sites/CoW_FRLP/ACQUISITION/COW-FRMP_TR-310%20TITLE%20Commitment.pdf" TargetMode="External"/><Relationship Id="rId1051" Type="http://schemas.openxmlformats.org/officeDocument/2006/relationships/hyperlink" Target="https://share.hdrinc.com/sites/CoW_FRLP/_layouts/DocIdRedir.aspx?ID=COWFRLPHDR-5-1175" TargetMode="External"/><Relationship Id="rId1149" Type="http://schemas.openxmlformats.org/officeDocument/2006/relationships/hyperlink" Target="https://share.hdrinc.com/sites/CoW_FRLP/_layouts/DocIdRedir.aspx?ID=COWFRLPHDR-5-1370" TargetMode="External"/><Relationship Id="rId1356" Type="http://schemas.openxmlformats.org/officeDocument/2006/relationships/hyperlink" Target="https://share.hdrinc.com/sites/CoW_FRLP/_layouts/DocIdRedir.aspx?ID=COWFRLPHDR-5-438" TargetMode="External"/><Relationship Id="rId158" Type="http://schemas.openxmlformats.org/officeDocument/2006/relationships/hyperlink" Target="https://share.hdrinc.com/sites/CoW_FRLP/ACQUISITION/COW-FRMP_TR-210%20APPRAISAL%20USACOE%20Authorization%20to%20Proceed%20with%20Offer%20Approval.pdf" TargetMode="External"/><Relationship Id="rId726" Type="http://schemas.openxmlformats.org/officeDocument/2006/relationships/hyperlink" Target="https://share.hdrinc.com/sites/CoW_FRLP/ACQUISITION/COW-FRMP_TR-T067%20TITLE%20Tax%20Card.pdf" TargetMode="External"/><Relationship Id="rId933" Type="http://schemas.openxmlformats.org/officeDocument/2006/relationships/hyperlink" Target="https://share.hdrinc.com/sites/CoW_FRLP/ACQUISITION/COW-FRMP_TR-T237%20ENVIRONMENTAL%20Right-of-Entry%20Executed.pdf" TargetMode="External"/><Relationship Id="rId1009" Type="http://schemas.openxmlformats.org/officeDocument/2006/relationships/hyperlink" Target="https://share.hdrinc.com/sites/CoW_FRLP/ACQUISITION/COW-FRMP_TR-T279%20ROE%20Right-of-Entry%20Executed.pdf" TargetMode="External"/><Relationship Id="rId1563" Type="http://schemas.openxmlformats.org/officeDocument/2006/relationships/hyperlink" Target="https://share.hdrinc.com/sites/CoW_FRLP/_layouts/DocIdRedir.aspx?ID=COWFRLPHDR-5-736" TargetMode="External"/><Relationship Id="rId1770" Type="http://schemas.openxmlformats.org/officeDocument/2006/relationships/hyperlink" Target="https://share.hdrinc.com/sites/CoW_FRLP/_layouts/DocIdRedir.aspx?ID=COWFRLPHDR-5-1095" TargetMode="External"/><Relationship Id="rId1868" Type="http://schemas.openxmlformats.org/officeDocument/2006/relationships/hyperlink" Target="https://share.hdrinc.com/sites/CoW_FRLP/_layouts/DocIdRedir.aspx?ID=COWFRLPHDR-5-1362" TargetMode="External"/><Relationship Id="rId62" Type="http://schemas.openxmlformats.org/officeDocument/2006/relationships/hyperlink" Target="https://share.hdrinc.com/sites/CoW_FRLP/ACQUISITION/COW-FRMP_TR-201%20TITLE%20Curative%20Plan.docx" TargetMode="External"/><Relationship Id="rId365" Type="http://schemas.openxmlformats.org/officeDocument/2006/relationships/hyperlink" Target="https://share.hdrinc.com/sites/CoW_FRLP/ACQUISITION/COW-FRMP_TR-231%20ENVIRONMENTAL%20Right-of-Entry%20Executed.pdf" TargetMode="External"/><Relationship Id="rId572" Type="http://schemas.openxmlformats.org/officeDocument/2006/relationships/hyperlink" Target="https://share.hdrinc.com/sites/CoW_FRLP/ACQUISITION/COW-FRMP_TR-313%20SURVEY%20Right-of-Entry.pdf" TargetMode="External"/><Relationship Id="rId1216" Type="http://schemas.openxmlformats.org/officeDocument/2006/relationships/hyperlink" Target="https://share.hdrinc.com/sites/CoW_FRLP/_layouts/DocIdRedir.aspx?ID=COWFRLPHDR-5-757" TargetMode="External"/><Relationship Id="rId1423" Type="http://schemas.openxmlformats.org/officeDocument/2006/relationships/hyperlink" Target="https://share.hdrinc.com/sites/CoW_FRLP/_layouts/DocIdRedir.aspx?ID=COWFRLPHDR-5-641" TargetMode="External"/><Relationship Id="rId1630" Type="http://schemas.openxmlformats.org/officeDocument/2006/relationships/hyperlink" Target="https://share.hdrinc.com/sites/CoW_FRLP/_layouts/DocIdRedir.aspx?ID=COWFRLPHDR-5-740" TargetMode="External"/><Relationship Id="rId225" Type="http://schemas.openxmlformats.org/officeDocument/2006/relationships/hyperlink" Target="https://share.hdrinc.com/sites/CoW_FRLP/ACQUISITION/COW-FRMP_TR-214%20TITLE%20Tax%20Card.pdf" TargetMode="External"/><Relationship Id="rId432" Type="http://schemas.openxmlformats.org/officeDocument/2006/relationships/hyperlink" Target="https://share.hdrinc.com/sites/CoW_FRLP/ACQUISITION/COW-FRMP_TR-304%20CONTACT%20Letter%20of%20Intent-HDR%20P.%20Panes.pdf" TargetMode="External"/><Relationship Id="rId877" Type="http://schemas.openxmlformats.org/officeDocument/2006/relationships/hyperlink" Target="https://share.hdrinc.com/sites/CoW_FRLP/ACQUISITION/COW-FRMP_TR-T205%20TITLE%20Tax%20Card.pdf" TargetMode="External"/><Relationship Id="rId1062" Type="http://schemas.openxmlformats.org/officeDocument/2006/relationships/hyperlink" Target="https://share.hdrinc.com/sites/CoW_FRLP/_layouts/DocIdRedir.aspx?ID=COWFRLPHDR-5-195" TargetMode="External"/><Relationship Id="rId1728" Type="http://schemas.openxmlformats.org/officeDocument/2006/relationships/hyperlink" Target="https://share.hdrinc.com/sites/CoW_FRLP/_layouts/DocIdRedir.aspx?ID=COWFRLPHDR-5-667" TargetMode="External"/><Relationship Id="rId1935" Type="http://schemas.openxmlformats.org/officeDocument/2006/relationships/hyperlink" Target="https://share.hdrinc.com/sites/CoW_FRLP/_layouts/DocIdRedir.aspx?ID=COWFRLPHDR-5-988" TargetMode="External"/><Relationship Id="rId737" Type="http://schemas.openxmlformats.org/officeDocument/2006/relationships/hyperlink" Target="https://share.hdrinc.com/sites/CoW_FRLP/ACQUISITION/COW-FRMP_TR-T070%20CONTACT%20Negotiator%20Report.docx" TargetMode="External"/><Relationship Id="rId944" Type="http://schemas.openxmlformats.org/officeDocument/2006/relationships/hyperlink" Target="https://share.hdrinc.com/sites/CoW_FRLP/ACQUISITION/COW-FRMP_TR-T241%20ENVIRONMENTAL%20Right-of-Entry%20Executed.pdf" TargetMode="External"/><Relationship Id="rId1367" Type="http://schemas.openxmlformats.org/officeDocument/2006/relationships/hyperlink" Target="https://share.hdrinc.com/sites/CoW_FRLP/_layouts/DocIdRedir.aspx?ID=COWFRLPHDR-5-855" TargetMode="External"/><Relationship Id="rId1574" Type="http://schemas.openxmlformats.org/officeDocument/2006/relationships/hyperlink" Target="https://share.hdrinc.com/sites/CoW_FRLP/_layouts/DocIdRedir.aspx?ID=COWFRLPHDR-5-1220" TargetMode="External"/><Relationship Id="rId1781" Type="http://schemas.openxmlformats.org/officeDocument/2006/relationships/hyperlink" Target="https://share.hdrinc.com/sites/CoW_FRLP/_layouts/DocIdRedir.aspx?ID=COWFRLPHDR-5-1097" TargetMode="External"/><Relationship Id="rId73" Type="http://schemas.openxmlformats.org/officeDocument/2006/relationships/hyperlink" Target="https://share.hdrinc.com/sites/CoW_FRLP/ACQUISITION/ContactRecords/COW-FRMP_TR-202%20CONTACT%20Negotiator%20Report.docx" TargetMode="External"/><Relationship Id="rId169" Type="http://schemas.openxmlformats.org/officeDocument/2006/relationships/hyperlink" Target="https://share.hdrinc.com/sites/CoW_FRLP/ACQUISITION/COW-FRMP_TR-210%20TITLE%20Curative%20Plan.docx" TargetMode="External"/><Relationship Id="rId376" Type="http://schemas.openxmlformats.org/officeDocument/2006/relationships/hyperlink" Target="https://share.hdrinc.com/sites/CoW_FRLP/ACQUISITION/COW-FRMP_TR-300%20NEGOTIATION%20Landowner%20Bill%20of%20Rights%20Letter.pdf" TargetMode="External"/><Relationship Id="rId583" Type="http://schemas.openxmlformats.org/officeDocument/2006/relationships/hyperlink" Target="https://share.hdrinc.com/sites/CoW_FRLP/ACQUISITION/COW-FRMP_TR-314%20SURVEY%20Description-Plat_CITY.pdf" TargetMode="External"/><Relationship Id="rId790" Type="http://schemas.openxmlformats.org/officeDocument/2006/relationships/hyperlink" Target="https://share.hdrinc.com/sites/CoW_FRLP/ACQUISITION/COW-FRMP_TR-T168%20CONTACT%20Negotiator%20Report.docx" TargetMode="External"/><Relationship Id="rId804" Type="http://schemas.openxmlformats.org/officeDocument/2006/relationships/hyperlink" Target="https://share.hdrinc.com/sites/CoW_FRLP/ACQUISITION/COW-FRMP_TR-T182%20ENVIRONMENTAL%20Right-of-Entry%20Executed.pdf" TargetMode="External"/><Relationship Id="rId1227" Type="http://schemas.openxmlformats.org/officeDocument/2006/relationships/hyperlink" Target="https://share.hdrinc.com/sites/CoW_FRLP/_layouts/DocIdRedir.aspx?ID=COWFRLPHDR-5-1272" TargetMode="External"/><Relationship Id="rId1434" Type="http://schemas.openxmlformats.org/officeDocument/2006/relationships/hyperlink" Target="https://share.hdrinc.com/sites/CoW_FRLP/_layouts/DocIdRedir.aspx?ID=COWFRLPHDR-5-41" TargetMode="External"/><Relationship Id="rId1641" Type="http://schemas.openxmlformats.org/officeDocument/2006/relationships/hyperlink" Target="https://share.hdrinc.com/sites/CoW_FRLP/_layouts/DocIdRedir.aspx?ID=COWFRLPHDR-5-278" TargetMode="External"/><Relationship Id="rId1879" Type="http://schemas.openxmlformats.org/officeDocument/2006/relationships/hyperlink" Target="https://share.hdrinc.com/sites/CoW_FRLP/_layouts/DocIdRedir.aspx?ID=COWFRLPHDR-5-134" TargetMode="External"/><Relationship Id="rId4" Type="http://schemas.openxmlformats.org/officeDocument/2006/relationships/hyperlink" Target="https://share.hdrinc.com/sites/CoW_FRLP/ACQUISITION/COW-FRMP_R027658%20SURVEY%20Right-of-Entry.pdf" TargetMode="External"/><Relationship Id="rId236" Type="http://schemas.openxmlformats.org/officeDocument/2006/relationships/hyperlink" Target="https://share.hdrinc.com/sites/CoW_FRLP/ACQUISITION/COW-FRMP_TR-215%20CONTACT%20Letter%20of%20Intent-HDR%20Silva.pdf" TargetMode="External"/><Relationship Id="rId443" Type="http://schemas.openxmlformats.org/officeDocument/2006/relationships/hyperlink" Target="https://share.hdrinc.com/sites/CoW_FRLP/ACQUISITION/COW-FRMP_TR-305%20APPRAISAL%20Final%20Appraisal.pdf" TargetMode="External"/><Relationship Id="rId650" Type="http://schemas.openxmlformats.org/officeDocument/2006/relationships/hyperlink" Target="https://share.hdrinc.com/sites/CoW_FRLP/ACQUISITION/COW-FRMP_TR-319%20TITLE%20Tax%20Card.pdf" TargetMode="External"/><Relationship Id="rId888" Type="http://schemas.openxmlformats.org/officeDocument/2006/relationships/hyperlink" Target="https://share.hdrinc.com/sites/CoW_FRLP/ACQUISITION/COW-FRMP_TR-T210%20ROE%20Right-of-Entry%20Package.pdf" TargetMode="External"/><Relationship Id="rId1073" Type="http://schemas.openxmlformats.org/officeDocument/2006/relationships/hyperlink" Target="https://share.hdrinc.com/sites/CoW_FRLP/_layouts/DocIdRedir.aspx?ID=COWFRLPHDR-5-197" TargetMode="External"/><Relationship Id="rId1280" Type="http://schemas.openxmlformats.org/officeDocument/2006/relationships/hyperlink" Target="https://share.hdrinc.com/sites/CoW_FRLP/_layouts/DocIdRedir.aspx?ID=COWFRLPHDR-5-678" TargetMode="External"/><Relationship Id="rId1501" Type="http://schemas.openxmlformats.org/officeDocument/2006/relationships/hyperlink" Target="https://share.hdrinc.com/sites/CoW_FRLP/_layouts/DocIdRedir.aspx?ID=COWFRLPHDR-5-1206" TargetMode="External"/><Relationship Id="rId1739" Type="http://schemas.openxmlformats.org/officeDocument/2006/relationships/hyperlink" Target="https://share.hdrinc.com/sites/CoW_FRLP/_layouts/DocIdRedir.aspx?ID=COWFRLPHDR-5-1043" TargetMode="External"/><Relationship Id="rId1946" Type="http://schemas.openxmlformats.org/officeDocument/2006/relationships/hyperlink" Target="https://share.hdrinc.com/sites/CoW_FRLP/_layouts/DocIdRedir.aspx?ID=COWFRLPHDR-5-993" TargetMode="External"/><Relationship Id="rId303" Type="http://schemas.openxmlformats.org/officeDocument/2006/relationships/hyperlink" Target="https://share.hdrinc.com/sites/CoW_FRLP/ACQUISITION/COW-FRMP_TR-220%20APPRAISAL%20USACOE%20Authorization%20to%20Proceed%20with%20Offer.pdf" TargetMode="External"/><Relationship Id="rId748" Type="http://schemas.openxmlformats.org/officeDocument/2006/relationships/hyperlink" Target="https://share.hdrinc.com/sites/CoW_FRLP/ACQUISITION/COW-FRMP_TR-T072%20ROE%20Right-of-Entry%20Package.pdf" TargetMode="External"/><Relationship Id="rId955" Type="http://schemas.openxmlformats.org/officeDocument/2006/relationships/hyperlink" Target="https://share.hdrinc.com/sites/CoW_FRLP/ACQUISITION/COW-FRMP_TR-T243%20ENVIRONMENTAL%20Right-of-Entry%20Package.pdf" TargetMode="External"/><Relationship Id="rId1140" Type="http://schemas.openxmlformats.org/officeDocument/2006/relationships/hyperlink" Target="https://share.hdrinc.com/sites/CoW_FRLP/_layouts/DocIdRedir.aspx?ID=COWFRLPHDR-5-746" TargetMode="External"/><Relationship Id="rId1378" Type="http://schemas.openxmlformats.org/officeDocument/2006/relationships/hyperlink" Target="https://share.hdrinc.com/sites/CoW_FRLP/_layouts/DocIdRedir.aspx?ID=COWFRLPHDR-5-1385" TargetMode="External"/><Relationship Id="rId1585" Type="http://schemas.openxmlformats.org/officeDocument/2006/relationships/hyperlink" Target="https://share.hdrinc.com/sites/CoW_FRLP/_layouts/DocIdRedir.aspx?ID=COWFRLPHDR-5-773" TargetMode="External"/><Relationship Id="rId1792" Type="http://schemas.openxmlformats.org/officeDocument/2006/relationships/hyperlink" Target="https://share.hdrinc.com/sites/CoW_FRLP/_layouts/DocIdRedir.aspx?ID=COWFRLPHDR-5-912" TargetMode="External"/><Relationship Id="rId1806" Type="http://schemas.openxmlformats.org/officeDocument/2006/relationships/hyperlink" Target="https://share.hdrinc.com/sites/CoW_FRLP/_layouts/DocIdRedir.aspx?ID=COWFRLPHDR-5-921" TargetMode="External"/><Relationship Id="rId84" Type="http://schemas.openxmlformats.org/officeDocument/2006/relationships/hyperlink" Target="https://share.hdrinc.com/sites/CoW_FRLP/ACQUISITION/COW-FRMP_TR-202%20TITLE%20Tax%20Card.pdf" TargetMode="External"/><Relationship Id="rId387" Type="http://schemas.openxmlformats.org/officeDocument/2006/relationships/hyperlink" Target="https://share.hdrinc.com/sites/CoW_FRLP/ACQUISITION/COW-FRMP_TR-301%20CONTACT%20Letter%20of%20Intent-HDR.pdf" TargetMode="External"/><Relationship Id="rId510" Type="http://schemas.openxmlformats.org/officeDocument/2006/relationships/hyperlink" Target="https://share.hdrinc.com/sites/CoW_FRLP/ACQUISITION/COW-FRMP_TR-310%20APPRAISAL%20Just%20Compensation%20Memo.pdf" TargetMode="External"/><Relationship Id="rId594" Type="http://schemas.openxmlformats.org/officeDocument/2006/relationships/hyperlink" Target="https://share.hdrinc.com/sites/CoW_FRLP/ACQUISITION/COW-FRMP_TR-315%20APPRAISAL%20USACOE%20Authorization%20to%20Proceed%20with%20Offer.pdf" TargetMode="External"/><Relationship Id="rId608" Type="http://schemas.openxmlformats.org/officeDocument/2006/relationships/hyperlink" Target="https://share.hdrinc.com/sites/CoW_FRLP/ACQUISITION/COW-FRMP_TR-315%20TITLE%20Curative%20Plan.docx" TargetMode="External"/><Relationship Id="rId815" Type="http://schemas.openxmlformats.org/officeDocument/2006/relationships/hyperlink" Target="https://share.hdrinc.com/sites/CoW_FRLP/ACQUISITION/COW-FRMP_TR-T184%20TITLE%20Tax%20Card.pdf" TargetMode="External"/><Relationship Id="rId1238" Type="http://schemas.openxmlformats.org/officeDocument/2006/relationships/hyperlink" Target="https://share.hdrinc.com/sites/CoW_FRLP/_layouts/DocIdRedir.aspx?ID=COWFRLPHDR-5-595" TargetMode="External"/><Relationship Id="rId1445" Type="http://schemas.openxmlformats.org/officeDocument/2006/relationships/hyperlink" Target="https://share.hdrinc.com/sites/CoW_FRLP/_layouts/DocIdRedir.aspx?ID=COWFRLPHDR-5-544" TargetMode="External"/><Relationship Id="rId1652" Type="http://schemas.openxmlformats.org/officeDocument/2006/relationships/hyperlink" Target="https://share.hdrinc.com/sites/CoW_FRLP/_layouts/DocIdRedir.aspx?ID=COWFRLPHDR-5-1381" TargetMode="External"/><Relationship Id="rId247" Type="http://schemas.openxmlformats.org/officeDocument/2006/relationships/hyperlink" Target="https://share.hdrinc.com/sites/CoW_FRLP/ACQUISITION/COW-FRMP_TR-215%20TITLE%20Tax%20Card.pdf" TargetMode="External"/><Relationship Id="rId899" Type="http://schemas.openxmlformats.org/officeDocument/2006/relationships/hyperlink" Target="https://share.hdrinc.com/sites/CoW_FRLP/ACQUISITION/COW-FRMP_TR-T212%20TITLE%20Tax%20Card.pdf" TargetMode="External"/><Relationship Id="rId1000" Type="http://schemas.openxmlformats.org/officeDocument/2006/relationships/hyperlink" Target="https://share.hdrinc.com/sites/CoW_FRLP/ACQUISITION/COW-FRMP_TR-T274%20ROE%20Right-of-Entry%20Executed.pdf" TargetMode="External"/><Relationship Id="rId1084" Type="http://schemas.openxmlformats.org/officeDocument/2006/relationships/hyperlink" Target="https://share.hdrinc.com/sites/CoW_FRLP/_layouts/DocIdRedir.aspx?ID=COWFRLPHDR-5-1268" TargetMode="External"/><Relationship Id="rId1305" Type="http://schemas.openxmlformats.org/officeDocument/2006/relationships/hyperlink" Target="https://share.hdrinc.com/sites/CoW_FRLP/_layouts/DocIdRedir.aspx?ID=COWFRLPHDR-5-434" TargetMode="External"/><Relationship Id="rId1957" Type="http://schemas.openxmlformats.org/officeDocument/2006/relationships/hyperlink" Target="https://share.hdrinc.com/sites/CoW_FRLP/_layouts/DocIdRedir.aspx?ID=COWFRLPHDR-5-999" TargetMode="External"/><Relationship Id="rId107" Type="http://schemas.openxmlformats.org/officeDocument/2006/relationships/hyperlink" Target="https://share.hdrinc.com/sites/CoW_FRLP/ACQUISITION/COW-FRMP_TR-205%20SURVEY%20Description-Plat_USACOE.pdf" TargetMode="External"/><Relationship Id="rId454" Type="http://schemas.openxmlformats.org/officeDocument/2006/relationships/hyperlink" Target="https://share.hdrinc.com/sites/CoW_FRLP/ACQUISITION/COW-FRMP_TR-305%20TITLE%20Commitment.pdf" TargetMode="External"/><Relationship Id="rId661" Type="http://schemas.openxmlformats.org/officeDocument/2006/relationships/hyperlink" Target="https://share.hdrinc.com/sites/CoW_FRLP/ACQUISITION/COW-FRMP_TR-320%20TITLE%20Curative%20Plan.docx" TargetMode="External"/><Relationship Id="rId759" Type="http://schemas.openxmlformats.org/officeDocument/2006/relationships/hyperlink" Target="https://share.hdrinc.com/sites/CoW_FRLP/ACQUISITION/COW-FRMP_TR-T158%20CONTACT%20Negotiator%20Report.docx" TargetMode="External"/><Relationship Id="rId966" Type="http://schemas.openxmlformats.org/officeDocument/2006/relationships/hyperlink" Target="https://share.hdrinc.com/sites/CoW_FRLP/ACQUISITION/COW-FRMP_TR-T256%20NEGOTIATION%20Owner%20Representation%20Letter.pdf" TargetMode="External"/><Relationship Id="rId1291" Type="http://schemas.openxmlformats.org/officeDocument/2006/relationships/hyperlink" Target="https://share.hdrinc.com/sites/CoW_FRLP/_layouts/DocIdRedir.aspx?ID=COWFRLPHDR-5-709" TargetMode="External"/><Relationship Id="rId1389" Type="http://schemas.openxmlformats.org/officeDocument/2006/relationships/hyperlink" Target="https://share.hdrinc.com/sites/CoW_FRLP/_layouts/DocIdRedir.aspx?ID=COWFRLPHDR-5-439" TargetMode="External"/><Relationship Id="rId1512" Type="http://schemas.openxmlformats.org/officeDocument/2006/relationships/hyperlink" Target="https://share.hdrinc.com/sites/CoW_FRLP/_layouts/DocIdRedir.aspx?ID=COWFRLPHDR-5-1367" TargetMode="External"/><Relationship Id="rId1596" Type="http://schemas.openxmlformats.org/officeDocument/2006/relationships/hyperlink" Target="https://share.hdrinc.com/sites/CoW_FRLP/_layouts/DocIdRedir.aspx?ID=COWFRLPHDR-5-738" TargetMode="External"/><Relationship Id="rId1817" Type="http://schemas.openxmlformats.org/officeDocument/2006/relationships/hyperlink" Target="https://share.hdrinc.com/sites/CoW_FRLP/_layouts/DocIdRedir.aspx?ID=COWFRLPHDR-5-1062" TargetMode="External"/><Relationship Id="rId11" Type="http://schemas.openxmlformats.org/officeDocument/2006/relationships/hyperlink" Target="https://share.hdrinc.com/sites/CoW_FRLP/ACQUISITION/COW-FRMP_R027671%20SURVEY%20Right-of-Entry%20CMRR.pdf" TargetMode="External"/><Relationship Id="rId314" Type="http://schemas.openxmlformats.org/officeDocument/2006/relationships/hyperlink" Target="https://share.hdrinc.com/sites/CoW_FRLP/ACQUISITION/COW-FRMP_TR-222%20APPRAISAL%20Final%20Appraisal.pdf" TargetMode="External"/><Relationship Id="rId398" Type="http://schemas.openxmlformats.org/officeDocument/2006/relationships/hyperlink" Target="https://share.hdrinc.com/sites/CoW_FRLP/ACQUISITION/COW-FRMP_TR-302%20APPRAISAL%20Just%20Compensation%20Memo.pdf" TargetMode="External"/><Relationship Id="rId521" Type="http://schemas.openxmlformats.org/officeDocument/2006/relationships/hyperlink" Target="https://share.hdrinc.com/sites/CoW_FRLP/ACQUISITION/COW-FRMP_TR-310%20TITLE%20Curative%20Plan.docx" TargetMode="External"/><Relationship Id="rId619" Type="http://schemas.openxmlformats.org/officeDocument/2006/relationships/hyperlink" Target="https://share.hdrinc.com/sites/CoW_FRLP/ACQUISITION/COW-FRMP_TR-316%20SURVEY%20Right-of-Entry.pdf" TargetMode="External"/><Relationship Id="rId1151" Type="http://schemas.openxmlformats.org/officeDocument/2006/relationships/hyperlink" Target="https://share.hdrinc.com/sites/CoW_FRLP/_layouts/DocIdRedir.aspx?ID=COWFRLPHDR-5-110" TargetMode="External"/><Relationship Id="rId1249" Type="http://schemas.openxmlformats.org/officeDocument/2006/relationships/hyperlink" Target="https://share.hdrinc.com/sites/CoW_FRLP/_layouts/DocIdRedir.aspx?ID=COWFRLPHDR-5-500" TargetMode="External"/><Relationship Id="rId95" Type="http://schemas.openxmlformats.org/officeDocument/2006/relationships/hyperlink" Target="https://share.hdrinc.com/sites/CoW_FRLP/ACQUISITION/COW-FRMP_TR-205%20APPRAISAL%20Just%20Compensation%20Approval.pdf" TargetMode="External"/><Relationship Id="rId160" Type="http://schemas.openxmlformats.org/officeDocument/2006/relationships/hyperlink" Target="https://share.hdrinc.com/sites/CoW_FRLP/ACQUISITION/ContactRecords/COW-FRMP_TR-210%20CONTACT%20Negotiator%20Report.docx" TargetMode="External"/><Relationship Id="rId826" Type="http://schemas.openxmlformats.org/officeDocument/2006/relationships/hyperlink" Target="https://share.hdrinc.com/sites/CoW_FRLP/ACQUISITION/COW-FRMP_TR-T187%20ENVIRONMENTAL%20Right-of-Entry%20Package.pdf" TargetMode="External"/><Relationship Id="rId1011" Type="http://schemas.openxmlformats.org/officeDocument/2006/relationships/hyperlink" Target="https://share.hdrinc.com/sites/CoW_FRLP/ACQUISITION/COW-FRMP_TR-T280%20ROE%20Right-of-Entry%20Package.pdf" TargetMode="External"/><Relationship Id="rId1109" Type="http://schemas.openxmlformats.org/officeDocument/2006/relationships/hyperlink" Target="https://share.hdrinc.com/sites/CoW_FRLP/_layouts/DocIdRedir.aspx?ID=COWFRLPHDR-5-1160" TargetMode="External"/><Relationship Id="rId1456" Type="http://schemas.openxmlformats.org/officeDocument/2006/relationships/hyperlink" Target="https://share.hdrinc.com/sites/CoW_FRLP/_layouts/DocIdRedir.aspx?ID=COWFRLPHDR-5-1227" TargetMode="External"/><Relationship Id="rId1663" Type="http://schemas.openxmlformats.org/officeDocument/2006/relationships/hyperlink" Target="https://share.hdrinc.com/sites/CoW_FRLP/_layouts/DocIdRedir.aspx?ID=COWFRLPHDR-5-664" TargetMode="External"/><Relationship Id="rId1870" Type="http://schemas.openxmlformats.org/officeDocument/2006/relationships/hyperlink" Target="https://share.hdrinc.com/sites/CoW_FRLP/_layouts/DocIdRedir.aspx?ID=COWFRLPHDR-5-1364" TargetMode="External"/><Relationship Id="rId1968" Type="http://schemas.openxmlformats.org/officeDocument/2006/relationships/hyperlink" Target="https://share.hdrinc.com/sites/CoW_FRLP/_layouts/DocIdRedir.aspx?ID=COWFRLPHDR-5-1035" TargetMode="External"/><Relationship Id="rId258" Type="http://schemas.openxmlformats.org/officeDocument/2006/relationships/hyperlink" Target="https://share.hdrinc.com/sites/CoW_FRLP/ACQUISITION/COW-FRMP_TR-216%20TITLE%20Commitment%20Backup%20Docs.pdf" TargetMode="External"/><Relationship Id="rId465" Type="http://schemas.openxmlformats.org/officeDocument/2006/relationships/hyperlink" Target="https://share.hdrinc.com/sites/CoW_FRLP/ACQUISITION/COW-FRMP_TR-307%20CONTACT%20Letter%20of%20Intent-HDR.pdf" TargetMode="External"/><Relationship Id="rId672" Type="http://schemas.openxmlformats.org/officeDocument/2006/relationships/hyperlink" Target="https://share.hdrinc.com/sites/CoW_FRLP/ACQUISITION/COW-FRMP_TR-322%20SURVEY%20Right-of-Entry%20CMRR.pdf" TargetMode="External"/><Relationship Id="rId1095" Type="http://schemas.openxmlformats.org/officeDocument/2006/relationships/hyperlink" Target="https://share.hdrinc.com/sites/CoW_FRLP/_layouts/DocIdRedir.aspx?ID=COWFRLPHDR-5-234" TargetMode="External"/><Relationship Id="rId1316" Type="http://schemas.openxmlformats.org/officeDocument/2006/relationships/hyperlink" Target="https://share.hdrinc.com/sites/CoW_FRLP/_layouts/DocIdRedir.aspx?ID=COWFRLPHDR-5-1298" TargetMode="External"/><Relationship Id="rId1523" Type="http://schemas.openxmlformats.org/officeDocument/2006/relationships/hyperlink" Target="https://share.hdrinc.com/sites/CoW_FRLP/_layouts/DocIdRedir.aspx?ID=COWFRLPHDR-5-1285" TargetMode="External"/><Relationship Id="rId1730" Type="http://schemas.openxmlformats.org/officeDocument/2006/relationships/hyperlink" Target="https://share.hdrinc.com/sites/CoW_FRLP/_layouts/DocIdRedir.aspx?ID=COWFRLPHDR-5-1038" TargetMode="External"/><Relationship Id="rId22" Type="http://schemas.openxmlformats.org/officeDocument/2006/relationships/hyperlink" Target="https://share.hdrinc.com/sites/CoW_FRLP/ACQUISITION/COW-FRMP_TR-100%20NEGOTIATION%20Landowner%20Bill%20of%20Rights%20Letter.pdf" TargetMode="External"/><Relationship Id="rId118" Type="http://schemas.openxmlformats.org/officeDocument/2006/relationships/hyperlink" Target="https://share.hdrinc.com/sites/CoW_FRLP/ACQUISITION/COW-FRMP_TR-207%20APPRAISAL%20USACOE%20Authorization%20to%20Proceed%20with%20Offer.pdf" TargetMode="External"/><Relationship Id="rId325" Type="http://schemas.openxmlformats.org/officeDocument/2006/relationships/hyperlink" Target="https://share.hdrinc.com/sites/CoW_FRLP/ACQUISITION/COW-FRMP_TR-222%20TITLE%20Curative%20Plan.docx" TargetMode="External"/><Relationship Id="rId532" Type="http://schemas.openxmlformats.org/officeDocument/2006/relationships/hyperlink" Target="https://share.hdrinc.com/sites/CoW_FRLP/ACQUISITION/COW-FRMP_TR-311%20NEGOTIATION%20Initial%20Offer%20Package%20CMRR.pdf" TargetMode="External"/><Relationship Id="rId977" Type="http://schemas.openxmlformats.org/officeDocument/2006/relationships/hyperlink" Target="https://share.hdrinc.com/sites/CoW_FRLP/ACQUISITION/COW-FRMP_TR-T261%20ENVIRONMENTAL%20Right-of-Entry%20Package.pdf" TargetMode="External"/><Relationship Id="rId1162" Type="http://schemas.openxmlformats.org/officeDocument/2006/relationships/hyperlink" Target="https://share.hdrinc.com/sites/CoW_FRLP/_layouts/DocIdRedir.aspx?ID=COWFRLPHDR-5-880" TargetMode="External"/><Relationship Id="rId1828" Type="http://schemas.openxmlformats.org/officeDocument/2006/relationships/hyperlink" Target="https://share.hdrinc.com/sites/CoW_FRLP/_layouts/DocIdRedir.aspx?ID=COWFRLPHDR-5-1067" TargetMode="External"/><Relationship Id="rId2006" Type="http://schemas.openxmlformats.org/officeDocument/2006/relationships/hyperlink" Target="https://share.hdrinc.com/sites/CoW_FRLP/_layouts/DocIdRedir.aspx?ID=COWFRLPHDR-5-1210" TargetMode="External"/><Relationship Id="rId171" Type="http://schemas.openxmlformats.org/officeDocument/2006/relationships/hyperlink" Target="https://share.hdrinc.com/sites/CoW_FRLP/ACQUISITION/COW-FRMP_TR-211%20CONTACT%20Initial%20Interview%20-%20Residential.pdf" TargetMode="External"/><Relationship Id="rId837" Type="http://schemas.openxmlformats.org/officeDocument/2006/relationships/hyperlink" Target="https://share.hdrinc.com/sites/CoW_FRLP/ACQUISITION/COW-FRMP_TR-T189%20ROE%20Right-of-Entry%20Package.pdf" TargetMode="External"/><Relationship Id="rId1022" Type="http://schemas.openxmlformats.org/officeDocument/2006/relationships/hyperlink" Target="https://share.hdrinc.com/sites/CoW_FRLP/_layouts/DocIdRedir.aspx?ID=COWFRLPHDR-5-137" TargetMode="External"/><Relationship Id="rId1467" Type="http://schemas.openxmlformats.org/officeDocument/2006/relationships/hyperlink" Target="https://share.hdrinc.com/sites/CoW_FRLP/_layouts/DocIdRedir.aspx?ID=COWFRLPHDR-5-13" TargetMode="External"/><Relationship Id="rId1674" Type="http://schemas.openxmlformats.org/officeDocument/2006/relationships/hyperlink" Target="https://share.hdrinc.com/sites/CoW_FRLP/_layouts/DocIdRedir.aspx?ID=COWFRLPHDR-5-411" TargetMode="External"/><Relationship Id="rId1881" Type="http://schemas.openxmlformats.org/officeDocument/2006/relationships/hyperlink" Target="https://share.hdrinc.com/sites/CoW_FRLP/_layouts/DocIdRedir.aspx?ID=COWFRLPHDR-5-949" TargetMode="External"/><Relationship Id="rId269" Type="http://schemas.openxmlformats.org/officeDocument/2006/relationships/hyperlink" Target="https://share.hdrinc.com/sites/CoW_FRLP/ACQUISITION/COW-FRMP_TR-217%20SURVEY%20Description-Plat_CITY.pdf" TargetMode="External"/><Relationship Id="rId476" Type="http://schemas.openxmlformats.org/officeDocument/2006/relationships/hyperlink" Target="https://share.hdrinc.com/sites/CoW_FRLP/ACQUISITION/COW-FRMP_TR-308%20APPRAISAL%20USACOE%20Authorization%20to%20Proceed%20with%20Offer.pdf" TargetMode="External"/><Relationship Id="rId683" Type="http://schemas.openxmlformats.org/officeDocument/2006/relationships/hyperlink" Target="https://share.hdrinc.com/sites/CoW_FRLP/ACQUISITION/ContactRecords/COW-FRMP_TR-326%20CONTACT%20Negotiator%20Report.docx" TargetMode="External"/><Relationship Id="rId890" Type="http://schemas.openxmlformats.org/officeDocument/2006/relationships/hyperlink" Target="https://share.hdrinc.com/sites/CoW_FRLP/ACQUISITION/COW-FRMP_TR-T211%20CONTACT%20Negotiator%20Report.docx" TargetMode="External"/><Relationship Id="rId904" Type="http://schemas.openxmlformats.org/officeDocument/2006/relationships/hyperlink" Target="https://share.hdrinc.com/sites/CoW_FRLP/ACQUISITION/COW-FRMP_TR-T213%20ROE%20Right-of-Entry%20Package.pdf" TargetMode="External"/><Relationship Id="rId1327" Type="http://schemas.openxmlformats.org/officeDocument/2006/relationships/hyperlink" Target="https://share.hdrinc.com/sites/CoW_FRLP/_layouts/DocIdRedir.aspx?ID=COWFRLPHDR-5-1237" TargetMode="External"/><Relationship Id="rId1534" Type="http://schemas.openxmlformats.org/officeDocument/2006/relationships/hyperlink" Target="https://share.hdrinc.com/sites/CoW_FRLP/_layouts/DocIdRedir.aspx?ID=COWFRLPHDR-5-222" TargetMode="External"/><Relationship Id="rId1741" Type="http://schemas.openxmlformats.org/officeDocument/2006/relationships/hyperlink" Target="https://share.hdrinc.com/sites/CoW_FRLP/_layouts/DocIdRedir.aspx?ID=COWFRLPHDR-5-1045" TargetMode="External"/><Relationship Id="rId1979" Type="http://schemas.openxmlformats.org/officeDocument/2006/relationships/hyperlink" Target="https://share.hdrinc.com/sites/CoW_FRLP/_layouts/DocIdRedir.aspx?ID=COWFRLPHDR-5-886" TargetMode="External"/><Relationship Id="rId33" Type="http://schemas.openxmlformats.org/officeDocument/2006/relationships/hyperlink" Target="https://share.hdrinc.com/sites/CoW_FRLP/ACQUISITION/COW-FRMP_TR-102%20TITLE%20Commitment.pdf" TargetMode="External"/><Relationship Id="rId129" Type="http://schemas.openxmlformats.org/officeDocument/2006/relationships/hyperlink" Target="https://share.hdrinc.com/sites/CoW_FRLP/ACQUISITION/COW-FRMP_TR-207%20SURVEY%20Right-of-Entry.pdf" TargetMode="External"/><Relationship Id="rId336" Type="http://schemas.openxmlformats.org/officeDocument/2006/relationships/hyperlink" Target="https://share.hdrinc.com/sites/CoW_FRLP/ACQUISITION/COW-FRMP_TR-223%20TITLE%20Commitment.pdf" TargetMode="External"/><Relationship Id="rId543" Type="http://schemas.openxmlformats.org/officeDocument/2006/relationships/hyperlink" Target="https://share.hdrinc.com/sites/CoW_FRLP/ACQUISITION/COW-FRMP_TR-312%20APPRAISAL%20Just%20Compensation%20Memo.pdf" TargetMode="External"/><Relationship Id="rId988" Type="http://schemas.openxmlformats.org/officeDocument/2006/relationships/hyperlink" Target="https://share.hdrinc.com/sites/CoW_FRLP/ACQUISITION/COW-FRMP_TR-T267%20ROE%20Right-of-Entry%20Executed.pdf" TargetMode="External"/><Relationship Id="rId1173" Type="http://schemas.openxmlformats.org/officeDocument/2006/relationships/hyperlink" Target="https://share.hdrinc.com/sites/CoW_FRLP/_layouts/DocIdRedir.aspx?ID=COWFRLPHDR-5-711" TargetMode="External"/><Relationship Id="rId1380" Type="http://schemas.openxmlformats.org/officeDocument/2006/relationships/hyperlink" Target="https://share.hdrinc.com/sites/CoW_FRLP/_layouts/DocIdRedir.aspx?ID=COWFRLPHDR-5-1383" TargetMode="External"/><Relationship Id="rId1601" Type="http://schemas.openxmlformats.org/officeDocument/2006/relationships/hyperlink" Target="https://share.hdrinc.com/sites/CoW_FRLP/_layouts/DocIdRedir.aspx?ID=COWFRLPHDR-5-226" TargetMode="External"/><Relationship Id="rId1839" Type="http://schemas.openxmlformats.org/officeDocument/2006/relationships/hyperlink" Target="https://share.hdrinc.com/sites/CoW_FRLP/_layouts/DocIdRedir.aspx?ID=COWFRLPHDR-5-938" TargetMode="External"/><Relationship Id="rId2017" Type="http://schemas.openxmlformats.org/officeDocument/2006/relationships/hyperlink" Target="https://share.hdrinc.com/sites/CoW_FRLP/_layouts/DocIdRedir.aspx?ID=COWFRLPHDR-5-1077" TargetMode="External"/><Relationship Id="rId182" Type="http://schemas.openxmlformats.org/officeDocument/2006/relationships/hyperlink" Target="https://share.hdrinc.com/sites/CoW_FRLP/ACQUISITION/COW-FRMP_TR-211%20TITLE%20SOS%20Business%20Organization%20Inquiry.pdf" TargetMode="External"/><Relationship Id="rId403" Type="http://schemas.openxmlformats.org/officeDocument/2006/relationships/hyperlink" Target="https://share.hdrinc.com/sites/CoW_FRLP/ACQUISITION/COW-FRMP_TR-302%20SURVEY%20Description-Plat_CITY.pdf" TargetMode="External"/><Relationship Id="rId750" Type="http://schemas.openxmlformats.org/officeDocument/2006/relationships/hyperlink" Target="https://share.hdrinc.com/sites/CoW_FRLP/ACQUISITION/COW-FRMP_TR-T091%20CONTACT%20Negotiator%20Report.docx" TargetMode="External"/><Relationship Id="rId848" Type="http://schemas.openxmlformats.org/officeDocument/2006/relationships/hyperlink" Target="https://share.hdrinc.com/sites/CoW_FRLP/ACQUISITION/COW-FRMP_TR-T191%20TITLE%20Tax%20Card.pdf" TargetMode="External"/><Relationship Id="rId1033" Type="http://schemas.openxmlformats.org/officeDocument/2006/relationships/hyperlink" Target="https://share.hdrinc.com/sites/CoW_FRLP/_layouts/DocIdRedir.aspx?ID=COWFRLPHDR-5-478" TargetMode="External"/><Relationship Id="rId1478" Type="http://schemas.openxmlformats.org/officeDocument/2006/relationships/hyperlink" Target="https://share.hdrinc.com/sites/CoW_FRLP/_layouts/DocIdRedir.aspx?ID=COWFRLPHDR-5-533" TargetMode="External"/><Relationship Id="rId1685" Type="http://schemas.openxmlformats.org/officeDocument/2006/relationships/hyperlink" Target="https://share.hdrinc.com/sites/CoW_FRLP/_layouts/DocIdRedir.aspx?ID=COWFRLPHDR-5-572" TargetMode="External"/><Relationship Id="rId1892" Type="http://schemas.openxmlformats.org/officeDocument/2006/relationships/hyperlink" Target="https://share.hdrinc.com/sites/CoW_FRLP/_layouts/DocIdRedir.aspx?ID=COWFRLPHDR-5-959" TargetMode="External"/><Relationship Id="rId1906" Type="http://schemas.openxmlformats.org/officeDocument/2006/relationships/hyperlink" Target="https://share.hdrinc.com/sites/CoW_FRLP/_layouts/DocIdRedir.aspx?ID=COWFRLPHDR-5-968" TargetMode="External"/><Relationship Id="rId487" Type="http://schemas.openxmlformats.org/officeDocument/2006/relationships/hyperlink" Target="https://share.hdrinc.com/sites/CoW_FRLP/ACQUISITION/COW-FRMP_TR-308%20TITLE%20Tax%20Card.pdf" TargetMode="External"/><Relationship Id="rId610" Type="http://schemas.openxmlformats.org/officeDocument/2006/relationships/hyperlink" Target="https://share.hdrinc.com/sites/CoW_FRLP/ACQUISITION/COW-FRMP_TR-316%20APPRAISAL%20Final%20Appraisal.pdf" TargetMode="External"/><Relationship Id="rId694" Type="http://schemas.openxmlformats.org/officeDocument/2006/relationships/hyperlink" Target="https://share.hdrinc.com/sites/CoW_FRLP/ACQUISITION/COW-FRMP_TR-421A%20CLOSING%20Purchase%20and%20Sale%20Agreement%20Executed.pdf" TargetMode="External"/><Relationship Id="rId708" Type="http://schemas.openxmlformats.org/officeDocument/2006/relationships/hyperlink" Target="https://share.hdrinc.com/sites/CoW_FRLP/ACQUISITION/COW-FRMP_TR-427%20NEGOTIATION%20Landowner%20Bill%20of%20Rights%20Letter.pdf" TargetMode="External"/><Relationship Id="rId915" Type="http://schemas.openxmlformats.org/officeDocument/2006/relationships/hyperlink" Target="https://share.hdrinc.com/sites/CoW_FRLP/ACQUISITION/COW-FRMP_TR-T227%20ROE%20Right-of-Entry%20Package.pdf" TargetMode="External"/><Relationship Id="rId1240" Type="http://schemas.openxmlformats.org/officeDocument/2006/relationships/hyperlink" Target="https://share.hdrinc.com/sites/CoW_FRLP/_layouts/DocIdRedir.aspx?ID=COWFRLPHDR-5-1322" TargetMode="External"/><Relationship Id="rId1338" Type="http://schemas.openxmlformats.org/officeDocument/2006/relationships/hyperlink" Target="https://share.hdrinc.com/sites/CoW_FRLP/_layouts/DocIdRedir.aspx?ID=COWFRLPHDR-5-399" TargetMode="External"/><Relationship Id="rId1545" Type="http://schemas.openxmlformats.org/officeDocument/2006/relationships/hyperlink" Target="https://share.hdrinc.com/sites/CoW_FRLP/_layouts/DocIdRedir.aspx?ID=COWFRLPHDR-5-1353" TargetMode="External"/><Relationship Id="rId347" Type="http://schemas.openxmlformats.org/officeDocument/2006/relationships/hyperlink" Target="https://share.hdrinc.com/sites/CoW_FRLP/ACQUISITION/COW-FRMP_TR-224%20TITLE%20Curative%20Plan.docx" TargetMode="External"/><Relationship Id="rId999" Type="http://schemas.openxmlformats.org/officeDocument/2006/relationships/hyperlink" Target="https://share.hdrinc.com/sites/CoW_FRLP/ACQUISITION/COW-FRMP_TR-T274%20ENVIRONMENTAL%20Right-of-Entry%20Executed.pdf" TargetMode="External"/><Relationship Id="rId1100" Type="http://schemas.openxmlformats.org/officeDocument/2006/relationships/hyperlink" Target="https://share.hdrinc.com/sites/CoW_FRLP/_layouts/DocIdRedir.aspx?ID=COWFRLPHDR-5-421" TargetMode="External"/><Relationship Id="rId1184" Type="http://schemas.openxmlformats.org/officeDocument/2006/relationships/hyperlink" Target="https://share.hdrinc.com/sites/CoW_FRLP/_layouts/DocIdRedir.aspx?ID=COWFRLPHDR-5-109" TargetMode="External"/><Relationship Id="rId1405" Type="http://schemas.openxmlformats.org/officeDocument/2006/relationships/hyperlink" Target="https://share.hdrinc.com/sites/CoW_FRLP/_layouts/DocIdRedir.aspx?ID=COWFRLPHDR-5-15" TargetMode="External"/><Relationship Id="rId1752" Type="http://schemas.openxmlformats.org/officeDocument/2006/relationships/hyperlink" Target="https://share.hdrinc.com/sites/CoW_FRLP/_layouts/DocIdRedir.aspx?ID=COWFRLPHDR-5-1053" TargetMode="External"/><Relationship Id="rId2028" Type="http://schemas.openxmlformats.org/officeDocument/2006/relationships/table" Target="../tables/table2.xml"/><Relationship Id="rId44" Type="http://schemas.openxmlformats.org/officeDocument/2006/relationships/hyperlink" Target="https://share.hdrinc.com/sites/CoW_FRLP/ACQUISITION/COW-FRMP_TR-200%20NEGOTIATION%20Initial%20Offer%20Package.pdf" TargetMode="External"/><Relationship Id="rId554" Type="http://schemas.openxmlformats.org/officeDocument/2006/relationships/hyperlink" Target="https://share.hdrinc.com/sites/CoW_FRLP/ACQUISITION/COW-FRMP_TR-312%20TITLE%20Commitment%20Backup%20Docs.pdf" TargetMode="External"/><Relationship Id="rId761" Type="http://schemas.openxmlformats.org/officeDocument/2006/relationships/hyperlink" Target="https://share.hdrinc.com/sites/CoW_FRLP/ACQUISITION/COW-FRMP_TR-T158%20ENVIRONMENTAL%20Right-of-Entry%20Executed.pdf" TargetMode="External"/><Relationship Id="rId859" Type="http://schemas.openxmlformats.org/officeDocument/2006/relationships/hyperlink" Target="https://share.hdrinc.com/sites/CoW_FRLP/ACQUISITION/COW-FRMP_TR-T195%20ENVIRONMENTAL%20Right-of-Entry%20Executed.pdf" TargetMode="External"/><Relationship Id="rId1391" Type="http://schemas.openxmlformats.org/officeDocument/2006/relationships/hyperlink" Target="https://share.hdrinc.com/sites/CoW_FRLP/_layouts/DocIdRedir.aspx?ID=COWFRLPHDR-5-1191" TargetMode="External"/><Relationship Id="rId1489" Type="http://schemas.openxmlformats.org/officeDocument/2006/relationships/hyperlink" Target="https://share.hdrinc.com/sites/CoW_FRLP/_layouts/DocIdRedir.aspx?ID=COWFRLPHDR-5-1377" TargetMode="External"/><Relationship Id="rId1612" Type="http://schemas.openxmlformats.org/officeDocument/2006/relationships/hyperlink" Target="https://share.hdrinc.com/sites/CoW_FRLP/_layouts/DocIdRedir.aspx?ID=COWFRLPHDR-5-1361" TargetMode="External"/><Relationship Id="rId1696" Type="http://schemas.openxmlformats.org/officeDocument/2006/relationships/hyperlink" Target="https://share.hdrinc.com/sites/CoW_FRLP/_layouts/DocIdRedir.aspx?ID=COWFRLPHDR-5-380" TargetMode="External"/><Relationship Id="rId1917" Type="http://schemas.openxmlformats.org/officeDocument/2006/relationships/hyperlink" Target="https://share.hdrinc.com/sites/CoW_FRLP/_layouts/DocIdRedir.aspx?ID=COWFRLPHDR-5-1139" TargetMode="External"/><Relationship Id="rId193" Type="http://schemas.openxmlformats.org/officeDocument/2006/relationships/hyperlink" Target="https://share.hdrinc.com/sites/CoW_FRLP/ACQUISITION/COW-FRMP_TR-213%20APPRAISAL%20Just%20Compensation%20Approval.pdf" TargetMode="External"/><Relationship Id="rId207" Type="http://schemas.openxmlformats.org/officeDocument/2006/relationships/hyperlink" Target="https://share.hdrinc.com/sites/CoW_FRLP/ACQUISITION/COW-FRMP_TR-213%20TITLE%20Curative%20Plan.docx" TargetMode="External"/><Relationship Id="rId414" Type="http://schemas.openxmlformats.org/officeDocument/2006/relationships/hyperlink" Target="https://share.hdrinc.com/sites/CoW_FRLP/ACQUISITION/COW-FRMP_TR-303%20CONTACT%20Letter%20of%20Intent-HDR%20R018587.pdf" TargetMode="External"/><Relationship Id="rId498" Type="http://schemas.openxmlformats.org/officeDocument/2006/relationships/hyperlink" Target="https://share.hdrinc.com/sites/CoW_FRLP/ACQUISITION/COW-FRMP_TR-309%20NEGOTIATION%20Initial%20Offer%20Package.pdf" TargetMode="External"/><Relationship Id="rId621" Type="http://schemas.openxmlformats.org/officeDocument/2006/relationships/hyperlink" Target="https://share.hdrinc.com/sites/CoW_FRLP/ACQUISITION/COW-FRMP_TR-316%20TITLE%20Commitment.pdf" TargetMode="External"/><Relationship Id="rId1044" Type="http://schemas.openxmlformats.org/officeDocument/2006/relationships/hyperlink" Target="https://share.hdrinc.com/sites/CoW_FRLP/_layouts/DocIdRedir.aspx?ID=COWFRLPHDR-5-1258" TargetMode="External"/><Relationship Id="rId1251" Type="http://schemas.openxmlformats.org/officeDocument/2006/relationships/hyperlink" Target="https://share.hdrinc.com/sites/CoW_FRLP/_layouts/DocIdRedir.aspx?ID=COWFRLPHDR-5-834" TargetMode="External"/><Relationship Id="rId1349" Type="http://schemas.openxmlformats.org/officeDocument/2006/relationships/hyperlink" Target="https://share.hdrinc.com/sites/CoW_FRLP/_layouts/DocIdRedir.aspx?ID=COWFRLPHDR-5-112" TargetMode="External"/><Relationship Id="rId260" Type="http://schemas.openxmlformats.org/officeDocument/2006/relationships/hyperlink" Target="https://share.hdrinc.com/sites/CoW_FRLP/ACQUISITION/COW-FRMP_TR-216%20TITLE%20Tax%20Card.pdf" TargetMode="External"/><Relationship Id="rId719" Type="http://schemas.openxmlformats.org/officeDocument/2006/relationships/hyperlink" Target="https://share.hdrinc.com/sites/CoW_FRLP/ACQUISITION/COW-FRMP_TR-T066%20ROE%20Right-of-Entry%20Package.pdf" TargetMode="External"/><Relationship Id="rId926" Type="http://schemas.openxmlformats.org/officeDocument/2006/relationships/hyperlink" Target="https://share.hdrinc.com/sites/CoW_FRLP/ACQUISITION/COW-FRMP_TR-T234%20ROE%20Right-of-Entry%20Package.pdf" TargetMode="External"/><Relationship Id="rId1111" Type="http://schemas.openxmlformats.org/officeDocument/2006/relationships/hyperlink" Target="https://share.hdrinc.com/sites/CoW_FRLP/_layouts/DocIdRedir.aspx?ID=COWFRLPHDR-5-1270" TargetMode="External"/><Relationship Id="rId1556" Type="http://schemas.openxmlformats.org/officeDocument/2006/relationships/hyperlink" Target="https://share.hdrinc.com/sites/CoW_FRLP/_layouts/DocIdRedir.aspx?ID=COWFRLPHDR-5-1291" TargetMode="External"/><Relationship Id="rId1763" Type="http://schemas.openxmlformats.org/officeDocument/2006/relationships/hyperlink" Target="https://share.hdrinc.com/sites/CoW_FRLP/_layouts/DocIdRedir.aspx?ID=COWFRLPHDR-5-1146" TargetMode="External"/><Relationship Id="rId1970" Type="http://schemas.openxmlformats.org/officeDocument/2006/relationships/hyperlink" Target="https://share.hdrinc.com/sites/CoW_FRLP/_layouts/DocIdRedir.aspx?ID=COWFRLPHDR-5-1036" TargetMode="External"/><Relationship Id="rId55" Type="http://schemas.openxmlformats.org/officeDocument/2006/relationships/hyperlink" Target="https://share.hdrinc.com/sites/CoW_FRLP/ACQUISITION/ContactRecords/COW-FRMP_TR-201%20CONTACT%20Negotiator%20Report.docx" TargetMode="External"/><Relationship Id="rId120" Type="http://schemas.openxmlformats.org/officeDocument/2006/relationships/hyperlink" Target="https://share.hdrinc.com/sites/CoW_FRLP/ACQUISITION/COW-FRMP_TR-207%20CONTACT%20Initial%20Interview%20-%20Residential.pdf" TargetMode="External"/><Relationship Id="rId358" Type="http://schemas.openxmlformats.org/officeDocument/2006/relationships/hyperlink" Target="https://share.hdrinc.com/sites/CoW_FRLP/ACQUISITION/COW-FRMP_TR-230%20SURVEY%20Right-of-Entry.pdf" TargetMode="External"/><Relationship Id="rId565" Type="http://schemas.openxmlformats.org/officeDocument/2006/relationships/hyperlink" Target="https://share.hdrinc.com/sites/CoW_FRLP/ACQUISITION/ContactRecords/COW-FRMP_TR-313%20CONTACT%20Negotiator%20Report.docx" TargetMode="External"/><Relationship Id="rId772" Type="http://schemas.openxmlformats.org/officeDocument/2006/relationships/hyperlink" Target="https://share.hdrinc.com/sites/CoW_FRLP/ACQUISITION/COW-FRMP_TR-T162%20ROE%20Right-of-Entry%20Executed.pdf" TargetMode="External"/><Relationship Id="rId1195" Type="http://schemas.openxmlformats.org/officeDocument/2006/relationships/hyperlink" Target="https://share.hdrinc.com/sites/CoW_FRLP/_layouts/DocIdRedir.aspx?ID=COWFRLPHDR-5-470" TargetMode="External"/><Relationship Id="rId1209" Type="http://schemas.openxmlformats.org/officeDocument/2006/relationships/hyperlink" Target="https://share.hdrinc.com/sites/CoW_FRLP/_layouts/DocIdRedir.aspx?ID=COWFRLPHDR-5-1316" TargetMode="External"/><Relationship Id="rId1416" Type="http://schemas.openxmlformats.org/officeDocument/2006/relationships/hyperlink" Target="https://share.hdrinc.com/sites/CoW_FRLP/_layouts/DocIdRedir.aspx?ID=COWFRLPHDR-5-787" TargetMode="External"/><Relationship Id="rId1623" Type="http://schemas.openxmlformats.org/officeDocument/2006/relationships/hyperlink" Target="https://share.hdrinc.com/sites/CoW_FRLP/_layouts/DocIdRedir.aspx?ID=COWFRLPHDR-5-1167" TargetMode="External"/><Relationship Id="rId1830" Type="http://schemas.openxmlformats.org/officeDocument/2006/relationships/hyperlink" Target="https://share.hdrinc.com/sites/CoW_FRLP/_layouts/DocIdRedir.aspx?ID=COWFRLPHDR-5-1107" TargetMode="External"/><Relationship Id="rId218" Type="http://schemas.openxmlformats.org/officeDocument/2006/relationships/hyperlink" Target="https://share.hdrinc.com/sites/CoW_FRLP/ACQUISITION/COW-FRMP_TR-214%20NEGOTIATION%20Landowner%20Bill%20of%20Rights%20Letter.pdf" TargetMode="External"/><Relationship Id="rId425" Type="http://schemas.openxmlformats.org/officeDocument/2006/relationships/hyperlink" Target="https://share.hdrinc.com/sites/CoW_FRLP/ACQUISITION/COW-FRMP_TR-304%20APPRAISAL%20Just%20Compensation%20Memo.pdf" TargetMode="External"/><Relationship Id="rId632" Type="http://schemas.openxmlformats.org/officeDocument/2006/relationships/hyperlink" Target="https://share.hdrinc.com/sites/CoW_FRLP/ACQUISITION/COW-FRMP_TR-317%20SURVEY%20Right-of-Entry.pdf" TargetMode="External"/><Relationship Id="rId1055" Type="http://schemas.openxmlformats.org/officeDocument/2006/relationships/hyperlink" Target="https://share.hdrinc.com/sites/CoW_FRLP/_layouts/DocIdRedir.aspx?ID=COWFRLPHDR-5-252" TargetMode="External"/><Relationship Id="rId1262" Type="http://schemas.openxmlformats.org/officeDocument/2006/relationships/hyperlink" Target="https://share.hdrinc.com/sites/CoW_FRLP/_layouts/DocIdRedir.aspx?ID=COWFRLPHDR-5-1156" TargetMode="External"/><Relationship Id="rId1928" Type="http://schemas.openxmlformats.org/officeDocument/2006/relationships/hyperlink" Target="https://share.hdrinc.com/sites/CoW_FRLP/_layouts/DocIdRedir.aspx?ID=COWFRLPHDR-5-1123" TargetMode="External"/><Relationship Id="rId271" Type="http://schemas.openxmlformats.org/officeDocument/2006/relationships/hyperlink" Target="https://share.hdrinc.com/sites/CoW_FRLP/ACQUISITION/COW-FRMP_TR-217%20SURVEY%20Right-of-Entry.pdf" TargetMode="External"/><Relationship Id="rId937" Type="http://schemas.openxmlformats.org/officeDocument/2006/relationships/hyperlink" Target="https://share.hdrinc.com/sites/CoW_FRLP/ACQUISITION/COW-FRMP_TR-T238%20CONTACT%20Negotiator%20Report.docx" TargetMode="External"/><Relationship Id="rId1122" Type="http://schemas.openxmlformats.org/officeDocument/2006/relationships/hyperlink" Target="https://share.hdrinc.com/sites/CoW_FRLP/_layouts/DocIdRedir.aspx?ID=COWFRLPHDR-5-23" TargetMode="External"/><Relationship Id="rId1567" Type="http://schemas.openxmlformats.org/officeDocument/2006/relationships/hyperlink" Target="https://share.hdrinc.com/sites/CoW_FRLP/_layouts/DocIdRedir.aspx?ID=COWFRLPHDR-5-147" TargetMode="External"/><Relationship Id="rId1774" Type="http://schemas.openxmlformats.org/officeDocument/2006/relationships/hyperlink" Target="https://share.hdrinc.com/sites/CoW_FRLP/_layouts/DocIdRedir.aspx?ID=COWFRLPHDR-5-901" TargetMode="External"/><Relationship Id="rId1981" Type="http://schemas.openxmlformats.org/officeDocument/2006/relationships/hyperlink" Target="https://share.hdrinc.com/sites/CoW_FRLP/_layouts/DocIdRedir.aspx?ID=COWFRLPHDR-5-888" TargetMode="External"/><Relationship Id="rId66" Type="http://schemas.openxmlformats.org/officeDocument/2006/relationships/hyperlink" Target="https://share.hdrinc.com/sites/CoW_FRLP/ACQUISITION/COW-FRMP_TR-202%20APPRAISAL%20Final%20Appraisal.pdf" TargetMode="External"/><Relationship Id="rId131" Type="http://schemas.openxmlformats.org/officeDocument/2006/relationships/hyperlink" Target="https://share.hdrinc.com/sites/CoW_FRLP/ACQUISITION/COW-FRMP_TR-207%20TITLE%20Commitment.pdf" TargetMode="External"/><Relationship Id="rId369" Type="http://schemas.openxmlformats.org/officeDocument/2006/relationships/hyperlink" Target="https://share.hdrinc.com/sites/CoW_FRLP/ACQUISITION/COW-FRMP_TR-231%20TITLE%20Commitment%20Backup%20Docs.pdf" TargetMode="External"/><Relationship Id="rId576" Type="http://schemas.openxmlformats.org/officeDocument/2006/relationships/hyperlink" Target="https://share.hdrinc.com/sites/CoW_FRLP/ACQUISITION/COW-FRMP_TR-313%20TITLE%20Tax%20Card.pdf" TargetMode="External"/><Relationship Id="rId783" Type="http://schemas.openxmlformats.org/officeDocument/2006/relationships/hyperlink" Target="https://share.hdrinc.com/sites/CoW_FRLP/ACQUISITION/COW-FRMP_TR-T164%20ROE%20Right-of-Entry%20Package.pdf" TargetMode="External"/><Relationship Id="rId990" Type="http://schemas.openxmlformats.org/officeDocument/2006/relationships/hyperlink" Target="https://share.hdrinc.com/sites/CoW_FRLP/ACQUISITION/COW-FRMP_TR-T268%20CONTACT%20Negotiator%20Report.docx" TargetMode="External"/><Relationship Id="rId1427" Type="http://schemas.openxmlformats.org/officeDocument/2006/relationships/hyperlink" Target="https://share.hdrinc.com/sites/CoW_FRLP/_layouts/DocIdRedir.aspx?ID=COWFRLPHDR-5-536" TargetMode="External"/><Relationship Id="rId1634" Type="http://schemas.openxmlformats.org/officeDocument/2006/relationships/hyperlink" Target="https://share.hdrinc.com/sites/CoW_FRLP/_layouts/DocIdRedir.aspx?ID=COWFRLPHDR-5-169" TargetMode="External"/><Relationship Id="rId1841" Type="http://schemas.openxmlformats.org/officeDocument/2006/relationships/hyperlink" Target="https://share.hdrinc.com/sites/CoW_FRLP/_layouts/DocIdRedir.aspx?ID=COWFRLPHDR-5-940" TargetMode="External"/><Relationship Id="rId229" Type="http://schemas.openxmlformats.org/officeDocument/2006/relationships/hyperlink" Target="https://share.hdrinc.com/sites/CoW_FRLP/ACQUISITION/COW-FRMP_TR-215%20CONTACT%20Letter%20of%20Intent-HDR%20Chavana.pdf" TargetMode="External"/><Relationship Id="rId436" Type="http://schemas.openxmlformats.org/officeDocument/2006/relationships/hyperlink" Target="https://share.hdrinc.com/sites/CoW_FRLP/ACQUISITION/COW-FRMP_TR-304%20SURVEY%20Description-Plat_USACOE.pdf" TargetMode="External"/><Relationship Id="rId643" Type="http://schemas.openxmlformats.org/officeDocument/2006/relationships/hyperlink" Target="https://share.hdrinc.com/sites/CoW_FRLP/ACQUISITION/COW-FRMP_TR-319%20NEGOTIATION%20Landowner%20Bill%20of%20Rights%20Letter.pdf" TargetMode="External"/><Relationship Id="rId1066" Type="http://schemas.openxmlformats.org/officeDocument/2006/relationships/hyperlink" Target="https://share.hdrinc.com/sites/CoW_FRLP/_layouts/DocIdRedir.aspx?ID=COWFRLPHDR-5-575" TargetMode="External"/><Relationship Id="rId1273" Type="http://schemas.openxmlformats.org/officeDocument/2006/relationships/hyperlink" Target="https://share.hdrinc.com/sites/CoW_FRLP/_layouts/DocIdRedir.aspx?ID=COWFRLPHDR-5-597" TargetMode="External"/><Relationship Id="rId1480" Type="http://schemas.openxmlformats.org/officeDocument/2006/relationships/hyperlink" Target="https://share.hdrinc.com/sites/CoW_FRLP/_layouts/DocIdRedir.aspx?ID=COWFRLPHDR-5-446" TargetMode="External"/><Relationship Id="rId1939" Type="http://schemas.openxmlformats.org/officeDocument/2006/relationships/hyperlink" Target="https://share.hdrinc.com/sites/CoW_FRLP/_layouts/DocIdRedir.aspx?ID=COWFRLPHDR-5-1125" TargetMode="External"/><Relationship Id="rId850" Type="http://schemas.openxmlformats.org/officeDocument/2006/relationships/hyperlink" Target="https://share.hdrinc.com/sites/CoW_FRLP/ACQUISITION/COW-FRMP_TR-T192%20ENVIRONMENTAL%20Right-of-Entry%20Package.pdf" TargetMode="External"/><Relationship Id="rId948" Type="http://schemas.openxmlformats.org/officeDocument/2006/relationships/hyperlink" Target="https://share.hdrinc.com/sites/CoW_FRLP/ACQUISITION/COW-FRMP_TR-T242%20CONTACT%20Negotiator%20Report.docx" TargetMode="External"/><Relationship Id="rId1133" Type="http://schemas.openxmlformats.org/officeDocument/2006/relationships/hyperlink" Target="https://share.hdrinc.com/sites/CoW_FRLP/_layouts/DocIdRedir.aspx?ID=COWFRLPHDR-5-100" TargetMode="External"/><Relationship Id="rId1578" Type="http://schemas.openxmlformats.org/officeDocument/2006/relationships/hyperlink" Target="https://share.hdrinc.com/sites/CoW_FRLP/_layouts/DocIdRedir.aspx?ID=COWFRLPHDR-5-373" TargetMode="External"/><Relationship Id="rId1701" Type="http://schemas.openxmlformats.org/officeDocument/2006/relationships/hyperlink" Target="https://share.hdrinc.com/sites/CoW_FRLP/_layouts/DocIdRedir.aspx?ID=COWFRLPHDR-5-233" TargetMode="External"/><Relationship Id="rId1785" Type="http://schemas.openxmlformats.org/officeDocument/2006/relationships/hyperlink" Target="https://share.hdrinc.com/sites/CoW_FRLP/_layouts/DocIdRedir.aspx?ID=COWFRLPHDR-5-1276" TargetMode="External"/><Relationship Id="rId1992" Type="http://schemas.openxmlformats.org/officeDocument/2006/relationships/hyperlink" Target="https://share.hdrinc.com/sites/CoW_FRLP/_layouts/DocIdRedir.aspx?ID=COWFRLPHDR-5-894" TargetMode="External"/><Relationship Id="rId77" Type="http://schemas.openxmlformats.org/officeDocument/2006/relationships/hyperlink" Target="https://share.hdrinc.com/sites/CoW_FRLP/ACQUISITION/COW-FRMP_TR-202%20SURVEY%20Description-Plat_CITY.pdf" TargetMode="External"/><Relationship Id="rId282" Type="http://schemas.openxmlformats.org/officeDocument/2006/relationships/hyperlink" Target="https://share.hdrinc.com/sites/CoW_FRLP/ACQUISITION/COW-FRMP_TR-218%20SURVEY%20Right-of-Entry.pdf" TargetMode="External"/><Relationship Id="rId503" Type="http://schemas.openxmlformats.org/officeDocument/2006/relationships/hyperlink" Target="https://share.hdrinc.com/sites/CoW_FRLP/ACQUISITION/COW-FRMP_TR-309%20SURVEY%20Description-Plat_USACOE.pdf" TargetMode="External"/><Relationship Id="rId587" Type="http://schemas.openxmlformats.org/officeDocument/2006/relationships/hyperlink" Target="https://share.hdrinc.com/sites/CoW_FRLP/ACQUISITION/COW-FRMP_TR-314%20TITLE%20Commitment%20Backup%20Docs.pdf" TargetMode="External"/><Relationship Id="rId710" Type="http://schemas.openxmlformats.org/officeDocument/2006/relationships/hyperlink" Target="https://share.hdrinc.com/sites/CoW_FRLP/ACQUISITION/COW-FRMP_TR-427%20SURVEY%20Right-of-Entry.pdf" TargetMode="External"/><Relationship Id="rId808" Type="http://schemas.openxmlformats.org/officeDocument/2006/relationships/hyperlink" Target="https://share.hdrinc.com/sites/CoW_FRLP/ACQUISITION/COW-FRMP_TR-T183%20CONTACT%20Negotiator%20Report.docx" TargetMode="External"/><Relationship Id="rId1340" Type="http://schemas.openxmlformats.org/officeDocument/2006/relationships/hyperlink" Target="https://share.hdrinc.com/sites/CoW_FRLP/_layouts/DocIdRedir.aspx?ID=COWFRLPHDR-5-1249" TargetMode="External"/><Relationship Id="rId1438" Type="http://schemas.openxmlformats.org/officeDocument/2006/relationships/hyperlink" Target="https://share.hdrinc.com/sites/CoW_FRLP/_layouts/DocIdRedir.aspx?ID=COWFRLPHDR-5-1373" TargetMode="External"/><Relationship Id="rId1645" Type="http://schemas.openxmlformats.org/officeDocument/2006/relationships/hyperlink" Target="https://share.hdrinc.com/sites/CoW_FRLP/_layouts/DocIdRedir.aspx?ID=COWFRLPHDR-5-778" TargetMode="External"/><Relationship Id="rId8" Type="http://schemas.openxmlformats.org/officeDocument/2006/relationships/hyperlink" Target="https://share.hdrinc.com/sites/CoW_FRLP/ACQUISITION/COW-FRMP_R027672%20SURVEY%20Right-of-Entry%20CMRR.pdf" TargetMode="External"/><Relationship Id="rId142" Type="http://schemas.openxmlformats.org/officeDocument/2006/relationships/hyperlink" Target="https://share.hdrinc.com/sites/CoW_FRLP/ACQUISITION/COW-FRMP_TR-208%20CONTACT%20Pre-Appraisal%20Contact%20with%20Owner.pdf" TargetMode="External"/><Relationship Id="rId447" Type="http://schemas.openxmlformats.org/officeDocument/2006/relationships/hyperlink" Target="https://share.hdrinc.com/sites/CoW_FRLP/ACQUISITION/COW-FRMP_TR-305%20CONTACT%20Letter%20of%20Intent-HDR.pdf" TargetMode="External"/><Relationship Id="rId794" Type="http://schemas.openxmlformats.org/officeDocument/2006/relationships/hyperlink" Target="https://share.hdrinc.com/sites/CoW_FRLP/ACQUISITION/COW-FRMP_TR-T169%20CONTACT%20Negotiator%20Report.docx" TargetMode="External"/><Relationship Id="rId1077" Type="http://schemas.openxmlformats.org/officeDocument/2006/relationships/hyperlink" Target="https://share.hdrinc.com/sites/CoW_FRLP/_layouts/DocIdRedir.aspx?ID=COWFRLPHDR-5-576" TargetMode="External"/><Relationship Id="rId1200" Type="http://schemas.openxmlformats.org/officeDocument/2006/relationships/hyperlink" Target="https://share.hdrinc.com/sites/CoW_FRLP/_layouts/DocIdRedir.aspx?ID=COWFRLPHDR-5-706" TargetMode="External"/><Relationship Id="rId1852" Type="http://schemas.openxmlformats.org/officeDocument/2006/relationships/hyperlink" Target="https://share.hdrinc.com/sites/CoW_FRLP/_layouts/DocIdRedir.aspx?ID=COWFRLPHDR-5-1075" TargetMode="External"/><Relationship Id="rId654" Type="http://schemas.openxmlformats.org/officeDocument/2006/relationships/hyperlink" Target="https://share.hdrinc.com/sites/CoW_FRLP/ACQUISITION/COW-FRMP_TR-320%20CONTACT%20Pre-Appraisal%20Contact%20with%20Owner.pdf" TargetMode="External"/><Relationship Id="rId861" Type="http://schemas.openxmlformats.org/officeDocument/2006/relationships/hyperlink" Target="https://share.hdrinc.com/sites/CoW_FRLP/ACQUISITION/COW-FRMP_TR-T195%20ROE%20Right-of-Entry%20Executed.pdf" TargetMode="External"/><Relationship Id="rId959" Type="http://schemas.openxmlformats.org/officeDocument/2006/relationships/hyperlink" Target="https://share.hdrinc.com/sites/CoW_FRLP/ACQUISITION/COW-FRMP_TR-T253%20TITLE%20Tax%20Card.pdf" TargetMode="External"/><Relationship Id="rId1284" Type="http://schemas.openxmlformats.org/officeDocument/2006/relationships/hyperlink" Target="https://share.hdrinc.com/sites/CoW_FRLP/_layouts/DocIdRedir.aspx?ID=COWFRLPHDR-5-78" TargetMode="External"/><Relationship Id="rId1491" Type="http://schemas.openxmlformats.org/officeDocument/2006/relationships/hyperlink" Target="https://share.hdrinc.com/sites/CoW_FRLP/_layouts/DocIdRedir.aspx?ID=COWFRLPHDR-5-368" TargetMode="External"/><Relationship Id="rId1505" Type="http://schemas.openxmlformats.org/officeDocument/2006/relationships/hyperlink" Target="https://share.hdrinc.com/sites/CoW_FRLP/_layouts/DocIdRedir.aspx?ID=COWFRLPHDR-5-1209" TargetMode="External"/><Relationship Id="rId1589" Type="http://schemas.openxmlformats.org/officeDocument/2006/relationships/hyperlink" Target="https://share.hdrinc.com/sites/CoW_FRLP/_layouts/DocIdRedir.aspx?ID=COWFRLPHDR-5-774" TargetMode="External"/><Relationship Id="rId1712" Type="http://schemas.openxmlformats.org/officeDocument/2006/relationships/hyperlink" Target="https://share.hdrinc.com/sites/CoW_FRLP/_layouts/DocIdRedir.aspx?ID=COWFRLPHDR-5-1264" TargetMode="External"/><Relationship Id="rId293" Type="http://schemas.openxmlformats.org/officeDocument/2006/relationships/hyperlink" Target="https://share.hdrinc.com/sites/CoW_FRLP/ACQUISITION/COW-FRMP_TR-219%20SURVEY%20Description-Plat_CITY.pdf" TargetMode="External"/><Relationship Id="rId307" Type="http://schemas.openxmlformats.org/officeDocument/2006/relationships/hyperlink" Target="https://share.hdrinc.com/sites/CoW_FRLP/ACQUISITION/COW-FRMP_TR-220%20SURVEY%20Description-Plat_CITY.pdf" TargetMode="External"/><Relationship Id="rId514" Type="http://schemas.openxmlformats.org/officeDocument/2006/relationships/hyperlink" Target="https://share.hdrinc.com/sites/CoW_FRLP/ACQUISITION/ContactRecords/COW-FRMP_TR-310%20CONTACT%20Negotiator%20Report.docx" TargetMode="External"/><Relationship Id="rId721" Type="http://schemas.openxmlformats.org/officeDocument/2006/relationships/hyperlink" Target="https://share.hdrinc.com/sites/CoW_FRLP/ACQUISITION/COW-FRMP_TR-T067%20CONTACT%20Negotiator%20Report.docx" TargetMode="External"/><Relationship Id="rId1144" Type="http://schemas.openxmlformats.org/officeDocument/2006/relationships/hyperlink" Target="https://share.hdrinc.com/sites/CoW_FRLP/_layouts/DocIdRedir.aspx?ID=COWFRLPHDR-5-37" TargetMode="External"/><Relationship Id="rId1351" Type="http://schemas.openxmlformats.org/officeDocument/2006/relationships/hyperlink" Target="https://share.hdrinc.com/sites/CoW_FRLP/_layouts/DocIdRedir.aspx?ID=COWFRLPHDR-5-400" TargetMode="External"/><Relationship Id="rId1449" Type="http://schemas.openxmlformats.org/officeDocument/2006/relationships/hyperlink" Target="https://share.hdrinc.com/sites/CoW_FRLP/_layouts/DocIdRedir.aspx?ID=COWFRLPHDR-5-1172" TargetMode="External"/><Relationship Id="rId1796" Type="http://schemas.openxmlformats.org/officeDocument/2006/relationships/hyperlink" Target="https://share.hdrinc.com/sites/CoW_FRLP/_layouts/DocIdRedir.aspx?ID=COWFRLPHDR-5-1100" TargetMode="External"/><Relationship Id="rId88" Type="http://schemas.openxmlformats.org/officeDocument/2006/relationships/hyperlink" Target="https://share.hdrinc.com/sites/CoW_FRLP/ACQUISITION/COW-FRMP_TR-203%20SURVEY%20Right-of-Entry.pdf" TargetMode="External"/><Relationship Id="rId153" Type="http://schemas.openxmlformats.org/officeDocument/2006/relationships/hyperlink" Target="https://share.hdrinc.com/sites/CoW_FRLP/ACQUISITION/COW-FRMP_TR-210%20APPRAISAL%20Appraisal%20Review.pdf" TargetMode="External"/><Relationship Id="rId360" Type="http://schemas.openxmlformats.org/officeDocument/2006/relationships/hyperlink" Target="https://share.hdrinc.com/sites/CoW_FRLP/ACQUISITION/COW-FRMP_TR-230%20TITLE%20Commitment.pdf" TargetMode="External"/><Relationship Id="rId598" Type="http://schemas.openxmlformats.org/officeDocument/2006/relationships/hyperlink" Target="https://share.hdrinc.com/sites/CoW_FRLP/ACQUISITION/ContactRecords/COW-FRMP_TR-315%20CONTACT%20Negotiator%20Report.docx" TargetMode="External"/><Relationship Id="rId819" Type="http://schemas.openxmlformats.org/officeDocument/2006/relationships/hyperlink" Target="https://share.hdrinc.com/sites/CoW_FRLP/ACQUISITION/COW-FRMP_TR-T186%20CONTACT%20Negotiator%20Report.docx" TargetMode="External"/><Relationship Id="rId1004" Type="http://schemas.openxmlformats.org/officeDocument/2006/relationships/hyperlink" Target="https://share.hdrinc.com/sites/CoW_FRLP/ACQUISITION/COW-FRMP_TR-T276%20ROE%20Right-of-Entry%20Executed.pdf" TargetMode="External"/><Relationship Id="rId1211" Type="http://schemas.openxmlformats.org/officeDocument/2006/relationships/hyperlink" Target="https://share.hdrinc.com/sites/CoW_FRLP/_layouts/DocIdRedir.aspx?ID=COWFRLPHDR-5-271" TargetMode="External"/><Relationship Id="rId1656" Type="http://schemas.openxmlformats.org/officeDocument/2006/relationships/hyperlink" Target="https://share.hdrinc.com/sites/CoW_FRLP/_layouts/DocIdRedir.aspx?ID=COWFRLPHDR-5-457" TargetMode="External"/><Relationship Id="rId1863" Type="http://schemas.openxmlformats.org/officeDocument/2006/relationships/hyperlink" Target="https://share.hdrinc.com/sites/CoW_FRLP/_layouts/DocIdRedir.aspx?ID=COWFRLPHDR-5-942" TargetMode="External"/><Relationship Id="rId220" Type="http://schemas.openxmlformats.org/officeDocument/2006/relationships/hyperlink" Target="https://share.hdrinc.com/sites/CoW_FRLP/ACQUISITION/COW-FRMP_TR-214%20SURVEY%20Description-Plat_USACOE.pdf" TargetMode="External"/><Relationship Id="rId458" Type="http://schemas.openxmlformats.org/officeDocument/2006/relationships/hyperlink" Target="https://share.hdrinc.com/sites/CoW_FRLP/ACQUISITION/COW-FRMP_TR-305MH%20CONTACT%20Letter%20of%20Intent-HDR.pdf" TargetMode="External"/><Relationship Id="rId665" Type="http://schemas.openxmlformats.org/officeDocument/2006/relationships/hyperlink" Target="https://share.hdrinc.com/sites/CoW_FRLP/ACQUISITION/COW-FRMP_TR-321%20SURVEY%20Description-Plat_USACOE.pdf" TargetMode="External"/><Relationship Id="rId872" Type="http://schemas.openxmlformats.org/officeDocument/2006/relationships/hyperlink" Target="https://share.hdrinc.com/sites/CoW_FRLP/ACQUISITION/COW-FRMP_TR-T200%20TITLE%20Tax%20Card.pdf" TargetMode="External"/><Relationship Id="rId1088" Type="http://schemas.openxmlformats.org/officeDocument/2006/relationships/hyperlink" Target="https://share.hdrinc.com/sites/CoW_FRLP/_layouts/DocIdRedir.aspx?ID=COWFRLPHDR-5-1302" TargetMode="External"/><Relationship Id="rId1295" Type="http://schemas.openxmlformats.org/officeDocument/2006/relationships/hyperlink" Target="https://share.hdrinc.com/sites/CoW_FRLP/_layouts/DocIdRedir.aspx?ID=COWFRLPHDR-5-8" TargetMode="External"/><Relationship Id="rId1309" Type="http://schemas.openxmlformats.org/officeDocument/2006/relationships/hyperlink" Target="https://share.hdrinc.com/sites/CoW_FRLP/_layouts/DocIdRedir.aspx?ID=COWFRLPHDR-5-761" TargetMode="External"/><Relationship Id="rId1516" Type="http://schemas.openxmlformats.org/officeDocument/2006/relationships/hyperlink" Target="https://share.hdrinc.com/sites/CoW_FRLP/_layouts/DocIdRedir.aspx?ID=COWFRLPHDR-5-846" TargetMode="External"/><Relationship Id="rId1723" Type="http://schemas.openxmlformats.org/officeDocument/2006/relationships/hyperlink" Target="https://share.hdrinc.com/sites/CoW_FRLP/_layouts/DocIdRedir.aspx?ID=COWFRLPHDR-5-263" TargetMode="External"/><Relationship Id="rId1930" Type="http://schemas.openxmlformats.org/officeDocument/2006/relationships/hyperlink" Target="https://share.hdrinc.com/sites/CoW_FRLP/_layouts/DocIdRedir.aspx?ID=COWFRLPHDR-5-985" TargetMode="External"/><Relationship Id="rId15" Type="http://schemas.openxmlformats.org/officeDocument/2006/relationships/hyperlink" Target="https://share.hdrinc.com/sites/CoW_FRLP/ACQUISITION/COW-FRMP_R071705%20SURVEY%20Right-of-Entry%20CMRR.pdf" TargetMode="External"/><Relationship Id="rId318" Type="http://schemas.openxmlformats.org/officeDocument/2006/relationships/hyperlink" Target="https://share.hdrinc.com/sites/CoW_FRLP/ACQUISITION/ContactRecords/COW-FRMP_TR-222%20CONTACT%20Negotiator%20Report.docx" TargetMode="External"/><Relationship Id="rId525" Type="http://schemas.openxmlformats.org/officeDocument/2006/relationships/hyperlink" Target="https://share.hdrinc.com/sites/CoW_FRLP/ACQUISITION/COW-FRMP_TR-311%20APPRAISAL%20Just%20Compensation%20Approval.pdf" TargetMode="External"/><Relationship Id="rId732" Type="http://schemas.openxmlformats.org/officeDocument/2006/relationships/hyperlink" Target="https://share.hdrinc.com/sites/CoW_FRLP/ACQUISITION/COW-FRMP_TR-T068%20TITLE%20Tax%20Card.pdf" TargetMode="External"/><Relationship Id="rId1155" Type="http://schemas.openxmlformats.org/officeDocument/2006/relationships/hyperlink" Target="https://share.hdrinc.com/sites/CoW_FRLP/_layouts/DocIdRedir.aspx?ID=COWFRLPHDR-5-675" TargetMode="External"/><Relationship Id="rId1362" Type="http://schemas.openxmlformats.org/officeDocument/2006/relationships/hyperlink" Target="https://share.hdrinc.com/sites/CoW_FRLP/_layouts/DocIdRedir.aspx?ID=COWFRLPHDR-5-767" TargetMode="External"/><Relationship Id="rId99" Type="http://schemas.openxmlformats.org/officeDocument/2006/relationships/hyperlink" Target="https://share.hdrinc.com/sites/CoW_FRLP/ACQUISITION/COW-FRMP_TR-205%20CONTACT%20Initial%20Interview%20-%20Residential.pdf" TargetMode="External"/><Relationship Id="rId164" Type="http://schemas.openxmlformats.org/officeDocument/2006/relationships/hyperlink" Target="https://share.hdrinc.com/sites/CoW_FRLP/ACQUISITION/COW-FRMP_TR-210%20SURVEY%20Description-Plat_CITY.pdf" TargetMode="External"/><Relationship Id="rId371" Type="http://schemas.openxmlformats.org/officeDocument/2006/relationships/hyperlink" Target="https://share.hdrinc.com/sites/CoW_FRLP/ACQUISITION/COW-FRMP_TR-231%20TITLE%20Tax%20Card.pdf" TargetMode="External"/><Relationship Id="rId1015" Type="http://schemas.openxmlformats.org/officeDocument/2006/relationships/hyperlink" Target="https://share.hdrinc.com/sites/CoW_FRLP/_layouts/DocIdRedir.aspx?ID=COWFRLPHDR-5-229" TargetMode="External"/><Relationship Id="rId1222" Type="http://schemas.openxmlformats.org/officeDocument/2006/relationships/hyperlink" Target="https://share.hdrinc.com/sites/CoW_FRLP/_layouts/DocIdRedir.aspx?ID=COWFRLPHDR-5-1162" TargetMode="External"/><Relationship Id="rId1667" Type="http://schemas.openxmlformats.org/officeDocument/2006/relationships/hyperlink" Target="https://share.hdrinc.com/sites/CoW_FRLP/_layouts/DocIdRedir.aspx?ID=COWFRLPHDR-5-681" TargetMode="External"/><Relationship Id="rId1874" Type="http://schemas.openxmlformats.org/officeDocument/2006/relationships/hyperlink" Target="https://share.hdrinc.com/sites/CoW_FRLP/_layouts/DocIdRedir.aspx?ID=COWFRLPHDR-5-1243" TargetMode="External"/><Relationship Id="rId469" Type="http://schemas.openxmlformats.org/officeDocument/2006/relationships/hyperlink" Target="https://share.hdrinc.com/sites/CoW_FRLP/ACQUISITION/COW-FRMP_TR-307%20TITLE%20Commitment.pdf" TargetMode="External"/><Relationship Id="rId676" Type="http://schemas.openxmlformats.org/officeDocument/2006/relationships/hyperlink" Target="https://share.hdrinc.com/sites/CoW_FRLP/ACQUISITION/COW-FRMP_TR-322%20TITLE%20Curative%20Plan.docx" TargetMode="External"/><Relationship Id="rId883" Type="http://schemas.openxmlformats.org/officeDocument/2006/relationships/hyperlink" Target="https://share.hdrinc.com/sites/CoW_FRLP/ACQUISITION/COW-FRMP_TR-T207%20CONTACT%20Negotiator%20Report.docx" TargetMode="External"/><Relationship Id="rId1099" Type="http://schemas.openxmlformats.org/officeDocument/2006/relationships/hyperlink" Target="https://share.hdrinc.com/sites/CoW_FRLP/_layouts/DocIdRedir.aspx?ID=COWFRLPHDR-5-352" TargetMode="External"/><Relationship Id="rId1527" Type="http://schemas.openxmlformats.org/officeDocument/2006/relationships/hyperlink" Target="https://share.hdrinc.com/sites/CoW_FRLP/_layouts/DocIdRedir.aspx?ID=COWFRLPHDR-5-370" TargetMode="External"/><Relationship Id="rId1734" Type="http://schemas.openxmlformats.org/officeDocument/2006/relationships/hyperlink" Target="https://share.hdrinc.com/sites/CoA_Buyout_6500/_layouts/DocIdRedir.aspx?ID=COABUYOUT65-9-40" TargetMode="External"/><Relationship Id="rId1941" Type="http://schemas.openxmlformats.org/officeDocument/2006/relationships/hyperlink" Target="https://share.hdrinc.com/sites/CoW_FRLP/_layouts/DocIdRedir.aspx?ID=COWFRLPHDR-5-1032" TargetMode="External"/><Relationship Id="rId26" Type="http://schemas.openxmlformats.org/officeDocument/2006/relationships/hyperlink" Target="https://share.hdrinc.com/sites/CoW_FRLP/ACQUISITION/COW-FRMP_TR-100%20TITLE%20Commitment%20Backup%20Docs.pdf" TargetMode="External"/><Relationship Id="rId231" Type="http://schemas.openxmlformats.org/officeDocument/2006/relationships/hyperlink" Target="https://share.hdrinc.com/sites/CoW_FRLP/ACQUISITION/COW-FRMP_TR-215%20CONTACT%20Letter%20of%20Intent-HDR%20(Joe%20Ramirez).pdf" TargetMode="External"/><Relationship Id="rId329" Type="http://schemas.openxmlformats.org/officeDocument/2006/relationships/hyperlink" Target="https://share.hdrinc.com/sites/CoW_FRLP/ACQUISITION/COW-FRMP_TR-223%20APPRAISAL%20USACOE%20Authorization%20to%20Proceed%20with%20Offer.pdf" TargetMode="External"/><Relationship Id="rId536" Type="http://schemas.openxmlformats.org/officeDocument/2006/relationships/hyperlink" Target="https://share.hdrinc.com/sites/CoW_FRLP/ACQUISITION/COW-FRMP_TR-311%20SURVEY%20Right-of-Entry.pdf" TargetMode="External"/><Relationship Id="rId1166" Type="http://schemas.openxmlformats.org/officeDocument/2006/relationships/hyperlink" Target="https://share.hdrinc.com/sites/CoW_FRLP/_layouts/DocIdRedir.aspx?ID=COWFRLPHDR-5-1318" TargetMode="External"/><Relationship Id="rId1373" Type="http://schemas.openxmlformats.org/officeDocument/2006/relationships/hyperlink" Target="https://share.hdrinc.com/sites/CoW_FRLP/_layouts/DocIdRedir.aspx?ID=COWFRLPHDR-5-782" TargetMode="External"/><Relationship Id="rId175" Type="http://schemas.openxmlformats.org/officeDocument/2006/relationships/hyperlink" Target="https://share.hdrinc.com/sites/CoW_FRLP/ACQUISITION/COW-FRMP_TR-211%20NEGOTIATION%20Landowner%20Bill%20of%20Rights%20Letter.pdf" TargetMode="External"/><Relationship Id="rId743" Type="http://schemas.openxmlformats.org/officeDocument/2006/relationships/hyperlink" Target="https://share.hdrinc.com/sites/CoW_FRLP/ACQUISITION/COW-FRMP_TR-T071%20ENVIRONMENTAL%20Right-of-Entry%20Package.pdf" TargetMode="External"/><Relationship Id="rId950" Type="http://schemas.openxmlformats.org/officeDocument/2006/relationships/hyperlink" Target="https://share.hdrinc.com/sites/CoW_FRLP/ACQUISITION/COW-FRMP_TR-T242%20ENVIRONMENTAL%20Right-of-Entry%20Package.pdf" TargetMode="External"/><Relationship Id="rId1026" Type="http://schemas.openxmlformats.org/officeDocument/2006/relationships/hyperlink" Target="https://share.hdrinc.com/sites/CoW_FRLP/_layouts/DocIdRedir.aspx?ID=COWFRLPHDR-5-142" TargetMode="External"/><Relationship Id="rId1580" Type="http://schemas.openxmlformats.org/officeDocument/2006/relationships/hyperlink" Target="https://share.hdrinc.com/sites/CoW_FRLP/_layouts/DocIdRedir.aspx?ID=COWFRLPHDR-5-1378" TargetMode="External"/><Relationship Id="rId1678" Type="http://schemas.openxmlformats.org/officeDocument/2006/relationships/hyperlink" Target="https://share.hdrinc.com/sites/CoW_FRLP/_layouts/DocIdRedir.aspx?ID=COWFRLPHDR-5-1197" TargetMode="External"/><Relationship Id="rId1801" Type="http://schemas.openxmlformats.org/officeDocument/2006/relationships/hyperlink" Target="https://share.hdrinc.com/sites/CoW_FRLP/_layouts/DocIdRedir.aspx?ID=COWFRLPHDR-5-1241" TargetMode="External"/><Relationship Id="rId1885" Type="http://schemas.openxmlformats.org/officeDocument/2006/relationships/hyperlink" Target="https://share.hdrinc.com/sites/CoW_FRLP/_layouts/DocIdRedir.aspx?ID=COWFRLPHDR-5-952" TargetMode="External"/><Relationship Id="rId382" Type="http://schemas.openxmlformats.org/officeDocument/2006/relationships/hyperlink" Target="https://share.hdrinc.com/sites/CoW_FRLP/ACQUISITION/COW-FRMP_TR-300%20TITLE%20Curative%20Plan.docx" TargetMode="External"/><Relationship Id="rId603" Type="http://schemas.openxmlformats.org/officeDocument/2006/relationships/hyperlink" Target="https://share.hdrinc.com/sites/CoW_FRLP/ACQUISITION/COW-FRMP_TR-315%20SURVEY%20Description-Plat_USACOE.pdf" TargetMode="External"/><Relationship Id="rId687" Type="http://schemas.openxmlformats.org/officeDocument/2006/relationships/hyperlink" Target="https://share.hdrinc.com/sites/CoW_FRLP/ACQUISITION/COW-FRMP_TR-326%20TITLE%20Commitment.pdf" TargetMode="External"/><Relationship Id="rId810" Type="http://schemas.openxmlformats.org/officeDocument/2006/relationships/hyperlink" Target="https://share.hdrinc.com/sites/CoW_FRLP/ACQUISITION/COW-FRMP_TR-T183%20TITLE%20Tax%20Card.pdf" TargetMode="External"/><Relationship Id="rId908" Type="http://schemas.openxmlformats.org/officeDocument/2006/relationships/hyperlink" Target="https://share.hdrinc.com/sites/CoW_FRLP/ACQUISITION/COW-FRMP_TR-T215%20ROE%20Right-of-Entry%20Executed.PDF" TargetMode="External"/><Relationship Id="rId1233" Type="http://schemas.openxmlformats.org/officeDocument/2006/relationships/hyperlink" Target="https://share.hdrinc.com/sites/CoW_FRLP/_layouts/DocIdRedir.aspx?ID=COWFRLPHDR-5-821" TargetMode="External"/><Relationship Id="rId1440" Type="http://schemas.openxmlformats.org/officeDocument/2006/relationships/hyperlink" Target="https://share.hdrinc.com/sites/CoW_FRLP/_layouts/DocIdRedir.aspx?ID=COWFRLPHDR-5-92" TargetMode="External"/><Relationship Id="rId1538" Type="http://schemas.openxmlformats.org/officeDocument/2006/relationships/hyperlink" Target="https://share.hdrinc.com/sites/CoW_FRLP/_layouts/DocIdRedir.aspx?ID=COWFRLPHDR-5-1309" TargetMode="External"/><Relationship Id="rId242" Type="http://schemas.openxmlformats.org/officeDocument/2006/relationships/hyperlink" Target="https://share.hdrinc.com/sites/CoW_FRLP/ACQUISITION/COW-FRMP_TR-215%20SURVEY%20Description-Plat_USACOE.pdf" TargetMode="External"/><Relationship Id="rId894" Type="http://schemas.openxmlformats.org/officeDocument/2006/relationships/hyperlink" Target="https://share.hdrinc.com/sites/CoW_FRLP/ACQUISITION/COW-FRMP_TR-T212%20CONTACT%20Negotiator%20Report.docx" TargetMode="External"/><Relationship Id="rId1177" Type="http://schemas.openxmlformats.org/officeDocument/2006/relationships/hyperlink" Target="https://share.hdrinc.com/sites/CoW_FRLP/_layouts/DocIdRedir.aspx?ID=COWFRLPHDR-5-747" TargetMode="External"/><Relationship Id="rId1300" Type="http://schemas.openxmlformats.org/officeDocument/2006/relationships/hyperlink" Target="https://share.hdrinc.com/sites/CoW_FRLP/_layouts/DocIdRedir.aspx?ID=COWFRLPHDR-5-1235" TargetMode="External"/><Relationship Id="rId1745" Type="http://schemas.openxmlformats.org/officeDocument/2006/relationships/hyperlink" Target="https://share.hdrinc.com/sites/CoW_FRLP/_layouts/DocIdRedir.aspx?ID=COWFRLPHDR-5-1047" TargetMode="External"/><Relationship Id="rId1952" Type="http://schemas.openxmlformats.org/officeDocument/2006/relationships/hyperlink" Target="https://share.hdrinc.com/sites/CoW_FRLP/_layouts/DocIdRedir.aspx?ID=COWFRLPHDR-5-995" TargetMode="External"/><Relationship Id="rId37" Type="http://schemas.openxmlformats.org/officeDocument/2006/relationships/hyperlink" Target="https://share.hdrinc.com/sites/CoW_FRLP/ACQUISITION/COW-FRMP_TR-200%20APPRAISAL%20Just%20Compensation%20Approval.pdf" TargetMode="External"/><Relationship Id="rId102" Type="http://schemas.openxmlformats.org/officeDocument/2006/relationships/hyperlink" Target="https://share.hdrinc.com/sites/CoW_FRLP/ACQUISITION/COW-FRMP_TR-205%20CONTACT%20Pre-Appraisal%20Contact%20with%20Owner.pdf" TargetMode="External"/><Relationship Id="rId547" Type="http://schemas.openxmlformats.org/officeDocument/2006/relationships/hyperlink" Target="https://share.hdrinc.com/sites/CoW_FRLP/ACQUISITION/ContactRecords/COW-FRMP_TR-312%20CONTACT%20Negotiator%20Report.docx" TargetMode="External"/><Relationship Id="rId754" Type="http://schemas.openxmlformats.org/officeDocument/2006/relationships/hyperlink" Target="https://share.hdrinc.com/sites/CoW_FRLP/ACQUISITION/COW-FRMP_TR-T157%20CONTACT%20Negotiator%20Report.docx" TargetMode="External"/><Relationship Id="rId961" Type="http://schemas.openxmlformats.org/officeDocument/2006/relationships/hyperlink" Target="https://share.hdrinc.com/sites/CoW_FRLP/ACQUISITION/COW-FRMP_TR-T254%20ENVIRONMENTAL%20Right-of-Entry%20Package.pdf" TargetMode="External"/><Relationship Id="rId1384" Type="http://schemas.openxmlformats.org/officeDocument/2006/relationships/hyperlink" Target="https://share.hdrinc.com/sites/CoW_FRLP/_layouts/DocIdRedir.aspx?ID=COWFRLPHDR-5-823" TargetMode="External"/><Relationship Id="rId1591" Type="http://schemas.openxmlformats.org/officeDocument/2006/relationships/hyperlink" Target="https://share.hdrinc.com/sites/CoW_FRLP/_layouts/DocIdRedir.aspx?ID=COWFRLPHDR-5-1347" TargetMode="External"/><Relationship Id="rId1605" Type="http://schemas.openxmlformats.org/officeDocument/2006/relationships/hyperlink" Target="https://share.hdrinc.com/sites/CoW_FRLP/_layouts/DocIdRedir.aspx?ID=COWFRLPHDR-5-1313" TargetMode="External"/><Relationship Id="rId1689" Type="http://schemas.openxmlformats.org/officeDocument/2006/relationships/hyperlink" Target="https://share.hdrinc.com/sites/CoW_FRLP/_layouts/DocIdRedir.aspx?ID=COWFRLPHDR-5-1357" TargetMode="External"/><Relationship Id="rId1812" Type="http://schemas.openxmlformats.org/officeDocument/2006/relationships/hyperlink" Target="https://share.hdrinc.com/sites/CoW_FRLP/_layouts/DocIdRedir.aspx?ID=COWFRLPHDR-5-928" TargetMode="External"/><Relationship Id="rId90" Type="http://schemas.openxmlformats.org/officeDocument/2006/relationships/hyperlink" Target="https://share.hdrinc.com/sites/CoW_FRLP/ACQUISITION/COW-FRMP_TR-203%20TITLE%20Commitment%20Backup%20Docs.pdf" TargetMode="External"/><Relationship Id="rId186" Type="http://schemas.openxmlformats.org/officeDocument/2006/relationships/hyperlink" Target="https://share.hdrinc.com/sites/CoW_FRLP/ACQUISITION/COW-FRMP_TR-212%20SURVEY%20Description-Plat_USACOE.pdf" TargetMode="External"/><Relationship Id="rId393" Type="http://schemas.openxmlformats.org/officeDocument/2006/relationships/hyperlink" Target="https://share.hdrinc.com/sites/CoW_FRLP/ACQUISITION/COW-FRMP_TR-301%20TITLE%20Commitment%20Backup%20Docs.pdf" TargetMode="External"/><Relationship Id="rId407" Type="http://schemas.openxmlformats.org/officeDocument/2006/relationships/hyperlink" Target="https://share.hdrinc.com/sites/CoW_FRLP/ACQUISITION/COW-FRMP_TR-302%20TITLE%20Commitment.pdf" TargetMode="External"/><Relationship Id="rId614" Type="http://schemas.openxmlformats.org/officeDocument/2006/relationships/hyperlink" Target="https://share.hdrinc.com/sites/CoW_FRLP/ACQUISITION/COW-FRMP_TR-316%20CONTACT%20Letter%20of%20Intent-HDR.pdf" TargetMode="External"/><Relationship Id="rId821" Type="http://schemas.openxmlformats.org/officeDocument/2006/relationships/hyperlink" Target="https://share.hdrinc.com/sites/CoW_FRLP/ACQUISITION/COW-FRMP_TR-T186%20ROE%20Right-of-Entry%20Executed.pdf" TargetMode="External"/><Relationship Id="rId1037" Type="http://schemas.openxmlformats.org/officeDocument/2006/relationships/hyperlink" Target="https://share.hdrinc.com/sites/CoW_FRLP/_layouts/DocIdRedir.aspx?ID=COWFRLPHDR-5-80" TargetMode="External"/><Relationship Id="rId1244" Type="http://schemas.openxmlformats.org/officeDocument/2006/relationships/hyperlink" Target="https://share.hdrinc.com/sites/CoW_FRLP/_layouts/DocIdRedir.aspx?ID=COWFRLPHDR-5-495" TargetMode="External"/><Relationship Id="rId1451" Type="http://schemas.openxmlformats.org/officeDocument/2006/relationships/hyperlink" Target="https://share.hdrinc.com/sites/CoW_FRLP/_layouts/DocIdRedir.aspx?ID=COWFRLPHDR-5-83" TargetMode="External"/><Relationship Id="rId1896" Type="http://schemas.openxmlformats.org/officeDocument/2006/relationships/hyperlink" Target="https://share.hdrinc.com/sites/CoW_FRLP/_layouts/DocIdRedir.aspx?ID=COWFRLPHDR-5-961" TargetMode="External"/><Relationship Id="rId253" Type="http://schemas.openxmlformats.org/officeDocument/2006/relationships/hyperlink" Target="https://share.hdrinc.com/sites/CoW_FRLP/ACQUISITION/COW-FRMP_TR-216%20NEGOTIATION%20Landowner%20Bill%20of%20Rights%20Letter.pdf" TargetMode="External"/><Relationship Id="rId460" Type="http://schemas.openxmlformats.org/officeDocument/2006/relationships/hyperlink" Target="https://share.hdrinc.com/sites/CoW_FRLP/ACQUISITION/COW-FRMP_TR-305MH%20SURVEY%20Right-of-Entry%20CMRR.pdf" TargetMode="External"/><Relationship Id="rId698" Type="http://schemas.openxmlformats.org/officeDocument/2006/relationships/hyperlink" Target="https://share.hdrinc.com/sites/CoW_FRLP/ACQUISITION/COW-FRMP_TR-421A%20NEGOTIATION%20Initial%20Offer%20Package.pdf" TargetMode="External"/><Relationship Id="rId919" Type="http://schemas.openxmlformats.org/officeDocument/2006/relationships/hyperlink" Target="https://share.hdrinc.com/sites/CoW_FRLP/ACQUISITION/COW-FRMP_TR-T228%20ENVIRONMENTAL%20Right-of-Entry%20Package.pdf" TargetMode="External"/><Relationship Id="rId1090" Type="http://schemas.openxmlformats.org/officeDocument/2006/relationships/hyperlink" Target="https://share.hdrinc.com/sites/CoW_FRLP/_layouts/DocIdRedir.aspx?ID=COWFRLPHDR-5-744" TargetMode="External"/><Relationship Id="rId1104" Type="http://schemas.openxmlformats.org/officeDocument/2006/relationships/hyperlink" Target="https://share.hdrinc.com/sites/CoW_FRLP/_layouts/DocIdRedir.aspx?ID=COWFRLPHDR-5-382" TargetMode="External"/><Relationship Id="rId1311" Type="http://schemas.openxmlformats.org/officeDocument/2006/relationships/hyperlink" Target="https://share.hdrinc.com/sites/CoW_FRLP/_layouts/DocIdRedir.aspx?ID=COWFRLPHDR-5-30" TargetMode="External"/><Relationship Id="rId1549" Type="http://schemas.openxmlformats.org/officeDocument/2006/relationships/hyperlink" Target="https://share.hdrinc.com/sites/CoW_FRLP/_layouts/DocIdRedir.aspx?ID=COWFRLPHDR-5-241" TargetMode="External"/><Relationship Id="rId1756" Type="http://schemas.openxmlformats.org/officeDocument/2006/relationships/hyperlink" Target="https://share.hdrinc.com/sites/CoW_FRLP/_layouts/DocIdRedir.aspx?ID=COWFRLPHDR-5-871" TargetMode="External"/><Relationship Id="rId1963" Type="http://schemas.openxmlformats.org/officeDocument/2006/relationships/hyperlink" Target="https://share.hdrinc.com/sites/CoW_FRLP/_layouts/DocIdRedir.aspx?ID=COWFRLPHDR-5-1001" TargetMode="External"/><Relationship Id="rId48" Type="http://schemas.openxmlformats.org/officeDocument/2006/relationships/hyperlink" Target="https://share.hdrinc.com/sites/CoW_FRLP/ACQUISITION/COW-FRMP_TR-200%20SURVEY%20Right-of-Entry.pdf" TargetMode="External"/><Relationship Id="rId113" Type="http://schemas.openxmlformats.org/officeDocument/2006/relationships/hyperlink" Target="https://share.hdrinc.com/sites/CoW_FRLP/ACQUISITION/COW-FRMP_TR-206%20SURVEY%20Description-Plat_USACOE.pdf" TargetMode="External"/><Relationship Id="rId320" Type="http://schemas.openxmlformats.org/officeDocument/2006/relationships/hyperlink" Target="https://share.hdrinc.com/sites/CoW_FRLP/ACQUISITION/COW-FRMP_TR-222%20SURVEY%20Description-Plat_CITY.pdf" TargetMode="External"/><Relationship Id="rId558" Type="http://schemas.openxmlformats.org/officeDocument/2006/relationships/hyperlink" Target="https://share.hdrinc.com/sites/CoW_FRLP/ACQUISITION/COW-FRMP_TR-313%20APPRAISAL%20Final%20Appraisal.pdf" TargetMode="External"/><Relationship Id="rId765" Type="http://schemas.openxmlformats.org/officeDocument/2006/relationships/hyperlink" Target="https://share.hdrinc.com/sites/CoW_FRLP/ACQUISITION/COW-FRMP_TR-T158%20TITLE%20Tax%20Card.pdf" TargetMode="External"/><Relationship Id="rId972" Type="http://schemas.openxmlformats.org/officeDocument/2006/relationships/hyperlink" Target="https://share.hdrinc.com/sites/CoW_FRLP/ACQUISITION/COW-FRMP_TR-T259%20ROE%20Right-of-Entry%20Executed.pdf" TargetMode="External"/><Relationship Id="rId1188" Type="http://schemas.openxmlformats.org/officeDocument/2006/relationships/hyperlink" Target="https://share.hdrinc.com/sites/CoW_FRLP/_layouts/DocIdRedir.aspx?ID=COWFRLPHDR-5-426" TargetMode="External"/><Relationship Id="rId1395" Type="http://schemas.openxmlformats.org/officeDocument/2006/relationships/hyperlink" Target="https://share.hdrinc.com/sites/CoW_FRLP/_layouts/DocIdRedir.aspx?ID=COWFRLPHDR-5-402" TargetMode="External"/><Relationship Id="rId1409" Type="http://schemas.openxmlformats.org/officeDocument/2006/relationships/hyperlink" Target="https://share.hdrinc.com/sites/CoW_FRLP/_layouts/DocIdRedir.aspx?ID=COWFRLPHDR-5-640" TargetMode="External"/><Relationship Id="rId1616" Type="http://schemas.openxmlformats.org/officeDocument/2006/relationships/hyperlink" Target="https://share.hdrinc.com/sites/CoW_FRLP/_layouts/DocIdRedir.aspx?ID=COWFRLPHDR-5-869" TargetMode="External"/><Relationship Id="rId1823" Type="http://schemas.openxmlformats.org/officeDocument/2006/relationships/hyperlink" Target="https://share.hdrinc.com/sites/CoW_FRLP/_layouts/DocIdRedir.aspx?ID=COWFRLPHDR-5-931" TargetMode="External"/><Relationship Id="rId2001" Type="http://schemas.openxmlformats.org/officeDocument/2006/relationships/hyperlink" Target="https://share.hdrinc.com/sites/CoW_FRLP/_layouts/DocIdRedir.aspx?ID=COWFRLPHDR-5-1334" TargetMode="External"/><Relationship Id="rId197" Type="http://schemas.openxmlformats.org/officeDocument/2006/relationships/hyperlink" Target="https://share.hdrinc.com/sites/CoW_FRLP/ACQUISITION/COW-FRMP_TR-213%20CONTACT%20Initial%20Interview%20-%20Residential.pdf" TargetMode="External"/><Relationship Id="rId418" Type="http://schemas.openxmlformats.org/officeDocument/2006/relationships/hyperlink" Target="https://share.hdrinc.com/sites/CoW_FRLP/ACQUISITION/COW-FRMP_TR-303%20SURVEY%20Description-Plat_USACOE.pdf" TargetMode="External"/><Relationship Id="rId625" Type="http://schemas.openxmlformats.org/officeDocument/2006/relationships/hyperlink" Target="https://share.hdrinc.com/sites/CoW_FRLP/ACQUISITION/COW-FRMP_TR-317%20CONTACT%20Initial%20Interview%20-%20Residential%20-%20Guzman.pdf" TargetMode="External"/><Relationship Id="rId832" Type="http://schemas.openxmlformats.org/officeDocument/2006/relationships/hyperlink" Target="https://share.hdrinc.com/sites/CoW_FRLP/ACQUISITION/COW-FRMP_TR-T188%20ROE%20Right-of-Entry%20Package.pdf" TargetMode="External"/><Relationship Id="rId1048" Type="http://schemas.openxmlformats.org/officeDocument/2006/relationships/hyperlink" Target="https://share.hdrinc.com/sites/CoW_FRLP/_layouts/DocIdRedir.aspx?ID=COWFRLPHDR-5-1174" TargetMode="External"/><Relationship Id="rId1255" Type="http://schemas.openxmlformats.org/officeDocument/2006/relationships/hyperlink" Target="https://share.hdrinc.com/sites/CoW_FRLP/_layouts/DocIdRedir.aspx?ID=COWFRLPHDR-5-1189" TargetMode="External"/><Relationship Id="rId1462" Type="http://schemas.openxmlformats.org/officeDocument/2006/relationships/hyperlink" Target="https://share.hdrinc.com/sites/CoW_FRLP/_layouts/DocIdRedir.aspx?ID=COWFRLPHDR-5-702" TargetMode="External"/><Relationship Id="rId264" Type="http://schemas.openxmlformats.org/officeDocument/2006/relationships/hyperlink" Target="https://share.hdrinc.com/sites/CoW_FRLP/ACQUISITION/COW-FRMP_TR-217%20CONTACT%20Initial%20Interview%20-%20Residential.pdf" TargetMode="External"/><Relationship Id="rId471" Type="http://schemas.openxmlformats.org/officeDocument/2006/relationships/hyperlink" Target="https://share.hdrinc.com/sites/CoW_FRLP/ACQUISITION/COW-FRMP_TR-307%20TITLE%20Curative%20Plan.docx" TargetMode="External"/><Relationship Id="rId1115" Type="http://schemas.openxmlformats.org/officeDocument/2006/relationships/hyperlink" Target="https://share.hdrinc.com/sites/CoW_FRLP/_layouts/DocIdRedir.aspx?ID=COWFRLPHDR-5-673" TargetMode="External"/><Relationship Id="rId1322" Type="http://schemas.openxmlformats.org/officeDocument/2006/relationships/hyperlink" Target="https://share.hdrinc.com/sites/CoW_FRLP/_layouts/DocIdRedir.aspx?ID=COWFRLPHDR-5-764" TargetMode="External"/><Relationship Id="rId1767" Type="http://schemas.openxmlformats.org/officeDocument/2006/relationships/hyperlink" Target="https://share.hdrinc.com/sites/CoW_FRLP/_layouts/DocIdRedir.aspx?ID=COWFRLPHDR-5-897" TargetMode="External"/><Relationship Id="rId1974" Type="http://schemas.openxmlformats.org/officeDocument/2006/relationships/hyperlink" Target="https://share.hdrinc.com/sites/CoW_FRLP/_layouts/DocIdRedir.aspx?ID=COWFRLPHDR-5-883" TargetMode="External"/><Relationship Id="rId59" Type="http://schemas.openxmlformats.org/officeDocument/2006/relationships/hyperlink" Target="https://share.hdrinc.com/sites/CoW_FRLP/ACQUISITION/COW-FRMP_TR-201%20SURVEY%20Right-of-Entry.pdf" TargetMode="External"/><Relationship Id="rId124" Type="http://schemas.openxmlformats.org/officeDocument/2006/relationships/hyperlink" Target="https://share.hdrinc.com/sites/CoW_FRLP/ACQUISITION/COW-FRMP_TR-207%20NEGOTIATION%20Initial%20Offer%20Package.pdf" TargetMode="External"/><Relationship Id="rId569" Type="http://schemas.openxmlformats.org/officeDocument/2006/relationships/hyperlink" Target="https://share.hdrinc.com/sites/CoW_FRLP/ACQUISITION/COW-FRMP_TR-313%20NEGOTIATION%20Owner%20Representation%20Letter.pdf" TargetMode="External"/><Relationship Id="rId776" Type="http://schemas.openxmlformats.org/officeDocument/2006/relationships/hyperlink" Target="https://share.hdrinc.com/sites/CoW_FRLP/ACQUISITION/COW-FRMP_TR-T163%20ENVIRONMENTAL%20Right-of-Entry%20Package.pdf" TargetMode="External"/><Relationship Id="rId983" Type="http://schemas.openxmlformats.org/officeDocument/2006/relationships/hyperlink" Target="https://share.hdrinc.com/sites/CoW_FRLP/ACQUISITION/COW-FRMP_TR-T263%20ROE%20Right-of-Entry%20Package.pdf" TargetMode="External"/><Relationship Id="rId1199" Type="http://schemas.openxmlformats.org/officeDocument/2006/relationships/hyperlink" Target="https://share.hdrinc.com/sites/CoW_FRLP/_layouts/DocIdRedir.aspx?ID=COWFRLPHDR-5-1188" TargetMode="External"/><Relationship Id="rId1627" Type="http://schemas.openxmlformats.org/officeDocument/2006/relationships/hyperlink" Target="https://share.hdrinc.com/sites/CoW_FRLP/_layouts/DocIdRedir.aspx?ID=COWFRLPHDR-5-547" TargetMode="External"/><Relationship Id="rId1834" Type="http://schemas.openxmlformats.org/officeDocument/2006/relationships/hyperlink" Target="https://share.hdrinc.com/sites/CoW_FRLP/_layouts/DocIdRedir.aspx?ID=COWFRLPHDR-5-1242" TargetMode="External"/><Relationship Id="rId331" Type="http://schemas.openxmlformats.org/officeDocument/2006/relationships/hyperlink" Target="https://share.hdrinc.com/sites/CoW_FRLP/ACQUISITION/ContactRecords/COW-FRMP_TR-223%20CONTACT%20Negotiator%20Report.docx" TargetMode="External"/><Relationship Id="rId429" Type="http://schemas.openxmlformats.org/officeDocument/2006/relationships/hyperlink" Target="https://share.hdrinc.com/sites/CoW_FRLP/ACQUISITION/COW-FRMP_TR-304%20CONTACT%20Letter%20of%20Intent-HDR%20Guzman.pdf" TargetMode="External"/><Relationship Id="rId636" Type="http://schemas.openxmlformats.org/officeDocument/2006/relationships/hyperlink" Target="https://share.hdrinc.com/sites/CoW_FRLP/ACQUISITION/COW-FRMP_TR-317%20TITLE%20Curative%20Plan.docx" TargetMode="External"/><Relationship Id="rId1059" Type="http://schemas.openxmlformats.org/officeDocument/2006/relationships/hyperlink" Target="https://share.hdrinc.com/sites/CoW_FRLP/_layouts/DocIdRedir.aspx?ID=COWFRLPHDR-5-418" TargetMode="External"/><Relationship Id="rId1266" Type="http://schemas.openxmlformats.org/officeDocument/2006/relationships/hyperlink" Target="https://share.hdrinc.com/sites/CoW_FRLP/_layouts/DocIdRedir.aspx?ID=COWFRLPHDR-5-431" TargetMode="External"/><Relationship Id="rId1473" Type="http://schemas.openxmlformats.org/officeDocument/2006/relationships/hyperlink" Target="https://share.hdrinc.com/sites/CoW_FRLP/_layouts/DocIdRedir.aspx?ID=COWFRLPHDR-5-249" TargetMode="External"/><Relationship Id="rId2012" Type="http://schemas.openxmlformats.org/officeDocument/2006/relationships/hyperlink" Target="https://share.hdrinc.com/sites/CoW_FRLP/_layouts/DocIdRedir.aspx?ID=COWFRLPHDR-5-980" TargetMode="External"/><Relationship Id="rId843" Type="http://schemas.openxmlformats.org/officeDocument/2006/relationships/hyperlink" Target="https://share.hdrinc.com/sites/CoW_FRLP/ACQUISITION/COW-FRMP_TR-T190%20TITLE%20Tax%20Card.pdf" TargetMode="External"/><Relationship Id="rId1126" Type="http://schemas.openxmlformats.org/officeDocument/2006/relationships/hyperlink" Target="https://share.hdrinc.com/sites/CoW_FRLP/_layouts/DocIdRedir.aspx?ID=COWFRLPHDR-5-1183" TargetMode="External"/><Relationship Id="rId1680" Type="http://schemas.openxmlformats.org/officeDocument/2006/relationships/hyperlink" Target="https://share.hdrinc.com/sites/CoW_FRLP/_layouts/DocIdRedir.aspx?ID=COWFRLPHDR-5-213" TargetMode="External"/><Relationship Id="rId1778" Type="http://schemas.openxmlformats.org/officeDocument/2006/relationships/hyperlink" Target="https://share.hdrinc.com/sites/CoW_FRLP/_layouts/DocIdRedir.aspx?ID=COWFRLPHDR-5-902" TargetMode="External"/><Relationship Id="rId1901" Type="http://schemas.openxmlformats.org/officeDocument/2006/relationships/hyperlink" Target="https://share.hdrinc.com/sites/CoW_FRLP/_layouts/DocIdRedir.aspx?ID=COWFRLPHDR-5-1136" TargetMode="External"/><Relationship Id="rId1985" Type="http://schemas.openxmlformats.org/officeDocument/2006/relationships/hyperlink" Target="https://share.hdrinc.com/sites/CoW_FRLP/_layouts/DocIdRedir.aspx?ID=COWFRLPHDR-5-1283" TargetMode="External"/><Relationship Id="rId275" Type="http://schemas.openxmlformats.org/officeDocument/2006/relationships/hyperlink" Target="https://share.hdrinc.com/sites/CoW_FRLP/ACQUISITION/COW-FRMP_TR-217%20TITLE%20Tax%20Card.pdf" TargetMode="External"/><Relationship Id="rId482" Type="http://schemas.openxmlformats.org/officeDocument/2006/relationships/hyperlink" Target="https://share.hdrinc.com/sites/CoW_FRLP/ACQUISITION/COW-FRMP_TR-308%20SURVEY%20Right-of-Entry.pdf" TargetMode="External"/><Relationship Id="rId703" Type="http://schemas.openxmlformats.org/officeDocument/2006/relationships/hyperlink" Target="https://share.hdrinc.com/sites/CoW_FRLP/ACQUISITION/COW-FRMP_TR-421A%20TITLE%20Commitment.pdf" TargetMode="External"/><Relationship Id="rId910" Type="http://schemas.openxmlformats.org/officeDocument/2006/relationships/hyperlink" Target="https://share.hdrinc.com/sites/CoW_FRLP/ACQUISITION/COW-FRMP_TR-T215%20TITLE%20Tax%20Card.pdf" TargetMode="External"/><Relationship Id="rId1333" Type="http://schemas.openxmlformats.org/officeDocument/2006/relationships/hyperlink" Target="https://share.hdrinc.com/sites/CoW_FRLP/_layouts/DocIdRedir.aspx?ID=COWFRLPHDR-5-784" TargetMode="External"/><Relationship Id="rId1540" Type="http://schemas.openxmlformats.org/officeDocument/2006/relationships/hyperlink" Target="https://share.hdrinc.com/sites/CoW_FRLP/_layouts/DocIdRedir.aspx?ID=COWFRLPHDR-5-1204" TargetMode="External"/><Relationship Id="rId1638" Type="http://schemas.openxmlformats.org/officeDocument/2006/relationships/hyperlink" Target="https://share.hdrinc.com/sites/CoW_FRLP/_layouts/DocIdRedir.aspx?ID=COWFRLPHDR-5-93" TargetMode="External"/><Relationship Id="rId135" Type="http://schemas.openxmlformats.org/officeDocument/2006/relationships/hyperlink" Target="https://share.hdrinc.com/sites/CoW_FRLP/ACQUISITION/COW-FRMP_TR-208%20APPRAISAL%20Final%20Appraisal.pdf" TargetMode="External"/><Relationship Id="rId342" Type="http://schemas.openxmlformats.org/officeDocument/2006/relationships/hyperlink" Target="https://share.hdrinc.com/sites/CoW_FRLP/ACQUISITION/ContactRecords/COW-FRMP_TR-224%20CONTACT%20Negotiator%20Report.docx" TargetMode="External"/><Relationship Id="rId787" Type="http://schemas.openxmlformats.org/officeDocument/2006/relationships/hyperlink" Target="https://share.hdrinc.com/sites/CoW_FRLP/ACQUISITION/COW-FRMP_TR-T167%20ENVIRONMENTAL%20Right-of-Entry%20Package.pdf" TargetMode="External"/><Relationship Id="rId994" Type="http://schemas.openxmlformats.org/officeDocument/2006/relationships/hyperlink" Target="https://share.hdrinc.com/sites/CoW_FRLP/ACQUISITION/COW-FRMP_TR-T269%20ROE%20Right-of-Entry%20Executed.pdf" TargetMode="External"/><Relationship Id="rId1400" Type="http://schemas.openxmlformats.org/officeDocument/2006/relationships/hyperlink" Target="https://share.hdrinc.com/sites/CoW_FRLP/_layouts/DocIdRedir.aspx?ID=COWFRLPHDR-5-532" TargetMode="External"/><Relationship Id="rId1845" Type="http://schemas.openxmlformats.org/officeDocument/2006/relationships/hyperlink" Target="https://share.hdrinc.com/sites/CoW_FRLP/_layouts/DocIdRedir.aspx?ID=COWFRLPHDR-5-1128" TargetMode="External"/><Relationship Id="rId2023" Type="http://schemas.openxmlformats.org/officeDocument/2006/relationships/hyperlink" Target="https://share.hdrinc.com/sites/CoW_FRLP/_layouts/DocIdRedir.aspx?ID=COWFRLPHDR-5-395" TargetMode="External"/><Relationship Id="rId202" Type="http://schemas.openxmlformats.org/officeDocument/2006/relationships/hyperlink" Target="https://share.hdrinc.com/sites/CoW_FRLP/ACQUISITION/COW-FRMP_TR-213%20SURVEY%20Description-Plat_USACOE.pdf" TargetMode="External"/><Relationship Id="rId647" Type="http://schemas.openxmlformats.org/officeDocument/2006/relationships/hyperlink" Target="https://share.hdrinc.com/sites/CoW_FRLP/ACQUISITION/COW-FRMP_TR-319%20TITLE%20Commitment.pdf" TargetMode="External"/><Relationship Id="rId854" Type="http://schemas.openxmlformats.org/officeDocument/2006/relationships/hyperlink" Target="https://share.hdrinc.com/sites/CoW_FRLP/ACQUISITION/COW-FRMP_TR-T193%20TITLE%20Tax%20Card.pdf" TargetMode="External"/><Relationship Id="rId1277" Type="http://schemas.openxmlformats.org/officeDocument/2006/relationships/hyperlink" Target="https://share.hdrinc.com/sites/CoW_FRLP/_layouts/DocIdRedir.aspx?ID=COWFRLPHDR-5-101" TargetMode="External"/><Relationship Id="rId1484" Type="http://schemas.openxmlformats.org/officeDocument/2006/relationships/hyperlink" Target="https://share.hdrinc.com/sites/CoW_FRLP/_layouts/DocIdRedir.aspx?ID=COWFRLPHDR-5-219" TargetMode="External"/><Relationship Id="rId1691" Type="http://schemas.openxmlformats.org/officeDocument/2006/relationships/hyperlink" Target="https://share.hdrinc.com/sites/CoW_FRLP/_layouts/DocIdRedir.aspx?ID=COWFRLPHDR-5-1330" TargetMode="External"/><Relationship Id="rId1705" Type="http://schemas.openxmlformats.org/officeDocument/2006/relationships/hyperlink" Target="https://share.hdrinc.com/sites/CoW_FRLP/_layouts/DocIdRedir.aspx?ID=COWFRLPHDR-5-828" TargetMode="External"/><Relationship Id="rId1912" Type="http://schemas.openxmlformats.org/officeDocument/2006/relationships/hyperlink" Target="https://share.hdrinc.com/sites/CoW_FRLP/_layouts/DocIdRedir.aspx?ID=COWFRLPHDR-5-972" TargetMode="External"/><Relationship Id="rId286" Type="http://schemas.openxmlformats.org/officeDocument/2006/relationships/hyperlink" Target="https://share.hdrinc.com/sites/CoW_FRLP/ACQUISITION/COW-FRMP_TR-219%20APPRAISAL%20Final%20Appraisal.pdf" TargetMode="External"/><Relationship Id="rId493" Type="http://schemas.openxmlformats.org/officeDocument/2006/relationships/hyperlink" Target="https://share.hdrinc.com/sites/CoW_FRLP/ACQUISITION/COW-FRMP_TR-309%20APPRAISAL%20USACOE%20Authorization%20to%20Proceed%20with%20Offer%20Approval.pdf" TargetMode="External"/><Relationship Id="rId507" Type="http://schemas.openxmlformats.org/officeDocument/2006/relationships/hyperlink" Target="https://share.hdrinc.com/sites/CoW_FRLP/ACQUISITION/COW-FRMP_TR-309%20TITLE%20Curative%20Plan.docx" TargetMode="External"/><Relationship Id="rId714" Type="http://schemas.openxmlformats.org/officeDocument/2006/relationships/hyperlink" Target="https://share.hdrinc.com/sites/CoW_FRLP/ACQUISITION/COW-FRMP_TR-427%20TITLE%20Curative%20Plan.docx" TargetMode="External"/><Relationship Id="rId921" Type="http://schemas.openxmlformats.org/officeDocument/2006/relationships/hyperlink" Target="https://share.hdrinc.com/sites/CoW_FRLP/ACQUISITION/COW-FRMP_TR-T228%20ROE%20Right-of-Entry%20Package.pdf" TargetMode="External"/><Relationship Id="rId1137" Type="http://schemas.openxmlformats.org/officeDocument/2006/relationships/hyperlink" Target="https://share.hdrinc.com/sites/CoW_FRLP/_layouts/DocIdRedir.aspx?ID=COWFRLPHDR-5-1355" TargetMode="External"/><Relationship Id="rId1344" Type="http://schemas.openxmlformats.org/officeDocument/2006/relationships/hyperlink" Target="https://share.hdrinc.com/sites/CoW_FRLP/_layouts/DocIdRedir.aspx?ID=COWFRLPHDR-5-255" TargetMode="External"/><Relationship Id="rId1551" Type="http://schemas.openxmlformats.org/officeDocument/2006/relationships/hyperlink" Target="https://share.hdrinc.com/sites/CoW_FRLP/_layouts/DocIdRedir.aspx?ID=COWFRLPHDR-5-45" TargetMode="External"/><Relationship Id="rId1789" Type="http://schemas.openxmlformats.org/officeDocument/2006/relationships/hyperlink" Target="https://share.hdrinc.com/sites/CoW_FRLP/_layouts/DocIdRedir.aspx?ID=COWFRLPHDR-5-910" TargetMode="External"/><Relationship Id="rId1996" Type="http://schemas.openxmlformats.org/officeDocument/2006/relationships/hyperlink" Target="https://share.hdrinc.com/sites/CoW_FRLP/_layouts/DocIdRedir.aspx?ID=COWFRLPHDR-5-1115" TargetMode="External"/><Relationship Id="rId50" Type="http://schemas.openxmlformats.org/officeDocument/2006/relationships/hyperlink" Target="https://share.hdrinc.com/sites/CoW_FRLP/ACQUISITION/COW-FRMP_TR-200%20TITLE%20Commitment%20Backup%20Docs.pdf" TargetMode="External"/><Relationship Id="rId146" Type="http://schemas.openxmlformats.org/officeDocument/2006/relationships/hyperlink" Target="https://share.hdrinc.com/sites/CoW_FRLP/ACQUISITION/COW-FRMP_TR-208%20SURVEY%20Right-of-Entry.pdf" TargetMode="External"/><Relationship Id="rId353" Type="http://schemas.openxmlformats.org/officeDocument/2006/relationships/hyperlink" Target="https://share.hdrinc.com/sites/CoW_FRLP/ACQUISITION/COW-FRMP_TR-227%20SURVEY%20Description-Plat_CITY.PDF" TargetMode="External"/><Relationship Id="rId560" Type="http://schemas.openxmlformats.org/officeDocument/2006/relationships/hyperlink" Target="https://share.hdrinc.com/sites/CoW_FRLP/ACQUISITION/COW-FRMP_TR-313%20APPRAISAL%20Just%20Compensation%20Memo.pdf" TargetMode="External"/><Relationship Id="rId798" Type="http://schemas.openxmlformats.org/officeDocument/2006/relationships/hyperlink" Target="https://share.hdrinc.com/sites/CoW_FRLP/ACQUISITION/COW-FRMP_TR-T181%20CONTACT%20Negotiator%20Report.docx" TargetMode="External"/><Relationship Id="rId1190" Type="http://schemas.openxmlformats.org/officeDocument/2006/relationships/hyperlink" Target="https://share.hdrinc.com/sites/CoW_FRLP/_layouts/DocIdRedir.aspx?ID=COWFRLPHDR-5-1187" TargetMode="External"/><Relationship Id="rId1204" Type="http://schemas.openxmlformats.org/officeDocument/2006/relationships/hyperlink" Target="https://share.hdrinc.com/sites/CoW_FRLP/_layouts/DocIdRedir.aspx?ID=COWFRLPHDR-5-1319" TargetMode="External"/><Relationship Id="rId1411" Type="http://schemas.openxmlformats.org/officeDocument/2006/relationships/hyperlink" Target="https://share.hdrinc.com/sites/CoW_FRLP/_layouts/DocIdRedir.aspx?ID=COWFRLPHDR-5-1253" TargetMode="External"/><Relationship Id="rId1649" Type="http://schemas.openxmlformats.org/officeDocument/2006/relationships/hyperlink" Target="https://share.hdrinc.com/sites/CoW_FRLP/_layouts/DocIdRedir.aspx?ID=COWFRLPHDR-5-409" TargetMode="External"/><Relationship Id="rId1856" Type="http://schemas.openxmlformats.org/officeDocument/2006/relationships/hyperlink" Target="https://share.hdrinc.com/sites/CoW_FRLP/_layouts/DocIdRedir.aspx?ID=COWFRLPHDR-5-1024" TargetMode="External"/><Relationship Id="rId213" Type="http://schemas.openxmlformats.org/officeDocument/2006/relationships/hyperlink" Target="https://share.hdrinc.com/sites/CoW_FRLP/ACQUISITION/COW-FRMP_TR-214%20APPRAISAL%20USACOE%20Authorization%20to%20Proceed%20with%20Offer.pdf" TargetMode="External"/><Relationship Id="rId420" Type="http://schemas.openxmlformats.org/officeDocument/2006/relationships/hyperlink" Target="https://share.hdrinc.com/sites/CoW_FRLP/ACQUISITION/COW-FRMP_TR-303%20TITLE%20Commitment.pdf" TargetMode="External"/><Relationship Id="rId658" Type="http://schemas.openxmlformats.org/officeDocument/2006/relationships/hyperlink" Target="https://share.hdrinc.com/sites/CoW_FRLP/ACQUISITION/COW-FRMP_TR-320%20SURVEY%20Right-of-Entry.pdf" TargetMode="External"/><Relationship Id="rId865" Type="http://schemas.openxmlformats.org/officeDocument/2006/relationships/hyperlink" Target="https://share.hdrinc.com/sites/CoW_FRLP/ACQUISITION/COW-FRMP_TR-T198%20ENVIRONMENTAL%20Right-of-Entry%20Executed.pdf" TargetMode="External"/><Relationship Id="rId1050" Type="http://schemas.openxmlformats.org/officeDocument/2006/relationships/hyperlink" Target="https://share.hdrinc.com/sites/CoW_FRLP/_layouts/DocIdRedir.aspx?ID=COWFRLPHDR-5-1265" TargetMode="External"/><Relationship Id="rId1288" Type="http://schemas.openxmlformats.org/officeDocument/2006/relationships/hyperlink" Target="https://share.hdrinc.com/sites/CoW_FRLP/_layouts/DocIdRedir.aspx?ID=COWFRLPHDR-5-598" TargetMode="External"/><Relationship Id="rId1495" Type="http://schemas.openxmlformats.org/officeDocument/2006/relationships/hyperlink" Target="https://share.hdrinc.com/sites/CoW_FRLP/_layouts/DocIdRedir.aspx?ID=COWFRLPHDR-5-264" TargetMode="External"/><Relationship Id="rId1509" Type="http://schemas.openxmlformats.org/officeDocument/2006/relationships/hyperlink" Target="https://share.hdrinc.com/sites/CoW_FRLP/_layouts/DocIdRedir.aspx?ID=COWFRLPHDR-5-680" TargetMode="External"/><Relationship Id="rId1716" Type="http://schemas.openxmlformats.org/officeDocument/2006/relationships/hyperlink" Target="https://share.hdrinc.com/sites/CoW_FRLP/_layouts/DocIdRedir.aspx?ID=COWFRLPHDR-5-175" TargetMode="External"/><Relationship Id="rId1923" Type="http://schemas.openxmlformats.org/officeDocument/2006/relationships/hyperlink" Target="https://share.hdrinc.com/sites/CoW_FRLP/_layouts/DocIdRedir.aspx?ID=COWFRLPHDR-5-979" TargetMode="External"/><Relationship Id="rId297" Type="http://schemas.openxmlformats.org/officeDocument/2006/relationships/hyperlink" Target="https://share.hdrinc.com/sites/CoW_FRLP/ACQUISITION/COW-FRMP_TR-219%20TITLE%20Commitment.pdf" TargetMode="External"/><Relationship Id="rId518" Type="http://schemas.openxmlformats.org/officeDocument/2006/relationships/hyperlink" Target="https://share.hdrinc.com/sites/CoW_FRLP/ACQUISITION/COW-FRMP_TR-310%20SURVEY%20Right-of-Entry.pdf" TargetMode="External"/><Relationship Id="rId725" Type="http://schemas.openxmlformats.org/officeDocument/2006/relationships/hyperlink" Target="https://share.hdrinc.com/sites/CoW_FRLP/ACQUISITION/COW-FRMP_TR-T067%20ROE%20Right-of-Entry%20Package.pdf" TargetMode="External"/><Relationship Id="rId932" Type="http://schemas.openxmlformats.org/officeDocument/2006/relationships/hyperlink" Target="https://share.hdrinc.com/sites/CoW_FRLP/ACQUISITION/COW-FRMP_TR-T237%20CONTACT%20Negotiator%20Report.docx" TargetMode="External"/><Relationship Id="rId1148" Type="http://schemas.openxmlformats.org/officeDocument/2006/relationships/hyperlink" Target="https://share.hdrinc.com/sites/CoW_FRLP/_layouts/DocIdRedir.aspx?ID=COWFRLPHDR-5-1369" TargetMode="External"/><Relationship Id="rId1355" Type="http://schemas.openxmlformats.org/officeDocument/2006/relationships/hyperlink" Target="https://share.hdrinc.com/sites/CoW_FRLP/_layouts/DocIdRedir.aspx?ID=COWFRLPHDR-5-366" TargetMode="External"/><Relationship Id="rId1562" Type="http://schemas.openxmlformats.org/officeDocument/2006/relationships/hyperlink" Target="https://share.hdrinc.com/sites/CoW_FRLP/_layouts/DocIdRedir.aspx?ID=COWFRLPHDR-5-472" TargetMode="External"/><Relationship Id="rId157" Type="http://schemas.openxmlformats.org/officeDocument/2006/relationships/hyperlink" Target="https://share.hdrinc.com/sites/CoW_FRLP/ACQUISITION/COW-FRMP_TR-210%20APPRAISAL%20USACOE%20Authorization%20to%20Proceed%20with%20Offer.pdf" TargetMode="External"/><Relationship Id="rId364" Type="http://schemas.openxmlformats.org/officeDocument/2006/relationships/hyperlink" Target="https://share.hdrinc.com/sites/CoW_FRLP/ACQUISITION/ContactRecords/COW-FRMP_TR-231%20CONTACT%20Negotiator%20Report.docx" TargetMode="External"/><Relationship Id="rId1008" Type="http://schemas.openxmlformats.org/officeDocument/2006/relationships/hyperlink" Target="https://share.hdrinc.com/sites/CoW_FRLP/ACQUISITION/COW-FRMP_TR-T278%20ROE%20Right-of-Entry%20Package.pdf" TargetMode="External"/><Relationship Id="rId1215" Type="http://schemas.openxmlformats.org/officeDocument/2006/relationships/hyperlink" Target="https://share.hdrinc.com/sites/CoW_FRLP/_layouts/DocIdRedir.aspx?ID=COWFRLPHDR-5-820" TargetMode="External"/><Relationship Id="rId1422" Type="http://schemas.openxmlformats.org/officeDocument/2006/relationships/hyperlink" Target="https://share.hdrinc.com/sites/CoW_FRLP/_layouts/DocIdRedir.aspx?ID=COWFRLPHDR-5-404" TargetMode="External"/><Relationship Id="rId1867" Type="http://schemas.openxmlformats.org/officeDocument/2006/relationships/hyperlink" Target="https://share.hdrinc.com/sites/CoW_FRLP/_layouts/DocIdRedir.aspx?ID=COWFRLPHDR-5-945" TargetMode="External"/><Relationship Id="rId61" Type="http://schemas.openxmlformats.org/officeDocument/2006/relationships/hyperlink" Target="https://share.hdrinc.com/sites/CoW_FRLP/ACQUISITION/COW-FRMP_TR-201%20TITLE%20Commitment%20Backup%20Docs.pdf" TargetMode="External"/><Relationship Id="rId571" Type="http://schemas.openxmlformats.org/officeDocument/2006/relationships/hyperlink" Target="https://share.hdrinc.com/sites/CoW_FRLP/ACQUISITION/COW-FRMP_TR-313%20SURVEY%20Description-Plat_USACOE.pdf" TargetMode="External"/><Relationship Id="rId669" Type="http://schemas.openxmlformats.org/officeDocument/2006/relationships/hyperlink" Target="https://share.hdrinc.com/sites/CoW_FRLP/ACQUISITION/COW-FRMP_TR-321%20TITLE%20Tax%20Card.pdf" TargetMode="External"/><Relationship Id="rId876" Type="http://schemas.openxmlformats.org/officeDocument/2006/relationships/hyperlink" Target="https://share.hdrinc.com/sites/CoW_FRLP/ACQUISITION/COW-FRMP_TR-T205%20ROE%20Right-of-Entry%20Package.pdf" TargetMode="External"/><Relationship Id="rId1299" Type="http://schemas.openxmlformats.org/officeDocument/2006/relationships/hyperlink" Target="https://share.hdrinc.com/sites/CoW_FRLP/_layouts/DocIdRedir.aspx?ID=COWFRLPHDR-5-1234" TargetMode="External"/><Relationship Id="rId1727" Type="http://schemas.openxmlformats.org/officeDocument/2006/relationships/hyperlink" Target="https://share.hdrinc.com/sites/CoW_FRLP/_layouts/DocIdRedir.aspx?ID=COWFRLPHDR-5-240" TargetMode="External"/><Relationship Id="rId1934" Type="http://schemas.openxmlformats.org/officeDocument/2006/relationships/hyperlink" Target="https://share.hdrinc.com/sites/CoW_FRLP/_layouts/DocIdRedir.aspx?ID=COWFRLPHDR-5-1124" TargetMode="External"/><Relationship Id="rId19" Type="http://schemas.openxmlformats.org/officeDocument/2006/relationships/hyperlink" Target="https://share.hdrinc.com/sites/CoW_FRLP/ACQUISITION/COW-FRMP_TR-100%20CONTACT%20Initial%20Interview%20-%20Residential.pdf" TargetMode="External"/><Relationship Id="rId224" Type="http://schemas.openxmlformats.org/officeDocument/2006/relationships/hyperlink" Target="https://share.hdrinc.com/sites/CoW_FRLP/ACQUISITION/COW-FRMP_TR-214%20TITLE%20Curative%20Plan.docx" TargetMode="External"/><Relationship Id="rId431" Type="http://schemas.openxmlformats.org/officeDocument/2006/relationships/hyperlink" Target="https://share.hdrinc.com/sites/CoW_FRLP/ACQUISITION/COW-FRMP_TR-304%20CONTACT%20Letter%20of%20Intent-HDR%20Manlongat.pdf" TargetMode="External"/><Relationship Id="rId529" Type="http://schemas.openxmlformats.org/officeDocument/2006/relationships/hyperlink" Target="https://share.hdrinc.com/sites/CoW_FRLP/ACQUISITION/COW-FRMP_TR-311%20CONTACT%20Letter%20of%20Intent-HDR%20Cruz.pdf" TargetMode="External"/><Relationship Id="rId736" Type="http://schemas.openxmlformats.org/officeDocument/2006/relationships/hyperlink" Target="https://share.hdrinc.com/sites/CoW_FRLP/ACQUISITION/COW-FRMP_TR-T069%20TITLE%20Tax%20Card.pdf" TargetMode="External"/><Relationship Id="rId1061" Type="http://schemas.openxmlformats.org/officeDocument/2006/relationships/hyperlink" Target="https://share.hdrinc.com/sites/CoW_FRLP/_layouts/DocIdRedir.aspx?ID=COWFRLPHDR-5-145" TargetMode="External"/><Relationship Id="rId1159" Type="http://schemas.openxmlformats.org/officeDocument/2006/relationships/hyperlink" Target="https://share.hdrinc.com/sites/CoW_FRLP/_layouts/DocIdRedir.aspx?ID=COWFRLPHDR-5-755" TargetMode="External"/><Relationship Id="rId1366" Type="http://schemas.openxmlformats.org/officeDocument/2006/relationships/hyperlink" Target="https://share.hdrinc.com/sites/CoW_FRLP/_layouts/DocIdRedir.aspx?ID=COWFRLPHDR-5-858" TargetMode="External"/><Relationship Id="rId168" Type="http://schemas.openxmlformats.org/officeDocument/2006/relationships/hyperlink" Target="https://share.hdrinc.com/sites/CoW_FRLP/ACQUISITION/COW-FRMP_TR-210%20TITLE%20Commitment%20Backup%20Docs.pdf" TargetMode="External"/><Relationship Id="rId943" Type="http://schemas.openxmlformats.org/officeDocument/2006/relationships/hyperlink" Target="https://share.hdrinc.com/sites/CoW_FRLP/ACQUISITION/COW-FRMP_TR-T241%20CONTACT%20Negotiator%20Report.docx" TargetMode="External"/><Relationship Id="rId1019" Type="http://schemas.openxmlformats.org/officeDocument/2006/relationships/hyperlink" Target="https://share.hdrinc.com/sites/CoW_FRLP/_layouts/DocIdRedir.aspx?ID=COWFRLPHDR-5-127" TargetMode="External"/><Relationship Id="rId1573" Type="http://schemas.openxmlformats.org/officeDocument/2006/relationships/hyperlink" Target="https://share.hdrinc.com/sites/CoW_FRLP/_layouts/DocIdRedir.aspx?ID=COWFRLPHDR-5-1219" TargetMode="External"/><Relationship Id="rId1780" Type="http://schemas.openxmlformats.org/officeDocument/2006/relationships/hyperlink" Target="https://share.hdrinc.com/sites/CoW_FRLP/_layouts/DocIdRedir.aspx?ID=COWFRLPHDR-5-904" TargetMode="External"/><Relationship Id="rId1878" Type="http://schemas.openxmlformats.org/officeDocument/2006/relationships/hyperlink" Target="https://share.hdrinc.com/sites/CoW_FRLP/_layouts/DocIdRedir.aspx?ID=COWFRLPHDR-5-948" TargetMode="External"/><Relationship Id="rId72" Type="http://schemas.openxmlformats.org/officeDocument/2006/relationships/hyperlink" Target="https://share.hdrinc.com/sites/CoW_FRLP/ACQUISITION/COW-FRMP_TR-202%20CONTACT%20Letter%20of%20Intent-HDR.pdf" TargetMode="External"/><Relationship Id="rId375" Type="http://schemas.openxmlformats.org/officeDocument/2006/relationships/hyperlink" Target="https://share.hdrinc.com/sites/CoW_FRLP/ACQUISITION/ContactRecords/COW-FRMP_TR-300%20CONTACT%20Negotiator%20Report.docx" TargetMode="External"/><Relationship Id="rId582" Type="http://schemas.openxmlformats.org/officeDocument/2006/relationships/hyperlink" Target="https://share.hdrinc.com/sites/CoW_FRLP/ACQUISITION/COW-FRMP_TR-314%20NEGOTIATION%20Landowner%20Bill%20of%20Rights%20Letter.pdf" TargetMode="External"/><Relationship Id="rId803" Type="http://schemas.openxmlformats.org/officeDocument/2006/relationships/hyperlink" Target="https://share.hdrinc.com/sites/CoW_FRLP/ACQUISITION/COW-FRMP_TR-T182%20CONTACT%20Negotiator%20Report.docx" TargetMode="External"/><Relationship Id="rId1226" Type="http://schemas.openxmlformats.org/officeDocument/2006/relationships/hyperlink" Target="https://share.hdrinc.com/sites/CoW_FRLP/_layouts/DocIdRedir.aspx?ID=COWFRLPHDR-5-1165" TargetMode="External"/><Relationship Id="rId1433" Type="http://schemas.openxmlformats.org/officeDocument/2006/relationships/hyperlink" Target="https://share.hdrinc.com/sites/CoW_FRLP/_layouts/DocIdRedir.aspx?ID=COWFRLPHDR-5-40" TargetMode="External"/><Relationship Id="rId1640" Type="http://schemas.openxmlformats.org/officeDocument/2006/relationships/hyperlink" Target="https://share.hdrinc.com/sites/CoW_FRLP/_layouts/DocIdRedir.aspx?ID=COWFRLPHDR-5-777" TargetMode="External"/><Relationship Id="rId1738" Type="http://schemas.openxmlformats.org/officeDocument/2006/relationships/hyperlink" Target="https://share.hdrinc.com/sites/CoW_FRLP/_layouts/DocIdRedir.aspx?ID=COWFRLPHDR-5-1088" TargetMode="External"/><Relationship Id="rId3" Type="http://schemas.openxmlformats.org/officeDocument/2006/relationships/hyperlink" Target="https://share.hdrinc.com/sites/CoW_FRLP/ACQUISITION/COW-FRMP_R027676%20SURVEY%20Right-of-Entry.pdf" TargetMode="External"/><Relationship Id="rId235" Type="http://schemas.openxmlformats.org/officeDocument/2006/relationships/hyperlink" Target="https://share.hdrinc.com/sites/CoW_FRLP/ACQUISITION/COW-FRMP_TR-215%20CONTACT%20Letter%20of%20Intent-HDR%20Rivera.pdf" TargetMode="External"/><Relationship Id="rId442" Type="http://schemas.openxmlformats.org/officeDocument/2006/relationships/hyperlink" Target="https://share.hdrinc.com/sites/CoW_FRLP/ACQUISITION/COW-FRMP_TR-304%20TITLE%20Tax%20Card.pdf" TargetMode="External"/><Relationship Id="rId887" Type="http://schemas.openxmlformats.org/officeDocument/2006/relationships/hyperlink" Target="https://share.hdrinc.com/sites/CoW_FRLP/ACQUISITION/COW-FRMP_TR-T210%20ENVIRONMENTAL%20Right-of-Entry%20Package.pdf" TargetMode="External"/><Relationship Id="rId1072" Type="http://schemas.openxmlformats.org/officeDocument/2006/relationships/hyperlink" Target="https://share.hdrinc.com/sites/CoW_FRLP/_layouts/DocIdRedir.aspx?ID=COWFRLPHDR-5-161" TargetMode="External"/><Relationship Id="rId1500" Type="http://schemas.openxmlformats.org/officeDocument/2006/relationships/hyperlink" Target="https://share.hdrinc.com/sites/CoW_FRLP/_layouts/DocIdRedir.aspx?ID=COWFRLPHDR-5-650" TargetMode="External"/><Relationship Id="rId1945" Type="http://schemas.openxmlformats.org/officeDocument/2006/relationships/hyperlink" Target="https://share.hdrinc.com/sites/CoW_FRLP/_layouts/DocIdRedir.aspx?ID=COWFRLPHDR-5-1149" TargetMode="External"/><Relationship Id="rId302" Type="http://schemas.openxmlformats.org/officeDocument/2006/relationships/hyperlink" Target="https://share.hdrinc.com/sites/CoW_FRLP/ACQUISITION/COW-FRMP_TR-220%20APPRAISAL%20Just%20Compensation%20Memo.pdf" TargetMode="External"/><Relationship Id="rId747" Type="http://schemas.openxmlformats.org/officeDocument/2006/relationships/hyperlink" Target="https://share.hdrinc.com/sites/CoW_FRLP/ACQUISITION/COW-FRMP_TR-T072%20ENVIRONMENTAL%20Right-of-Entry%20Package.pdf" TargetMode="External"/><Relationship Id="rId954" Type="http://schemas.openxmlformats.org/officeDocument/2006/relationships/hyperlink" Target="https://share.hdrinc.com/sites/CoW_FRLP/ACQUISITION/COW-FRMP_TR-T243%20CONTACT%20Negotiator%20Report.docx" TargetMode="External"/><Relationship Id="rId1377" Type="http://schemas.openxmlformats.org/officeDocument/2006/relationships/hyperlink" Target="https://share.hdrinc.com/sites/CoW_FRLP/_layouts/DocIdRedir.aspx?ID=COWFRLPHDR-5-826" TargetMode="External"/><Relationship Id="rId1584" Type="http://schemas.openxmlformats.org/officeDocument/2006/relationships/hyperlink" Target="https://share.hdrinc.com/sites/CoW_FRLP/_layouts/DocIdRedir.aspx?ID=COWFRLPHDR-5-849" TargetMode="External"/><Relationship Id="rId1791" Type="http://schemas.openxmlformats.org/officeDocument/2006/relationships/hyperlink" Target="https://share.hdrinc.com/sites/CoW_FRLP/_layouts/DocIdRedir.aspx?ID=COWFRLPHDR-5-911" TargetMode="External"/><Relationship Id="rId1805" Type="http://schemas.openxmlformats.org/officeDocument/2006/relationships/hyperlink" Target="https://share.hdrinc.com/sites/CoW_FRLP/_layouts/DocIdRedir.aspx?ID=COWFRLPHDR-5-1102" TargetMode="External"/><Relationship Id="rId83" Type="http://schemas.openxmlformats.org/officeDocument/2006/relationships/hyperlink" Target="https://share.hdrinc.com/sites/CoW_FRLP/ACQUISITION/COW-FRMP_TR-202%20TITLE%20SOS%20Business%20Organization%20Inquiry.pdf" TargetMode="External"/><Relationship Id="rId179" Type="http://schemas.openxmlformats.org/officeDocument/2006/relationships/hyperlink" Target="https://share.hdrinc.com/sites/CoW_FRLP/ACQUISITION/COW-FRMP_TR-211%20TITLE%20Commitment.pdf" TargetMode="External"/><Relationship Id="rId386" Type="http://schemas.openxmlformats.org/officeDocument/2006/relationships/hyperlink" Target="https://share.hdrinc.com/sites/CoW_FRLP/ACQUISITION/COW-FRMP_TR-301%20APPRAISAL%20USACOE%20Authorization%20to%20Proceed%20with%20Offer.pdf" TargetMode="External"/><Relationship Id="rId593" Type="http://schemas.openxmlformats.org/officeDocument/2006/relationships/hyperlink" Target="https://share.hdrinc.com/sites/CoW_FRLP/ACQUISITION/COW-FRMP_TR-315%20APPRAISAL%20Just%20Compensation%20Memo.pdf" TargetMode="External"/><Relationship Id="rId607" Type="http://schemas.openxmlformats.org/officeDocument/2006/relationships/hyperlink" Target="https://share.hdrinc.com/sites/CoW_FRLP/ACQUISITION/COW-FRMP_TR-315%20TITLE%20Commitment%20Backup%20Docs.pdf" TargetMode="External"/><Relationship Id="rId814" Type="http://schemas.openxmlformats.org/officeDocument/2006/relationships/hyperlink" Target="https://share.hdrinc.com/sites/CoW_FRLP/ACQUISITION/COW-FRMP_TR-T184%20ROE%20Right-of-Entry%20Package.pdf" TargetMode="External"/><Relationship Id="rId1237" Type="http://schemas.openxmlformats.org/officeDocument/2006/relationships/hyperlink" Target="https://share.hdrinc.com/sites/CoW_FRLP/_layouts/DocIdRedir.aspx?ID=COWFRLPHDR-5-391" TargetMode="External"/><Relationship Id="rId1444" Type="http://schemas.openxmlformats.org/officeDocument/2006/relationships/hyperlink" Target="https://share.hdrinc.com/sites/CoW_FRLP/_layouts/DocIdRedir.aspx?ID=COWFRLPHDR-5-543" TargetMode="External"/><Relationship Id="rId1651" Type="http://schemas.openxmlformats.org/officeDocument/2006/relationships/hyperlink" Target="https://share.hdrinc.com/sites/CoW_FRLP/_layouts/DocIdRedir.aspx?ID=COWFRLPHDR-5-1380" TargetMode="External"/><Relationship Id="rId1889" Type="http://schemas.openxmlformats.org/officeDocument/2006/relationships/hyperlink" Target="https://share.hdrinc.com/sites/CoW_FRLP/_layouts/DocIdRedir.aspx?ID=COWFRLPHDR-5-1134" TargetMode="External"/><Relationship Id="rId246" Type="http://schemas.openxmlformats.org/officeDocument/2006/relationships/hyperlink" Target="https://share.hdrinc.com/sites/CoW_FRLP/ACQUISITION/COW-FRMP_TR-215%20TITLE%20Curative%20Plan.docx" TargetMode="External"/><Relationship Id="rId453" Type="http://schemas.openxmlformats.org/officeDocument/2006/relationships/hyperlink" Target="https://share.hdrinc.com/sites/CoW_FRLP/ACQUISITION/COW-FRMP_TR-305%20SURVEY%20Right-of-Entry.pdf" TargetMode="External"/><Relationship Id="rId660" Type="http://schemas.openxmlformats.org/officeDocument/2006/relationships/hyperlink" Target="https://share.hdrinc.com/sites/CoW_FRLP/ACQUISITION/COW-FRMP_TR-320%20TITLE%20Commitment%20Backup%20Docs.pdf" TargetMode="External"/><Relationship Id="rId898" Type="http://schemas.openxmlformats.org/officeDocument/2006/relationships/hyperlink" Target="https://share.hdrinc.com/sites/CoW_FRLP/ACQUISITION/COW-FRMP_TR-T212%20ROE%20Right-of-Entry%20Package.pdf" TargetMode="External"/><Relationship Id="rId1083" Type="http://schemas.openxmlformats.org/officeDocument/2006/relationships/hyperlink" Target="https://share.hdrinc.com/sites/CoW_FRLP/_layouts/DocIdRedir.aspx?ID=COWFRLPHDR-5-839" TargetMode="External"/><Relationship Id="rId1290" Type="http://schemas.openxmlformats.org/officeDocument/2006/relationships/hyperlink" Target="https://share.hdrinc.com/sites/CoW_FRLP/_layouts/DocIdRedir.aspx?ID=COWFRLPHDR-5-506" TargetMode="External"/><Relationship Id="rId1304" Type="http://schemas.openxmlformats.org/officeDocument/2006/relationships/hyperlink" Target="https://share.hdrinc.com/sites/CoW_FRLP/_layouts/DocIdRedir.aspx?ID=COWFRLPHDR-5-365" TargetMode="External"/><Relationship Id="rId1511" Type="http://schemas.openxmlformats.org/officeDocument/2006/relationships/hyperlink" Target="https://share.hdrinc.com/sites/CoW_FRLP/_layouts/DocIdRedir.aspx?ID=COWFRLPHDR-5-1325" TargetMode="External"/><Relationship Id="rId1749" Type="http://schemas.openxmlformats.org/officeDocument/2006/relationships/hyperlink" Target="https://share.hdrinc.com/sites/CoW_FRLP/_layouts/DocIdRedir.aspx?ID=COWFRLPHDR-5-1050" TargetMode="External"/><Relationship Id="rId1956" Type="http://schemas.openxmlformats.org/officeDocument/2006/relationships/hyperlink" Target="https://share.hdrinc.com/sites/CoW_FRLP/_layouts/DocIdRedir.aspx?ID=COWFRLPHDR-5-1145" TargetMode="External"/><Relationship Id="rId106" Type="http://schemas.openxmlformats.org/officeDocument/2006/relationships/hyperlink" Target="https://share.hdrinc.com/sites/CoW_FRLP/ACQUISITION/COW-FRMP_TR-205%20SURVEY%20Description-Plat_CITY.pdf" TargetMode="External"/><Relationship Id="rId313" Type="http://schemas.openxmlformats.org/officeDocument/2006/relationships/hyperlink" Target="https://share.hdrinc.com/sites/CoW_FRLP/ACQUISITION/COW-FRMP_TR-220%20TITLE%20Tax%20Card.pdf" TargetMode="External"/><Relationship Id="rId758" Type="http://schemas.openxmlformats.org/officeDocument/2006/relationships/hyperlink" Target="https://share.hdrinc.com/sites/CoW_FRLP/ACQUISITION/COW-FRMP_TR-T157%20TITLE%20Tax%20Card.pdf" TargetMode="External"/><Relationship Id="rId965" Type="http://schemas.openxmlformats.org/officeDocument/2006/relationships/hyperlink" Target="https://share.hdrinc.com/sites/CoW_FRLP/ACQUISITION/COW-FRMP_TR-T256%20ENVIRONMENTAL%20Right-of-Entry%20Package.pdf" TargetMode="External"/><Relationship Id="rId1150" Type="http://schemas.openxmlformats.org/officeDocument/2006/relationships/hyperlink" Target="https://share.hdrinc.com/sites/CoW_FRLP/_layouts/DocIdRedir.aspx?ID=COWFRLPHDR-5-1371" TargetMode="External"/><Relationship Id="rId1388" Type="http://schemas.openxmlformats.org/officeDocument/2006/relationships/hyperlink" Target="https://share.hdrinc.com/sites/CoW_FRLP/_layouts/DocIdRedir.aspx?ID=COWFRLPHDR-5-262" TargetMode="External"/><Relationship Id="rId1595" Type="http://schemas.openxmlformats.org/officeDocument/2006/relationships/hyperlink" Target="https://share.hdrinc.com/sites/CoW_FRLP/_layouts/DocIdRedir.aspx?ID=COWFRLPHDR-5-453" TargetMode="External"/><Relationship Id="rId1609" Type="http://schemas.openxmlformats.org/officeDocument/2006/relationships/hyperlink" Target="https://share.hdrinc.com/sites/CoW_FRLP/_layouts/DocIdRedir.aspx?ID=COWFRLPHDR-5-97" TargetMode="External"/><Relationship Id="rId1816" Type="http://schemas.openxmlformats.org/officeDocument/2006/relationships/hyperlink" Target="https://share.hdrinc.com/sites/CoW_FRLP/_layouts/DocIdRedir.aspx?ID=COWFRLPHDR-5-1061" TargetMode="External"/><Relationship Id="rId10" Type="http://schemas.openxmlformats.org/officeDocument/2006/relationships/hyperlink" Target="https://share.hdrinc.com/sites/CoW_FRLP/ACQUISITION/COW-FRMP_R027676%20SURVEY%20Right-of-Entry%20CMRR.pdf" TargetMode="External"/><Relationship Id="rId94" Type="http://schemas.openxmlformats.org/officeDocument/2006/relationships/hyperlink" Target="https://share.hdrinc.com/sites/CoW_FRLP/ACQUISITION/COW-FRMP_TR-205%20APPRAISAL%20Final%20Appraisal.pdf" TargetMode="External"/><Relationship Id="rId397" Type="http://schemas.openxmlformats.org/officeDocument/2006/relationships/hyperlink" Target="https://share.hdrinc.com/sites/CoW_FRLP/ACQUISITION/COW-FRMP_TR-302%20APPRAISAL%20Final%20Appraisal.pdf" TargetMode="External"/><Relationship Id="rId520" Type="http://schemas.openxmlformats.org/officeDocument/2006/relationships/hyperlink" Target="https://share.hdrinc.com/sites/CoW_FRLP/ACQUISITION/COW-FRMP_TR-310%20TITLE%20Commitment%20Backup%20Docs.pdf" TargetMode="External"/><Relationship Id="rId618" Type="http://schemas.openxmlformats.org/officeDocument/2006/relationships/hyperlink" Target="https://share.hdrinc.com/sites/CoW_FRLP/ACQUISITION/COW-FRMP_TR-316%20SURVEY%20Description-Plat_USACOE.pdf" TargetMode="External"/><Relationship Id="rId825" Type="http://schemas.openxmlformats.org/officeDocument/2006/relationships/hyperlink" Target="https://share.hdrinc.com/sites/CoW_FRLP/ACQUISITION/COW-FRMP_TR-T187%20ENVIRONMENTAL%20Right-of-Entry%20Executed.pdf" TargetMode="External"/><Relationship Id="rId1248" Type="http://schemas.openxmlformats.org/officeDocument/2006/relationships/hyperlink" Target="https://share.hdrinc.com/sites/CoW_FRLP/_layouts/DocIdRedir.aspx?ID=COWFRLPHDR-5-499" TargetMode="External"/><Relationship Id="rId1455" Type="http://schemas.openxmlformats.org/officeDocument/2006/relationships/hyperlink" Target="https://share.hdrinc.com/sites/CoW_FRLP/_layouts/DocIdRedir.aspx?ID=COWFRLPHDR-5-769" TargetMode="External"/><Relationship Id="rId1662" Type="http://schemas.openxmlformats.org/officeDocument/2006/relationships/hyperlink" Target="https://share.hdrinc.com/sites/CoW_FRLP/_layouts/DocIdRedir.aspx?ID=COWFRLPHDR-5-410" TargetMode="External"/><Relationship Id="rId257" Type="http://schemas.openxmlformats.org/officeDocument/2006/relationships/hyperlink" Target="https://share.hdrinc.com/sites/CoW_FRLP/ACQUISITION/COW-FRMP_TR-216%20TITLE%20Commitment.pdf" TargetMode="External"/><Relationship Id="rId464" Type="http://schemas.openxmlformats.org/officeDocument/2006/relationships/hyperlink" Target="https://share.hdrinc.com/sites/CoW_FRLP/ACQUISITION/COW-FRMP_TR-306%20SURVEY%20Description-Plat_USACOE.pdf" TargetMode="External"/><Relationship Id="rId1010" Type="http://schemas.openxmlformats.org/officeDocument/2006/relationships/hyperlink" Target="https://share.hdrinc.com/sites/CoW_FRLP/ACQUISITION/COW-FRMP_TR-T280%20ROE%20Right-of-Entry%20Executed.pdf" TargetMode="External"/><Relationship Id="rId1094" Type="http://schemas.openxmlformats.org/officeDocument/2006/relationships/hyperlink" Target="https://share.hdrinc.com/sites/CoW_FRLP/_layouts/DocIdRedir.aspx?ID=COWFRLPHDR-5-34" TargetMode="External"/><Relationship Id="rId1108" Type="http://schemas.openxmlformats.org/officeDocument/2006/relationships/hyperlink" Target="https://share.hdrinc.com/sites/CoW_FRLP/_layouts/DocIdRedir.aspx?ID=COWFRLPHDR-5-1269" TargetMode="External"/><Relationship Id="rId1315" Type="http://schemas.openxmlformats.org/officeDocument/2006/relationships/hyperlink" Target="https://share.hdrinc.com/sites/CoW_FRLP/_layouts/DocIdRedir.aspx?ID=COWFRLPHDR-5-1297" TargetMode="External"/><Relationship Id="rId1967" Type="http://schemas.openxmlformats.org/officeDocument/2006/relationships/hyperlink" Target="https://share.hdrinc.com/sites/CoW_FRLP/_layouts/DocIdRedir.aspx?ID=COWFRLPHDR-5-1152" TargetMode="External"/><Relationship Id="rId117" Type="http://schemas.openxmlformats.org/officeDocument/2006/relationships/hyperlink" Target="https://share.hdrinc.com/sites/CoW_FRLP/ACQUISITION/COW-FRMP_TR-207%20APPRAISAL%20Just%20Compensation%20Memo.pdf" TargetMode="External"/><Relationship Id="rId671" Type="http://schemas.openxmlformats.org/officeDocument/2006/relationships/hyperlink" Target="https://share.hdrinc.com/sites/CoW_FRLP/ACQUISITION/COW-FRMP_TR-322%20NEGOTIATION%20Landowner%20Bill%20of%20Rights%20Letter.pdf" TargetMode="External"/><Relationship Id="rId769" Type="http://schemas.openxmlformats.org/officeDocument/2006/relationships/hyperlink" Target="https://share.hdrinc.com/sites/CoW_FRLP/ACQUISITION/COW-FRMP_TR-T159%20TITLE%20Tax%20Card.pdf" TargetMode="External"/><Relationship Id="rId976" Type="http://schemas.openxmlformats.org/officeDocument/2006/relationships/hyperlink" Target="https://share.hdrinc.com/sites/CoW_FRLP/ACQUISITION/COW-FRMP_TR-T261%20ENVIRONMENTAL%20Right-of-Entry%20Executed.pdf" TargetMode="External"/><Relationship Id="rId1399" Type="http://schemas.openxmlformats.org/officeDocument/2006/relationships/hyperlink" Target="https://share.hdrinc.com/sites/CoW_FRLP/_layouts/DocIdRedir.aspx?ID=COWFRLPHDR-5-1344" TargetMode="External"/><Relationship Id="rId324" Type="http://schemas.openxmlformats.org/officeDocument/2006/relationships/hyperlink" Target="https://share.hdrinc.com/sites/CoW_FRLP/ACQUISITION/COW-FRMP_TR-222%20TITLE%20Commitment%20Backup%20Docs.pdf" TargetMode="External"/><Relationship Id="rId531" Type="http://schemas.openxmlformats.org/officeDocument/2006/relationships/hyperlink" Target="https://share.hdrinc.com/sites/CoW_FRLP/ACQUISITION/COW-FRMP_TR-311%20NEGOTIATION%20Initial%20Offer%20Package.pdf" TargetMode="External"/><Relationship Id="rId629" Type="http://schemas.openxmlformats.org/officeDocument/2006/relationships/hyperlink" Target="https://share.hdrinc.com/sites/CoW_FRLP/ACQUISITION/COW-FRMP_TR-317%20NEGOTIATION%20Landowner%20Bill%20of%20Rights%20Letter.pdf" TargetMode="External"/><Relationship Id="rId1161" Type="http://schemas.openxmlformats.org/officeDocument/2006/relationships/hyperlink" Target="https://share.hdrinc.com/sites/CoW_FRLP/_layouts/DocIdRedir.aspx?ID=COWFRLPHDR-5-202" TargetMode="External"/><Relationship Id="rId1259" Type="http://schemas.openxmlformats.org/officeDocument/2006/relationships/hyperlink" Target="https://share.hdrinc.com/sites/CoW_FRLP/_layouts/DocIdRedir.aspx?ID=COWFRLPHDR-5-392" TargetMode="External"/><Relationship Id="rId1466" Type="http://schemas.openxmlformats.org/officeDocument/2006/relationships/hyperlink" Target="https://share.hdrinc.com/sites/CoW_FRLP/_layouts/DocIdRedir.aspx?ID=COWFRLPHDR-5-771" TargetMode="External"/><Relationship Id="rId2005" Type="http://schemas.openxmlformats.org/officeDocument/2006/relationships/hyperlink" Target="https://share.hdrinc.com/sites/CoW_FRLP/_layouts/DocIdRedir.aspx?ID=COWFRLPHDR-5-1118" TargetMode="External"/><Relationship Id="rId836" Type="http://schemas.openxmlformats.org/officeDocument/2006/relationships/hyperlink" Target="https://share.hdrinc.com/sites/CoW_FRLP/ACQUISITION/COW-FRMP_TR-T189%20ROE%20Right-of-Entry%20Executed.pdf" TargetMode="External"/><Relationship Id="rId1021" Type="http://schemas.openxmlformats.org/officeDocument/2006/relationships/hyperlink" Target="https://share.hdrinc.com/sites/CoW_FRLP/_layouts/DocIdRedir.aspx?ID=COWFRLPHDR-5-136" TargetMode="External"/><Relationship Id="rId1119" Type="http://schemas.openxmlformats.org/officeDocument/2006/relationships/hyperlink" Target="https://share.hdrinc.com/sites/CoW_FRLP/_layouts/DocIdRedir.aspx?ID=COWFRLPHDR-5-745" TargetMode="External"/><Relationship Id="rId1673" Type="http://schemas.openxmlformats.org/officeDocument/2006/relationships/hyperlink" Target="https://share.hdrinc.com/sites/CoW_FRLP/_layouts/DocIdRedir.aspx?ID=COWFRLPHDR-5-237" TargetMode="External"/><Relationship Id="rId1880" Type="http://schemas.openxmlformats.org/officeDocument/2006/relationships/hyperlink" Target="https://share.hdrinc.com/sites/CoW_FRLP/_layouts/DocIdRedir.aspx?ID=COWFRLPHDR-5-947" TargetMode="External"/><Relationship Id="rId1978" Type="http://schemas.openxmlformats.org/officeDocument/2006/relationships/hyperlink" Target="https://share.hdrinc.com/sites/CoW_FRLP/_layouts/DocIdRedir.aspx?ID=COWFRLPHDR-5-129" TargetMode="External"/><Relationship Id="rId903" Type="http://schemas.openxmlformats.org/officeDocument/2006/relationships/hyperlink" Target="https://share.hdrinc.com/sites/CoW_FRLP/ACQUISITION/COW-FRMP_TR-T213%20ROE%20Right-of-Entry%20Executed.pdf" TargetMode="External"/><Relationship Id="rId1326" Type="http://schemas.openxmlformats.org/officeDocument/2006/relationships/hyperlink" Target="https://share.hdrinc.com/sites/CoW_FRLP/_layouts/DocIdRedir.aspx?ID=COWFRLPHDR-5-765" TargetMode="External"/><Relationship Id="rId1533" Type="http://schemas.openxmlformats.org/officeDocument/2006/relationships/hyperlink" Target="https://share.hdrinc.com/sites/CoW_FRLP/_layouts/DocIdRedir.aspx?ID=COWFRLPHDR-5-180" TargetMode="External"/><Relationship Id="rId1740" Type="http://schemas.openxmlformats.org/officeDocument/2006/relationships/hyperlink" Target="https://share.hdrinc.com/sites/CoW_FRLP/_layouts/DocIdRedir.aspx?ID=COABUYOUT65-9-40" TargetMode="External"/><Relationship Id="rId32" Type="http://schemas.openxmlformats.org/officeDocument/2006/relationships/hyperlink" Target="https://share.hdrinc.com/sites/CoW_FRLP/ACQUISITION/COW-FRMP_TR-102%20SURVEY%20Description-Plat_USACOE.pdf" TargetMode="External"/><Relationship Id="rId1600" Type="http://schemas.openxmlformats.org/officeDocument/2006/relationships/hyperlink" Target="https://share.hdrinc.com/sites/CoW_FRLP/_layouts/DocIdRedir.aspx?ID=COWFRLPHDR-5-200" TargetMode="External"/><Relationship Id="rId1838" Type="http://schemas.openxmlformats.org/officeDocument/2006/relationships/hyperlink" Target="https://share.hdrinc.com/sites/CoW_FRLP/_layouts/DocIdRedir.aspx?ID=COWFRLPHDR-5-939" TargetMode="External"/><Relationship Id="rId181" Type="http://schemas.openxmlformats.org/officeDocument/2006/relationships/hyperlink" Target="https://share.hdrinc.com/sites/CoW_FRLP/ACQUISITION/COW-FRMP_TR-211%20TITLE%20Curative%20Plan.docx" TargetMode="External"/><Relationship Id="rId1905" Type="http://schemas.openxmlformats.org/officeDocument/2006/relationships/hyperlink" Target="https://share.hdrinc.com/sites/CoW_FRLP/_layouts/DocIdRedir.aspx?ID=COWFRLPHDR-5-1137" TargetMode="External"/><Relationship Id="rId279" Type="http://schemas.openxmlformats.org/officeDocument/2006/relationships/hyperlink" Target="https://share.hdrinc.com/sites/CoW_FRLP/ACQUISITION/COW-FRMP_TR-218%20CONTACT%20Pre-Appraisal%20Contact%20with%20Owner.pdf" TargetMode="External"/><Relationship Id="rId486" Type="http://schemas.openxmlformats.org/officeDocument/2006/relationships/hyperlink" Target="https://share.hdrinc.com/sites/CoW_FRLP/ACQUISITION/COW-FRMP_TR-308%20TITLE%20Curative%20Plan.docx" TargetMode="External"/><Relationship Id="rId693" Type="http://schemas.openxmlformats.org/officeDocument/2006/relationships/hyperlink" Target="https://share.hdrinc.com/sites/CoW_FRLP/ACQUISITION/COW-FRMP_TR-421A%20APPRAISAL%20Just%20Compensation%20Memo.pdf" TargetMode="External"/><Relationship Id="rId139" Type="http://schemas.openxmlformats.org/officeDocument/2006/relationships/hyperlink" Target="https://share.hdrinc.com/sites/CoW_FRLP/ACQUISITION/COW-FRMP_TR-208%20CONTACT%20Initial%20Interview%20-%20Residential.pdf" TargetMode="External"/><Relationship Id="rId346" Type="http://schemas.openxmlformats.org/officeDocument/2006/relationships/hyperlink" Target="https://share.hdrinc.com/sites/CoW_FRLP/ACQUISITION/COW-FRMP_TR-224%20TITLE%20Commitment%20Backup%20Docs.pdf" TargetMode="External"/><Relationship Id="rId553" Type="http://schemas.openxmlformats.org/officeDocument/2006/relationships/hyperlink" Target="https://share.hdrinc.com/sites/CoW_FRLP/ACQUISITION/COW-FRMP_TR-312%20TITLE%20Commitment.pdf" TargetMode="External"/><Relationship Id="rId760" Type="http://schemas.openxmlformats.org/officeDocument/2006/relationships/hyperlink" Target="https://share.hdrinc.com/sites/CoW_FRLP/ACQUISITION/T158.docx" TargetMode="External"/><Relationship Id="rId998" Type="http://schemas.openxmlformats.org/officeDocument/2006/relationships/hyperlink" Target="https://share.hdrinc.com/sites/CoW_FRLP/ACQUISITION/COW-FRMP_TR-T273%20ROE%20Right-of-Entry%20Executed.pdf" TargetMode="External"/><Relationship Id="rId1183" Type="http://schemas.openxmlformats.org/officeDocument/2006/relationships/hyperlink" Target="https://share.hdrinc.com/sites/CoW_FRLP/_layouts/DocIdRedir.aspx?ID=COWFRLPHDR-5-590" TargetMode="External"/><Relationship Id="rId1390" Type="http://schemas.openxmlformats.org/officeDocument/2006/relationships/hyperlink" Target="https://share.hdrinc.com/sites/CoW_FRLP/_layouts/DocIdRedir.aspx?ID=COWFRLPHDR-5-786" TargetMode="External"/><Relationship Id="rId2027" Type="http://schemas.openxmlformats.org/officeDocument/2006/relationships/printerSettings" Target="../printerSettings/printerSettings6.bin"/><Relationship Id="rId206" Type="http://schemas.openxmlformats.org/officeDocument/2006/relationships/hyperlink" Target="https://share.hdrinc.com/sites/CoW_FRLP/ACQUISITION/COW-FRMP_TR-213%20TITLE%20Commitment%20Backup%20Docs.pdf" TargetMode="External"/><Relationship Id="rId413" Type="http://schemas.openxmlformats.org/officeDocument/2006/relationships/hyperlink" Target="https://share.hdrinc.com/sites/CoW_FRLP/ACQUISITION/COW-FRMP_TR-303%20APPRAISAL%20USACOE%20Authorization%20to%20Proceed%20with%20Offer.pdf" TargetMode="External"/><Relationship Id="rId858" Type="http://schemas.openxmlformats.org/officeDocument/2006/relationships/hyperlink" Target="https://share.hdrinc.com/sites/CoW_FRLP/ACQUISITION/COW-FRMP_TR-T195%20CONTACT%20Negotiator%20Report.docx" TargetMode="External"/><Relationship Id="rId1043" Type="http://schemas.openxmlformats.org/officeDocument/2006/relationships/hyperlink" Target="https://share.hdrinc.com/sites/CoW_FRLP/_layouts/DocIdRedir.aspx?ID=COWFRLPHDR-5-1240" TargetMode="External"/><Relationship Id="rId1488" Type="http://schemas.openxmlformats.org/officeDocument/2006/relationships/hyperlink" Target="https://share.hdrinc.com/sites/CoW_FRLP/_layouts/DocIdRedir.aspx?ID=COWFRLPHDR-5-1376" TargetMode="External"/><Relationship Id="rId1695" Type="http://schemas.openxmlformats.org/officeDocument/2006/relationships/hyperlink" Target="https://share.hdrinc.com/sites/CoW_FRLP/_layouts/DocIdRedir.aspx?ID=COWFRLPHDR-5-551" TargetMode="External"/><Relationship Id="rId620" Type="http://schemas.openxmlformats.org/officeDocument/2006/relationships/hyperlink" Target="https://share.hdrinc.com/sites/CoW_FRLP/ACQUISITION/COW-FRMP_TR-316%20SURVEY%20Right-of-Entry%20CMRR.pdf" TargetMode="External"/><Relationship Id="rId718" Type="http://schemas.openxmlformats.org/officeDocument/2006/relationships/hyperlink" Target="https://share.hdrinc.com/sites/CoW_FRLP/ACQUISITION/COW-FRMP_TR-T066%20ROE%20Right-of-Entry%20Executed.pdf" TargetMode="External"/><Relationship Id="rId925" Type="http://schemas.openxmlformats.org/officeDocument/2006/relationships/hyperlink" Target="https://share.hdrinc.com/sites/CoW_FRLP/ACQUISITION/COW-FRMP_TR-T234%20ENVIRONMENTAL%20Right-of-Entry%20Package.pdf" TargetMode="External"/><Relationship Id="rId1250" Type="http://schemas.openxmlformats.org/officeDocument/2006/relationships/hyperlink" Target="https://share.hdrinc.com/sites/CoW_FRLP/_layouts/DocIdRedir.aspx?ID=COWFRLPHDR-5-273" TargetMode="External"/><Relationship Id="rId1348" Type="http://schemas.openxmlformats.org/officeDocument/2006/relationships/hyperlink" Target="https://share.hdrinc.com/sites/CoW_FRLP/_layouts/DocIdRedir.aspx?ID=COWFRLPHDR-5-792" TargetMode="External"/><Relationship Id="rId1555" Type="http://schemas.openxmlformats.org/officeDocument/2006/relationships/hyperlink" Target="https://share.hdrinc.com/sites/CoW_FRLP/_layouts/DocIdRedir.aspx?ID=COWFRLPHDR-5-1290" TargetMode="External"/><Relationship Id="rId1762" Type="http://schemas.openxmlformats.org/officeDocument/2006/relationships/hyperlink" Target="https://share.hdrinc.com/sites/CoW_FRLP/_layouts/DocIdRedir.aspx?ID=COWFRLPHDR-5-1057" TargetMode="External"/><Relationship Id="rId1110" Type="http://schemas.openxmlformats.org/officeDocument/2006/relationships/hyperlink" Target="https://share.hdrinc.com/sites/CoW_FRLP/_layouts/DocIdRedir.aspx?ID=COWFRLPHDR-5-1161" TargetMode="External"/><Relationship Id="rId1208" Type="http://schemas.openxmlformats.org/officeDocument/2006/relationships/hyperlink" Target="https://share.hdrinc.com/sites/CoW_FRLP/_layouts/DocIdRedir.aspx?ID=COWFRLPHDR-5-1217" TargetMode="External"/><Relationship Id="rId1415" Type="http://schemas.openxmlformats.org/officeDocument/2006/relationships/hyperlink" Target="https://share.hdrinc.com/sites/CoW_FRLP/_layouts/DocIdRedir.aspx?ID=COWFRLPHDR-5-441" TargetMode="External"/><Relationship Id="rId54" Type="http://schemas.openxmlformats.org/officeDocument/2006/relationships/hyperlink" Target="https://share.hdrinc.com/sites/CoW_FRLP/ACQUISITION/COW-FRMP_TR-201%20CONTACT%20Letter%20of%20Intent-HDR.pdf" TargetMode="External"/><Relationship Id="rId1622" Type="http://schemas.openxmlformats.org/officeDocument/2006/relationships/hyperlink" Target="https://share.hdrinc.com/sites/CoW_FRLP/_layouts/DocIdRedir.aspx?ID=COWFRLPHDR-5-659" TargetMode="External"/><Relationship Id="rId1927" Type="http://schemas.openxmlformats.org/officeDocument/2006/relationships/hyperlink" Target="https://share.hdrinc.com/sites/CoW_FRLP/_layouts/DocIdRedir.aspx?ID=COWFRLPHDR-5-1280" TargetMode="External"/><Relationship Id="rId270" Type="http://schemas.openxmlformats.org/officeDocument/2006/relationships/hyperlink" Target="https://share.hdrinc.com/sites/CoW_FRLP/ACQUISITION/COW-FRMP_TR-217%20SURVEY%20Description-Plat_USACOE.pdf" TargetMode="External"/><Relationship Id="rId130" Type="http://schemas.openxmlformats.org/officeDocument/2006/relationships/hyperlink" Target="https://share.hdrinc.com/sites/CoW_FRLP/ACQUISITION/COW-FRMP_TR-207%20SURVEY%20Right-of-Entry%20CMRR.pdf" TargetMode="External"/><Relationship Id="rId368" Type="http://schemas.openxmlformats.org/officeDocument/2006/relationships/hyperlink" Target="https://share.hdrinc.com/sites/CoW_FRLP/ACQUISITION/COW-FRMP_TR-231%20TITLE%20Commitment.pdf" TargetMode="External"/><Relationship Id="rId575" Type="http://schemas.openxmlformats.org/officeDocument/2006/relationships/hyperlink" Target="https://share.hdrinc.com/sites/CoW_FRLP/ACQUISITION/COW-FRMP_TR-313%20TITLE%20Curative%20Plan.docx" TargetMode="External"/><Relationship Id="rId782" Type="http://schemas.openxmlformats.org/officeDocument/2006/relationships/hyperlink" Target="https://share.hdrinc.com/sites/CoW_FRLP/ACQUISITION/COW-FRMP_TR-T164%20ROE%20Right-of-Entry%20Executed.pdf" TargetMode="External"/><Relationship Id="rId228" Type="http://schemas.openxmlformats.org/officeDocument/2006/relationships/hyperlink" Target="https://share.hdrinc.com/sites/CoW_FRLP/ACQUISITION/COW-FRMP_TR-215%20APPRAISAL%20USACOE%20Authorization%20to%20Proceed%20with%20Offer.pdf" TargetMode="External"/><Relationship Id="rId435" Type="http://schemas.openxmlformats.org/officeDocument/2006/relationships/hyperlink" Target="https://share.hdrinc.com/sites/CoW_FRLP/ACQUISITION/COW-FRMP_TR-304%20SURVEY%20Description-Plat_CITY.pdf" TargetMode="External"/><Relationship Id="rId642" Type="http://schemas.openxmlformats.org/officeDocument/2006/relationships/hyperlink" Target="https://share.hdrinc.com/sites/CoW_FRLP/ACQUISITION/ContactRecords/COW-FRMP_TR-319%20CONTACT%20Negotiator%20Report.docx" TargetMode="External"/><Relationship Id="rId1065" Type="http://schemas.openxmlformats.org/officeDocument/2006/relationships/hyperlink" Target="https://share.hdrinc.com/sites/CoW_FRLP/_layouts/DocIdRedir.aspx?ID=COWFRLPHDR-5-796" TargetMode="External"/><Relationship Id="rId1272" Type="http://schemas.openxmlformats.org/officeDocument/2006/relationships/hyperlink" Target="https://share.hdrinc.com/sites/CoW_FRLP/_layouts/DocIdRedir.aspx?ID=COWFRLPHDR-5-393" TargetMode="External"/><Relationship Id="rId502" Type="http://schemas.openxmlformats.org/officeDocument/2006/relationships/hyperlink" Target="https://share.hdrinc.com/sites/CoW_FRLP/ACQUISITION/COW-FRMP_TR-309%20SURVEY%20Description-Plat_CITY.pdf" TargetMode="External"/><Relationship Id="rId947" Type="http://schemas.openxmlformats.org/officeDocument/2006/relationships/hyperlink" Target="https://share.hdrinc.com/sites/CoW_FRLP/ACQUISITION/COW-FRMP_TR-T241%20TITLE%20Tax%20Card.pdf" TargetMode="External"/><Relationship Id="rId1132" Type="http://schemas.openxmlformats.org/officeDocument/2006/relationships/hyperlink" Target="https://share.hdrinc.com/sites/CoW_FRLP/_layouts/DocIdRedir.aspx?ID=COWFRLPHDR-5-1306" TargetMode="External"/><Relationship Id="rId1577" Type="http://schemas.openxmlformats.org/officeDocument/2006/relationships/hyperlink" Target="https://share.hdrinc.com/sites/CoW_FRLP/_layouts/DocIdRedir.aspx?ID=COWFRLPHDR-5-527" TargetMode="External"/><Relationship Id="rId1784" Type="http://schemas.openxmlformats.org/officeDocument/2006/relationships/hyperlink" Target="https://share.hdrinc.com/sites/CoW_FRLP/_layouts/DocIdRedir.aspx?ID=COWFRLPHDR-5-907" TargetMode="External"/><Relationship Id="rId1991" Type="http://schemas.openxmlformats.org/officeDocument/2006/relationships/hyperlink" Target="https://share.hdrinc.com/sites/CoW_FRLP/_layouts/DocIdRedir.aspx?ID=COWFRLPHDR-5-1113" TargetMode="External"/><Relationship Id="rId76" Type="http://schemas.openxmlformats.org/officeDocument/2006/relationships/hyperlink" Target="https://share.hdrinc.com/sites/CoW_FRLP/ACQUISITION/COW-FRMP_TR-202%20NEGOTIATION%20Landowner%20Bill%20of%20Rights%20Letter.pdf" TargetMode="External"/><Relationship Id="rId807" Type="http://schemas.openxmlformats.org/officeDocument/2006/relationships/hyperlink" Target="https://share.hdrinc.com/sites/CoW_FRLP/ACQUISITION/COW-FRMP_TR-T182%20TITLE%20Tax%20Card.pdf" TargetMode="External"/><Relationship Id="rId1437" Type="http://schemas.openxmlformats.org/officeDocument/2006/relationships/hyperlink" Target="https://share.hdrinc.com/sites/CoW_FRLP/_layouts/DocIdRedir.aspx?ID=COWFRLPHDR-5-1372" TargetMode="External"/><Relationship Id="rId1644" Type="http://schemas.openxmlformats.org/officeDocument/2006/relationships/hyperlink" Target="https://share.hdrinc.com/sites/CoW_FRLP/_layouts/DocIdRedir.aspx?ID=COWFRLPHDR-5-1195" TargetMode="External"/><Relationship Id="rId1851" Type="http://schemas.openxmlformats.org/officeDocument/2006/relationships/hyperlink" Target="https://share.hdrinc.com/sites/CoW_FRLP/_layouts/DocIdRedir.aspx?ID=COWFRLPHDR-5-1074" TargetMode="External"/><Relationship Id="rId1504" Type="http://schemas.openxmlformats.org/officeDocument/2006/relationships/hyperlink" Target="https://share.hdrinc.com/sites/CoW_FRLP/_layouts/DocIdRedir.aspx?ID=COWFRLPHDR-5-1208" TargetMode="External"/><Relationship Id="rId1711" Type="http://schemas.openxmlformats.org/officeDocument/2006/relationships/hyperlink" Target="https://share.hdrinc.com/sites/CoW_FRLP/_layouts/DocIdRedir.aspx?ID=COWFRLPHDR-5-1200" TargetMode="External"/><Relationship Id="rId1949" Type="http://schemas.openxmlformats.org/officeDocument/2006/relationships/hyperlink" Target="https://share.hdrinc.com/sites/CoW_FRLP/_layouts/DocIdRedir.aspx?ID=COWFRLPHDR-5-994" TargetMode="External"/><Relationship Id="rId292" Type="http://schemas.openxmlformats.org/officeDocument/2006/relationships/hyperlink" Target="https://share.hdrinc.com/sites/CoW_FRLP/ACQUISITION/COW-FRMP_TR-219%20NEGOTIATION%20Landowner%20Bill%20of%20Rights%20Letter.pdf" TargetMode="External"/><Relationship Id="rId1809" Type="http://schemas.openxmlformats.org/officeDocument/2006/relationships/hyperlink" Target="https://share.hdrinc.com/sites/CoW_FRLP/_layouts/DocIdRedir.aspx?ID=COWFRLPHDR-5-923" TargetMode="External"/><Relationship Id="rId597" Type="http://schemas.openxmlformats.org/officeDocument/2006/relationships/hyperlink" Target="https://share.hdrinc.com/sites/CoW_FRLP/ACQUISITION/COW-FRMP_TR-315%20CONTACT%20Letter%20of%20Intent-HDR.pdf" TargetMode="External"/><Relationship Id="rId152" Type="http://schemas.openxmlformats.org/officeDocument/2006/relationships/hyperlink" Target="https://share.hdrinc.com/sites/CoW_FRLP/ACQUISITION/COW-FRMP_TR-209%20SURVEY%20Description-Plat_USACOE.pdf" TargetMode="External"/><Relationship Id="rId457" Type="http://schemas.openxmlformats.org/officeDocument/2006/relationships/hyperlink" Target="https://share.hdrinc.com/sites/CoW_FRLP/ACQUISITION/COW-FRMP_TR-305%20TITLE%20Tax%20Card.pdf" TargetMode="External"/><Relationship Id="rId1087" Type="http://schemas.openxmlformats.org/officeDocument/2006/relationships/hyperlink" Target="https://share.hdrinc.com/sites/CoW_FRLP/_layouts/DocIdRedir.aspx?ID=COWFRLPHDR-5-1303" TargetMode="External"/><Relationship Id="rId1294" Type="http://schemas.openxmlformats.org/officeDocument/2006/relationships/hyperlink" Target="https://share.hdrinc.com/sites/CoW_FRLP/_layouts/DocIdRedir.aspx?ID=COWFRLPHDR-5-731" TargetMode="External"/><Relationship Id="rId664" Type="http://schemas.openxmlformats.org/officeDocument/2006/relationships/hyperlink" Target="https://share.hdrinc.com/sites/CoW_FRLP/ACQUISITION/COW-FRMP_TR-321%20NEGOTIATION%20Landowner%20Bill%20of%20Rights%20Letter.pdf" TargetMode="External"/><Relationship Id="rId871" Type="http://schemas.openxmlformats.org/officeDocument/2006/relationships/hyperlink" Target="https://share.hdrinc.com/sites/CoW_FRLP/ACQUISITION/COW-FRMP_TR-T200%20ROE%20Right-of-Entry%20Executed.pdf" TargetMode="External"/><Relationship Id="rId969" Type="http://schemas.openxmlformats.org/officeDocument/2006/relationships/hyperlink" Target="https://share.hdrinc.com/sites/CoW_FRLP/ACQUISITION/COW-FRMP_TR-T259%20CONTACT%20Negotiator%20Report.docx" TargetMode="External"/><Relationship Id="rId1599" Type="http://schemas.openxmlformats.org/officeDocument/2006/relationships/hyperlink" Target="https://share.hdrinc.com/sites/CoW_FRLP/_layouts/DocIdRedir.aspx?ID=COWFRLPHDR-5-199" TargetMode="External"/><Relationship Id="rId317" Type="http://schemas.openxmlformats.org/officeDocument/2006/relationships/hyperlink" Target="https://share.hdrinc.com/sites/CoW_FRLP/ACQUISITION/COW-FRMP_TR-222%20CONTACT%20Letter%20of%20Intent-HDR.pdf" TargetMode="External"/><Relationship Id="rId524" Type="http://schemas.openxmlformats.org/officeDocument/2006/relationships/hyperlink" Target="https://share.hdrinc.com/sites/CoW_FRLP/ACQUISITION/COW-FRMP_TR-311%20APPRAISAL%20Final%20Appraisal.pdf" TargetMode="External"/><Relationship Id="rId731" Type="http://schemas.openxmlformats.org/officeDocument/2006/relationships/hyperlink" Target="https://share.hdrinc.com/sites/CoW_FRLP/ACQUISITION/COW-FRMP_TR-T068%20ROE%20Right-of-Entry%20Package.pdf" TargetMode="External"/><Relationship Id="rId1154" Type="http://schemas.openxmlformats.org/officeDocument/2006/relationships/hyperlink" Target="https://share.hdrinc.com/sites/CoW_FRLP/_layouts/DocIdRedir.aspx?ID=COWFRLPHDR-5-269" TargetMode="External"/><Relationship Id="rId1361" Type="http://schemas.openxmlformats.org/officeDocument/2006/relationships/hyperlink" Target="https://share.hdrinc.com/sites/CoW_FRLP/_layouts/DocIdRedir.aspx?ID=COWFRLPHDR-5-471" TargetMode="External"/><Relationship Id="rId1459" Type="http://schemas.openxmlformats.org/officeDocument/2006/relationships/hyperlink" Target="https://share.hdrinc.com/sites/CoW_FRLP/_layouts/DocIdRedir.aspx?ID=COWFRLPHDR-5-91" TargetMode="External"/><Relationship Id="rId98" Type="http://schemas.openxmlformats.org/officeDocument/2006/relationships/hyperlink" Target="https://share.hdrinc.com/sites/CoW_FRLP/ACQUISITION/COW-FRMP_TR-205%20APPRAISAL%20USACOE%20Authorization%20to%20Proceed%20with%20Offer%20Approval.pdf" TargetMode="External"/><Relationship Id="rId829" Type="http://schemas.openxmlformats.org/officeDocument/2006/relationships/hyperlink" Target="https://share.hdrinc.com/sites/CoW_FRLP/ACQUISITION/COW-FRMP_TR-T188%20CONTACT%20Negotiator%20Report.docx" TargetMode="External"/><Relationship Id="rId1014" Type="http://schemas.openxmlformats.org/officeDocument/2006/relationships/hyperlink" Target="https://share.hdrinc.com/sites/CoW_FRLP/_layouts/DocIdRedir.aspx?ID=COWFRLPHDR-5-808" TargetMode="External"/><Relationship Id="rId1221" Type="http://schemas.openxmlformats.org/officeDocument/2006/relationships/hyperlink" Target="https://share.hdrinc.com/sites/CoW_FRLP/_layouts/DocIdRedir.aspx?ID=COWFRLPHDR-5-758" TargetMode="External"/><Relationship Id="rId1666" Type="http://schemas.openxmlformats.org/officeDocument/2006/relationships/hyperlink" Target="https://share.hdrinc.com/sites/CoW_FRLP/_layouts/DocIdRedir.aspx?ID=COWFRLPHDR-5-377" TargetMode="External"/><Relationship Id="rId1873" Type="http://schemas.openxmlformats.org/officeDocument/2006/relationships/hyperlink" Target="https://share.hdrinc.com/sites/CoW_FRLP/_layouts/DocIdRedir.aspx?ID=COWFRLPHDR-5-1030" TargetMode="External"/><Relationship Id="rId1319" Type="http://schemas.openxmlformats.org/officeDocument/2006/relationships/hyperlink" Target="https://share.hdrinc.com/sites/CoW_FRLP/_layouts/DocIdRedir.aspx?ID=COWFRLPHDR-5-435" TargetMode="External"/><Relationship Id="rId1526" Type="http://schemas.openxmlformats.org/officeDocument/2006/relationships/hyperlink" Target="https://share.hdrinc.com/sites/CoW_FRLP/_layouts/DocIdRedir.aspx?ID=COWFRLPHDR-5-780" TargetMode="External"/><Relationship Id="rId1733" Type="http://schemas.openxmlformats.org/officeDocument/2006/relationships/hyperlink" Target="https://share.hdrinc.com/sites/CoW_FRLP/_layouts/DocIdRedir.aspx?ID=COWFRLPHDR-5-1039" TargetMode="External"/><Relationship Id="rId1940" Type="http://schemas.openxmlformats.org/officeDocument/2006/relationships/hyperlink" Target="https://share.hdrinc.com/sites/CoW_FRLP/_layouts/DocIdRedir.aspx?ID=COWFRLPHDR-5-991" TargetMode="External"/><Relationship Id="rId25" Type="http://schemas.openxmlformats.org/officeDocument/2006/relationships/hyperlink" Target="https://share.hdrinc.com/sites/CoW_FRLP/ACQUISITION/COW-FRMP_TR-100%20TITLE%20Commitment.pdf" TargetMode="External"/><Relationship Id="rId1800" Type="http://schemas.openxmlformats.org/officeDocument/2006/relationships/hyperlink" Target="https://share.hdrinc.com/sites/CoW_FRLP/_layouts/DocIdRedir.aspx?ID=COWFRLPHDR-5-917" TargetMode="External"/><Relationship Id="rId174" Type="http://schemas.openxmlformats.org/officeDocument/2006/relationships/hyperlink" Target="https://share.hdrinc.com/sites/CoW_FRLP/ACQUISITION/ContactRecords/COW-FRMP_TR-211%20CONTACT%20Negotiator%20Report.docx" TargetMode="External"/><Relationship Id="rId381" Type="http://schemas.openxmlformats.org/officeDocument/2006/relationships/hyperlink" Target="https://share.hdrinc.com/sites/CoW_FRLP/ACQUISITION/COW-FRMP_TR-300%20TITLE%20Commitment%20Backup%20Docs.pdf" TargetMode="External"/><Relationship Id="rId241" Type="http://schemas.openxmlformats.org/officeDocument/2006/relationships/hyperlink" Target="https://share.hdrinc.com/sites/CoW_FRLP/ACQUISITION/COW-FRMP_TR-215%20SURVEY%20Description-Plat_CITY.pdf" TargetMode="External"/><Relationship Id="rId479" Type="http://schemas.openxmlformats.org/officeDocument/2006/relationships/hyperlink" Target="https://share.hdrinc.com/sites/CoW_FRLP/ACQUISITION/COW-FRMP_TR-308%20NEGOTIATION%20Landowner%20Bill%20of%20Rights%20Letter.pdf" TargetMode="External"/><Relationship Id="rId686" Type="http://schemas.openxmlformats.org/officeDocument/2006/relationships/hyperlink" Target="https://share.hdrinc.com/sites/CoW_FRLP/ACQUISITION/COW-FRMP_TR-326%20SURVEY%20Right-of-Entry.pdf" TargetMode="External"/><Relationship Id="rId893" Type="http://schemas.openxmlformats.org/officeDocument/2006/relationships/hyperlink" Target="https://share.hdrinc.com/sites/CoW_FRLP/ACQUISITION/COW-FRMP_TR-T211%20TITLE%20Tax%20Card.pdf" TargetMode="External"/><Relationship Id="rId339" Type="http://schemas.openxmlformats.org/officeDocument/2006/relationships/hyperlink" Target="https://share.hdrinc.com/sites/CoW_FRLP/ACQUISITION/COW-FRMP_TR-223%20TITLE%20SOS%20Business%20Organization%20Inquiry.pdf" TargetMode="External"/><Relationship Id="rId546" Type="http://schemas.openxmlformats.org/officeDocument/2006/relationships/hyperlink" Target="https://share.hdrinc.com/sites/CoW_FRLP/ACQUISITION/COW-FRMP_TR-312%20CONTACT%20Letter%20of%20Intent-HDR%20Raymond%20Limas.pdf" TargetMode="External"/><Relationship Id="rId753" Type="http://schemas.openxmlformats.org/officeDocument/2006/relationships/hyperlink" Target="https://share.hdrinc.com/sites/CoW_FRLP/ACQUISITION/COW-FRMP_TR-T091%20TITLE%20Tax%20Card.pdf" TargetMode="External"/><Relationship Id="rId1176" Type="http://schemas.openxmlformats.org/officeDocument/2006/relationships/hyperlink" Target="https://share.hdrinc.com/sites/CoW_FRLP/_layouts/DocIdRedir.aspx?ID=COWFRLPHDR-5-425" TargetMode="External"/><Relationship Id="rId1383" Type="http://schemas.openxmlformats.org/officeDocument/2006/relationships/hyperlink" Target="https://share.hdrinc.com/sites/CoW_FRLP/_layouts/DocIdRedir.aspx?ID=COWFRLPHDR-5-1329" TargetMode="External"/><Relationship Id="rId101" Type="http://schemas.openxmlformats.org/officeDocument/2006/relationships/hyperlink" Target="https://share.hdrinc.com/sites/CoW_FRLP/ACQUISITION/ContactRecords/COW-FRMP_TR-205%20CONTACT%20Negotiator%20Report.docx" TargetMode="External"/><Relationship Id="rId406" Type="http://schemas.openxmlformats.org/officeDocument/2006/relationships/hyperlink" Target="https://share.hdrinc.com/sites/CoW_FRLP/ACQUISITION/COW-FRMP_TR-302%20SURVEY%20Right-of-Entry%20CMRR.pdf" TargetMode="External"/><Relationship Id="rId960" Type="http://schemas.openxmlformats.org/officeDocument/2006/relationships/hyperlink" Target="https://share.hdrinc.com/sites/CoW_FRLP/ACQUISITION/COW-FRMP_TR-T254%20ENVIRONMENTAL%20Right-of-Entry%20Executed.pdf" TargetMode="External"/><Relationship Id="rId1036" Type="http://schemas.openxmlformats.org/officeDocument/2006/relationships/hyperlink" Target="https://share.hdrinc.com/sites/CoW_FRLP/_layouts/DocIdRedir.aspx?ID=COWFRLPHDR-5-868" TargetMode="External"/><Relationship Id="rId1243" Type="http://schemas.openxmlformats.org/officeDocument/2006/relationships/hyperlink" Target="https://share.hdrinc.com/sites/CoW_FRLP/_layouts/DocIdRedir.aspx?ID=COWFRLPHDR-5-494" TargetMode="External"/><Relationship Id="rId1590" Type="http://schemas.openxmlformats.org/officeDocument/2006/relationships/hyperlink" Target="https://share.hdrinc.com/sites/CoW_FRLP/_layouts/DocIdRedir.aspx?ID=COWFRLPHDR-5-1346" TargetMode="External"/><Relationship Id="rId1688" Type="http://schemas.openxmlformats.org/officeDocument/2006/relationships/hyperlink" Target="https://share.hdrinc.com/sites/CoW_FRLP/_layouts/DocIdRedir.aspx?ID=COWFRLPHDR-5-722" TargetMode="External"/><Relationship Id="rId1895" Type="http://schemas.openxmlformats.org/officeDocument/2006/relationships/hyperlink" Target="https://share.hdrinc.com/sites/CoW_FRLP/_layouts/DocIdRedir.aspx?ID=COWFRLPHDR-5-960" TargetMode="External"/><Relationship Id="rId613" Type="http://schemas.openxmlformats.org/officeDocument/2006/relationships/hyperlink" Target="https://share.hdrinc.com/sites/CoW_FRLP/ACQUISITION/COW-FRMP_TR-316%20CONTACT%20Initial%20Interview%20-%20Residential.pdf" TargetMode="External"/><Relationship Id="rId820" Type="http://schemas.openxmlformats.org/officeDocument/2006/relationships/hyperlink" Target="https://share.hdrinc.com/sites/CoW_FRLP/ACQUISITION/COW-FRMP_TR-T186%20ENVIRONMENTAL%20Right-of-Entry%20Executed.pdf" TargetMode="External"/><Relationship Id="rId918" Type="http://schemas.openxmlformats.org/officeDocument/2006/relationships/hyperlink" Target="https://share.hdrinc.com/sites/CoW_FRLP/ACQUISITION/COW-FRMP_TR-T228%20ENVIRONMENTAL%20Right-of-Entry%20Executed.pdf" TargetMode="External"/><Relationship Id="rId1450" Type="http://schemas.openxmlformats.org/officeDocument/2006/relationships/hyperlink" Target="https://share.hdrinc.com/sites/CoW_FRLP/_layouts/DocIdRedir.aspx?ID=COWFRLPHDR-5-768" TargetMode="External"/><Relationship Id="rId1548" Type="http://schemas.openxmlformats.org/officeDocument/2006/relationships/hyperlink" Target="https://share.hdrinc.com/sites/CoW_FRLP/_layouts/DocIdRedir.aspx?ID=COWFRLPHDR-5-847" TargetMode="External"/><Relationship Id="rId1755" Type="http://schemas.openxmlformats.org/officeDocument/2006/relationships/hyperlink" Target="https://share.hdrinc.com/sites/CoW_FRLP/_layouts/DocIdRedir.aspx?ID=COWFRLPHDR-5-1304" TargetMode="External"/><Relationship Id="rId1103" Type="http://schemas.openxmlformats.org/officeDocument/2006/relationships/hyperlink" Target="https://share.hdrinc.com/sites/CoW_FRLP/_layouts/DocIdRedir.aspx?ID=COWFRLPHDR-5-190" TargetMode="External"/><Relationship Id="rId1310" Type="http://schemas.openxmlformats.org/officeDocument/2006/relationships/hyperlink" Target="https://share.hdrinc.com/sites/CoW_FRLP/_layouts/DocIdRedir.aspx?ID=COWFRLPHDR-5-29" TargetMode="External"/><Relationship Id="rId1408" Type="http://schemas.openxmlformats.org/officeDocument/2006/relationships/hyperlink" Target="https://share.hdrinc.com/sites/CoW_FRLP/_layouts/DocIdRedir.aspx?ID=COWFRLPHDR-5-801" TargetMode="External"/><Relationship Id="rId1962" Type="http://schemas.openxmlformats.org/officeDocument/2006/relationships/hyperlink" Target="https://share.hdrinc.com/sites/CoW_FRLP/_layouts/DocIdRedir.aspx?ID=COWFRLPHDR-5-1002" TargetMode="External"/><Relationship Id="rId47" Type="http://schemas.openxmlformats.org/officeDocument/2006/relationships/hyperlink" Target="https://share.hdrinc.com/sites/CoW_FRLP/ACQUISITION/COW-FRMP_TR-200%20SURVEY%20Description-Plat_USACOE.pdf" TargetMode="External"/><Relationship Id="rId1615" Type="http://schemas.openxmlformats.org/officeDocument/2006/relationships/hyperlink" Target="https://share.hdrinc.com/sites/CoW_FRLP/_layouts/DocIdRedir.aspx?ID=COWFRLPHDR-5-739" TargetMode="External"/><Relationship Id="rId1822" Type="http://schemas.openxmlformats.org/officeDocument/2006/relationships/hyperlink" Target="https://share.hdrinc.com/sites/CoW_FRLP/_layouts/DocIdRedir.aspx?ID=COWFRLPHDR-5-1105" TargetMode="External"/><Relationship Id="rId196" Type="http://schemas.openxmlformats.org/officeDocument/2006/relationships/hyperlink" Target="https://share.hdrinc.com/sites/CoW_FRLP/ACQUISITION/COW-FRMP_TR-213%20APPRAISAL%20USACOE%20Authorization%20to%20Proceed%20with%20Offer%20Approval.pdf" TargetMode="External"/><Relationship Id="rId263" Type="http://schemas.openxmlformats.org/officeDocument/2006/relationships/hyperlink" Target="https://share.hdrinc.com/sites/CoW_FRLP/ACQUISITION/COW-FRMP_TR-217%20APPRAISAL%20USACOE%20Authorization%20to%20Proceed%20with%20Offer.pdf" TargetMode="External"/><Relationship Id="rId470" Type="http://schemas.openxmlformats.org/officeDocument/2006/relationships/hyperlink" Target="https://share.hdrinc.com/sites/CoW_FRLP/ACQUISITION/COW-FRMP_TR-307%20TITLE%20Commitment%20Backup%20Docs.pdf" TargetMode="External"/><Relationship Id="rId123" Type="http://schemas.openxmlformats.org/officeDocument/2006/relationships/hyperlink" Target="https://share.hdrinc.com/sites/CoW_FRLP/ACQUISITION/COW-FRMP_TR-207%20CONTACT%20Pre-Appraisal%20Contact%20with%20Owner.pdf" TargetMode="External"/><Relationship Id="rId330" Type="http://schemas.openxmlformats.org/officeDocument/2006/relationships/hyperlink" Target="https://share.hdrinc.com/sites/CoW_FRLP/ACQUISITION/COW-FRMP_TR-223%20CONTACT%20Letter%20of%20Intent-HDR.pdf" TargetMode="External"/><Relationship Id="rId568" Type="http://schemas.openxmlformats.org/officeDocument/2006/relationships/hyperlink" Target="https://share.hdrinc.com/sites/CoW_FRLP/ACQUISITION/COW-FRMP_TR-313%20NEGOTIATION%20Landowner%20Bill%20of%20Rights%20Letter.pdf" TargetMode="External"/><Relationship Id="rId775" Type="http://schemas.openxmlformats.org/officeDocument/2006/relationships/hyperlink" Target="https://share.hdrinc.com/sites/CoW_FRLP/ACQUISITION/COW-FRMP_TR-T163%20CONTACT%20Negotiator%20Report.docx" TargetMode="External"/><Relationship Id="rId982" Type="http://schemas.openxmlformats.org/officeDocument/2006/relationships/hyperlink" Target="https://share.hdrinc.com/sites/CoW_FRLP/ACQUISITION/COW-FRMP_TR-T263%20CONTACT%20Negotiator%20Report.docx" TargetMode="External"/><Relationship Id="rId1198" Type="http://schemas.openxmlformats.org/officeDocument/2006/relationships/hyperlink" Target="https://share.hdrinc.com/sites/CoW_FRLP/_layouts/DocIdRedir.aspx?ID=COWFRLPHDR-5-427" TargetMode="External"/><Relationship Id="rId2011" Type="http://schemas.openxmlformats.org/officeDocument/2006/relationships/hyperlink" Target="https://share.hdrinc.com/sites/CoW_FRLP/_layouts/DocIdRedir.aspx?ID=COWFRLPHDR-5-1246" TargetMode="External"/><Relationship Id="rId428" Type="http://schemas.openxmlformats.org/officeDocument/2006/relationships/hyperlink" Target="https://share.hdrinc.com/sites/CoW_FRLP/ACQUISITION/COW-FRMP_TR-304%20CONTACT%20Initial%20Interview%20-%20Residential%20-%20Manlongat.pdf" TargetMode="External"/><Relationship Id="rId635" Type="http://schemas.openxmlformats.org/officeDocument/2006/relationships/hyperlink" Target="https://share.hdrinc.com/sites/CoW_FRLP/ACQUISITION/COW-FRMP_TR-317%20TITLE%20Commitment%20Backup%20Docs.pdf" TargetMode="External"/><Relationship Id="rId842" Type="http://schemas.openxmlformats.org/officeDocument/2006/relationships/hyperlink" Target="https://share.hdrinc.com/sites/CoW_FRLP/ACQUISITION/COW-FRMP_TR-T190%20ROE%20Right-of-Entry%20Package.pdf" TargetMode="External"/><Relationship Id="rId1058" Type="http://schemas.openxmlformats.org/officeDocument/2006/relationships/hyperlink" Target="https://share.hdrinc.com/sites/CoW_FRLP/_layouts/DocIdRedir.aspx?ID=COWFRLPHDR-5-1300" TargetMode="External"/><Relationship Id="rId1265" Type="http://schemas.openxmlformats.org/officeDocument/2006/relationships/hyperlink" Target="https://share.hdrinc.com/sites/CoW_FRLP/_layouts/DocIdRedir.aspx?ID=COWFRLPHDR-5-363" TargetMode="External"/><Relationship Id="rId1472" Type="http://schemas.openxmlformats.org/officeDocument/2006/relationships/hyperlink" Target="https://share.hdrinc.com/sites/CoW_FRLP/_layouts/DocIdRedir.aspx?ID=COWFRLPHDR-5-260" TargetMode="External"/><Relationship Id="rId702" Type="http://schemas.openxmlformats.org/officeDocument/2006/relationships/hyperlink" Target="https://share.hdrinc.com/sites/CoW_FRLP/ACQUISITION/COW-FRMP_TR-421A%20SURVEY%20Right-of-Entry.pdf" TargetMode="External"/><Relationship Id="rId1125" Type="http://schemas.openxmlformats.org/officeDocument/2006/relationships/hyperlink" Target="https://share.hdrinc.com/sites/CoW_FRLP/_layouts/DocIdRedir.aspx?ID=COWFRLPHDR-5-579" TargetMode="External"/><Relationship Id="rId1332" Type="http://schemas.openxmlformats.org/officeDocument/2006/relationships/hyperlink" Target="https://share.hdrinc.com/sites/CoW_FRLP/_layouts/DocIdRedir.aspx?ID=COWFRLPHDR-5-436" TargetMode="External"/><Relationship Id="rId1777" Type="http://schemas.openxmlformats.org/officeDocument/2006/relationships/hyperlink" Target="https://share.hdrinc.com/sites/CoW_FRLP/_layouts/DocIdRedir.aspx?ID=COWFRLPHDR-5-1096" TargetMode="External"/><Relationship Id="rId1984" Type="http://schemas.openxmlformats.org/officeDocument/2006/relationships/hyperlink" Target="https://share.hdrinc.com/sites/CoW_FRLP/_layouts/DocIdRedir.aspx?ID=COWFRLPHDR-5-889" TargetMode="External"/><Relationship Id="rId69" Type="http://schemas.openxmlformats.org/officeDocument/2006/relationships/hyperlink" Target="https://share.hdrinc.com/sites/CoW_FRLP/ACQUISITION/COW-FRMP_TR-202%20APPRAISAL%20USACOE%20Appraisal%20Transmittal.pdf" TargetMode="External"/><Relationship Id="rId1637" Type="http://schemas.openxmlformats.org/officeDocument/2006/relationships/hyperlink" Target="https://share.hdrinc.com/sites/CoW_FRLP/_layouts/DocIdRedir.aspx?ID=COWFRLPHDR-5-660" TargetMode="External"/><Relationship Id="rId1844" Type="http://schemas.openxmlformats.org/officeDocument/2006/relationships/hyperlink" Target="https://share.hdrinc.com/sites/CoW_FRLP/_layouts/DocIdRedir.aspx?ID=COWFRLPHDR-5-1070" TargetMode="External"/><Relationship Id="rId1704" Type="http://schemas.openxmlformats.org/officeDocument/2006/relationships/hyperlink" Target="https://share.hdrinc.com/sites/CoW_FRLP/_layouts/DocIdRedir.aspx?ID=COWFRLPHDR-5-811" TargetMode="External"/><Relationship Id="rId285" Type="http://schemas.openxmlformats.org/officeDocument/2006/relationships/hyperlink" Target="https://share.hdrinc.com/sites/CoW_FRLP/ACQUISITION/COW-FRMP_TR-218%20TITLE%20Curative%20Plan.docx" TargetMode="External"/><Relationship Id="rId1911" Type="http://schemas.openxmlformats.org/officeDocument/2006/relationships/hyperlink" Target="https://share.hdrinc.com/sites/CoW_FRLP/_layouts/DocIdRedir.aspx?ID=COWFRLPHDR-5-1138" TargetMode="External"/><Relationship Id="rId492" Type="http://schemas.openxmlformats.org/officeDocument/2006/relationships/hyperlink" Target="https://share.hdrinc.com/sites/CoW_FRLP/ACQUISITION/COW-FRMP_TR-309%20APPRAISAL%20USACOE%20Authorization%20to%20Proceed%20with%20Offer.pdf" TargetMode="External"/><Relationship Id="rId797" Type="http://schemas.openxmlformats.org/officeDocument/2006/relationships/hyperlink" Target="https://share.hdrinc.com/sites/CoW_FRLP/ACQUISITION/COW-FRMP_TR-T169%20TITLE%20Tax%20Card.pdf" TargetMode="External"/><Relationship Id="rId145" Type="http://schemas.openxmlformats.org/officeDocument/2006/relationships/hyperlink" Target="https://share.hdrinc.com/sites/CoW_FRLP/ACQUISITION/COW-FRMP_TR-208%20SURVEY%20Description-Plat_USACOE.pdf" TargetMode="External"/><Relationship Id="rId352" Type="http://schemas.openxmlformats.org/officeDocument/2006/relationships/hyperlink" Target="https://share.hdrinc.com/sites/CoW_FRLP/ACQUISITION/COW-FRMP_TR-226%20SURVEY%20Description-Plat_USACOE.pdf" TargetMode="External"/><Relationship Id="rId1287" Type="http://schemas.openxmlformats.org/officeDocument/2006/relationships/hyperlink" Target="https://share.hdrinc.com/sites/CoW_FRLP/_layouts/DocIdRedir.aspx?ID=COWFRLPHDR-5-394" TargetMode="External"/><Relationship Id="rId212" Type="http://schemas.openxmlformats.org/officeDocument/2006/relationships/hyperlink" Target="https://share.hdrinc.com/sites/CoW_FRLP/ACQUISITION/COW-FRMP_TR-214%20APPRAISAL%20Just%20Compensation%20Memo.pdf" TargetMode="External"/><Relationship Id="rId657" Type="http://schemas.openxmlformats.org/officeDocument/2006/relationships/hyperlink" Target="https://share.hdrinc.com/sites/CoW_FRLP/ACQUISITION/COW-FRMP_TR-320%20SURVEY%20Description-Plat_USACOE.pdf" TargetMode="External"/><Relationship Id="rId864" Type="http://schemas.openxmlformats.org/officeDocument/2006/relationships/hyperlink" Target="https://share.hdrinc.com/sites/CoW_FRLP/ACQUISITION/COW-FRMP_TR-T198%20CONTACT%20Negotiator%20Report.docx" TargetMode="External"/><Relationship Id="rId1494" Type="http://schemas.openxmlformats.org/officeDocument/2006/relationships/hyperlink" Target="https://share.hdrinc.com/sites/CoW_FRLP/_layouts/DocIdRedir.aspx?ID=COWFRLPHDR-5-1194" TargetMode="External"/><Relationship Id="rId1799" Type="http://schemas.openxmlformats.org/officeDocument/2006/relationships/hyperlink" Target="https://share.hdrinc.com/sites/CoW_FRLP/_layouts/DocIdRedir.aspx?ID=COWFRLPHDR-5-918" TargetMode="External"/><Relationship Id="rId517" Type="http://schemas.openxmlformats.org/officeDocument/2006/relationships/hyperlink" Target="https://share.hdrinc.com/sites/CoW_FRLP/ACQUISITION/COW-FRMP_TR-310%20SURVEY%20Description-Plat_USACOE.pdf" TargetMode="External"/><Relationship Id="rId724" Type="http://schemas.openxmlformats.org/officeDocument/2006/relationships/hyperlink" Target="https://share.hdrinc.com/sites/CoW_FRLP/ACQUISITION/COW-FRMP_TR-T067%20ROE%20Right-of-Entry%20Executed.pdf" TargetMode="External"/><Relationship Id="rId931" Type="http://schemas.openxmlformats.org/officeDocument/2006/relationships/hyperlink" Target="https://share.hdrinc.com/sites/CoW_FRLP/ACQUISITION/COW-FRMP_TR-T236%20TITLE%20Tax%20Card.pdf" TargetMode="External"/><Relationship Id="rId1147" Type="http://schemas.openxmlformats.org/officeDocument/2006/relationships/hyperlink" Target="https://share.hdrinc.com/sites/CoW_FRLP/_layouts/DocIdRedir.aspx?ID=COWFRLPHDR-5-753" TargetMode="External"/><Relationship Id="rId1354" Type="http://schemas.openxmlformats.org/officeDocument/2006/relationships/hyperlink" Target="https://share.hdrinc.com/sites/CoW_FRLP/_layouts/DocIdRedir.aspx?ID=COWFRLPHDR-5-524" TargetMode="External"/><Relationship Id="rId1561" Type="http://schemas.openxmlformats.org/officeDocument/2006/relationships/hyperlink" Target="https://share.hdrinc.com/sites/CoW_FRLP/_layouts/DocIdRedir.aspx?ID=COWFRLPHDR-5-451" TargetMode="External"/><Relationship Id="rId60" Type="http://schemas.openxmlformats.org/officeDocument/2006/relationships/hyperlink" Target="https://share.hdrinc.com/sites/CoW_FRLP/ACQUISITION/COW-FRMP_TR-201%20TITLE%20Commitment.pdf" TargetMode="External"/><Relationship Id="rId1007" Type="http://schemas.openxmlformats.org/officeDocument/2006/relationships/hyperlink" Target="https://share.hdrinc.com/sites/CoW_FRLP/ACQUISITION/COW-FRMP_TR-T278%20ROE%20Right-of-Entry%20Executed.pdf" TargetMode="External"/><Relationship Id="rId1214" Type="http://schemas.openxmlformats.org/officeDocument/2006/relationships/hyperlink" Target="https://share.hdrinc.com/sites/CoW_FRLP/_layouts/DocIdRedir.aspx?ID=COWFRLPHDR-5-748" TargetMode="External"/><Relationship Id="rId1421" Type="http://schemas.openxmlformats.org/officeDocument/2006/relationships/hyperlink" Target="https://share.hdrinc.com/sites/CoW_FRLP/_layouts/DocIdRedir.aspx?ID=COWFRLPHDR-5-231" TargetMode="External"/><Relationship Id="rId1659" Type="http://schemas.openxmlformats.org/officeDocument/2006/relationships/hyperlink" Target="https://share.hdrinc.com/sites/CoW_FRLP/_layouts/DocIdRedir.aspx?ID=COWFRLPHDR-5-74" TargetMode="External"/><Relationship Id="rId1866" Type="http://schemas.openxmlformats.org/officeDocument/2006/relationships/hyperlink" Target="https://share.hdrinc.com/sites/CoW_FRLP/_layouts/DocIdRedir.aspx?ID=COWFRLPHDR-5-1132" TargetMode="External"/><Relationship Id="rId1519" Type="http://schemas.openxmlformats.org/officeDocument/2006/relationships/hyperlink" Target="https://share.hdrinc.com/sites/CoW_FRLP/_layouts/DocIdRedir.aspx?ID=COWFRLPHDR-5-194" TargetMode="External"/><Relationship Id="rId1726" Type="http://schemas.openxmlformats.org/officeDocument/2006/relationships/hyperlink" Target="https://share.hdrinc.com/sites/CoW_FRLP/_layouts/DocIdRedir.aspx?ID=COWFRLPHDR-5-218" TargetMode="External"/><Relationship Id="rId1933" Type="http://schemas.openxmlformats.org/officeDocument/2006/relationships/hyperlink" Target="https://share.hdrinc.com/sites/CoW_FRLP/_layouts/DocIdRedir.aspx?ID=COWFRLPHDR-5-1281" TargetMode="External"/><Relationship Id="rId18" Type="http://schemas.openxmlformats.org/officeDocument/2006/relationships/hyperlink" Target="https://share.hdrinc.com/sites/CoW_FRLP/ACQUISITION/COW-FRMP_TR-100%20APPRAISAL%20USACOE%20Authorization%20to%20Proceed%20with%20Offer.pdf" TargetMode="External"/><Relationship Id="rId167" Type="http://schemas.openxmlformats.org/officeDocument/2006/relationships/hyperlink" Target="https://share.hdrinc.com/sites/CoW_FRLP/ACQUISITION/COW-FRMP_TR-210%20TITLE%20Commitment.pdf" TargetMode="External"/><Relationship Id="rId374" Type="http://schemas.openxmlformats.org/officeDocument/2006/relationships/hyperlink" Target="https://share.hdrinc.com/sites/CoW_FRLP/ACQUISITION/COW-FRMP_TR-300%20CONTACT%20Letter%20of%20Intent-HDR%20Mattews.pdf" TargetMode="External"/><Relationship Id="rId581" Type="http://schemas.openxmlformats.org/officeDocument/2006/relationships/hyperlink" Target="https://share.hdrinc.com/sites/CoW_FRLP/ACQUISITION/ContactRecords/COW-FRMP_TR-314%20CONTACT%20Negotiator%20Report.docx" TargetMode="External"/><Relationship Id="rId234" Type="http://schemas.openxmlformats.org/officeDocument/2006/relationships/hyperlink" Target="https://share.hdrinc.com/sites/CoW_FRLP/ACQUISITION/COW-FRMP_TR-215%20CONTACT%20Letter%20of%20Intent-HDR%20O.%20Ramirez.pdf" TargetMode="External"/><Relationship Id="rId679" Type="http://schemas.openxmlformats.org/officeDocument/2006/relationships/hyperlink" Target="https://share.hdrinc.com/sites/CoW_FRLP/ACQUISITION/COW-FRMP_TR-324%20SURVEY%20Description-Plat_USACOE.pdf" TargetMode="External"/><Relationship Id="rId886" Type="http://schemas.openxmlformats.org/officeDocument/2006/relationships/hyperlink" Target="https://share.hdrinc.com/sites/CoW_FRLP/ACQUISITION/COW-FRMP_TR-T210%20CONTACT%20Negotiator%20Report.docx" TargetMode="External"/><Relationship Id="rId2" Type="http://schemas.openxmlformats.org/officeDocument/2006/relationships/hyperlink" Target="https://share.hdrinc.com/sites/CoW_FRLP/ACQUISITION/COW-FRMP_R027673%20SURVEY%20Right-of-Entry.pdf" TargetMode="External"/><Relationship Id="rId441" Type="http://schemas.openxmlformats.org/officeDocument/2006/relationships/hyperlink" Target="https://share.hdrinc.com/sites/CoW_FRLP/ACQUISITION/COW-FRMP_TR-304%20TITLE%20Curative%20Plan.docx" TargetMode="External"/><Relationship Id="rId539" Type="http://schemas.openxmlformats.org/officeDocument/2006/relationships/hyperlink" Target="https://share.hdrinc.com/sites/CoW_FRLP/ACQUISITION/COW-FRMP_TR-311%20TITLE%20Commitment%20Backup%20Docs.pdf" TargetMode="External"/><Relationship Id="rId746" Type="http://schemas.openxmlformats.org/officeDocument/2006/relationships/hyperlink" Target="https://share.hdrinc.com/sites/CoW_FRLP/ACQUISITION/COW-FRMP_TR-T072%20CONTACT%20Negotiator%20Report.docx" TargetMode="External"/><Relationship Id="rId1071" Type="http://schemas.openxmlformats.org/officeDocument/2006/relationships/hyperlink" Target="https://share.hdrinc.com/sites/CoW_FRLP/_layouts/DocIdRedir.aspx?ID=COWFRLPHDR-5-1182" TargetMode="External"/><Relationship Id="rId1169" Type="http://schemas.openxmlformats.org/officeDocument/2006/relationships/hyperlink" Target="https://share.hdrinc.com/sites/CoW_FRLP/_layouts/DocIdRedir.aspx?ID=COWFRLPHDR-5-1262" TargetMode="External"/><Relationship Id="rId1376" Type="http://schemas.openxmlformats.org/officeDocument/2006/relationships/hyperlink" Target="https://share.hdrinc.com/sites/CoW_FRLP/_layouts/DocIdRedir.aspx?ID=COWFRLPHDR-5-822" TargetMode="External"/><Relationship Id="rId1583" Type="http://schemas.openxmlformats.org/officeDocument/2006/relationships/hyperlink" Target="https://share.hdrinc.com/sites/CoW_FRLP/_layouts/DocIdRedir.aspx?ID=COWFRLPHDR-5-737" TargetMode="External"/><Relationship Id="rId301" Type="http://schemas.openxmlformats.org/officeDocument/2006/relationships/hyperlink" Target="https://share.hdrinc.com/sites/CoW_FRLP/ACQUISITION/COW-FRMP_TR-220%20APPRAISAL%20Final%20Appraisal.pdf" TargetMode="External"/><Relationship Id="rId953" Type="http://schemas.openxmlformats.org/officeDocument/2006/relationships/hyperlink" Target="https://share.hdrinc.com/sites/CoW_FRLP/ACQUISITION/COW-FRMP_TR-T242%20TITLE%20Tax%20Card.pdf" TargetMode="External"/><Relationship Id="rId1029" Type="http://schemas.openxmlformats.org/officeDocument/2006/relationships/hyperlink" Target="https://share.hdrinc.com/sites/CoW_FRLP/_layouts/DocIdRedir.aspx?ID=COWFRLPHDR-5-1338" TargetMode="External"/><Relationship Id="rId1236" Type="http://schemas.openxmlformats.org/officeDocument/2006/relationships/hyperlink" Target="https://share.hdrinc.com/sites/CoW_FRLP/_layouts/DocIdRedir.aspx?ID=COWFRLPHDR-5-238" TargetMode="External"/><Relationship Id="rId1790" Type="http://schemas.openxmlformats.org/officeDocument/2006/relationships/hyperlink" Target="https://share.hdrinc.com/sites/CoW_FRLP/_layouts/DocIdRedir.aspx?ID=COWFRLPHDR-5-1099" TargetMode="External"/><Relationship Id="rId1888" Type="http://schemas.openxmlformats.org/officeDocument/2006/relationships/hyperlink" Target="https://share.hdrinc.com/sites/CoW_FRLP/_layouts/DocIdRedir.aspx?ID=COWFRLPHDR-5-954" TargetMode="External"/><Relationship Id="rId82" Type="http://schemas.openxmlformats.org/officeDocument/2006/relationships/hyperlink" Target="https://share.hdrinc.com/sites/CoW_FRLP/ACQUISITION/COW-FRMP_TR-202%20TITLE%20Curative%20Plan.docx" TargetMode="External"/><Relationship Id="rId606" Type="http://schemas.openxmlformats.org/officeDocument/2006/relationships/hyperlink" Target="https://share.hdrinc.com/sites/CoW_FRLP/ACQUISITION/COW-FRMP_TR-315%20TITLE%20Commitment.pdf" TargetMode="External"/><Relationship Id="rId813" Type="http://schemas.openxmlformats.org/officeDocument/2006/relationships/hyperlink" Target="https://share.hdrinc.com/sites/CoW_FRLP/ACQUISITION/COW-FRMP_TR-T184%20ENVIRONMENTAL%20Right-of-Entry%20Package.pdf" TargetMode="External"/><Relationship Id="rId1443" Type="http://schemas.openxmlformats.org/officeDocument/2006/relationships/hyperlink" Target="https://share.hdrinc.com/sites/CoW_FRLP/_layouts/DocIdRedir.aspx?ID=COWFRLPHDR-5-542" TargetMode="External"/><Relationship Id="rId1650" Type="http://schemas.openxmlformats.org/officeDocument/2006/relationships/hyperlink" Target="https://share.hdrinc.com/sites/CoW_FRLP/_layouts/DocIdRedir.aspx?ID=COWFRLPHDR-5-779" TargetMode="External"/><Relationship Id="rId1748" Type="http://schemas.openxmlformats.org/officeDocument/2006/relationships/hyperlink" Target="https://share.hdrinc.com/sites/CoW_FRLP/_layouts/DocIdRedir.aspx?ID=COWFRLPHDR-5-1090" TargetMode="External"/><Relationship Id="rId1303" Type="http://schemas.openxmlformats.org/officeDocument/2006/relationships/hyperlink" Target="https://share.hdrinc.com/sites/CoW_FRLP/_layouts/DocIdRedir.aspx?ID=COWFRLPHDR-5-759" TargetMode="External"/><Relationship Id="rId1510" Type="http://schemas.openxmlformats.org/officeDocument/2006/relationships/hyperlink" Target="https://share.hdrinc.com/sites/CoW_FRLP/_layouts/DocIdRedir.aspx?ID=COWFRLPHDR-5-1366" TargetMode="External"/><Relationship Id="rId1955" Type="http://schemas.openxmlformats.org/officeDocument/2006/relationships/hyperlink" Target="https://share.hdrinc.com/sites/CoW_FRLP/_layouts/DocIdRedir.aspx?ID=COWFRLPHDR-5-997" TargetMode="External"/><Relationship Id="rId1608" Type="http://schemas.openxmlformats.org/officeDocument/2006/relationships/hyperlink" Target="https://share.hdrinc.com/sites/CoW_FRLP/_layouts/DocIdRedir.aspx?ID=COWFRLPHDR-5-1314" TargetMode="External"/><Relationship Id="rId1815" Type="http://schemas.openxmlformats.org/officeDocument/2006/relationships/hyperlink" Target="https://share.hdrinc.com/sites/CoW_FRLP/_layouts/DocIdRedir.aspx?ID=COWFRLPHDR-5-929" TargetMode="External"/><Relationship Id="rId189" Type="http://schemas.openxmlformats.org/officeDocument/2006/relationships/hyperlink" Target="https://share.hdrinc.com/sites/CoW_FRLP/ACQUISITION/COW-FRMP_TR-212%20TITLE%20Curative%20Plan.docx" TargetMode="External"/><Relationship Id="rId396" Type="http://schemas.openxmlformats.org/officeDocument/2006/relationships/hyperlink" Target="https://share.hdrinc.com/sites/CoW_FRLP/ACQUISITION/COW-FRMP_TR-301%20TITLE%20Tax%20Card.pdf" TargetMode="External"/><Relationship Id="rId256" Type="http://schemas.openxmlformats.org/officeDocument/2006/relationships/hyperlink" Target="https://share.hdrinc.com/sites/CoW_FRLP/ACQUISITION/COW-FRMP_TR-216%20SURVEY%20Right-of-Entry.pdf" TargetMode="External"/><Relationship Id="rId463" Type="http://schemas.openxmlformats.org/officeDocument/2006/relationships/hyperlink" Target="https://share.hdrinc.com/sites/CoW_FRLP/ACQUISITION/COW-FRMP_TR-306%20NEGOTIATION%20Landowner%20Bill%20of%20Rights%20Letter.pdf" TargetMode="External"/><Relationship Id="rId670" Type="http://schemas.openxmlformats.org/officeDocument/2006/relationships/hyperlink" Target="https://share.hdrinc.com/sites/CoW_FRLP/ACQUISITION/COW-FRMP_TR-322%20CONTACT%20Letter%20of%20Intent-HDR.pdf" TargetMode="External"/><Relationship Id="rId1093" Type="http://schemas.openxmlformats.org/officeDocument/2006/relationships/hyperlink" Target="https://share.hdrinc.com/sites/CoW_FRLP/_layouts/DocIdRedir.aspx?ID=COWFRLPHDR-5-33" TargetMode="External"/><Relationship Id="rId116" Type="http://schemas.openxmlformats.org/officeDocument/2006/relationships/hyperlink" Target="https://share.hdrinc.com/sites/CoW_FRLP/ACQUISITION/COW-FRMP_TR-207%20APPRAISAL%20Just%20Compensation%20Approval.pdf" TargetMode="External"/><Relationship Id="rId323" Type="http://schemas.openxmlformats.org/officeDocument/2006/relationships/hyperlink" Target="https://share.hdrinc.com/sites/CoW_FRLP/ACQUISITION/COW-FRMP_TR-222%20TITLE%20Commitment.pdf" TargetMode="External"/><Relationship Id="rId530" Type="http://schemas.openxmlformats.org/officeDocument/2006/relationships/hyperlink" Target="https://share.hdrinc.com/sites/CoW_FRLP/ACQUISITION/ContactRecords/COW-FRMP_TR-311%20CONTACT%20Negotiator%20Report.docx" TargetMode="External"/><Relationship Id="rId768" Type="http://schemas.openxmlformats.org/officeDocument/2006/relationships/hyperlink" Target="https://share.hdrinc.com/sites/CoW_FRLP/ACQUISITION/COW-FRMP_TR-T159%20ROE%20Right-of-Entry%20Package.pdf" TargetMode="External"/><Relationship Id="rId975" Type="http://schemas.openxmlformats.org/officeDocument/2006/relationships/hyperlink" Target="https://share.hdrinc.com/sites/CoW_FRLP/ACQUISITION/COW-FRMP_TR-T261%20CONTACT%20Negotiator%20Report.docx" TargetMode="External"/><Relationship Id="rId1160" Type="http://schemas.openxmlformats.org/officeDocument/2006/relationships/hyperlink" Target="https://share.hdrinc.com/sites/CoW_FRLP/_layouts/DocIdRedir.aspx?ID=COWFRLPHDR-5-201" TargetMode="External"/><Relationship Id="rId1398" Type="http://schemas.openxmlformats.org/officeDocument/2006/relationships/hyperlink" Target="https://share.hdrinc.com/sites/CoW_FRLP/_layouts/DocIdRedir.aspx?ID=COWFRLPHDR-5-1343" TargetMode="External"/><Relationship Id="rId2004" Type="http://schemas.openxmlformats.org/officeDocument/2006/relationships/hyperlink" Target="https://share.hdrinc.com/sites/CoW_FRLP/_layouts/DocIdRedir.aspx?ID=COWFRLPHDR-5-1335" TargetMode="External"/><Relationship Id="rId628" Type="http://schemas.openxmlformats.org/officeDocument/2006/relationships/hyperlink" Target="https://share.hdrinc.com/sites/CoW_FRLP/ACQUISITION/ContactRecords/COW-FRMP_TR-317%20CONTACT%20Negotiator%20Report.docx" TargetMode="External"/><Relationship Id="rId835" Type="http://schemas.openxmlformats.org/officeDocument/2006/relationships/hyperlink" Target="https://share.hdrinc.com/sites/CoW_FRLP/ACQUISITION/COW-FRMP_TR-T189%20ENVIRONMENTAL%20Right-of-Entry%20Executed.pdf" TargetMode="External"/><Relationship Id="rId1258" Type="http://schemas.openxmlformats.org/officeDocument/2006/relationships/hyperlink" Target="https://share.hdrinc.com/sites/CoW_FRLP/_layouts/DocIdRedir.aspx?ID=COWFRLPHDR-5-32" TargetMode="External"/><Relationship Id="rId1465" Type="http://schemas.openxmlformats.org/officeDocument/2006/relationships/hyperlink" Target="https://share.hdrinc.com/sites/CoW_FRLP/_layouts/DocIdRedir.aspx?ID=COWFRLPHDR-5-876" TargetMode="External"/><Relationship Id="rId1672" Type="http://schemas.openxmlformats.org/officeDocument/2006/relationships/hyperlink" Target="https://share.hdrinc.com/sites/CoW_FRLP/_layouts/DocIdRedir.aspx?ID=COWFRLPHDR-5-236" TargetMode="External"/><Relationship Id="rId1020" Type="http://schemas.openxmlformats.org/officeDocument/2006/relationships/hyperlink" Target="https://share.hdrinc.com/sites/CoW_FRLP/_layouts/DocIdRedir.aspx?ID=COWFRLPHDR-5-133" TargetMode="External"/><Relationship Id="rId1118" Type="http://schemas.openxmlformats.org/officeDocument/2006/relationships/hyperlink" Target="https://share.hdrinc.com/sites/CoW_FRLP/_layouts/DocIdRedir.aspx?ID=COWFRLPHDR-5-422" TargetMode="External"/><Relationship Id="rId1325" Type="http://schemas.openxmlformats.org/officeDocument/2006/relationships/hyperlink" Target="https://share.hdrinc.com/sites/CoW_FRLP/_layouts/DocIdRedir.aspx?ID=COWFRLPHDR-5-387" TargetMode="External"/><Relationship Id="rId1532" Type="http://schemas.openxmlformats.org/officeDocument/2006/relationships/hyperlink" Target="https://share.hdrinc.com/sites/CoW_FRLP/_layouts/DocIdRedir.aspx?ID=COWFRLPHDR-5-179" TargetMode="External"/><Relationship Id="rId1977" Type="http://schemas.openxmlformats.org/officeDocument/2006/relationships/hyperlink" Target="https://share.hdrinc.com/sites/CoW_FRLP/_layouts/DocIdRedir.aspx?ID=COWFRLPHDR-5-887" TargetMode="External"/><Relationship Id="rId902" Type="http://schemas.openxmlformats.org/officeDocument/2006/relationships/hyperlink" Target="https://share.hdrinc.com/sites/CoW_FRLP/ACQUISITION/COW-FRMP_TR-T213%20ENVIRONMENTAL%20Right-of-Entry%20Package.pdf" TargetMode="External"/><Relationship Id="rId1837" Type="http://schemas.openxmlformats.org/officeDocument/2006/relationships/hyperlink" Target="https://share.hdrinc.com/sites/CoA_Buyout_6500/_layouts/DocIdRedir.aspx?ID=COABUYOUT65-9-40" TargetMode="External"/><Relationship Id="rId31" Type="http://schemas.openxmlformats.org/officeDocument/2006/relationships/hyperlink" Target="https://share.hdrinc.com/sites/CoW_FRLP/ACQUISITION/COW-FRMP_TR-101%20TITLE%20Curative%20Plan.docx" TargetMode="External"/><Relationship Id="rId180" Type="http://schemas.openxmlformats.org/officeDocument/2006/relationships/hyperlink" Target="https://share.hdrinc.com/sites/CoW_FRLP/ACQUISITION/COW-FRMP_TR-211%20TITLE%20Commitment%20Backup%20Docs.pdf" TargetMode="External"/><Relationship Id="rId278" Type="http://schemas.openxmlformats.org/officeDocument/2006/relationships/hyperlink" Target="https://share.hdrinc.com/sites/CoW_FRLP/ACQUISITION/ContactRecords/COW-FRMP_TR-218%20CONTACT%20Negotiator%20Report.docx" TargetMode="External"/><Relationship Id="rId1904" Type="http://schemas.openxmlformats.org/officeDocument/2006/relationships/hyperlink" Target="https://share.hdrinc.com/sites/CoW_FRLP/_layouts/DocIdRedir.aspx?ID=COWFRLPHDR-5-967" TargetMode="External"/><Relationship Id="rId485" Type="http://schemas.openxmlformats.org/officeDocument/2006/relationships/hyperlink" Target="https://share.hdrinc.com/sites/CoW_FRLP/ACQUISITION/COW-FRMP_TR-308%20TITLE%20Commitment%20Backup%20Docs.pdf" TargetMode="External"/><Relationship Id="rId692" Type="http://schemas.openxmlformats.org/officeDocument/2006/relationships/hyperlink" Target="https://share.hdrinc.com/sites/CoW_FRLP/ACQUISITION/COW-FRMP_TR-421A%20APPRAISAL%20Just%20Compensation%20Approval.pdf" TargetMode="External"/><Relationship Id="rId138" Type="http://schemas.openxmlformats.org/officeDocument/2006/relationships/hyperlink" Target="https://share.hdrinc.com/sites/CoW_FRLP/ACQUISITION/COW-FRMP_TR-208%20CONTACT%20Initial%20Interview%20-%20Business.pdf" TargetMode="External"/><Relationship Id="rId345" Type="http://schemas.openxmlformats.org/officeDocument/2006/relationships/hyperlink" Target="https://share.hdrinc.com/sites/CoW_FRLP/ACQUISITION/COW-FRMP_TR-224%20TITLE%20Commitment.pdf" TargetMode="External"/><Relationship Id="rId552" Type="http://schemas.openxmlformats.org/officeDocument/2006/relationships/hyperlink" Target="https://share.hdrinc.com/sites/CoW_FRLP/ACQUISITION/COW-FRMP_TR-312%20SURVEY%20Right-of-Entry.pdf" TargetMode="External"/><Relationship Id="rId997" Type="http://schemas.openxmlformats.org/officeDocument/2006/relationships/hyperlink" Target="https://share.hdrinc.com/sites/CoW_FRLP/ACQUISITION/COW-FRMP_TR-T272%20ROE%20Right-of-Entry%20Executed.pdf" TargetMode="External"/><Relationship Id="rId1182" Type="http://schemas.openxmlformats.org/officeDocument/2006/relationships/hyperlink" Target="https://share.hdrinc.com/sites/CoW_FRLP/_layouts/DocIdRedir.aspx?ID=COWFRLPHDR-5-386" TargetMode="External"/><Relationship Id="rId2026" Type="http://schemas.openxmlformats.org/officeDocument/2006/relationships/hyperlink" Target="https://share.hdrinc.com/sites/CoW_FRLP/_layouts/DocIdRedir.aspx?ID=COWFRLPHDR-5-1121" TargetMode="External"/><Relationship Id="rId205" Type="http://schemas.openxmlformats.org/officeDocument/2006/relationships/hyperlink" Target="https://share.hdrinc.com/sites/CoW_FRLP/ACQUISITION/COW-FRMP_TR-213%20TITLE%20Commitment.pdf" TargetMode="External"/><Relationship Id="rId412" Type="http://schemas.openxmlformats.org/officeDocument/2006/relationships/hyperlink" Target="https://share.hdrinc.com/sites/CoW_FRLP/ACQUISITION/COW-FRMP_TR-303%20APPRAISAL%20Just%20Compensation%20Memo.pdf" TargetMode="External"/><Relationship Id="rId857" Type="http://schemas.openxmlformats.org/officeDocument/2006/relationships/hyperlink" Target="https://share.hdrinc.com/sites/CoW_FRLP/ACQUISITION/COW-FRMP_TR-T194%20TITLE%20Tax%20Card.pdf" TargetMode="External"/><Relationship Id="rId1042" Type="http://schemas.openxmlformats.org/officeDocument/2006/relationships/hyperlink" Target="https://share.hdrinc.com/sites/CoW_FRLP/_layouts/DocIdRedir.aspx?ID=COWFRLPHDR-5-751" TargetMode="External"/><Relationship Id="rId1487" Type="http://schemas.openxmlformats.org/officeDocument/2006/relationships/hyperlink" Target="https://share.hdrinc.com/sites/CoW_FRLP/_layouts/DocIdRedir.aspx?ID=COWFRLPHDR-5-1375" TargetMode="External"/><Relationship Id="rId1694" Type="http://schemas.openxmlformats.org/officeDocument/2006/relationships/hyperlink" Target="https://share.hdrinc.com/sites/CoW_FRLP/_layouts/DocIdRedir.aspx?ID=COWFRLPHDR-5-829" TargetMode="External"/><Relationship Id="rId717" Type="http://schemas.openxmlformats.org/officeDocument/2006/relationships/hyperlink" Target="https://share.hdrinc.com/sites/CoW_FRLP/ACQUISITION/COW-FRMP_TR-T066%20ENVIRONMENTAL%20Right-of-Entry%20Executed.pdf" TargetMode="External"/><Relationship Id="rId924" Type="http://schemas.openxmlformats.org/officeDocument/2006/relationships/hyperlink" Target="https://share.hdrinc.com/sites/CoW_FRLP/ACQUISITION/COW-FRMP_TR-T234%20ENVIRONMENTAL%20Right-of-Entry%20Executed.pdf" TargetMode="External"/><Relationship Id="rId1347" Type="http://schemas.openxmlformats.org/officeDocument/2006/relationships/hyperlink" Target="https://share.hdrinc.com/sites/CoW_FRLP/_layouts/DocIdRedir.aspx?ID=COWFRLPHDR-5-853" TargetMode="External"/><Relationship Id="rId1554" Type="http://schemas.openxmlformats.org/officeDocument/2006/relationships/hyperlink" Target="https://share.hdrinc.com/sites/CoW_FRLP/_layouts/DocIdRedir.aspx?ID=COWFRLPHDR-5-653" TargetMode="External"/><Relationship Id="rId1761" Type="http://schemas.openxmlformats.org/officeDocument/2006/relationships/hyperlink" Target="https://share.hdrinc.com/sites/CoW_FRLP/_layouts/DocIdRedir.aspx?ID=COWFRLPHDR-5-1093" TargetMode="External"/><Relationship Id="rId1999" Type="http://schemas.openxmlformats.org/officeDocument/2006/relationships/hyperlink" Target="https://share.hdrinc.com/sites/CoW_FRLP/_layouts/DocIdRedir.aspx?ID=COWFRLPHDR-5-1116" TargetMode="External"/><Relationship Id="rId53" Type="http://schemas.openxmlformats.org/officeDocument/2006/relationships/hyperlink" Target="https://share.hdrinc.com/sites/CoW_FRLP/ACQUISITION/COW-FRMP_TR-200%20TITLE%20Tax%20Card.pdf" TargetMode="External"/><Relationship Id="rId1207" Type="http://schemas.openxmlformats.org/officeDocument/2006/relationships/hyperlink" Target="https://share.hdrinc.com/sites/CoW_FRLP/_layouts/DocIdRedir.aspx?ID=COWFRLPHDR-5-1216" TargetMode="External"/><Relationship Id="rId1414" Type="http://schemas.openxmlformats.org/officeDocument/2006/relationships/hyperlink" Target="https://share.hdrinc.com/sites/CoW_FRLP/_layouts/DocIdRedir.aspx?ID=COWFRLPHDR-5-367" TargetMode="External"/><Relationship Id="rId1621" Type="http://schemas.openxmlformats.org/officeDocument/2006/relationships/hyperlink" Target="https://share.hdrinc.com/sites/CoW_FRLP/_layouts/DocIdRedir.aspx?ID=COWFRLPHDR-5-227" TargetMode="External"/><Relationship Id="rId1859" Type="http://schemas.openxmlformats.org/officeDocument/2006/relationships/hyperlink" Target="https://share.hdrinc.com/sites/CoW_FRLP/_layouts/DocIdRedir.aspx?ID=COWFRLPHDR-5-1232" TargetMode="External"/><Relationship Id="rId1719" Type="http://schemas.openxmlformats.org/officeDocument/2006/relationships/hyperlink" Target="https://share.hdrinc.com/sites/CoW_FRLP/_layouts/DocIdRedir.aspx?ID=COWFRLPHDR-5-545" TargetMode="External"/><Relationship Id="rId1926" Type="http://schemas.openxmlformats.org/officeDocument/2006/relationships/hyperlink" Target="https://share.hdrinc.com/sites/CoW_FRLP/_layouts/DocIdRedir.aspx?ID=COWFRLPHDR-5-982" TargetMode="External"/><Relationship Id="rId367" Type="http://schemas.openxmlformats.org/officeDocument/2006/relationships/hyperlink" Target="https://share.hdrinc.com/sites/CoW_FRLP/ACQUISITION/COW-FRMP_TR-231%20SURVEY%20Right-of-Entry.pdf" TargetMode="External"/><Relationship Id="rId574" Type="http://schemas.openxmlformats.org/officeDocument/2006/relationships/hyperlink" Target="https://share.hdrinc.com/sites/CoW_FRLP/ACQUISITION/COW-FRMP_TR-313%20TITLE%20Commitment%20Backup%20Docs.pdf" TargetMode="External"/><Relationship Id="rId227" Type="http://schemas.openxmlformats.org/officeDocument/2006/relationships/hyperlink" Target="https://share.hdrinc.com/sites/CoW_FRLP/ACQUISITION/COW-FRMP_TR-215%20APPRAISAL%20Just%20Compensation%20Memo.pdf" TargetMode="External"/><Relationship Id="rId781" Type="http://schemas.openxmlformats.org/officeDocument/2006/relationships/hyperlink" Target="https://share.hdrinc.com/sites/CoW_FRLP/ACQUISITION/COW-FRMP_TR-T164%20ENVIRONMENTAL%20Right-of-Entry%20Package.pdf" TargetMode="External"/><Relationship Id="rId879" Type="http://schemas.openxmlformats.org/officeDocument/2006/relationships/hyperlink" Target="https://share.hdrinc.com/sites/CoW_FRLP/ACQUISITION/COW-FRMP_TR-T206%20ENVIRONMENTAL%20Right-of-Entry%20Executed.pdf" TargetMode="External"/><Relationship Id="rId434" Type="http://schemas.openxmlformats.org/officeDocument/2006/relationships/hyperlink" Target="https://share.hdrinc.com/sites/CoW_FRLP/ACQUISITION/COW-FRMP_TR-304%20NEGOTIATION%20Landowner%20Bill%20of%20Rights%20Letter.pdf" TargetMode="External"/><Relationship Id="rId641" Type="http://schemas.openxmlformats.org/officeDocument/2006/relationships/hyperlink" Target="https://share.hdrinc.com/sites/CoW_FRLP/ACQUISITION/COW-FRMP_TR-319%20CONTACT%20Letter%20of%20Intent-HDR.pdf" TargetMode="External"/><Relationship Id="rId739" Type="http://schemas.openxmlformats.org/officeDocument/2006/relationships/hyperlink" Target="https://share.hdrinc.com/sites/CoW_FRLP/ACQUISITION/COW-FRMP_TR-T070%20ENVIRONMENTAL%20Right-of-Entry%20Package.pdf" TargetMode="External"/><Relationship Id="rId1064" Type="http://schemas.openxmlformats.org/officeDocument/2006/relationships/hyperlink" Target="https://share.hdrinc.com/sites/CoW_FRLP/_layouts/DocIdRedir.aspx?ID=COWFRLPHDR-5-216" TargetMode="External"/><Relationship Id="rId1271" Type="http://schemas.openxmlformats.org/officeDocument/2006/relationships/hyperlink" Target="https://share.hdrinc.com/sites/CoW_FRLP/_layouts/DocIdRedir.aspx?ID=COWFRLPHDR-5-43" TargetMode="External"/><Relationship Id="rId1369" Type="http://schemas.openxmlformats.org/officeDocument/2006/relationships/hyperlink" Target="https://share.hdrinc.com/sites/CoW_FRLP/_layouts/DocIdRedir.aspx?ID=COWFRLPHDR-5-809" TargetMode="External"/><Relationship Id="rId1576" Type="http://schemas.openxmlformats.org/officeDocument/2006/relationships/hyperlink" Target="https://share.hdrinc.com/sites/CoW_FRLP/_layouts/DocIdRedir.aspx?ID=COWFRLPHDR-5-96" TargetMode="External"/><Relationship Id="rId501" Type="http://schemas.openxmlformats.org/officeDocument/2006/relationships/hyperlink" Target="https://share.hdrinc.com/sites/CoW_FRLP/ACQUISITION/COW-FRMP_TR-309%20NEGOTIATION%20Landowner%20Bill%20of%20Rights%20Letter.pdf" TargetMode="External"/><Relationship Id="rId946" Type="http://schemas.openxmlformats.org/officeDocument/2006/relationships/hyperlink" Target="https://share.hdrinc.com/sites/CoW_FRLP/ACQUISITION/COW-FRMP_TR-T241%20ROE%20Right-of-Entry%20Package.pdf" TargetMode="External"/><Relationship Id="rId1131" Type="http://schemas.openxmlformats.org/officeDocument/2006/relationships/hyperlink" Target="https://share.hdrinc.com/sites/CoW_FRLP/_layouts/DocIdRedir.aspx?ID=COWFRLPHDR-5-1214" TargetMode="External"/><Relationship Id="rId1229" Type="http://schemas.openxmlformats.org/officeDocument/2006/relationships/hyperlink" Target="https://share.hdrinc.com/sites/CoW_FRLP/_layouts/DocIdRedir.aspx?ID=COWFRLPHDR-5-501" TargetMode="External"/><Relationship Id="rId1783" Type="http://schemas.openxmlformats.org/officeDocument/2006/relationships/hyperlink" Target="https://share.hdrinc.com/sites/CoW_FRLP/_layouts/DocIdRedir.aspx?ID=COWFRLPHDR-5-906" TargetMode="External"/><Relationship Id="rId1990" Type="http://schemas.openxmlformats.org/officeDocument/2006/relationships/hyperlink" Target="https://share.hdrinc.com/sites/CoW_FRLP/_layouts/DocIdRedir.aspx?ID=COWFRLPHDR-5-892" TargetMode="External"/><Relationship Id="rId75" Type="http://schemas.openxmlformats.org/officeDocument/2006/relationships/hyperlink" Target="https://share.hdrinc.com/sites/CoW_FRLP/ACQUISITION/COW-FRMP_TR-202%20NEGOTIATION%20Initial%20Offer%20Package%20CMRR.pdf" TargetMode="External"/><Relationship Id="rId806" Type="http://schemas.openxmlformats.org/officeDocument/2006/relationships/hyperlink" Target="https://share.hdrinc.com/sites/CoW_FRLP/ACQUISITION/COW-FRMP_TR-T182%20ROE%20Right-of-Entry%20Package.pdf" TargetMode="External"/><Relationship Id="rId1436" Type="http://schemas.openxmlformats.org/officeDocument/2006/relationships/hyperlink" Target="https://share.hdrinc.com/sites/CoW_FRLP/_layouts/DocIdRedir.aspx?ID=COWFRLPHDR-5-642" TargetMode="External"/><Relationship Id="rId1643" Type="http://schemas.openxmlformats.org/officeDocument/2006/relationships/hyperlink" Target="https://share.hdrinc.com/sites/CoW_FRLP/_layouts/DocIdRedir.aspx?ID=COWFRLPHDR-5-805" TargetMode="External"/><Relationship Id="rId1850" Type="http://schemas.openxmlformats.org/officeDocument/2006/relationships/hyperlink" Target="https://share.hdrinc.com/sites/CoW_FRLP/_layouts/DocIdRedir.aspx?ID=COWFRLPHDR-5-1129" TargetMode="External"/><Relationship Id="rId1503" Type="http://schemas.openxmlformats.org/officeDocument/2006/relationships/hyperlink" Target="https://share.hdrinc.com/sites/CoW_FRLP/_layouts/DocIdRedir.aspx?ID=COWFRLPHDR-5-1273" TargetMode="External"/><Relationship Id="rId1710" Type="http://schemas.openxmlformats.org/officeDocument/2006/relationships/hyperlink" Target="https://share.hdrinc.com/sites/CoW_FRLP/_layouts/DocIdRedir.aspx?ID=COWFRLPHDR-5-379" TargetMode="External"/><Relationship Id="rId1948" Type="http://schemas.openxmlformats.org/officeDocument/2006/relationships/hyperlink" Target="https://share.hdrinc.com/sites/CoW_FRLP/_layouts/DocIdRedir.aspx?ID=COWFRLPHDR-5-1126" TargetMode="External"/><Relationship Id="rId291" Type="http://schemas.openxmlformats.org/officeDocument/2006/relationships/hyperlink" Target="https://share.hdrinc.com/sites/CoW_FRLP/ACQUISITION/ContactRecords/COW-FRMP_TR-219%20CONTACT%20Negotiator%20Report.docx" TargetMode="External"/><Relationship Id="rId1808" Type="http://schemas.openxmlformats.org/officeDocument/2006/relationships/hyperlink" Target="https://share.hdrinc.com/sites/CoW_FRLP/_layouts/DocIdRedir.aspx?ID=COWFRLPHDR-5-924" TargetMode="External"/><Relationship Id="rId151" Type="http://schemas.openxmlformats.org/officeDocument/2006/relationships/hyperlink" Target="https://share.hdrinc.com/sites/CoW_FRLP/ACQUISITION/COW-FRMP_TR-208%20TITLE%20Tax%20Card.pdf" TargetMode="External"/><Relationship Id="rId389" Type="http://schemas.openxmlformats.org/officeDocument/2006/relationships/hyperlink" Target="https://share.hdrinc.com/sites/CoW_FRLP/ACQUISITION/COW-FRMP_TR-301%20NEGOTIATION%20Landowner%20Bill%20of%20Rights%20Letter.pdf" TargetMode="External"/><Relationship Id="rId596" Type="http://schemas.openxmlformats.org/officeDocument/2006/relationships/hyperlink" Target="https://share.hdrinc.com/sites/CoW_FRLP/ACQUISITION/COW-FRMP_TR-315%20CONTACT%20Initial%20Interview%20-%20Residential.pdf" TargetMode="External"/><Relationship Id="rId249" Type="http://schemas.openxmlformats.org/officeDocument/2006/relationships/hyperlink" Target="https://share.hdrinc.com/sites/CoW_FRLP/ACQUISITION/COW-FRMP_TR-216%20APPRAISAL%20Just%20Compensation%20Memo.pdf" TargetMode="External"/><Relationship Id="rId456" Type="http://schemas.openxmlformats.org/officeDocument/2006/relationships/hyperlink" Target="https://share.hdrinc.com/sites/CoW_FRLP/ACQUISITION/COW-FRMP_TR-305%20TITLE%20Curative%20Plan.docx" TargetMode="External"/><Relationship Id="rId663" Type="http://schemas.openxmlformats.org/officeDocument/2006/relationships/hyperlink" Target="https://share.hdrinc.com/sites/CoW_FRLP/ACQUISITION/ContactRecords/COW-FRMP_TR-321%20CONTACT%20Negotiator%20Report.docx" TargetMode="External"/><Relationship Id="rId870" Type="http://schemas.openxmlformats.org/officeDocument/2006/relationships/hyperlink" Target="https://share.hdrinc.com/sites/CoW_FRLP/ACQUISITION/COW-FRMP_TR-T200%20ENVIRONMENTAL%20Right-of-Entry%20Package.pdf" TargetMode="External"/><Relationship Id="rId1086" Type="http://schemas.openxmlformats.org/officeDocument/2006/relationships/hyperlink" Target="https://share.hdrinc.com/sites/CoW_FRLP/_layouts/DocIdRedir.aspx?ID=COWFRLPHDR-5-708" TargetMode="External"/><Relationship Id="rId1293" Type="http://schemas.openxmlformats.org/officeDocument/2006/relationships/hyperlink" Target="https://share.hdrinc.com/sites/CoW_FRLP/_layouts/DocIdRedir.aspx?ID=COWFRLPHDR-5-433" TargetMode="External"/><Relationship Id="rId109" Type="http://schemas.openxmlformats.org/officeDocument/2006/relationships/hyperlink" Target="https://share.hdrinc.com/sites/CoW_FRLP/ACQUISITION/COW-FRMP_TR-205%20TITLE%20Commitment.pdf" TargetMode="External"/><Relationship Id="rId316" Type="http://schemas.openxmlformats.org/officeDocument/2006/relationships/hyperlink" Target="https://share.hdrinc.com/sites/CoW_FRLP/ACQUISITION/COW-FRMP_TR-222%20APPRAISAL%20USACOE%20Authorization%20to%20Proceed%20with%20Offer.pdf" TargetMode="External"/><Relationship Id="rId523" Type="http://schemas.openxmlformats.org/officeDocument/2006/relationships/hyperlink" Target="https://share.hdrinc.com/sites/CoW_FRLP/ACQUISITION/COW-FRMP_TR-311%20APPRAISAL%20Appraisal%20Review.pdf" TargetMode="External"/><Relationship Id="rId968" Type="http://schemas.openxmlformats.org/officeDocument/2006/relationships/hyperlink" Target="https://share.hdrinc.com/sites/CoW_FRLP/ACQUISITION/COW-FRMP_TR-T256%20TITLE%20Tax%20Card.pdf" TargetMode="External"/><Relationship Id="rId1153" Type="http://schemas.openxmlformats.org/officeDocument/2006/relationships/hyperlink" Target="https://share.hdrinc.com/sites/CoW_FRLP/_layouts/DocIdRedir.aspx?ID=COWFRLPHDR-5-754" TargetMode="External"/><Relationship Id="rId1598" Type="http://schemas.openxmlformats.org/officeDocument/2006/relationships/hyperlink" Target="https://share.hdrinc.com/sites/CoW_FRLP/_layouts/DocIdRedir.aspx?ID=COWFRLPHDR-5-775" TargetMode="External"/><Relationship Id="rId97" Type="http://schemas.openxmlformats.org/officeDocument/2006/relationships/hyperlink" Target="https://share.hdrinc.com/sites/CoW_FRLP/ACQUISITION/COW-FRMP_TR-205%20APPRAISAL%20USACOE%20Authorization%20to%20Proceed%20with%20Offer.pdf" TargetMode="External"/><Relationship Id="rId730" Type="http://schemas.openxmlformats.org/officeDocument/2006/relationships/hyperlink" Target="https://share.hdrinc.com/sites/CoW_FRLP/ACQUISITION/COW-FRMP_TR-T068%20ROE%20Right-of-Entry%20Executed.pdf" TargetMode="External"/><Relationship Id="rId828" Type="http://schemas.openxmlformats.org/officeDocument/2006/relationships/hyperlink" Target="https://share.hdrinc.com/sites/CoW_FRLP/ACQUISITION/COW-FRMP_TR-T187%20TITLE%20Tax%20Card.pdf" TargetMode="External"/><Relationship Id="rId1013" Type="http://schemas.openxmlformats.org/officeDocument/2006/relationships/hyperlink" Target="https://share.hdrinc.com/sites/CoW_FRLP/ACQUISITION/COW-FRMP_TR-T281%20ROE%20Right-of-Entry%20Package.pdf" TargetMode="External"/><Relationship Id="rId1360" Type="http://schemas.openxmlformats.org/officeDocument/2006/relationships/hyperlink" Target="https://share.hdrinc.com/sites/CoW_FRLP/_layouts/DocIdRedir.aspx?ID=COWFRLPHDR-5-401" TargetMode="External"/><Relationship Id="rId1458" Type="http://schemas.openxmlformats.org/officeDocument/2006/relationships/hyperlink" Target="https://share.hdrinc.com/sites/CoW_FRLP/_layouts/DocIdRedir.aspx?ID=COWFRLPHDR-5-1229" TargetMode="External"/><Relationship Id="rId1665" Type="http://schemas.openxmlformats.org/officeDocument/2006/relationships/hyperlink" Target="https://share.hdrinc.com/sites/CoW_FRLP/_layouts/DocIdRedir.aspx?ID=COWFRLPHDR-5-563" TargetMode="External"/><Relationship Id="rId1872" Type="http://schemas.openxmlformats.org/officeDocument/2006/relationships/hyperlink" Target="https://share.hdrinc.com/sites/CoW_FRLP/_layouts/DocIdRedir.aspx?ID=COWFRLPHDR-5-1029" TargetMode="External"/></Relationships>
</file>

<file path=xl/worksheets/_rels/sheet7.xml.rels><?xml version="1.0" encoding="UTF-8" standalone="yes"?>
<Relationships xmlns="http://schemas.openxmlformats.org/package/2006/relationships"><Relationship Id="rId2" Type="http://schemas.openxmlformats.org/officeDocument/2006/relationships/table" Target="../tables/table3.xml"/><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2" Type="http://schemas.openxmlformats.org/officeDocument/2006/relationships/table" Target="../tables/table4.xml"/><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2" Type="http://schemas.openxmlformats.org/officeDocument/2006/relationships/table" Target="../tables/table5.xml"/><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2" Type="http://schemas.openxmlformats.org/officeDocument/2006/relationships/table" Target="../tables/table6.xml"/><Relationship Id="rId1" Type="http://schemas.openxmlformats.org/officeDocument/2006/relationships/printerSettings" Target="../printerSettings/printerSettings10.bin"/></Relationships>
</file>

<file path=xl/worksheets/_rels/sheet11.xml.rels><?xml version="1.0" encoding="UTF-8" standalone="yes"?>
<Relationships xmlns="http://schemas.openxmlformats.org/package/2006/relationships"><Relationship Id="rId1" Type="http://schemas.openxmlformats.org/officeDocument/2006/relationships/table" Target="../tables/table7.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tabColor theme="2" tint="-0.249977111117893"/>
  </sheetPr>
  <dimension ref="B2:F31"/>
  <sheetViews>
    <sheetView workbookViewId="0">
      <selection activeCell="C6" sqref="C6"/>
    </sheetView>
  </sheetViews>
  <sheetFormatPr defaultRowHeight="12.75" x14ac:dyDescent="0.2"/>
  <cols>
    <col min="1" max="1" width="6" customWidth="1"/>
    <col min="2" max="2" width="45.140625" customWidth="1"/>
    <col min="3" max="3" width="94.140625" customWidth="1"/>
    <col min="4" max="4" width="4" customWidth="1"/>
  </cols>
  <sheetData>
    <row r="2" spans="2:6" ht="25.5" x14ac:dyDescent="0.2">
      <c r="B2" s="27" t="s">
        <v>1399</v>
      </c>
      <c r="C2" s="28" t="s">
        <v>3315</v>
      </c>
      <c r="D2" s="29"/>
      <c r="E2" s="29"/>
      <c r="F2" s="29"/>
    </row>
    <row r="3" spans="2:6" ht="15" x14ac:dyDescent="0.2">
      <c r="B3" s="30"/>
      <c r="C3" s="31"/>
      <c r="D3" s="29"/>
      <c r="E3" s="29"/>
      <c r="F3" s="29"/>
    </row>
    <row r="4" spans="2:6" ht="38.25" x14ac:dyDescent="0.2">
      <c r="B4" s="27" t="s">
        <v>1125</v>
      </c>
      <c r="C4" s="32" t="s">
        <v>2681</v>
      </c>
      <c r="D4" s="29"/>
      <c r="E4" s="94" t="s">
        <v>1126</v>
      </c>
      <c r="F4" s="29"/>
    </row>
    <row r="5" spans="2:6" ht="15" x14ac:dyDescent="0.2">
      <c r="B5" s="30"/>
      <c r="C5" s="31"/>
      <c r="D5" s="29"/>
      <c r="E5" s="95"/>
      <c r="F5" s="29"/>
    </row>
    <row r="6" spans="2:6" ht="39.75" customHeight="1" x14ac:dyDescent="0.2">
      <c r="B6" s="33" t="s">
        <v>1127</v>
      </c>
      <c r="C6" s="34" t="str">
        <f>CONCATENATE("COW-FRMP_TR-",C2," ",C4)</f>
        <v>COW-FRMP_TR-231 ENVIRONMENTAL Right-of-Entry Executed</v>
      </c>
      <c r="D6" s="29"/>
      <c r="E6" s="96">
        <f>COUNTIFS(SP_ACQ_Lib[AcqNum_DocType],CONCATENATE($C$2,"_",$C$4))</f>
        <v>1</v>
      </c>
      <c r="F6" s="29"/>
    </row>
    <row r="7" spans="2:6" x14ac:dyDescent="0.2">
      <c r="B7" s="35"/>
      <c r="C7" s="36"/>
      <c r="D7" s="29"/>
      <c r="E7" s="29"/>
      <c r="F7" s="29"/>
    </row>
    <row r="8" spans="2:6" ht="15.75" x14ac:dyDescent="0.2">
      <c r="B8" s="37" t="s">
        <v>1258</v>
      </c>
      <c r="C8" s="39" t="str">
        <f>INDEX(SP_AcqTract_DB[#Data],MATCH($C$2,SP_AcqTract_DB[Acquisition Tract No.],0),MATCH($B8,SP_AcqTract_DB[#Headers],0))</f>
        <v>R023656;#170</v>
      </c>
      <c r="D8" s="29"/>
      <c r="E8" s="29"/>
      <c r="F8" s="29"/>
    </row>
    <row r="9" spans="2:6" ht="15.75" x14ac:dyDescent="0.2">
      <c r="B9" s="37" t="s">
        <v>1</v>
      </c>
      <c r="C9" s="39" t="str">
        <f>INDEX(SP_AcqTract_DB[#Data],MATCH($C$2,SP_AcqTract_DB[Acquisition Tract No.],0),MATCH($B9,SP_AcqTract_DB[#Headers],0))</f>
        <v>City of Wharton</v>
      </c>
      <c r="D9" s="29"/>
      <c r="E9" s="29"/>
      <c r="F9" s="29"/>
    </row>
    <row r="10" spans="2:6" ht="14.25" x14ac:dyDescent="0.2">
      <c r="B10" s="37" t="s">
        <v>1128</v>
      </c>
      <c r="C10" s="40" t="s">
        <v>1007</v>
      </c>
      <c r="D10" s="29"/>
      <c r="E10" s="29"/>
      <c r="F10" s="29"/>
    </row>
    <row r="11" spans="2:6" ht="15" x14ac:dyDescent="0.2">
      <c r="B11" s="37" t="s">
        <v>3362</v>
      </c>
      <c r="C11" s="38" t="str">
        <f>INDEX(SP_AcqTract_DB[#Data],MATCH($C$2,SP_AcqTract_DB[Acquisition Tract No.],0),MATCH($B11,SP_AcqTract_DB[#Headers],0))</f>
        <v>COW-FRMP_TR-231</v>
      </c>
      <c r="D11" s="29"/>
      <c r="E11" s="29"/>
      <c r="F11" s="29"/>
    </row>
    <row r="12" spans="2:6" ht="14.25" x14ac:dyDescent="0.2">
      <c r="B12" s="37" t="s">
        <v>68</v>
      </c>
      <c r="C12" s="41" t="str">
        <f>INDEX(SP_AcqTract_DB[#Data],MATCH($C$2,SP_AcqTract_DB[Acquisition Tract No.],0),MATCH($B12,SP_AcqTract_DB[#Headers],0))</f>
        <v>Active</v>
      </c>
      <c r="D12" s="29"/>
      <c r="E12" s="29"/>
      <c r="F12" s="29"/>
    </row>
    <row r="13" spans="2:6" ht="14.25" x14ac:dyDescent="0.2">
      <c r="B13" s="37" t="s">
        <v>69</v>
      </c>
      <c r="C13" s="40" t="str">
        <f>INDEX(SP_AcqTract_DB[#Data],MATCH($C$2,SP_AcqTract_DB[Acquisition Tract No.],0),MATCH($B13,SP_AcqTract_DB[#Headers],0))</f>
        <v>Levee Esmt</v>
      </c>
      <c r="D13" s="29"/>
      <c r="E13" s="29"/>
      <c r="F13" s="29"/>
    </row>
    <row r="14" spans="2:6" x14ac:dyDescent="0.2">
      <c r="B14" s="42"/>
      <c r="C14" s="43"/>
      <c r="D14" s="29"/>
      <c r="E14" s="29"/>
      <c r="F14" s="29"/>
    </row>
    <row r="19" spans="2:5" ht="25.5" x14ac:dyDescent="0.2">
      <c r="B19" s="105" t="s">
        <v>2688</v>
      </c>
      <c r="C19" s="28" t="s">
        <v>2721</v>
      </c>
    </row>
    <row r="20" spans="2:5" ht="15" x14ac:dyDescent="0.2">
      <c r="B20" s="98"/>
      <c r="C20" s="99"/>
    </row>
    <row r="21" spans="2:5" ht="38.25" x14ac:dyDescent="0.2">
      <c r="B21" s="105" t="s">
        <v>1125</v>
      </c>
      <c r="C21" s="32" t="s">
        <v>4751</v>
      </c>
      <c r="E21" s="94" t="s">
        <v>1126</v>
      </c>
    </row>
    <row r="22" spans="2:5" ht="15" x14ac:dyDescent="0.2">
      <c r="B22" s="98"/>
      <c r="C22" s="99"/>
      <c r="E22" s="95"/>
    </row>
    <row r="23" spans="2:5" ht="33" customHeight="1" x14ac:dyDescent="0.2">
      <c r="B23" s="106" t="s">
        <v>1127</v>
      </c>
      <c r="C23" s="34" t="str">
        <f>CONCATENATE("COW-FRMP_TR-",C19," ",C21)</f>
        <v>COW-FRMP_TR-001 APPRAISAL Appraisal Review</v>
      </c>
      <c r="E23" s="96">
        <f>COUNTIFS(SP_ACQ_Lib[AcqNum_DocType],CONCATENATE($C$2,"_",$C$4))</f>
        <v>1</v>
      </c>
    </row>
    <row r="24" spans="2:5" x14ac:dyDescent="0.2">
      <c r="B24" s="100"/>
      <c r="C24" s="101"/>
    </row>
    <row r="25" spans="2:5" ht="15.75" x14ac:dyDescent="0.2">
      <c r="B25" s="104" t="s">
        <v>1258</v>
      </c>
      <c r="C25" s="107" t="str">
        <f>INDEX(SP_AcqTract_DB[#Data],MATCH($C$19,SP_EnvTract_DB[Environmental Tract No.],0),MATCH($B25,SP_AcqTract_DB[#Headers],0))</f>
        <v>R068875;#1;#R068876;#306</v>
      </c>
    </row>
    <row r="26" spans="2:5" ht="15.75" x14ac:dyDescent="0.2">
      <c r="B26" s="104" t="s">
        <v>1</v>
      </c>
      <c r="C26" s="107" t="str">
        <f>INDEX(SP_AcqTract_DB[#Data],MATCH($C$19,SP_EnvTract_DB[Environmental Tract No.],0),MATCH($B26,SP_AcqTract_DB[#Headers],0))</f>
        <v>Lloyd G Rust Jr Family Limited Partnership, and TM Rust Family, LLC</v>
      </c>
    </row>
    <row r="27" spans="2:5" ht="14.25" x14ac:dyDescent="0.2">
      <c r="B27" s="104" t="s">
        <v>1128</v>
      </c>
      <c r="C27" s="108" t="s">
        <v>1007</v>
      </c>
    </row>
    <row r="28" spans="2:5" ht="15" x14ac:dyDescent="0.2">
      <c r="B28" s="104" t="s">
        <v>3362</v>
      </c>
      <c r="C28" s="109" t="str">
        <f>INDEX(SP_AcqTract_DB[#Data],MATCH($C$19,SP_EnvTract_DB[Environmental Tract No.],0),MATCH($B28,SP_AcqTract_DB[#Headers],0))</f>
        <v>COW-FRMP_TR-100</v>
      </c>
    </row>
    <row r="29" spans="2:5" ht="14.25" x14ac:dyDescent="0.2">
      <c r="B29" s="104" t="s">
        <v>68</v>
      </c>
      <c r="C29" s="110" t="str">
        <f>INDEX(SP_AcqTract_DB[#Data],MATCH($C$19,SP_EnvTract_DB[Environmental Tract No.],0),MATCH($B29,SP_AcqTract_DB[#Headers],0))</f>
        <v>Active</v>
      </c>
    </row>
    <row r="30" spans="2:5" ht="14.25" x14ac:dyDescent="0.2">
      <c r="B30" s="104" t="s">
        <v>69</v>
      </c>
      <c r="C30" s="108" t="str">
        <f>INDEX(SP_AcqTract_DB[#Data],MATCH($C$19,SP_EnvTract_DB[Environmental Tract No.],0),MATCH($B30,SP_AcqTract_DB[#Headers],0))</f>
        <v>Sump Esmt/Levee Esmt/TCE</v>
      </c>
    </row>
    <row r="31" spans="2:5" x14ac:dyDescent="0.2">
      <c r="B31" s="102"/>
      <c r="C31" s="103"/>
    </row>
  </sheetData>
  <sheetProtection sheet="1" objects="1" scenarios="1"/>
  <pageMargins left="0.7" right="0.7" top="0.75" bottom="0.75" header="0.3" footer="0.3"/>
  <pageSetup orientation="portrait" verticalDpi="0" r:id="rId1"/>
  <extLst>
    <ext xmlns:x14="http://schemas.microsoft.com/office/spreadsheetml/2009/9/main" uri="{CCE6A557-97BC-4b89-ADB6-D9C93CAAB3DF}">
      <x14:dataValidations xmlns:xm="http://schemas.microsoft.com/office/excel/2006/main" count="4">
        <x14:dataValidation type="list" showErrorMessage="1" promptTitle="   SELECT" prompt="Parcel Number">
          <x14:formula1>
            <xm:f>'SP EnvTract DB'!$A$2:$A$127</xm:f>
          </x14:formula1>
          <xm:sqref>C19</xm:sqref>
        </x14:dataValidation>
        <x14:dataValidation type="list" showErrorMessage="1" promptTitle="   SELECT" prompt="Parcel Number">
          <x14:formula1>
            <xm:f>'SP AcqTract DB'!$A$2:$A$140</xm:f>
          </x14:formula1>
          <xm:sqref>C2</xm:sqref>
        </x14:dataValidation>
        <x14:dataValidation type="list" allowBlank="1" showErrorMessage="1" promptTitle="   SELECT" prompt="Document Type">
          <x14:formula1>
            <xm:f>'SP ACQ DocType'!$A$2:$A$38</xm:f>
          </x14:formula1>
          <xm:sqref>C4</xm:sqref>
        </x14:dataValidation>
        <x14:dataValidation type="list" allowBlank="1" showErrorMessage="1" promptTitle="   SELECT" prompt="Document Type">
          <x14:formula1>
            <xm:f>'SP ACQ DocType'!$A$2:$A$38</xm:f>
          </x14:formula1>
          <xm:sqref>C21</xm:sqref>
        </x14:dataValidation>
      </x14:dataValidation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3" tint="0.39997558519241921"/>
    <pageSetUpPr autoPageBreaks="0"/>
  </sheetPr>
  <dimension ref="A1:AL131"/>
  <sheetViews>
    <sheetView showZeros="0" zoomScaleNormal="100" workbookViewId="0">
      <pane xSplit="1" ySplit="5" topLeftCell="B108" activePane="bottomRight" state="frozen"/>
      <selection activeCell="A141" sqref="A141"/>
      <selection pane="topRight" activeCell="A141" sqref="A141"/>
      <selection pane="bottomLeft" activeCell="A141" sqref="A141"/>
      <selection pane="bottomRight" activeCell="D29" sqref="D29"/>
    </sheetView>
  </sheetViews>
  <sheetFormatPr defaultRowHeight="12.75" outlineLevelRow="1" outlineLevelCol="1" x14ac:dyDescent="0.2"/>
  <cols>
    <col min="1" max="1" width="12.140625" customWidth="1"/>
    <col min="2" max="2" width="9.42578125" customWidth="1"/>
    <col min="3" max="3" width="6.85546875" customWidth="1"/>
    <col min="4" max="4" width="21.140625" customWidth="1"/>
    <col min="5" max="5" width="20.5703125" customWidth="1"/>
    <col min="6" max="6" width="9.5703125" customWidth="1"/>
    <col min="7" max="7" width="9.5703125" hidden="1" customWidth="1" outlineLevel="1"/>
    <col min="8" max="8" width="5.5703125" hidden="1" customWidth="1" outlineLevel="1"/>
    <col min="9" max="9" width="14.5703125" hidden="1" customWidth="1" outlineLevel="1"/>
    <col min="10" max="10" width="9.5703125" hidden="1" customWidth="1" outlineLevel="1"/>
    <col min="11" max="11" width="15.42578125" hidden="1" customWidth="1" outlineLevel="1"/>
    <col min="12" max="12" width="8.5703125" hidden="1" customWidth="1" outlineLevel="1"/>
    <col min="13" max="13" width="6.5703125" hidden="1" customWidth="1" outlineLevel="1"/>
    <col min="14" max="14" width="9.85546875" hidden="1" customWidth="1" outlineLevel="1"/>
    <col min="15" max="15" width="8.140625" hidden="1" customWidth="1" outlineLevel="1"/>
    <col min="16" max="16" width="5.42578125" hidden="1" customWidth="1" outlineLevel="1"/>
    <col min="17" max="17" width="6.5703125" hidden="1" customWidth="1" outlineLevel="1"/>
    <col min="18" max="18" width="10.42578125" hidden="1" customWidth="1" outlineLevel="1"/>
    <col min="19" max="19" width="6.42578125" hidden="1" customWidth="1" outlineLevel="1"/>
    <col min="20" max="20" width="7.42578125" hidden="1" customWidth="1" outlineLevel="1"/>
    <col min="21" max="22" width="9.5703125" hidden="1" customWidth="1" outlineLevel="1"/>
    <col min="23" max="23" width="9.42578125" hidden="1" customWidth="1" outlineLevel="1"/>
    <col min="24" max="24" width="7.140625" hidden="1" customWidth="1" outlineLevel="1"/>
    <col min="25" max="25" width="4.42578125" customWidth="1" collapsed="1"/>
    <col min="26" max="26" width="7.42578125" customWidth="1"/>
    <col min="27" max="27" width="9.42578125" hidden="1" customWidth="1" outlineLevel="1"/>
    <col min="28" max="28" width="10.140625" customWidth="1" collapsed="1"/>
    <col min="29" max="29" width="15" customWidth="1" outlineLevel="1"/>
    <col min="30" max="30" width="15.140625" customWidth="1" outlineLevel="1"/>
    <col min="31" max="31" width="12.85546875" customWidth="1" outlineLevel="1"/>
    <col min="32" max="32" width="9" customWidth="1"/>
    <col min="33" max="34" width="12.140625" hidden="1" customWidth="1" outlineLevel="1"/>
    <col min="35" max="35" width="8.5703125" hidden="1" customWidth="1" outlineLevel="1"/>
    <col min="36" max="36" width="6" customWidth="1" collapsed="1"/>
    <col min="38" max="38" width="21" bestFit="1" customWidth="1"/>
  </cols>
  <sheetData>
    <row r="1" spans="1:38" ht="34.5" hidden="1" customHeight="1" outlineLevel="1" x14ac:dyDescent="0.2">
      <c r="Y1" s="66"/>
      <c r="Z1" s="77" t="s">
        <v>624</v>
      </c>
      <c r="AA1" s="76" t="s">
        <v>618</v>
      </c>
      <c r="AB1" s="76" t="s">
        <v>1067</v>
      </c>
      <c r="AC1" s="76" t="s">
        <v>2686</v>
      </c>
      <c r="AD1" s="76" t="s">
        <v>2681</v>
      </c>
      <c r="AE1" s="76" t="s">
        <v>1403</v>
      </c>
      <c r="AF1" s="76" t="s">
        <v>1149</v>
      </c>
      <c r="AG1" s="76" t="s">
        <v>614</v>
      </c>
      <c r="AH1" s="76" t="s">
        <v>616</v>
      </c>
      <c r="AI1" s="76" t="s">
        <v>617</v>
      </c>
      <c r="AJ1" s="82" t="s">
        <v>1147</v>
      </c>
    </row>
    <row r="2" spans="1:38" ht="28.5" hidden="1" customHeight="1" outlineLevel="1" x14ac:dyDescent="0.2">
      <c r="A2" s="143" t="s">
        <v>2689</v>
      </c>
      <c r="B2" s="145" t="s">
        <v>6</v>
      </c>
      <c r="C2" s="145" t="s">
        <v>70</v>
      </c>
      <c r="D2" s="145" t="s">
        <v>2719</v>
      </c>
      <c r="E2" s="145" t="s">
        <v>2720</v>
      </c>
      <c r="F2" s="149" t="s">
        <v>68</v>
      </c>
      <c r="G2" s="149" t="s">
        <v>69</v>
      </c>
      <c r="H2" s="149" t="s">
        <v>9</v>
      </c>
      <c r="I2" s="149" t="s">
        <v>1</v>
      </c>
      <c r="J2" s="149" t="s">
        <v>71</v>
      </c>
      <c r="K2" s="149" t="s">
        <v>1295</v>
      </c>
      <c r="L2" s="149" t="s">
        <v>2</v>
      </c>
      <c r="M2" s="149" t="s">
        <v>1733</v>
      </c>
      <c r="N2" s="149" t="s">
        <v>1296</v>
      </c>
      <c r="O2" s="149" t="s">
        <v>1389</v>
      </c>
      <c r="P2" s="149" t="s">
        <v>10</v>
      </c>
      <c r="Q2" s="149" t="s">
        <v>11</v>
      </c>
      <c r="R2" s="149" t="s">
        <v>1388</v>
      </c>
      <c r="S2" s="149" t="s">
        <v>16</v>
      </c>
      <c r="T2" s="149" t="s">
        <v>15</v>
      </c>
      <c r="U2" s="149" t="s">
        <v>12</v>
      </c>
      <c r="V2" s="149" t="s">
        <v>13</v>
      </c>
      <c r="W2" s="149" t="s">
        <v>14</v>
      </c>
      <c r="X2" s="149" t="s">
        <v>8</v>
      </c>
      <c r="Y2" s="150" t="s">
        <v>7</v>
      </c>
      <c r="Z2" s="79" t="s">
        <v>1734</v>
      </c>
      <c r="AA2" s="75" t="s">
        <v>1734</v>
      </c>
      <c r="AB2" s="75" t="s">
        <v>19</v>
      </c>
      <c r="AC2" s="75" t="s">
        <v>1734</v>
      </c>
      <c r="AD2" s="75" t="s">
        <v>1734</v>
      </c>
      <c r="AE2" s="75" t="s">
        <v>1734</v>
      </c>
      <c r="AF2" s="75" t="s">
        <v>585</v>
      </c>
      <c r="AG2" s="75" t="s">
        <v>1734</v>
      </c>
      <c r="AH2" s="75" t="s">
        <v>1734</v>
      </c>
      <c r="AI2" s="75" t="s">
        <v>1734</v>
      </c>
      <c r="AJ2" s="83" t="s">
        <v>1734</v>
      </c>
    </row>
    <row r="3" spans="1:38" ht="18" collapsed="1" x14ac:dyDescent="0.2">
      <c r="A3" s="144">
        <f>IF(SUBTOTAL(103,A$6:A$131)=SP_EnvTract_DB[[#Totals],[Count in Env Tract Status Report]],SUBTOTAL(103,A$6:A$131),"CHECK")</f>
        <v>126</v>
      </c>
      <c r="B3" s="146">
        <f>SUBTOTAL(103,B$6:B$131)</f>
        <v>126</v>
      </c>
      <c r="C3" s="147"/>
      <c r="D3" s="147"/>
      <c r="E3" s="147"/>
      <c r="F3" s="151"/>
      <c r="G3" s="151"/>
      <c r="H3" s="151"/>
      <c r="I3" s="151"/>
      <c r="J3" s="151"/>
      <c r="K3" s="151"/>
      <c r="L3" s="151"/>
      <c r="M3" s="151"/>
      <c r="N3" s="151"/>
      <c r="O3" s="151"/>
      <c r="P3" s="151"/>
      <c r="Q3" s="151"/>
      <c r="R3" s="151"/>
      <c r="S3" s="151"/>
      <c r="T3" s="151"/>
      <c r="U3" s="151"/>
      <c r="V3" s="151"/>
      <c r="W3" s="151"/>
      <c r="X3" s="151"/>
      <c r="Y3" s="152"/>
      <c r="Z3" s="85">
        <f t="shared" ref="Z3:AE3" si="0">SUBTOTAL(102,Z$6:Z$131)</f>
        <v>0</v>
      </c>
      <c r="AA3" s="86">
        <f t="shared" si="0"/>
        <v>0</v>
      </c>
      <c r="AB3" s="86">
        <f t="shared" si="0"/>
        <v>101</v>
      </c>
      <c r="AC3" s="86">
        <f t="shared" si="0"/>
        <v>116</v>
      </c>
      <c r="AD3" s="86">
        <f t="shared" si="0"/>
        <v>95</v>
      </c>
      <c r="AE3" s="86">
        <f t="shared" si="0"/>
        <v>0</v>
      </c>
      <c r="AF3" s="86">
        <f>SUBTOTAL(103,AF$6:AF$131)-SUBTOTAL(102,AF$6:AF$131)</f>
        <v>124</v>
      </c>
      <c r="AG3" s="86">
        <f>SUBTOTAL(102,AG$6:AG$131)</f>
        <v>0</v>
      </c>
      <c r="AH3" s="86">
        <f>SUBTOTAL(102,AH$6:AH$131)</f>
        <v>0</v>
      </c>
      <c r="AI3" s="86">
        <f>SUBTOTAL(102,AI$6:AI$131)</f>
        <v>0</v>
      </c>
      <c r="AJ3" s="87">
        <f>SUBTOTAL(102,AJ$6:AJ$131)</f>
        <v>0</v>
      </c>
    </row>
    <row r="4" spans="1:38" ht="6" customHeight="1" x14ac:dyDescent="0.2">
      <c r="A4" s="61"/>
      <c r="B4" s="61"/>
      <c r="C4" s="61"/>
      <c r="D4" s="61"/>
      <c r="E4" s="61"/>
      <c r="F4" s="61"/>
      <c r="G4" s="61"/>
      <c r="H4" s="61"/>
      <c r="I4" s="61"/>
      <c r="J4" s="61"/>
      <c r="K4" s="61"/>
      <c r="L4" s="61"/>
      <c r="M4" s="61"/>
      <c r="N4" s="61"/>
      <c r="O4" s="61"/>
      <c r="P4" s="61"/>
      <c r="Q4" s="61"/>
      <c r="R4" s="61"/>
      <c r="S4" s="61"/>
      <c r="T4" s="61"/>
      <c r="U4" s="61"/>
      <c r="V4" s="61"/>
      <c r="W4" s="61"/>
      <c r="X4" s="61"/>
      <c r="Y4" s="63"/>
      <c r="Z4" s="64"/>
      <c r="AA4" s="61"/>
      <c r="AB4" s="61"/>
      <c r="AC4" s="61"/>
      <c r="AD4" s="61"/>
      <c r="AE4" s="61"/>
      <c r="AF4" s="61"/>
      <c r="AG4" s="61"/>
      <c r="AH4" s="61"/>
      <c r="AI4" s="61"/>
      <c r="AJ4" s="63"/>
    </row>
    <row r="5" spans="1:38" ht="37.35" customHeight="1" thickBot="1" x14ac:dyDescent="0.25">
      <c r="A5" s="123" t="s">
        <v>3357</v>
      </c>
      <c r="B5" s="124" t="s">
        <v>6</v>
      </c>
      <c r="C5" s="124" t="s">
        <v>70</v>
      </c>
      <c r="D5" s="124" t="s">
        <v>2719</v>
      </c>
      <c r="E5" s="124" t="s">
        <v>2720</v>
      </c>
      <c r="F5" s="124" t="s">
        <v>1394</v>
      </c>
      <c r="G5" s="124" t="s">
        <v>1395</v>
      </c>
      <c r="H5" s="142" t="s">
        <v>9</v>
      </c>
      <c r="I5" s="142" t="s">
        <v>1</v>
      </c>
      <c r="J5" s="142" t="s">
        <v>71</v>
      </c>
      <c r="K5" s="142" t="s">
        <v>1295</v>
      </c>
      <c r="L5" s="142" t="s">
        <v>2</v>
      </c>
      <c r="M5" s="142" t="s">
        <v>1733</v>
      </c>
      <c r="N5" s="142" t="s">
        <v>1296</v>
      </c>
      <c r="O5" s="142" t="s">
        <v>1389</v>
      </c>
      <c r="P5" s="142" t="s">
        <v>10</v>
      </c>
      <c r="Q5" s="142" t="s">
        <v>11</v>
      </c>
      <c r="R5" s="142" t="s">
        <v>1388</v>
      </c>
      <c r="S5" s="142" t="s">
        <v>16</v>
      </c>
      <c r="T5" s="142" t="s">
        <v>15</v>
      </c>
      <c r="U5" s="142" t="s">
        <v>12</v>
      </c>
      <c r="V5" s="142" t="s">
        <v>13</v>
      </c>
      <c r="W5" s="142" t="s">
        <v>14</v>
      </c>
      <c r="X5" s="142" t="s">
        <v>8</v>
      </c>
      <c r="Y5" s="148" t="s">
        <v>7</v>
      </c>
      <c r="Z5" s="133"/>
      <c r="AA5" s="142"/>
      <c r="AB5" s="142" t="s">
        <v>1067</v>
      </c>
      <c r="AC5" s="142" t="s">
        <v>2686</v>
      </c>
      <c r="AD5" s="142" t="s">
        <v>2681</v>
      </c>
      <c r="AE5" s="142" t="s">
        <v>1403</v>
      </c>
      <c r="AF5" s="142" t="s">
        <v>1149</v>
      </c>
      <c r="AG5" s="142" t="s">
        <v>614</v>
      </c>
      <c r="AH5" s="142" t="s">
        <v>616</v>
      </c>
      <c r="AI5" s="142" t="s">
        <v>617</v>
      </c>
      <c r="AJ5" s="148" t="s">
        <v>3498</v>
      </c>
      <c r="AL5" s="1"/>
    </row>
    <row r="6" spans="1:38" ht="15" x14ac:dyDescent="0.2">
      <c r="A6" s="112" t="s">
        <v>2721</v>
      </c>
      <c r="B6" s="153" t="str">
        <f>LEFT(VLOOKUP($A6,SP_EnvTract_DB[],MATCH(B$2,SP_EnvTract_DB[#Headers],0),FALSE),7)</f>
        <v>R012824</v>
      </c>
      <c r="C6" s="113" t="str">
        <f>VLOOKUP($A6,SP_EnvTract_DB[],MATCH(C$2,SP_EnvTract_DB[#Headers],0),FALSE)</f>
        <v>ENV</v>
      </c>
      <c r="D6" s="155" t="str">
        <f>VLOOKUP($A6,SP_EnvTract_DB[],MATCH(D$2,SP_EnvTract_DB[#Headers],0),FALSE)</f>
        <v>ALLEN ARNESHA;#94</v>
      </c>
      <c r="E6" s="155" t="str">
        <f>VLOOKUP($A6,SP_EnvTract_DB[],MATCH(E$2,SP_EnvTract_DB[#Headers],0),FALSE)</f>
        <v>1027 W BURLESON;#94</v>
      </c>
      <c r="F6" s="114">
        <f>VLOOKUP($A6,SP_EnvTract_DB[],MATCH(F$2,SP_EnvTract_DB[#Headers],0),FALSE)</f>
        <v>0</v>
      </c>
      <c r="G6" s="117">
        <f>VLOOKUP($A6,SP_EnvTract_DB[],MATCH(G$2,SP_EnvTract_DB[#Headers],0),FALSE)</f>
        <v>0</v>
      </c>
      <c r="H6" s="117" t="str">
        <f>VLOOKUP($A6,SP_EnvTract_DB[],MATCH(H$2,SP_EnvTract_DB[#Headers],0),FALSE)</f>
        <v>Lily Khan</v>
      </c>
      <c r="I6" s="114">
        <f>VLOOKUP($A6,SP_EnvTract_DB[],MATCH(I$2,SP_EnvTract_DB[#Headers],0),FALSE)</f>
        <v>0</v>
      </c>
      <c r="J6" s="114">
        <f>VLOOKUP($A6,SP_EnvTract_DB[],MATCH(J$2,SP_EnvTract_DB[#Headers],0),FALSE)</f>
        <v>0</v>
      </c>
      <c r="K6" s="114">
        <f>VLOOKUP($A6,SP_EnvTract_DB[],MATCH(K$2,SP_EnvTract_DB[#Headers],0),FALSE)</f>
        <v>0</v>
      </c>
      <c r="L6" s="114">
        <f>VLOOKUP($A6,SP_EnvTract_DB[],MATCH(L$2,SP_EnvTract_DB[#Headers],0),FALSE)</f>
        <v>0</v>
      </c>
      <c r="M6" s="114">
        <f>VLOOKUP($A6,SP_EnvTract_DB[],MATCH(M$2,SP_EnvTract_DB[#Headers],0),FALSE)</f>
        <v>0</v>
      </c>
      <c r="N6" s="114" t="str">
        <f>VLOOKUP($A6,SP_EnvTract_DB[],MATCH(N$2,SP_EnvTract_DB[#Headers],0),FALSE)</f>
        <v>1027 W BURLESON</v>
      </c>
      <c r="O6" s="118">
        <f>VLOOKUP($A6,SP_EnvTract_DB[],MATCH(O$2,SP_EnvTract_DB[#Headers],0),FALSE)</f>
        <v>0</v>
      </c>
      <c r="P6" s="117">
        <f>VLOOKUP($A6,SP_EnvTract_DB[],MATCH(P$2,SP_EnvTract_DB[#Headers],0),FALSE)</f>
        <v>0</v>
      </c>
      <c r="Q6" s="117">
        <f>VLOOKUP($A6,SP_EnvTract_DB[],MATCH(Q$2,SP_EnvTract_DB[#Headers],0),FALSE)</f>
        <v>0</v>
      </c>
      <c r="R6" s="118">
        <f>VLOOKUP($A6,SP_EnvTract_DB[],MATCH(R$2,SP_EnvTract_DB[#Headers],0),FALSE)</f>
        <v>0</v>
      </c>
      <c r="S6" s="113">
        <f>VLOOKUP($A6,SP_EnvTract_DB[],MATCH(S$2,SP_EnvTract_DB[#Headers],0),FALSE)</f>
        <v>0</v>
      </c>
      <c r="T6" s="113">
        <f>VLOOKUP($A6,SP_EnvTract_DB[],MATCH(T$2,SP_EnvTract_DB[#Headers],0),FALSE)</f>
        <v>0</v>
      </c>
      <c r="U6" s="118">
        <f>VLOOKUP($A6,SP_EnvTract_DB[],MATCH(U$2,SP_EnvTract_DB[#Headers],0),FALSE)</f>
        <v>0</v>
      </c>
      <c r="V6" s="113">
        <f>VLOOKUP($A6,SP_EnvTract_DB[],MATCH(V$2,SP_EnvTract_DB[#Headers],0),FALSE)</f>
        <v>0</v>
      </c>
      <c r="W6" s="113">
        <f>VLOOKUP($A6,SP_EnvTract_DB[],MATCH(W$2,SP_EnvTract_DB[#Headers],0),FALSE)</f>
        <v>0</v>
      </c>
      <c r="X6" s="113">
        <f>VLOOKUP($A6,SP_EnvTract_DB[],MATCH(X$2,SP_EnvTract_DB[#Headers],0),FALSE)</f>
        <v>0</v>
      </c>
      <c r="Y6" s="119">
        <f>VLOOKUP($A6,SP_EnvTract_DB[],MATCH(Y$2,SP_EnvTract_DB[#Headers],0),FALSE)</f>
        <v>0</v>
      </c>
      <c r="Z6" s="120" t="str">
        <f>IFERROR(IF(VLOOKUP(CONCATENATE($A6,"_",Z$1),SP_,MATCH(Z$2,SP_ENV_Lib[#Headers],0),FALSE)=0,"",VLOOKUP(CONCATENATE($A6,"_",Z$1),SP_ENV_Lib[],MATCH(Z$2,SP_ACQ_Lib[#Headers],0),FALSE)),"")</f>
        <v/>
      </c>
      <c r="AA6" s="118"/>
      <c r="AB6" s="118">
        <f>IFERROR(IF(VLOOKUP(CONCATENATE($A6,"_",AB$1),SP_ENV_Lib[],MATCH(AB$2,SP_ENV_Lib[#Headers],0),FALSE)=0,"",VLOOKUP(CONCATENATE($A6,"_",AB$1),SP_ENV_Lib[],MATCH(AB$2,SP_ENV_Lib[#Headers],0),FALSE)),"")</f>
        <v>43885.455648148149</v>
      </c>
      <c r="AC6" s="118">
        <f>IFERROR(IF(VLOOKUP(CONCATENATE($A6,"_",AC$1),SP_ENV_Lib[],MATCH(AC$2,SP_ENV_Lib[#Headers],0),FALSE)=0,"",VLOOKUP(CONCATENATE($A6,"_",AC$1),SP_ENV_Lib[],MATCH(AC$2,SP_ENV_Lib[#Headers],0),FALSE)),"")</f>
        <v>43840</v>
      </c>
      <c r="AD6" s="118">
        <f>IFERROR(IF(VLOOKUP(CONCATENATE($A6,"_",AD$1),SP_ENV_Lib[],MATCH(AD$2,SP_ENV_Lib[#Headers],0),FALSE)=0,"",VLOOKUP(CONCATENATE($A6,"_",AD$1),SP_ENV_Lib[],MATCH(AD$2,SP_ENV_Lib[#Headers],0),FALSE)),"")</f>
        <v>43851</v>
      </c>
      <c r="AE6" s="118" t="str">
        <f>IFERROR(IF(VLOOKUP(CONCATENATE($A6,"_",AE$1),SP_ENV_Lib[],MATCH(AE$2,SP_ENV_Lib[#Headers],0),FALSE)=0,"",VLOOKUP(CONCATENATE($A6,"_",AE$1),SP_ENV_Lib[],MATCH(AE$2,SP_ENV_Lib[#Headers],0),FALSE)),"")</f>
        <v/>
      </c>
      <c r="AF6" s="171" t="str">
        <f>IFERROR(VLOOKUP(CONCATENATE($A6,"_",AF$1),SP_ENV_Lib[],MATCH(AF$2,SP_ENV_Lib[#Headers],0),FALSE),0)</f>
        <v>Accepted</v>
      </c>
      <c r="AG6" s="118"/>
      <c r="AH6" s="118"/>
      <c r="AI6" s="118"/>
      <c r="AJ6" s="121"/>
    </row>
    <row r="7" spans="1:38" ht="15" x14ac:dyDescent="0.2">
      <c r="A7" s="67" t="s">
        <v>2724</v>
      </c>
      <c r="B7" s="154" t="str">
        <f>LEFT(VLOOKUP($A7,SP_EnvTract_DB[],MATCH(B$2,SP_EnvTract_DB[#Headers],0),FALSE),7)</f>
        <v>R012825</v>
      </c>
      <c r="C7" s="68" t="str">
        <f>VLOOKUP($A7,SP_EnvTract_DB[],MATCH(C$2,SP_EnvTract_DB[#Headers],0),FALSE)</f>
        <v>ENV</v>
      </c>
      <c r="D7" s="156" t="str">
        <f>VLOOKUP($A7,SP_EnvTract_DB[],MATCH(D$2,SP_EnvTract_DB[#Headers],0),FALSE)</f>
        <v>JOHNSON LURLINE;#95</v>
      </c>
      <c r="E7" s="156" t="str">
        <f>VLOOKUP($A7,SP_EnvTract_DB[],MATCH(E$2,SP_EnvTract_DB[#Headers],0),FALSE)</f>
        <v>1024 W KEARNEY;#95</v>
      </c>
      <c r="F7" s="69">
        <f>VLOOKUP($A7,SP_EnvTract_DB[],MATCH(F$2,SP_EnvTract_DB[#Headers],0),FALSE)</f>
        <v>0</v>
      </c>
      <c r="G7" s="73">
        <f>VLOOKUP($A7,SP_EnvTract_DB[],MATCH(G$2,SP_EnvTract_DB[#Headers],0),FALSE)</f>
        <v>0</v>
      </c>
      <c r="H7" s="73" t="str">
        <f>VLOOKUP($A7,SP_EnvTract_DB[],MATCH(H$2,SP_EnvTract_DB[#Headers],0),FALSE)</f>
        <v>Lily Khan</v>
      </c>
      <c r="I7" s="69">
        <f>VLOOKUP($A7,SP_EnvTract_DB[],MATCH(I$2,SP_EnvTract_DB[#Headers],0),FALSE)</f>
        <v>0</v>
      </c>
      <c r="J7" s="69">
        <f>VLOOKUP($A7,SP_EnvTract_DB[],MATCH(J$2,SP_EnvTract_DB[#Headers],0),FALSE)</f>
        <v>0</v>
      </c>
      <c r="K7" s="69">
        <f>VLOOKUP($A7,SP_EnvTract_DB[],MATCH(K$2,SP_EnvTract_DB[#Headers],0),FALSE)</f>
        <v>0</v>
      </c>
      <c r="L7" s="69">
        <f>VLOOKUP($A7,SP_EnvTract_DB[],MATCH(L$2,SP_EnvTract_DB[#Headers],0),FALSE)</f>
        <v>0</v>
      </c>
      <c r="M7" s="69">
        <f>VLOOKUP($A7,SP_EnvTract_DB[],MATCH(M$2,SP_EnvTract_DB[#Headers],0),FALSE)</f>
        <v>0</v>
      </c>
      <c r="N7" s="69">
        <f>VLOOKUP($A7,SP_EnvTract_DB[],MATCH(N$2,SP_EnvTract_DB[#Headers],0),FALSE)</f>
        <v>0</v>
      </c>
      <c r="O7" s="74">
        <f>VLOOKUP($A7,SP_EnvTract_DB[],MATCH(O$2,SP_EnvTract_DB[#Headers],0),FALSE)</f>
        <v>0</v>
      </c>
      <c r="P7" s="73">
        <f>VLOOKUP($A7,SP_EnvTract_DB[],MATCH(P$2,SP_EnvTract_DB[#Headers],0),FALSE)</f>
        <v>0</v>
      </c>
      <c r="Q7" s="73">
        <f>VLOOKUP($A7,SP_EnvTract_DB[],MATCH(Q$2,SP_EnvTract_DB[#Headers],0),FALSE)</f>
        <v>0</v>
      </c>
      <c r="R7" s="74">
        <f>VLOOKUP($A7,SP_EnvTract_DB[],MATCH(R$2,SP_EnvTract_DB[#Headers],0),FALSE)</f>
        <v>0</v>
      </c>
      <c r="S7" s="68">
        <f>VLOOKUP($A7,SP_EnvTract_DB[],MATCH(S$2,SP_EnvTract_DB[#Headers],0),FALSE)</f>
        <v>0</v>
      </c>
      <c r="T7" s="68">
        <f>VLOOKUP($A7,SP_EnvTract_DB[],MATCH(T$2,SP_EnvTract_DB[#Headers],0),FALSE)</f>
        <v>0</v>
      </c>
      <c r="U7" s="74">
        <f>VLOOKUP($A7,SP_EnvTract_DB[],MATCH(U$2,SP_EnvTract_DB[#Headers],0),FALSE)</f>
        <v>0</v>
      </c>
      <c r="V7" s="68">
        <f>VLOOKUP($A7,SP_EnvTract_DB[],MATCH(V$2,SP_EnvTract_DB[#Headers],0),FALSE)</f>
        <v>0</v>
      </c>
      <c r="W7" s="68">
        <f>VLOOKUP($A7,SP_EnvTract_DB[],MATCH(W$2,SP_EnvTract_DB[#Headers],0),FALSE)</f>
        <v>0</v>
      </c>
      <c r="X7" s="68">
        <f>VLOOKUP($A7,SP_EnvTract_DB[],MATCH(X$2,SP_EnvTract_DB[#Headers],0),FALSE)</f>
        <v>0</v>
      </c>
      <c r="Y7" s="80">
        <f>VLOOKUP($A7,SP_EnvTract_DB[],MATCH(Y$2,SP_EnvTract_DB[#Headers],0),FALSE)</f>
        <v>0</v>
      </c>
      <c r="Z7" s="81" t="str">
        <f>IFERROR(IF(VLOOKUP(CONCATENATE($A7,"_",Z$1),SP_,MATCH(Z$2,SP_ENV_Lib[#Headers],0),FALSE)=0,"",VLOOKUP(CONCATENATE($A7,"_",Z$1),SP_ENV_Lib[],MATCH(Z$2,SP_ACQ_Lib[#Headers],0),FALSE)),"")</f>
        <v/>
      </c>
      <c r="AA7" s="74"/>
      <c r="AB7" s="74">
        <f>IFERROR(IF(VLOOKUP(CONCATENATE($A7,"_",AB$1),SP_ENV_Lib[],MATCH(AB$2,SP_ENV_Lib[#Headers],0),FALSE)=0,"",VLOOKUP(CONCATENATE($A7,"_",AB$1),SP_ENV_Lib[],MATCH(AB$2,SP_ENV_Lib[#Headers],0),FALSE)),"")</f>
        <v>43938.704571759263</v>
      </c>
      <c r="AC7" s="74">
        <f>IFERROR(IF(VLOOKUP(CONCATENATE($A7,"_",AC$1),SP_ENV_Lib[],MATCH(AC$2,SP_ENV_Lib[#Headers],0),FALSE)=0,"",VLOOKUP(CONCATENATE($A7,"_",AC$1),SP_ENV_Lib[],MATCH(AC$2,SP_ENV_Lib[#Headers],0),FALSE)),"")</f>
        <v>43840</v>
      </c>
      <c r="AD7" s="74">
        <f>IFERROR(IF(VLOOKUP(CONCATENATE($A7,"_",AD$1),SP_ENV_Lib[],MATCH(AD$2,SP_ENV_Lib[#Headers],0),FALSE)=0,"",VLOOKUP(CONCATENATE($A7,"_",AD$1),SP_ENV_Lib[],MATCH(AD$2,SP_ENV_Lib[#Headers],0),FALSE)),"")</f>
        <v>43923</v>
      </c>
      <c r="AE7" s="74" t="str">
        <f>IFERROR(IF(VLOOKUP(CONCATENATE($A7,"_",AE$1),SP_ENV_Lib[],MATCH(AE$2,SP_ENV_Lib[#Headers],0),FALSE)=0,"",VLOOKUP(CONCATENATE($A7,"_",AE$1),SP_ENV_Lib[],MATCH(AE$2,SP_ENV_Lib[#Headers],0),FALSE)),"")</f>
        <v/>
      </c>
      <c r="AF7" s="172" t="str">
        <f>IFERROR(VLOOKUP(CONCATENATE($A7,"_",AF$1),SP_ENV_Lib[],MATCH(AF$2,SP_ENV_Lib[#Headers],0),FALSE),0)</f>
        <v>Accepted</v>
      </c>
      <c r="AG7" s="74"/>
      <c r="AH7" s="74"/>
      <c r="AI7" s="74"/>
      <c r="AJ7" s="84"/>
    </row>
    <row r="8" spans="1:38" ht="15" x14ac:dyDescent="0.2">
      <c r="A8" s="67" t="s">
        <v>2726</v>
      </c>
      <c r="B8" s="154" t="str">
        <f>LEFT(VLOOKUP($A8,SP_EnvTract_DB[],MATCH(B$2,SP_EnvTract_DB[#Headers],0),FALSE),7)</f>
        <v>R012826</v>
      </c>
      <c r="C8" s="68" t="str">
        <f>VLOOKUP($A8,SP_EnvTract_DB[],MATCH(C$2,SP_EnvTract_DB[#Headers],0),FALSE)</f>
        <v>ENV</v>
      </c>
      <c r="D8" s="156" t="str">
        <f>VLOOKUP($A8,SP_EnvTract_DB[],MATCH(D$2,SP_EnvTract_DB[#Headers],0),FALSE)</f>
        <v>YOUNG ARMOUR &amp; WF;#96</v>
      </c>
      <c r="E8" s="156" t="str">
        <f>VLOOKUP($A8,SP_EnvTract_DB[],MATCH(E$2,SP_EnvTract_DB[#Headers],0),FALSE)</f>
        <v>1022 W KEARNEY;#96</v>
      </c>
      <c r="F8" s="69">
        <f>VLOOKUP($A8,SP_EnvTract_DB[],MATCH(F$2,SP_EnvTract_DB[#Headers],0),FALSE)</f>
        <v>0</v>
      </c>
      <c r="G8" s="73">
        <f>VLOOKUP($A8,SP_EnvTract_DB[],MATCH(G$2,SP_EnvTract_DB[#Headers],0),FALSE)</f>
        <v>0</v>
      </c>
      <c r="H8" s="73" t="str">
        <f>VLOOKUP($A8,SP_EnvTract_DB[],MATCH(H$2,SP_EnvTract_DB[#Headers],0),FALSE)</f>
        <v>Lily Khan</v>
      </c>
      <c r="I8" s="69">
        <f>VLOOKUP($A8,SP_EnvTract_DB[],MATCH(I$2,SP_EnvTract_DB[#Headers],0),FALSE)</f>
        <v>0</v>
      </c>
      <c r="J8" s="69">
        <f>VLOOKUP($A8,SP_EnvTract_DB[],MATCH(J$2,SP_EnvTract_DB[#Headers],0),FALSE)</f>
        <v>0</v>
      </c>
      <c r="K8" s="69">
        <f>VLOOKUP($A8,SP_EnvTract_DB[],MATCH(K$2,SP_EnvTract_DB[#Headers],0),FALSE)</f>
        <v>0</v>
      </c>
      <c r="L8" s="69">
        <f>VLOOKUP($A8,SP_EnvTract_DB[],MATCH(L$2,SP_EnvTract_DB[#Headers],0),FALSE)</f>
        <v>0</v>
      </c>
      <c r="M8" s="69">
        <f>VLOOKUP($A8,SP_EnvTract_DB[],MATCH(M$2,SP_EnvTract_DB[#Headers],0),FALSE)</f>
        <v>0</v>
      </c>
      <c r="N8" s="69">
        <f>VLOOKUP($A8,SP_EnvTract_DB[],MATCH(N$2,SP_EnvTract_DB[#Headers],0),FALSE)</f>
        <v>0</v>
      </c>
      <c r="O8" s="74">
        <f>VLOOKUP($A8,SP_EnvTract_DB[],MATCH(O$2,SP_EnvTract_DB[#Headers],0),FALSE)</f>
        <v>0</v>
      </c>
      <c r="P8" s="73">
        <f>VLOOKUP($A8,SP_EnvTract_DB[],MATCH(P$2,SP_EnvTract_DB[#Headers],0),FALSE)</f>
        <v>0</v>
      </c>
      <c r="Q8" s="73">
        <f>VLOOKUP($A8,SP_EnvTract_DB[],MATCH(Q$2,SP_EnvTract_DB[#Headers],0),FALSE)</f>
        <v>0</v>
      </c>
      <c r="R8" s="74">
        <f>VLOOKUP($A8,SP_EnvTract_DB[],MATCH(R$2,SP_EnvTract_DB[#Headers],0),FALSE)</f>
        <v>0</v>
      </c>
      <c r="S8" s="68">
        <f>VLOOKUP($A8,SP_EnvTract_DB[],MATCH(S$2,SP_EnvTract_DB[#Headers],0),FALSE)</f>
        <v>0</v>
      </c>
      <c r="T8" s="68">
        <f>VLOOKUP($A8,SP_EnvTract_DB[],MATCH(T$2,SP_EnvTract_DB[#Headers],0),FALSE)</f>
        <v>0</v>
      </c>
      <c r="U8" s="74">
        <f>VLOOKUP($A8,SP_EnvTract_DB[],MATCH(U$2,SP_EnvTract_DB[#Headers],0),FALSE)</f>
        <v>0</v>
      </c>
      <c r="V8" s="68">
        <f>VLOOKUP($A8,SP_EnvTract_DB[],MATCH(V$2,SP_EnvTract_DB[#Headers],0),FALSE)</f>
        <v>0</v>
      </c>
      <c r="W8" s="68">
        <f>VLOOKUP($A8,SP_EnvTract_DB[],MATCH(W$2,SP_EnvTract_DB[#Headers],0),FALSE)</f>
        <v>0</v>
      </c>
      <c r="X8" s="68">
        <f>VLOOKUP($A8,SP_EnvTract_DB[],MATCH(X$2,SP_EnvTract_DB[#Headers],0),FALSE)</f>
        <v>0</v>
      </c>
      <c r="Y8" s="80">
        <f>VLOOKUP($A8,SP_EnvTract_DB[],MATCH(Y$2,SP_EnvTract_DB[#Headers],0),FALSE)</f>
        <v>0</v>
      </c>
      <c r="Z8" s="81" t="str">
        <f>IFERROR(IF(VLOOKUP(CONCATENATE($A8,"_",Z$1),SP_,MATCH(Z$2,SP_ENV_Lib[#Headers],0),FALSE)=0,"",VLOOKUP(CONCATENATE($A8,"_",Z$1),SP_ENV_Lib[],MATCH(Z$2,SP_ACQ_Lib[#Headers],0),FALSE)),"")</f>
        <v/>
      </c>
      <c r="AA8" s="74"/>
      <c r="AB8" s="74">
        <f>IFERROR(IF(VLOOKUP(CONCATENATE($A8,"_",AB$1),SP_ENV_Lib[],MATCH(AB$2,SP_ENV_Lib[#Headers],0),FALSE)=0,"",VLOOKUP(CONCATENATE($A8,"_",AB$1),SP_ENV_Lib[],MATCH(AB$2,SP_ENV_Lib[#Headers],0),FALSE)),"")</f>
        <v>43920.526296296295</v>
      </c>
      <c r="AC8" s="74">
        <f>IFERROR(IF(VLOOKUP(CONCATENATE($A8,"_",AC$1),SP_ENV_Lib[],MATCH(AC$2,SP_ENV_Lib[#Headers],0),FALSE)=0,"",VLOOKUP(CONCATENATE($A8,"_",AC$1),SP_ENV_Lib[],MATCH(AC$2,SP_ENV_Lib[#Headers],0),FALSE)),"")</f>
        <v>43840</v>
      </c>
      <c r="AD8" s="74">
        <f>IFERROR(IF(VLOOKUP(CONCATENATE($A8,"_",AD$1),SP_ENV_Lib[],MATCH(AD$2,SP_ENV_Lib[#Headers],0),FALSE)=0,"",VLOOKUP(CONCATENATE($A8,"_",AD$1),SP_ENV_Lib[],MATCH(AD$2,SP_ENV_Lib[#Headers],0),FALSE)),"")</f>
        <v>43956</v>
      </c>
      <c r="AE8" s="74" t="str">
        <f>IFERROR(IF(VLOOKUP(CONCATENATE($A8,"_",AE$1),SP_ENV_Lib[],MATCH(AE$2,SP_ENV_Lib[#Headers],0),FALSE)=0,"",VLOOKUP(CONCATENATE($A8,"_",AE$1),SP_ENV_Lib[],MATCH(AE$2,SP_ENV_Lib[#Headers],0),FALSE)),"")</f>
        <v/>
      </c>
      <c r="AF8" s="172" t="str">
        <f>IFERROR(VLOOKUP(CONCATENATE($A8,"_",AF$1),SP_ENV_Lib[],MATCH(AF$2,SP_ENV_Lib[#Headers],0),FALSE),0)</f>
        <v>Accepted</v>
      </c>
      <c r="AG8" s="74"/>
      <c r="AH8" s="74"/>
      <c r="AI8" s="74"/>
      <c r="AJ8" s="84"/>
    </row>
    <row r="9" spans="1:38" ht="15" x14ac:dyDescent="0.2">
      <c r="A9" s="67" t="s">
        <v>2729</v>
      </c>
      <c r="B9" s="154" t="str">
        <f>LEFT(VLOOKUP($A9,SP_EnvTract_DB[],MATCH(B$2,SP_EnvTract_DB[#Headers],0),FALSE),7)</f>
        <v>R012827</v>
      </c>
      <c r="C9" s="68" t="str">
        <f>VLOOKUP($A9,SP_EnvTract_DB[],MATCH(C$2,SP_EnvTract_DB[#Headers],0),FALSE)</f>
        <v>ENV</v>
      </c>
      <c r="D9" s="156" t="str">
        <f>VLOOKUP($A9,SP_EnvTract_DB[],MATCH(D$2,SP_EnvTract_DB[#Headers],0),FALSE)</f>
        <v>VINEYARD ROBERT M;#97</v>
      </c>
      <c r="E9" s="156" t="str">
        <f>VLOOKUP($A9,SP_EnvTract_DB[],MATCH(E$2,SP_EnvTract_DB[#Headers],0),FALSE)</f>
        <v/>
      </c>
      <c r="F9" s="69">
        <f>VLOOKUP($A9,SP_EnvTract_DB[],MATCH(F$2,SP_EnvTract_DB[#Headers],0),FALSE)</f>
        <v>0</v>
      </c>
      <c r="G9" s="73">
        <f>VLOOKUP($A9,SP_EnvTract_DB[],MATCH(G$2,SP_EnvTract_DB[#Headers],0),FALSE)</f>
        <v>0</v>
      </c>
      <c r="H9" s="73" t="str">
        <f>VLOOKUP($A9,SP_EnvTract_DB[],MATCH(H$2,SP_EnvTract_DB[#Headers],0),FALSE)</f>
        <v>Lily Khan / Melissa DeLeon</v>
      </c>
      <c r="I9" s="69">
        <f>VLOOKUP($A9,SP_EnvTract_DB[],MATCH(I$2,SP_EnvTract_DB[#Headers],0),FALSE)</f>
        <v>0</v>
      </c>
      <c r="J9" s="69">
        <f>VLOOKUP($A9,SP_EnvTract_DB[],MATCH(J$2,SP_EnvTract_DB[#Headers],0),FALSE)</f>
        <v>0</v>
      </c>
      <c r="K9" s="69">
        <f>VLOOKUP($A9,SP_EnvTract_DB[],MATCH(K$2,SP_EnvTract_DB[#Headers],0),FALSE)</f>
        <v>0</v>
      </c>
      <c r="L9" s="69">
        <f>VLOOKUP($A9,SP_EnvTract_DB[],MATCH(L$2,SP_EnvTract_DB[#Headers],0),FALSE)</f>
        <v>0</v>
      </c>
      <c r="M9" s="69">
        <f>VLOOKUP($A9,SP_EnvTract_DB[],MATCH(M$2,SP_EnvTract_DB[#Headers],0),FALSE)</f>
        <v>0</v>
      </c>
      <c r="N9" s="69">
        <f>VLOOKUP($A9,SP_EnvTract_DB[],MATCH(N$2,SP_EnvTract_DB[#Headers],0),FALSE)</f>
        <v>0</v>
      </c>
      <c r="O9" s="74">
        <f>VLOOKUP($A9,SP_EnvTract_DB[],MATCH(O$2,SP_EnvTract_DB[#Headers],0),FALSE)</f>
        <v>0</v>
      </c>
      <c r="P9" s="73">
        <f>VLOOKUP($A9,SP_EnvTract_DB[],MATCH(P$2,SP_EnvTract_DB[#Headers],0),FALSE)</f>
        <v>0</v>
      </c>
      <c r="Q9" s="73">
        <f>VLOOKUP($A9,SP_EnvTract_DB[],MATCH(Q$2,SP_EnvTract_DB[#Headers],0),FALSE)</f>
        <v>0</v>
      </c>
      <c r="R9" s="74">
        <f>VLOOKUP($A9,SP_EnvTract_DB[],MATCH(R$2,SP_EnvTract_DB[#Headers],0),FALSE)</f>
        <v>0</v>
      </c>
      <c r="S9" s="68">
        <f>VLOOKUP($A9,SP_EnvTract_DB[],MATCH(S$2,SP_EnvTract_DB[#Headers],0),FALSE)</f>
        <v>0</v>
      </c>
      <c r="T9" s="68">
        <f>VLOOKUP($A9,SP_EnvTract_DB[],MATCH(T$2,SP_EnvTract_DB[#Headers],0),FALSE)</f>
        <v>0</v>
      </c>
      <c r="U9" s="74">
        <f>VLOOKUP($A9,SP_EnvTract_DB[],MATCH(U$2,SP_EnvTract_DB[#Headers],0),FALSE)</f>
        <v>0</v>
      </c>
      <c r="V9" s="68">
        <f>VLOOKUP($A9,SP_EnvTract_DB[],MATCH(V$2,SP_EnvTract_DB[#Headers],0),FALSE)</f>
        <v>0</v>
      </c>
      <c r="W9" s="68">
        <f>VLOOKUP($A9,SP_EnvTract_DB[],MATCH(W$2,SP_EnvTract_DB[#Headers],0),FALSE)</f>
        <v>0</v>
      </c>
      <c r="X9" s="68">
        <f>VLOOKUP($A9,SP_EnvTract_DB[],MATCH(X$2,SP_EnvTract_DB[#Headers],0),FALSE)</f>
        <v>0</v>
      </c>
      <c r="Y9" s="80">
        <f>VLOOKUP($A9,SP_EnvTract_DB[],MATCH(Y$2,SP_EnvTract_DB[#Headers],0),FALSE)</f>
        <v>0</v>
      </c>
      <c r="Z9" s="81" t="str">
        <f>IFERROR(IF(VLOOKUP(CONCATENATE($A9,"_",Z$1),SP_,MATCH(Z$2,SP_ENV_Lib[#Headers],0),FALSE)=0,"",VLOOKUP(CONCATENATE($A9,"_",Z$1),SP_ENV_Lib[],MATCH(Z$2,SP_ACQ_Lib[#Headers],0),FALSE)),"")</f>
        <v/>
      </c>
      <c r="AA9" s="74"/>
      <c r="AB9" s="74">
        <f>IFERROR(IF(VLOOKUP(CONCATENATE($A9,"_",AB$1),SP_ENV_Lib[],MATCH(AB$2,SP_ENV_Lib[#Headers],0),FALSE)=0,"",VLOOKUP(CONCATENATE($A9,"_",AB$1),SP_ENV_Lib[],MATCH(AB$2,SP_ENV_Lib[#Headers],0),FALSE)),"")</f>
        <v>43885.456759259258</v>
      </c>
      <c r="AC9" s="74">
        <f>IFERROR(IF(VLOOKUP(CONCATENATE($A9,"_",AC$1),SP_ENV_Lib[],MATCH(AC$2,SP_ENV_Lib[#Headers],0),FALSE)=0,"",VLOOKUP(CONCATENATE($A9,"_",AC$1),SP_ENV_Lib[],MATCH(AC$2,SP_ENV_Lib[#Headers],0),FALSE)),"")</f>
        <v>43840</v>
      </c>
      <c r="AD9" s="74" t="str">
        <f>IFERROR(IF(VLOOKUP(CONCATENATE($A9,"_",AD$1),SP_ENV_Lib[],MATCH(AD$2,SP_ENV_Lib[#Headers],0),FALSE)=0,"",VLOOKUP(CONCATENATE($A9,"_",AD$1),SP_ENV_Lib[],MATCH(AD$2,SP_ENV_Lib[#Headers],0),FALSE)),"")</f>
        <v/>
      </c>
      <c r="AE9" s="74" t="str">
        <f>IFERROR(IF(VLOOKUP(CONCATENATE($A9,"_",AE$1),SP_ENV_Lib[],MATCH(AE$2,SP_ENV_Lib[#Headers],0),FALSE)=0,"",VLOOKUP(CONCATENATE($A9,"_",AE$1),SP_ENV_Lib[],MATCH(AE$2,SP_ENV_Lib[#Headers],0),FALSE)),"")</f>
        <v/>
      </c>
      <c r="AF9" s="172" t="str">
        <f>IFERROR(VLOOKUP(CONCATENATE($A9,"_",AF$1),SP_ENV_Lib[],MATCH(AF$2,SP_ENV_Lib[#Headers],0),FALSE),0)</f>
        <v>Accepted</v>
      </c>
      <c r="AG9" s="74"/>
      <c r="AH9" s="74"/>
      <c r="AI9" s="74"/>
      <c r="AJ9" s="84"/>
    </row>
    <row r="10" spans="1:38" ht="15" x14ac:dyDescent="0.2">
      <c r="A10" s="67" t="s">
        <v>2691</v>
      </c>
      <c r="B10" s="154" t="str">
        <f>LEFT(VLOOKUP($A10,SP_EnvTract_DB[],MATCH(B$2,SP_EnvTract_DB[#Headers],0),FALSE),7)</f>
        <v>R012828</v>
      </c>
      <c r="C10" s="68" t="str">
        <f>VLOOKUP($A10,SP_EnvTract_DB[],MATCH(C$2,SP_EnvTract_DB[#Headers],0),FALSE)</f>
        <v>ENV</v>
      </c>
      <c r="D10" s="156" t="str">
        <f>VLOOKUP($A10,SP_EnvTract_DB[],MATCH(D$2,SP_EnvTract_DB[#Headers],0),FALSE)</f>
        <v>HAYES BERTHA LEE ESTATE;#98</v>
      </c>
      <c r="E10" s="156" t="str">
        <f>VLOOKUP($A10,SP_EnvTract_DB[],MATCH(E$2,SP_EnvTract_DB[#Headers],0),FALSE)</f>
        <v>1014 W KEARNEY;#98</v>
      </c>
      <c r="F10" s="69">
        <f>VLOOKUP($A10,SP_EnvTract_DB[],MATCH(F$2,SP_EnvTract_DB[#Headers],0),FALSE)</f>
        <v>0</v>
      </c>
      <c r="G10" s="73">
        <f>VLOOKUP($A10,SP_EnvTract_DB[],MATCH(G$2,SP_EnvTract_DB[#Headers],0),FALSE)</f>
        <v>0</v>
      </c>
      <c r="H10" s="73" t="str">
        <f>VLOOKUP($A10,SP_EnvTract_DB[],MATCH(H$2,SP_EnvTract_DB[#Headers],0),FALSE)</f>
        <v>Lily Khan</v>
      </c>
      <c r="I10" s="69">
        <f>VLOOKUP($A10,SP_EnvTract_DB[],MATCH(I$2,SP_EnvTract_DB[#Headers],0),FALSE)</f>
        <v>0</v>
      </c>
      <c r="J10" s="69">
        <f>VLOOKUP($A10,SP_EnvTract_DB[],MATCH(J$2,SP_EnvTract_DB[#Headers],0),FALSE)</f>
        <v>0</v>
      </c>
      <c r="K10" s="69">
        <f>VLOOKUP($A10,SP_EnvTract_DB[],MATCH(K$2,SP_EnvTract_DB[#Headers],0),FALSE)</f>
        <v>0</v>
      </c>
      <c r="L10" s="69">
        <f>VLOOKUP($A10,SP_EnvTract_DB[],MATCH(L$2,SP_EnvTract_DB[#Headers],0),FALSE)</f>
        <v>0</v>
      </c>
      <c r="M10" s="69">
        <f>VLOOKUP($A10,SP_EnvTract_DB[],MATCH(M$2,SP_EnvTract_DB[#Headers],0),FALSE)</f>
        <v>0</v>
      </c>
      <c r="N10" s="69">
        <f>VLOOKUP($A10,SP_EnvTract_DB[],MATCH(N$2,SP_EnvTract_DB[#Headers],0),FALSE)</f>
        <v>0</v>
      </c>
      <c r="O10" s="74">
        <f>VLOOKUP($A10,SP_EnvTract_DB[],MATCH(O$2,SP_EnvTract_DB[#Headers],0),FALSE)</f>
        <v>0</v>
      </c>
      <c r="P10" s="73">
        <f>VLOOKUP($A10,SP_EnvTract_DB[],MATCH(P$2,SP_EnvTract_DB[#Headers],0),FALSE)</f>
        <v>0</v>
      </c>
      <c r="Q10" s="73">
        <f>VLOOKUP($A10,SP_EnvTract_DB[],MATCH(Q$2,SP_EnvTract_DB[#Headers],0),FALSE)</f>
        <v>0</v>
      </c>
      <c r="R10" s="74">
        <f>VLOOKUP($A10,SP_EnvTract_DB[],MATCH(R$2,SP_EnvTract_DB[#Headers],0),FALSE)</f>
        <v>0</v>
      </c>
      <c r="S10" s="68">
        <f>VLOOKUP($A10,SP_EnvTract_DB[],MATCH(S$2,SP_EnvTract_DB[#Headers],0),FALSE)</f>
        <v>0</v>
      </c>
      <c r="T10" s="68">
        <f>VLOOKUP($A10,SP_EnvTract_DB[],MATCH(T$2,SP_EnvTract_DB[#Headers],0),FALSE)</f>
        <v>0</v>
      </c>
      <c r="U10" s="74">
        <f>VLOOKUP($A10,SP_EnvTract_DB[],MATCH(U$2,SP_EnvTract_DB[#Headers],0),FALSE)</f>
        <v>0</v>
      </c>
      <c r="V10" s="68">
        <f>VLOOKUP($A10,SP_EnvTract_DB[],MATCH(V$2,SP_EnvTract_DB[#Headers],0),FALSE)</f>
        <v>0</v>
      </c>
      <c r="W10" s="68">
        <f>VLOOKUP($A10,SP_EnvTract_DB[],MATCH(W$2,SP_EnvTract_DB[#Headers],0),FALSE)</f>
        <v>0</v>
      </c>
      <c r="X10" s="68">
        <f>VLOOKUP($A10,SP_EnvTract_DB[],MATCH(X$2,SP_EnvTract_DB[#Headers],0),FALSE)</f>
        <v>0</v>
      </c>
      <c r="Y10" s="80">
        <f>VLOOKUP($A10,SP_EnvTract_DB[],MATCH(Y$2,SP_EnvTract_DB[#Headers],0),FALSE)</f>
        <v>0</v>
      </c>
      <c r="Z10" s="81" t="str">
        <f>IFERROR(IF(VLOOKUP(CONCATENATE($A10,"_",Z$1),SP_,MATCH(Z$2,SP_ENV_Lib[#Headers],0),FALSE)=0,"",VLOOKUP(CONCATENATE($A10,"_",Z$1),SP_ENV_Lib[],MATCH(Z$2,SP_ACQ_Lib[#Headers],0),FALSE)),"")</f>
        <v/>
      </c>
      <c r="AA10" s="74"/>
      <c r="AB10" s="74">
        <f>IFERROR(IF(VLOOKUP(CONCATENATE($A10,"_",AB$1),SP_ENV_Lib[],MATCH(AB$2,SP_ENV_Lib[#Headers],0),FALSE)=0,"",VLOOKUP(CONCATENATE($A10,"_",AB$1),SP_ENV_Lib[],MATCH(AB$2,SP_ENV_Lib[#Headers],0),FALSE)),"")</f>
        <v>43894.485543981478</v>
      </c>
      <c r="AC10" s="74">
        <f>IFERROR(IF(VLOOKUP(CONCATENATE($A10,"_",AC$1),SP_ENV_Lib[],MATCH(AC$2,SP_ENV_Lib[#Headers],0),FALSE)=0,"",VLOOKUP(CONCATENATE($A10,"_",AC$1),SP_ENV_Lib[],MATCH(AC$2,SP_ENV_Lib[#Headers],0),FALSE)),"")</f>
        <v>43840</v>
      </c>
      <c r="AD10" s="74">
        <f>IFERROR(IF(VLOOKUP(CONCATENATE($A10,"_",AD$1),SP_ENV_Lib[],MATCH(AD$2,SP_ENV_Lib[#Headers],0),FALSE)=0,"",VLOOKUP(CONCATENATE($A10,"_",AD$1),SP_ENV_Lib[],MATCH(AD$2,SP_ENV_Lib[#Headers],0),FALSE)),"")</f>
        <v>43895</v>
      </c>
      <c r="AE10" s="74" t="str">
        <f>IFERROR(IF(VLOOKUP(CONCATENATE($A10,"_",AE$1),SP_ENV_Lib[],MATCH(AE$2,SP_ENV_Lib[#Headers],0),FALSE)=0,"",VLOOKUP(CONCATENATE($A10,"_",AE$1),SP_ENV_Lib[],MATCH(AE$2,SP_ENV_Lib[#Headers],0),FALSE)),"")</f>
        <v/>
      </c>
      <c r="AF10" s="172" t="str">
        <f>IFERROR(VLOOKUP(CONCATENATE($A10,"_",AF$1),SP_ENV_Lib[],MATCH(AF$2,SP_ENV_Lib[#Headers],0),FALSE),0)</f>
        <v>Accepted</v>
      </c>
      <c r="AG10" s="74"/>
      <c r="AH10" s="74"/>
      <c r="AI10" s="74"/>
      <c r="AJ10" s="84"/>
    </row>
    <row r="11" spans="1:38" ht="15" x14ac:dyDescent="0.2">
      <c r="A11" s="67" t="s">
        <v>2705</v>
      </c>
      <c r="B11" s="154" t="str">
        <f>LEFT(VLOOKUP($A11,SP_EnvTract_DB[],MATCH(B$2,SP_EnvTract_DB[#Headers],0),FALSE),7)</f>
        <v>R012829</v>
      </c>
      <c r="C11" s="68" t="str">
        <f>VLOOKUP($A11,SP_EnvTract_DB[],MATCH(C$2,SP_EnvTract_DB[#Headers],0),FALSE)</f>
        <v>ENV</v>
      </c>
      <c r="D11" s="156" t="str">
        <f>VLOOKUP($A11,SP_EnvTract_DB[],MATCH(D$2,SP_EnvTract_DB[#Headers],0),FALSE)</f>
        <v>WOODS JIMMIE LEE SR;#99</v>
      </c>
      <c r="E11" s="156" t="str">
        <f>VLOOKUP($A11,SP_EnvTract_DB[],MATCH(E$2,SP_EnvTract_DB[#Headers],0),FALSE)</f>
        <v>1016 W KEARNEY;#99</v>
      </c>
      <c r="F11" s="69">
        <f>VLOOKUP($A11,SP_EnvTract_DB[],MATCH(F$2,SP_EnvTract_DB[#Headers],0),FALSE)</f>
        <v>0</v>
      </c>
      <c r="G11" s="73">
        <f>VLOOKUP($A11,SP_EnvTract_DB[],MATCH(G$2,SP_EnvTract_DB[#Headers],0),FALSE)</f>
        <v>0</v>
      </c>
      <c r="H11" s="73" t="str">
        <f>VLOOKUP($A11,SP_EnvTract_DB[],MATCH(H$2,SP_EnvTract_DB[#Headers],0),FALSE)</f>
        <v>Lily Khan</v>
      </c>
      <c r="I11" s="69">
        <f>VLOOKUP($A11,SP_EnvTract_DB[],MATCH(I$2,SP_EnvTract_DB[#Headers],0),FALSE)</f>
        <v>0</v>
      </c>
      <c r="J11" s="69">
        <f>VLOOKUP($A11,SP_EnvTract_DB[],MATCH(J$2,SP_EnvTract_DB[#Headers],0),FALSE)</f>
        <v>0</v>
      </c>
      <c r="K11" s="69">
        <f>VLOOKUP($A11,SP_EnvTract_DB[],MATCH(K$2,SP_EnvTract_DB[#Headers],0),FALSE)</f>
        <v>0</v>
      </c>
      <c r="L11" s="69">
        <f>VLOOKUP($A11,SP_EnvTract_DB[],MATCH(L$2,SP_EnvTract_DB[#Headers],0),FALSE)</f>
        <v>0</v>
      </c>
      <c r="M11" s="69">
        <f>VLOOKUP($A11,SP_EnvTract_DB[],MATCH(M$2,SP_EnvTract_DB[#Headers],0),FALSE)</f>
        <v>0</v>
      </c>
      <c r="N11" s="69">
        <f>VLOOKUP($A11,SP_EnvTract_DB[],MATCH(N$2,SP_EnvTract_DB[#Headers],0),FALSE)</f>
        <v>0</v>
      </c>
      <c r="O11" s="74">
        <f>VLOOKUP($A11,SP_EnvTract_DB[],MATCH(O$2,SP_EnvTract_DB[#Headers],0),FALSE)</f>
        <v>0</v>
      </c>
      <c r="P11" s="73">
        <f>VLOOKUP($A11,SP_EnvTract_DB[],MATCH(P$2,SP_EnvTract_DB[#Headers],0),FALSE)</f>
        <v>0</v>
      </c>
      <c r="Q11" s="73">
        <f>VLOOKUP($A11,SP_EnvTract_DB[],MATCH(Q$2,SP_EnvTract_DB[#Headers],0),FALSE)</f>
        <v>0</v>
      </c>
      <c r="R11" s="74">
        <f>VLOOKUP($A11,SP_EnvTract_DB[],MATCH(R$2,SP_EnvTract_DB[#Headers],0),FALSE)</f>
        <v>0</v>
      </c>
      <c r="S11" s="68">
        <f>VLOOKUP($A11,SP_EnvTract_DB[],MATCH(S$2,SP_EnvTract_DB[#Headers],0),FALSE)</f>
        <v>0</v>
      </c>
      <c r="T11" s="68">
        <f>VLOOKUP($A11,SP_EnvTract_DB[],MATCH(T$2,SP_EnvTract_DB[#Headers],0),FALSE)</f>
        <v>0</v>
      </c>
      <c r="U11" s="74">
        <f>VLOOKUP($A11,SP_EnvTract_DB[],MATCH(U$2,SP_EnvTract_DB[#Headers],0),FALSE)</f>
        <v>0</v>
      </c>
      <c r="V11" s="68">
        <f>VLOOKUP($A11,SP_EnvTract_DB[],MATCH(V$2,SP_EnvTract_DB[#Headers],0),FALSE)</f>
        <v>0</v>
      </c>
      <c r="W11" s="68">
        <f>VLOOKUP($A11,SP_EnvTract_DB[],MATCH(W$2,SP_EnvTract_DB[#Headers],0),FALSE)</f>
        <v>0</v>
      </c>
      <c r="X11" s="68">
        <f>VLOOKUP($A11,SP_EnvTract_DB[],MATCH(X$2,SP_EnvTract_DB[#Headers],0),FALSE)</f>
        <v>0</v>
      </c>
      <c r="Y11" s="80">
        <f>VLOOKUP($A11,SP_EnvTract_DB[],MATCH(Y$2,SP_EnvTract_DB[#Headers],0),FALSE)</f>
        <v>0</v>
      </c>
      <c r="Z11" s="81" t="str">
        <f>IFERROR(IF(VLOOKUP(CONCATENATE($A11,"_",Z$1),SP_,MATCH(Z$2,SP_ENV_Lib[#Headers],0),FALSE)=0,"",VLOOKUP(CONCATENATE($A11,"_",Z$1),SP_ENV_Lib[],MATCH(Z$2,SP_ACQ_Lib[#Headers],0),FALSE)),"")</f>
        <v/>
      </c>
      <c r="AA11" s="74"/>
      <c r="AB11" s="74">
        <f>IFERROR(IF(VLOOKUP(CONCATENATE($A11,"_",AB$1),SP_ENV_Lib[],MATCH(AB$2,SP_ENV_Lib[#Headers],0),FALSE)=0,"",VLOOKUP(CONCATENATE($A11,"_",AB$1),SP_ENV_Lib[],MATCH(AB$2,SP_ENV_Lib[#Headers],0),FALSE)),"")</f>
        <v>43894.485694444447</v>
      </c>
      <c r="AC11" s="74">
        <f>IFERROR(IF(VLOOKUP(CONCATENATE($A11,"_",AC$1),SP_ENV_Lib[],MATCH(AC$2,SP_ENV_Lib[#Headers],0),FALSE)=0,"",VLOOKUP(CONCATENATE($A11,"_",AC$1),SP_ENV_Lib[],MATCH(AC$2,SP_ENV_Lib[#Headers],0),FALSE)),"")</f>
        <v>43840</v>
      </c>
      <c r="AD11" s="74">
        <f>IFERROR(IF(VLOOKUP(CONCATENATE($A11,"_",AD$1),SP_ENV_Lib[],MATCH(AD$2,SP_ENV_Lib[#Headers],0),FALSE)=0,"",VLOOKUP(CONCATENATE($A11,"_",AD$1),SP_ENV_Lib[],MATCH(AD$2,SP_ENV_Lib[#Headers],0),FALSE)),"")</f>
        <v>43871</v>
      </c>
      <c r="AE11" s="74" t="str">
        <f>IFERROR(IF(VLOOKUP(CONCATENATE($A11,"_",AE$1),SP_ENV_Lib[],MATCH(AE$2,SP_ENV_Lib[#Headers],0),FALSE)=0,"",VLOOKUP(CONCATENATE($A11,"_",AE$1),SP_ENV_Lib[],MATCH(AE$2,SP_ENV_Lib[#Headers],0),FALSE)),"")</f>
        <v/>
      </c>
      <c r="AF11" s="172" t="str">
        <f>IFERROR(VLOOKUP(CONCATENATE($A11,"_",AF$1),SP_ENV_Lib[],MATCH(AF$2,SP_ENV_Lib[#Headers],0),FALSE),0)</f>
        <v>Accepted</v>
      </c>
      <c r="AG11" s="74"/>
      <c r="AH11" s="74"/>
      <c r="AI11" s="74"/>
      <c r="AJ11" s="84"/>
    </row>
    <row r="12" spans="1:38" ht="15" x14ac:dyDescent="0.2">
      <c r="A12" s="67" t="s">
        <v>2706</v>
      </c>
      <c r="B12" s="154" t="str">
        <f>LEFT(VLOOKUP($A12,SP_EnvTract_DB[],MATCH(B$2,SP_EnvTract_DB[#Headers],0),FALSE),7)</f>
        <v>R012830</v>
      </c>
      <c r="C12" s="68" t="str">
        <f>VLOOKUP($A12,SP_EnvTract_DB[],MATCH(C$2,SP_EnvTract_DB[#Headers],0),FALSE)</f>
        <v>ENV</v>
      </c>
      <c r="D12" s="156" t="str">
        <f>VLOOKUP($A12,SP_EnvTract_DB[],MATCH(D$2,SP_EnvTract_DB[#Headers],0),FALSE)</f>
        <v>WOODS JIMMY L SR;#100</v>
      </c>
      <c r="E12" s="156" t="str">
        <f>VLOOKUP($A12,SP_EnvTract_DB[],MATCH(E$2,SP_EnvTract_DB[#Headers],0),FALSE)</f>
        <v>1004 KEARNEY;#100</v>
      </c>
      <c r="F12" s="69">
        <f>VLOOKUP($A12,SP_EnvTract_DB[],MATCH(F$2,SP_EnvTract_DB[#Headers],0),FALSE)</f>
        <v>0</v>
      </c>
      <c r="G12" s="73">
        <f>VLOOKUP($A12,SP_EnvTract_DB[],MATCH(G$2,SP_EnvTract_DB[#Headers],0),FALSE)</f>
        <v>0</v>
      </c>
      <c r="H12" s="73" t="str">
        <f>VLOOKUP($A12,SP_EnvTract_DB[],MATCH(H$2,SP_EnvTract_DB[#Headers],0),FALSE)</f>
        <v>Lily Khan</v>
      </c>
      <c r="I12" s="69">
        <f>VLOOKUP($A12,SP_EnvTract_DB[],MATCH(I$2,SP_EnvTract_DB[#Headers],0),FALSE)</f>
        <v>0</v>
      </c>
      <c r="J12" s="69">
        <f>VLOOKUP($A12,SP_EnvTract_DB[],MATCH(J$2,SP_EnvTract_DB[#Headers],0),FALSE)</f>
        <v>0</v>
      </c>
      <c r="K12" s="69">
        <f>VLOOKUP($A12,SP_EnvTract_DB[],MATCH(K$2,SP_EnvTract_DB[#Headers],0),FALSE)</f>
        <v>0</v>
      </c>
      <c r="L12" s="69">
        <f>VLOOKUP($A12,SP_EnvTract_DB[],MATCH(L$2,SP_EnvTract_DB[#Headers],0),FALSE)</f>
        <v>0</v>
      </c>
      <c r="M12" s="69">
        <f>VLOOKUP($A12,SP_EnvTract_DB[],MATCH(M$2,SP_EnvTract_DB[#Headers],0),FALSE)</f>
        <v>0</v>
      </c>
      <c r="N12" s="69">
        <f>VLOOKUP($A12,SP_EnvTract_DB[],MATCH(N$2,SP_EnvTract_DB[#Headers],0),FALSE)</f>
        <v>0</v>
      </c>
      <c r="O12" s="74">
        <f>VLOOKUP($A12,SP_EnvTract_DB[],MATCH(O$2,SP_EnvTract_DB[#Headers],0),FALSE)</f>
        <v>0</v>
      </c>
      <c r="P12" s="73">
        <f>VLOOKUP($A12,SP_EnvTract_DB[],MATCH(P$2,SP_EnvTract_DB[#Headers],0),FALSE)</f>
        <v>0</v>
      </c>
      <c r="Q12" s="73">
        <f>VLOOKUP($A12,SP_EnvTract_DB[],MATCH(Q$2,SP_EnvTract_DB[#Headers],0),FALSE)</f>
        <v>0</v>
      </c>
      <c r="R12" s="74">
        <f>VLOOKUP($A12,SP_EnvTract_DB[],MATCH(R$2,SP_EnvTract_DB[#Headers],0),FALSE)</f>
        <v>0</v>
      </c>
      <c r="S12" s="68">
        <f>VLOOKUP($A12,SP_EnvTract_DB[],MATCH(S$2,SP_EnvTract_DB[#Headers],0),FALSE)</f>
        <v>0</v>
      </c>
      <c r="T12" s="68">
        <f>VLOOKUP($A12,SP_EnvTract_DB[],MATCH(T$2,SP_EnvTract_DB[#Headers],0),FALSE)</f>
        <v>0</v>
      </c>
      <c r="U12" s="74">
        <f>VLOOKUP($A12,SP_EnvTract_DB[],MATCH(U$2,SP_EnvTract_DB[#Headers],0),FALSE)</f>
        <v>0</v>
      </c>
      <c r="V12" s="68">
        <f>VLOOKUP($A12,SP_EnvTract_DB[],MATCH(V$2,SP_EnvTract_DB[#Headers],0),FALSE)</f>
        <v>0</v>
      </c>
      <c r="W12" s="68">
        <f>VLOOKUP($A12,SP_EnvTract_DB[],MATCH(W$2,SP_EnvTract_DB[#Headers],0),FALSE)</f>
        <v>0</v>
      </c>
      <c r="X12" s="68">
        <f>VLOOKUP($A12,SP_EnvTract_DB[],MATCH(X$2,SP_EnvTract_DB[#Headers],0),FALSE)</f>
        <v>0</v>
      </c>
      <c r="Y12" s="80">
        <f>VLOOKUP($A12,SP_EnvTract_DB[],MATCH(Y$2,SP_EnvTract_DB[#Headers],0),FALSE)</f>
        <v>0</v>
      </c>
      <c r="Z12" s="81" t="str">
        <f>IFERROR(IF(VLOOKUP(CONCATENATE($A12,"_",Z$1),SP_,MATCH(Z$2,SP_ENV_Lib[#Headers],0),FALSE)=0,"",VLOOKUP(CONCATENATE($A12,"_",Z$1),SP_ENV_Lib[],MATCH(Z$2,SP_ACQ_Lib[#Headers],0),FALSE)),"")</f>
        <v/>
      </c>
      <c r="AA12" s="74"/>
      <c r="AB12" s="74">
        <f>IFERROR(IF(VLOOKUP(CONCATENATE($A12,"_",AB$1),SP_ENV_Lib[],MATCH(AB$2,SP_ENV_Lib[#Headers],0),FALSE)=0,"",VLOOKUP(CONCATENATE($A12,"_",AB$1),SP_ENV_Lib[],MATCH(AB$2,SP_ENV_Lib[#Headers],0),FALSE)),"")</f>
        <v>43894.485856481479</v>
      </c>
      <c r="AC12" s="74">
        <f>IFERROR(IF(VLOOKUP(CONCATENATE($A12,"_",AC$1),SP_ENV_Lib[],MATCH(AC$2,SP_ENV_Lib[#Headers],0),FALSE)=0,"",VLOOKUP(CONCATENATE($A12,"_",AC$1),SP_ENV_Lib[],MATCH(AC$2,SP_ENV_Lib[#Headers],0),FALSE)),"")</f>
        <v>43840</v>
      </c>
      <c r="AD12" s="74">
        <f>IFERROR(IF(VLOOKUP(CONCATENATE($A12,"_",AD$1),SP_ENV_Lib[],MATCH(AD$2,SP_ENV_Lib[#Headers],0),FALSE)=0,"",VLOOKUP(CONCATENATE($A12,"_",AD$1),SP_ENV_Lib[],MATCH(AD$2,SP_ENV_Lib[#Headers],0),FALSE)),"")</f>
        <v>43871</v>
      </c>
      <c r="AE12" s="74" t="str">
        <f>IFERROR(IF(VLOOKUP(CONCATENATE($A12,"_",AE$1),SP_ENV_Lib[],MATCH(AE$2,SP_ENV_Lib[#Headers],0),FALSE)=0,"",VLOOKUP(CONCATENATE($A12,"_",AE$1),SP_ENV_Lib[],MATCH(AE$2,SP_ENV_Lib[#Headers],0),FALSE)),"")</f>
        <v/>
      </c>
      <c r="AF12" s="172" t="str">
        <f>IFERROR(VLOOKUP(CONCATENATE($A12,"_",AF$1),SP_ENV_Lib[],MATCH(AF$2,SP_ENV_Lib[#Headers],0),FALSE),0)</f>
        <v>Accepted</v>
      </c>
      <c r="AG12" s="74"/>
      <c r="AH12" s="74"/>
      <c r="AI12" s="74"/>
      <c r="AJ12" s="84"/>
    </row>
    <row r="13" spans="1:38" ht="15" x14ac:dyDescent="0.2">
      <c r="A13" s="67" t="s">
        <v>2743</v>
      </c>
      <c r="B13" s="154" t="str">
        <f>LEFT(VLOOKUP($A13,SP_EnvTract_DB[],MATCH(B$2,SP_EnvTract_DB[#Headers],0),FALSE),7)</f>
        <v>R012832</v>
      </c>
      <c r="C13" s="68" t="str">
        <f>VLOOKUP($A13,SP_EnvTract_DB[],MATCH(C$2,SP_EnvTract_DB[#Headers],0),FALSE)</f>
        <v>ENV</v>
      </c>
      <c r="D13" s="156" t="str">
        <f>VLOOKUP($A13,SP_EnvTract_DB[],MATCH(D$2,SP_EnvTract_DB[#Headers],0),FALSE)</f>
        <v>ALLEN ANNIE L;#101</v>
      </c>
      <c r="E13" s="156" t="str">
        <f>VLOOKUP($A13,SP_EnvTract_DB[],MATCH(E$2,SP_EnvTract_DB[#Headers],0),FALSE)</f>
        <v>1020 W KEARNEY;#101</v>
      </c>
      <c r="F13" s="69">
        <f>VLOOKUP($A13,SP_EnvTract_DB[],MATCH(F$2,SP_EnvTract_DB[#Headers],0),FALSE)</f>
        <v>0</v>
      </c>
      <c r="G13" s="73">
        <f>VLOOKUP($A13,SP_EnvTract_DB[],MATCH(G$2,SP_EnvTract_DB[#Headers],0),FALSE)</f>
        <v>0</v>
      </c>
      <c r="H13" s="73" t="str">
        <f>VLOOKUP($A13,SP_EnvTract_DB[],MATCH(H$2,SP_EnvTract_DB[#Headers],0),FALSE)</f>
        <v>Lily Khan</v>
      </c>
      <c r="I13" s="69">
        <f>VLOOKUP($A13,SP_EnvTract_DB[],MATCH(I$2,SP_EnvTract_DB[#Headers],0),FALSE)</f>
        <v>0</v>
      </c>
      <c r="J13" s="69">
        <f>VLOOKUP($A13,SP_EnvTract_DB[],MATCH(J$2,SP_EnvTract_DB[#Headers],0),FALSE)</f>
        <v>0</v>
      </c>
      <c r="K13" s="69">
        <f>VLOOKUP($A13,SP_EnvTract_DB[],MATCH(K$2,SP_EnvTract_DB[#Headers],0),FALSE)</f>
        <v>0</v>
      </c>
      <c r="L13" s="69">
        <f>VLOOKUP($A13,SP_EnvTract_DB[],MATCH(L$2,SP_EnvTract_DB[#Headers],0),FALSE)</f>
        <v>0</v>
      </c>
      <c r="M13" s="69">
        <f>VLOOKUP($A13,SP_EnvTract_DB[],MATCH(M$2,SP_EnvTract_DB[#Headers],0),FALSE)</f>
        <v>0</v>
      </c>
      <c r="N13" s="69">
        <f>VLOOKUP($A13,SP_EnvTract_DB[],MATCH(N$2,SP_EnvTract_DB[#Headers],0),FALSE)</f>
        <v>0</v>
      </c>
      <c r="O13" s="74">
        <f>VLOOKUP($A13,SP_EnvTract_DB[],MATCH(O$2,SP_EnvTract_DB[#Headers],0),FALSE)</f>
        <v>0</v>
      </c>
      <c r="P13" s="73">
        <f>VLOOKUP($A13,SP_EnvTract_DB[],MATCH(P$2,SP_EnvTract_DB[#Headers],0),FALSE)</f>
        <v>0</v>
      </c>
      <c r="Q13" s="73">
        <f>VLOOKUP($A13,SP_EnvTract_DB[],MATCH(Q$2,SP_EnvTract_DB[#Headers],0),FALSE)</f>
        <v>0</v>
      </c>
      <c r="R13" s="74">
        <f>VLOOKUP($A13,SP_EnvTract_DB[],MATCH(R$2,SP_EnvTract_DB[#Headers],0),FALSE)</f>
        <v>0</v>
      </c>
      <c r="S13" s="68">
        <f>VLOOKUP($A13,SP_EnvTract_DB[],MATCH(S$2,SP_EnvTract_DB[#Headers],0),FALSE)</f>
        <v>0</v>
      </c>
      <c r="T13" s="68">
        <f>VLOOKUP($A13,SP_EnvTract_DB[],MATCH(T$2,SP_EnvTract_DB[#Headers],0),FALSE)</f>
        <v>0</v>
      </c>
      <c r="U13" s="74">
        <f>VLOOKUP($A13,SP_EnvTract_DB[],MATCH(U$2,SP_EnvTract_DB[#Headers],0),FALSE)</f>
        <v>0</v>
      </c>
      <c r="V13" s="68">
        <f>VLOOKUP($A13,SP_EnvTract_DB[],MATCH(V$2,SP_EnvTract_DB[#Headers],0),FALSE)</f>
        <v>0</v>
      </c>
      <c r="W13" s="68">
        <f>VLOOKUP($A13,SP_EnvTract_DB[],MATCH(W$2,SP_EnvTract_DB[#Headers],0),FALSE)</f>
        <v>0</v>
      </c>
      <c r="X13" s="68">
        <f>VLOOKUP($A13,SP_EnvTract_DB[],MATCH(X$2,SP_EnvTract_DB[#Headers],0),FALSE)</f>
        <v>0</v>
      </c>
      <c r="Y13" s="80">
        <f>VLOOKUP($A13,SP_EnvTract_DB[],MATCH(Y$2,SP_EnvTract_DB[#Headers],0),FALSE)</f>
        <v>0</v>
      </c>
      <c r="Z13" s="81" t="str">
        <f>IFERROR(IF(VLOOKUP(CONCATENATE($A13,"_",Z$1),SP_,MATCH(Z$2,SP_ENV_Lib[#Headers],0),FALSE)=0,"",VLOOKUP(CONCATENATE($A13,"_",Z$1),SP_ENV_Lib[],MATCH(Z$2,SP_ACQ_Lib[#Headers],0),FALSE)),"")</f>
        <v/>
      </c>
      <c r="AA13" s="74"/>
      <c r="AB13" s="74">
        <f>IFERROR(IF(VLOOKUP(CONCATENATE($A13,"_",AB$1),SP_ENV_Lib[],MATCH(AB$2,SP_ENV_Lib[#Headers],0),FALSE)=0,"",VLOOKUP(CONCATENATE($A13,"_",AB$1),SP_ENV_Lib[],MATCH(AB$2,SP_ENV_Lib[#Headers],0),FALSE)),"")</f>
        <v>43894.485972222225</v>
      </c>
      <c r="AC13" s="74" t="str">
        <f>IFERROR(IF(VLOOKUP(CONCATENATE($A13,"_",AC$1),SP_ENV_Lib[],MATCH(AC$2,SP_ENV_Lib[#Headers],0),FALSE)=0,"",VLOOKUP(CONCATENATE($A13,"_",AC$1),SP_ENV_Lib[],MATCH(AC$2,SP_ENV_Lib[#Headers],0),FALSE)),"")</f>
        <v/>
      </c>
      <c r="AD13" s="74">
        <f>IFERROR(IF(VLOOKUP(CONCATENATE($A13,"_",AD$1),SP_ENV_Lib[],MATCH(AD$2,SP_ENV_Lib[#Headers],0),FALSE)=0,"",VLOOKUP(CONCATENATE($A13,"_",AD$1),SP_ENV_Lib[],MATCH(AD$2,SP_ENV_Lib[#Headers],0),FALSE)),"")</f>
        <v>43851</v>
      </c>
      <c r="AE13" s="74" t="str">
        <f>IFERROR(IF(VLOOKUP(CONCATENATE($A13,"_",AE$1),SP_ENV_Lib[],MATCH(AE$2,SP_ENV_Lib[#Headers],0),FALSE)=0,"",VLOOKUP(CONCATENATE($A13,"_",AE$1),SP_ENV_Lib[],MATCH(AE$2,SP_ENV_Lib[#Headers],0),FALSE)),"")</f>
        <v/>
      </c>
      <c r="AF13" s="172" t="str">
        <f>IFERROR(VLOOKUP(CONCATENATE($A13,"_",AF$1),SP_ENV_Lib[],MATCH(AF$2,SP_ENV_Lib[#Headers],0),FALSE),0)</f>
        <v>Accepted</v>
      </c>
      <c r="AG13" s="74"/>
      <c r="AH13" s="74"/>
      <c r="AI13" s="74"/>
      <c r="AJ13" s="84"/>
    </row>
    <row r="14" spans="1:38" ht="15" x14ac:dyDescent="0.2">
      <c r="A14" s="67" t="s">
        <v>2692</v>
      </c>
      <c r="B14" s="154" t="str">
        <f>LEFT(VLOOKUP($A14,SP_EnvTract_DB[],MATCH(B$2,SP_EnvTract_DB[#Headers],0),FALSE),7)</f>
        <v>R012834</v>
      </c>
      <c r="C14" s="68" t="str">
        <f>VLOOKUP($A14,SP_EnvTract_DB[],MATCH(C$2,SP_EnvTract_DB[#Headers],0),FALSE)</f>
        <v>ENV</v>
      </c>
      <c r="D14" s="156" t="str">
        <f>VLOOKUP($A14,SP_EnvTract_DB[],MATCH(D$2,SP_EnvTract_DB[#Headers],0),FALSE)</f>
        <v>TURNER THELMA;#102</v>
      </c>
      <c r="E14" s="156" t="str">
        <f>VLOOKUP($A14,SP_EnvTract_DB[],MATCH(E$2,SP_EnvTract_DB[#Headers],0),FALSE)</f>
        <v>304 S SHEPPARD;#102</v>
      </c>
      <c r="F14" s="69">
        <f>VLOOKUP($A14,SP_EnvTract_DB[],MATCH(F$2,SP_EnvTract_DB[#Headers],0),FALSE)</f>
        <v>0</v>
      </c>
      <c r="G14" s="73">
        <f>VLOOKUP($A14,SP_EnvTract_DB[],MATCH(G$2,SP_EnvTract_DB[#Headers],0),FALSE)</f>
        <v>0</v>
      </c>
      <c r="H14" s="73" t="str">
        <f>VLOOKUP($A14,SP_EnvTract_DB[],MATCH(H$2,SP_EnvTract_DB[#Headers],0),FALSE)</f>
        <v>Lily Khan</v>
      </c>
      <c r="I14" s="69">
        <f>VLOOKUP($A14,SP_EnvTract_DB[],MATCH(I$2,SP_EnvTract_DB[#Headers],0),FALSE)</f>
        <v>0</v>
      </c>
      <c r="J14" s="69">
        <f>VLOOKUP($A14,SP_EnvTract_DB[],MATCH(J$2,SP_EnvTract_DB[#Headers],0),FALSE)</f>
        <v>0</v>
      </c>
      <c r="K14" s="69">
        <f>VLOOKUP($A14,SP_EnvTract_DB[],MATCH(K$2,SP_EnvTract_DB[#Headers],0),FALSE)</f>
        <v>0</v>
      </c>
      <c r="L14" s="69">
        <f>VLOOKUP($A14,SP_EnvTract_DB[],MATCH(L$2,SP_EnvTract_DB[#Headers],0),FALSE)</f>
        <v>0</v>
      </c>
      <c r="M14" s="69">
        <f>VLOOKUP($A14,SP_EnvTract_DB[],MATCH(M$2,SP_EnvTract_DB[#Headers],0),FALSE)</f>
        <v>0</v>
      </c>
      <c r="N14" s="69">
        <f>VLOOKUP($A14,SP_EnvTract_DB[],MATCH(N$2,SP_EnvTract_DB[#Headers],0),FALSE)</f>
        <v>0</v>
      </c>
      <c r="O14" s="74">
        <f>VLOOKUP($A14,SP_EnvTract_DB[],MATCH(O$2,SP_EnvTract_DB[#Headers],0),FALSE)</f>
        <v>0</v>
      </c>
      <c r="P14" s="73">
        <f>VLOOKUP($A14,SP_EnvTract_DB[],MATCH(P$2,SP_EnvTract_DB[#Headers],0),FALSE)</f>
        <v>0</v>
      </c>
      <c r="Q14" s="73">
        <f>VLOOKUP($A14,SP_EnvTract_DB[],MATCH(Q$2,SP_EnvTract_DB[#Headers],0),FALSE)</f>
        <v>0</v>
      </c>
      <c r="R14" s="74">
        <f>VLOOKUP($A14,SP_EnvTract_DB[],MATCH(R$2,SP_EnvTract_DB[#Headers],0),FALSE)</f>
        <v>0</v>
      </c>
      <c r="S14" s="68">
        <f>VLOOKUP($A14,SP_EnvTract_DB[],MATCH(S$2,SP_EnvTract_DB[#Headers],0),FALSE)</f>
        <v>0</v>
      </c>
      <c r="T14" s="68">
        <f>VLOOKUP($A14,SP_EnvTract_DB[],MATCH(T$2,SP_EnvTract_DB[#Headers],0),FALSE)</f>
        <v>0</v>
      </c>
      <c r="U14" s="74">
        <f>VLOOKUP($A14,SP_EnvTract_DB[],MATCH(U$2,SP_EnvTract_DB[#Headers],0),FALSE)</f>
        <v>0</v>
      </c>
      <c r="V14" s="68">
        <f>VLOOKUP($A14,SP_EnvTract_DB[],MATCH(V$2,SP_EnvTract_DB[#Headers],0),FALSE)</f>
        <v>0</v>
      </c>
      <c r="W14" s="68">
        <f>VLOOKUP($A14,SP_EnvTract_DB[],MATCH(W$2,SP_EnvTract_DB[#Headers],0),FALSE)</f>
        <v>0</v>
      </c>
      <c r="X14" s="68">
        <f>VLOOKUP($A14,SP_EnvTract_DB[],MATCH(X$2,SP_EnvTract_DB[#Headers],0),FALSE)</f>
        <v>0</v>
      </c>
      <c r="Y14" s="80">
        <f>VLOOKUP($A14,SP_EnvTract_DB[],MATCH(Y$2,SP_EnvTract_DB[#Headers],0),FALSE)</f>
        <v>0</v>
      </c>
      <c r="Z14" s="81" t="str">
        <f>IFERROR(IF(VLOOKUP(CONCATENATE($A14,"_",Z$1),SP_,MATCH(Z$2,SP_ENV_Lib[#Headers],0),FALSE)=0,"",VLOOKUP(CONCATENATE($A14,"_",Z$1),SP_ENV_Lib[],MATCH(Z$2,SP_ACQ_Lib[#Headers],0),FALSE)),"")</f>
        <v/>
      </c>
      <c r="AA14" s="74"/>
      <c r="AB14" s="74">
        <f>IFERROR(IF(VLOOKUP(CONCATENATE($A14,"_",AB$1),SP_ENV_Lib[],MATCH(AB$2,SP_ENV_Lib[#Headers],0),FALSE)=0,"",VLOOKUP(CONCATENATE($A14,"_",AB$1),SP_ENV_Lib[],MATCH(AB$2,SP_ENV_Lib[#Headers],0),FALSE)),"")</f>
        <v>43893.437777777777</v>
      </c>
      <c r="AC14" s="74">
        <f>IFERROR(IF(VLOOKUP(CONCATENATE($A14,"_",AC$1),SP_ENV_Lib[],MATCH(AC$2,SP_ENV_Lib[#Headers],0),FALSE)=0,"",VLOOKUP(CONCATENATE($A14,"_",AC$1),SP_ENV_Lib[],MATCH(AC$2,SP_ENV_Lib[#Headers],0),FALSE)),"")</f>
        <v>43840</v>
      </c>
      <c r="AD14" s="74">
        <f>IFERROR(IF(VLOOKUP(CONCATENATE($A14,"_",AD$1),SP_ENV_Lib[],MATCH(AD$2,SP_ENV_Lib[#Headers],0),FALSE)=0,"",VLOOKUP(CONCATENATE($A14,"_",AD$1),SP_ENV_Lib[],MATCH(AD$2,SP_ENV_Lib[#Headers],0),FALSE)),"")</f>
        <v>43895</v>
      </c>
      <c r="AE14" s="74" t="str">
        <f>IFERROR(IF(VLOOKUP(CONCATENATE($A14,"_",AE$1),SP_ENV_Lib[],MATCH(AE$2,SP_ENV_Lib[#Headers],0),FALSE)=0,"",VLOOKUP(CONCATENATE($A14,"_",AE$1),SP_ENV_Lib[],MATCH(AE$2,SP_ENV_Lib[#Headers],0),FALSE)),"")</f>
        <v/>
      </c>
      <c r="AF14" s="172" t="str">
        <f>IFERROR(VLOOKUP(CONCATENATE($A14,"_",AF$1),SP_ENV_Lib[],MATCH(AF$2,SP_ENV_Lib[#Headers],0),FALSE),0)</f>
        <v>Accepted</v>
      </c>
      <c r="AG14" s="74"/>
      <c r="AH14" s="74"/>
      <c r="AI14" s="74"/>
      <c r="AJ14" s="84"/>
    </row>
    <row r="15" spans="1:38" ht="15" x14ac:dyDescent="0.2">
      <c r="A15" s="67" t="s">
        <v>2694</v>
      </c>
      <c r="B15" s="154" t="str">
        <f>LEFT(VLOOKUP($A15,SP_EnvTract_DB[],MATCH(B$2,SP_EnvTract_DB[#Headers],0),FALSE),7)</f>
        <v>R012835</v>
      </c>
      <c r="C15" s="68" t="str">
        <f>VLOOKUP($A15,SP_EnvTract_DB[],MATCH(C$2,SP_EnvTract_DB[#Headers],0),FALSE)</f>
        <v>ENV</v>
      </c>
      <c r="D15" s="156" t="str">
        <f>VLOOKUP($A15,SP_EnvTract_DB[],MATCH(D$2,SP_EnvTract_DB[#Headers],0),FALSE)</f>
        <v>WOODS JIMMY L SR;#103</v>
      </c>
      <c r="E15" s="156" t="str">
        <f>VLOOKUP($A15,SP_EnvTract_DB[],MATCH(E$2,SP_EnvTract_DB[#Headers],0),FALSE)</f>
        <v>302 S SHEPPARD;#103</v>
      </c>
      <c r="F15" s="69">
        <f>VLOOKUP($A15,SP_EnvTract_DB[],MATCH(F$2,SP_EnvTract_DB[#Headers],0),FALSE)</f>
        <v>0</v>
      </c>
      <c r="G15" s="73">
        <f>VLOOKUP($A15,SP_EnvTract_DB[],MATCH(G$2,SP_EnvTract_DB[#Headers],0),FALSE)</f>
        <v>0</v>
      </c>
      <c r="H15" s="73" t="str">
        <f>VLOOKUP($A15,SP_EnvTract_DB[],MATCH(H$2,SP_EnvTract_DB[#Headers],0),FALSE)</f>
        <v>Lily Khan</v>
      </c>
      <c r="I15" s="69">
        <f>VLOOKUP($A15,SP_EnvTract_DB[],MATCH(I$2,SP_EnvTract_DB[#Headers],0),FALSE)</f>
        <v>0</v>
      </c>
      <c r="J15" s="69">
        <f>VLOOKUP($A15,SP_EnvTract_DB[],MATCH(J$2,SP_EnvTract_DB[#Headers],0),FALSE)</f>
        <v>0</v>
      </c>
      <c r="K15" s="69">
        <f>VLOOKUP($A15,SP_EnvTract_DB[],MATCH(K$2,SP_EnvTract_DB[#Headers],0),FALSE)</f>
        <v>0</v>
      </c>
      <c r="L15" s="69">
        <f>VLOOKUP($A15,SP_EnvTract_DB[],MATCH(L$2,SP_EnvTract_DB[#Headers],0),FALSE)</f>
        <v>0</v>
      </c>
      <c r="M15" s="69">
        <f>VLOOKUP($A15,SP_EnvTract_DB[],MATCH(M$2,SP_EnvTract_DB[#Headers],0),FALSE)</f>
        <v>0</v>
      </c>
      <c r="N15" s="69">
        <f>VLOOKUP($A15,SP_EnvTract_DB[],MATCH(N$2,SP_EnvTract_DB[#Headers],0),FALSE)</f>
        <v>0</v>
      </c>
      <c r="O15" s="74">
        <f>VLOOKUP($A15,SP_EnvTract_DB[],MATCH(O$2,SP_EnvTract_DB[#Headers],0),FALSE)</f>
        <v>0</v>
      </c>
      <c r="P15" s="73">
        <f>VLOOKUP($A15,SP_EnvTract_DB[],MATCH(P$2,SP_EnvTract_DB[#Headers],0),FALSE)</f>
        <v>0</v>
      </c>
      <c r="Q15" s="73">
        <f>VLOOKUP($A15,SP_EnvTract_DB[],MATCH(Q$2,SP_EnvTract_DB[#Headers],0),FALSE)</f>
        <v>0</v>
      </c>
      <c r="R15" s="74">
        <f>VLOOKUP($A15,SP_EnvTract_DB[],MATCH(R$2,SP_EnvTract_DB[#Headers],0),FALSE)</f>
        <v>0</v>
      </c>
      <c r="S15" s="68">
        <f>VLOOKUP($A15,SP_EnvTract_DB[],MATCH(S$2,SP_EnvTract_DB[#Headers],0),FALSE)</f>
        <v>0</v>
      </c>
      <c r="T15" s="68">
        <f>VLOOKUP($A15,SP_EnvTract_DB[],MATCH(T$2,SP_EnvTract_DB[#Headers],0),FALSE)</f>
        <v>0</v>
      </c>
      <c r="U15" s="74">
        <f>VLOOKUP($A15,SP_EnvTract_DB[],MATCH(U$2,SP_EnvTract_DB[#Headers],0),FALSE)</f>
        <v>0</v>
      </c>
      <c r="V15" s="68">
        <f>VLOOKUP($A15,SP_EnvTract_DB[],MATCH(V$2,SP_EnvTract_DB[#Headers],0),FALSE)</f>
        <v>0</v>
      </c>
      <c r="W15" s="68">
        <f>VLOOKUP($A15,SP_EnvTract_DB[],MATCH(W$2,SP_EnvTract_DB[#Headers],0),FALSE)</f>
        <v>0</v>
      </c>
      <c r="X15" s="68">
        <f>VLOOKUP($A15,SP_EnvTract_DB[],MATCH(X$2,SP_EnvTract_DB[#Headers],0),FALSE)</f>
        <v>0</v>
      </c>
      <c r="Y15" s="80">
        <f>VLOOKUP($A15,SP_EnvTract_DB[],MATCH(Y$2,SP_EnvTract_DB[#Headers],0),FALSE)</f>
        <v>0</v>
      </c>
      <c r="Z15" s="81" t="str">
        <f>IFERROR(IF(VLOOKUP(CONCATENATE($A15,"_",Z$1),SP_,MATCH(Z$2,SP_ENV_Lib[#Headers],0),FALSE)=0,"",VLOOKUP(CONCATENATE($A15,"_",Z$1),SP_ENV_Lib[],MATCH(Z$2,SP_ACQ_Lib[#Headers],0),FALSE)),"")</f>
        <v/>
      </c>
      <c r="AA15" s="74"/>
      <c r="AB15" s="74">
        <f>IFERROR(IF(VLOOKUP(CONCATENATE($A15,"_",AB$1),SP_ENV_Lib[],MATCH(AB$2,SP_ENV_Lib[#Headers],0),FALSE)=0,"",VLOOKUP(CONCATENATE($A15,"_",AB$1),SP_ENV_Lib[],MATCH(AB$2,SP_ENV_Lib[#Headers],0),FALSE)),"")</f>
        <v>43879.735486111109</v>
      </c>
      <c r="AC15" s="74">
        <f>IFERROR(IF(VLOOKUP(CONCATENATE($A15,"_",AC$1),SP_ENV_Lib[],MATCH(AC$2,SP_ENV_Lib[#Headers],0),FALSE)=0,"",VLOOKUP(CONCATENATE($A15,"_",AC$1),SP_ENV_Lib[],MATCH(AC$2,SP_ENV_Lib[#Headers],0),FALSE)),"")</f>
        <v>43840</v>
      </c>
      <c r="AD15" s="74">
        <f>IFERROR(IF(VLOOKUP(CONCATENATE($A15,"_",AD$1),SP_ENV_Lib[],MATCH(AD$2,SP_ENV_Lib[#Headers],0),FALSE)=0,"",VLOOKUP(CONCATENATE($A15,"_",AD$1),SP_ENV_Lib[],MATCH(AD$2,SP_ENV_Lib[#Headers],0),FALSE)),"")</f>
        <v>43871</v>
      </c>
      <c r="AE15" s="74" t="str">
        <f>IFERROR(IF(VLOOKUP(CONCATENATE($A15,"_",AE$1),SP_ENV_Lib[],MATCH(AE$2,SP_ENV_Lib[#Headers],0),FALSE)=0,"",VLOOKUP(CONCATENATE($A15,"_",AE$1),SP_ENV_Lib[],MATCH(AE$2,SP_ENV_Lib[#Headers],0),FALSE)),"")</f>
        <v/>
      </c>
      <c r="AF15" s="172" t="str">
        <f>IFERROR(VLOOKUP(CONCATENATE($A15,"_",AF$1),SP_ENV_Lib[],MATCH(AF$2,SP_ENV_Lib[#Headers],0),FALSE),0)</f>
        <v>Accepted</v>
      </c>
      <c r="AG15" s="74"/>
      <c r="AH15" s="74"/>
      <c r="AI15" s="74"/>
      <c r="AJ15" s="84"/>
    </row>
    <row r="16" spans="1:38" ht="15" x14ac:dyDescent="0.2">
      <c r="A16" s="67" t="s">
        <v>2696</v>
      </c>
      <c r="B16" s="154" t="str">
        <f>LEFT(VLOOKUP($A16,SP_EnvTract_DB[],MATCH(B$2,SP_EnvTract_DB[#Headers],0),FALSE),7)</f>
        <v>R012836</v>
      </c>
      <c r="C16" s="68" t="str">
        <f>VLOOKUP($A16,SP_EnvTract_DB[],MATCH(C$2,SP_EnvTract_DB[#Headers],0),FALSE)</f>
        <v>ENV</v>
      </c>
      <c r="D16" s="156" t="str">
        <f>VLOOKUP($A16,SP_EnvTract_DB[],MATCH(D$2,SP_EnvTract_DB[#Headers],0),FALSE)</f>
        <v>JOHNSON ROBERT C &amp; WF;#104</v>
      </c>
      <c r="E16" s="156" t="str">
        <f>VLOOKUP($A16,SP_EnvTract_DB[],MATCH(E$2,SP_EnvTract_DB[#Headers],0),FALSE)</f>
        <v>1021 W KEARNEY;#104</v>
      </c>
      <c r="F16" s="69">
        <f>VLOOKUP($A16,SP_EnvTract_DB[],MATCH(F$2,SP_EnvTract_DB[#Headers],0),FALSE)</f>
        <v>0</v>
      </c>
      <c r="G16" s="73">
        <f>VLOOKUP($A16,SP_EnvTract_DB[],MATCH(G$2,SP_EnvTract_DB[#Headers],0),FALSE)</f>
        <v>0</v>
      </c>
      <c r="H16" s="73" t="str">
        <f>VLOOKUP($A16,SP_EnvTract_DB[],MATCH(H$2,SP_EnvTract_DB[#Headers],0),FALSE)</f>
        <v>Lily Khan</v>
      </c>
      <c r="I16" s="69">
        <f>VLOOKUP($A16,SP_EnvTract_DB[],MATCH(I$2,SP_EnvTract_DB[#Headers],0),FALSE)</f>
        <v>0</v>
      </c>
      <c r="J16" s="69">
        <f>VLOOKUP($A16,SP_EnvTract_DB[],MATCH(J$2,SP_EnvTract_DB[#Headers],0),FALSE)</f>
        <v>0</v>
      </c>
      <c r="K16" s="69">
        <f>VLOOKUP($A16,SP_EnvTract_DB[],MATCH(K$2,SP_EnvTract_DB[#Headers],0),FALSE)</f>
        <v>0</v>
      </c>
      <c r="L16" s="69">
        <f>VLOOKUP($A16,SP_EnvTract_DB[],MATCH(L$2,SP_EnvTract_DB[#Headers],0),FALSE)</f>
        <v>0</v>
      </c>
      <c r="M16" s="69">
        <f>VLOOKUP($A16,SP_EnvTract_DB[],MATCH(M$2,SP_EnvTract_DB[#Headers],0),FALSE)</f>
        <v>0</v>
      </c>
      <c r="N16" s="69">
        <f>VLOOKUP($A16,SP_EnvTract_DB[],MATCH(N$2,SP_EnvTract_DB[#Headers],0),FALSE)</f>
        <v>0</v>
      </c>
      <c r="O16" s="74">
        <f>VLOOKUP($A16,SP_EnvTract_DB[],MATCH(O$2,SP_EnvTract_DB[#Headers],0),FALSE)</f>
        <v>0</v>
      </c>
      <c r="P16" s="73">
        <f>VLOOKUP($A16,SP_EnvTract_DB[],MATCH(P$2,SP_EnvTract_DB[#Headers],0),FALSE)</f>
        <v>0</v>
      </c>
      <c r="Q16" s="73">
        <f>VLOOKUP($A16,SP_EnvTract_DB[],MATCH(Q$2,SP_EnvTract_DB[#Headers],0),FALSE)</f>
        <v>0</v>
      </c>
      <c r="R16" s="74">
        <f>VLOOKUP($A16,SP_EnvTract_DB[],MATCH(R$2,SP_EnvTract_DB[#Headers],0),FALSE)</f>
        <v>0</v>
      </c>
      <c r="S16" s="68">
        <f>VLOOKUP($A16,SP_EnvTract_DB[],MATCH(S$2,SP_EnvTract_DB[#Headers],0),FALSE)</f>
        <v>0</v>
      </c>
      <c r="T16" s="68">
        <f>VLOOKUP($A16,SP_EnvTract_DB[],MATCH(T$2,SP_EnvTract_DB[#Headers],0),FALSE)</f>
        <v>0</v>
      </c>
      <c r="U16" s="74">
        <f>VLOOKUP($A16,SP_EnvTract_DB[],MATCH(U$2,SP_EnvTract_DB[#Headers],0),FALSE)</f>
        <v>0</v>
      </c>
      <c r="V16" s="68">
        <f>VLOOKUP($A16,SP_EnvTract_DB[],MATCH(V$2,SP_EnvTract_DB[#Headers],0),FALSE)</f>
        <v>0</v>
      </c>
      <c r="W16" s="68">
        <f>VLOOKUP($A16,SP_EnvTract_DB[],MATCH(W$2,SP_EnvTract_DB[#Headers],0),FALSE)</f>
        <v>0</v>
      </c>
      <c r="X16" s="68">
        <f>VLOOKUP($A16,SP_EnvTract_DB[],MATCH(X$2,SP_EnvTract_DB[#Headers],0),FALSE)</f>
        <v>0</v>
      </c>
      <c r="Y16" s="80">
        <f>VLOOKUP($A16,SP_EnvTract_DB[],MATCH(Y$2,SP_EnvTract_DB[#Headers],0),FALSE)</f>
        <v>0</v>
      </c>
      <c r="Z16" s="81" t="str">
        <f>IFERROR(IF(VLOOKUP(CONCATENATE($A16,"_",Z$1),SP_,MATCH(Z$2,SP_ENV_Lib[#Headers],0),FALSE)=0,"",VLOOKUP(CONCATENATE($A16,"_",Z$1),SP_ENV_Lib[],MATCH(Z$2,SP_ACQ_Lib[#Headers],0),FALSE)),"")</f>
        <v/>
      </c>
      <c r="AA16" s="74"/>
      <c r="AB16" s="74">
        <f>IFERROR(IF(VLOOKUP(CONCATENATE($A16,"_",AB$1),SP_ENV_Lib[],MATCH(AB$2,SP_ENV_Lib[#Headers],0),FALSE)=0,"",VLOOKUP(CONCATENATE($A16,"_",AB$1),SP_ENV_Lib[],MATCH(AB$2,SP_ENV_Lib[#Headers],0),FALSE)),"")</f>
        <v>43879.735509259262</v>
      </c>
      <c r="AC16" s="74">
        <f>IFERROR(IF(VLOOKUP(CONCATENATE($A16,"_",AC$1),SP_ENV_Lib[],MATCH(AC$2,SP_ENV_Lib[#Headers],0),FALSE)=0,"",VLOOKUP(CONCATENATE($A16,"_",AC$1),SP_ENV_Lib[],MATCH(AC$2,SP_ENV_Lib[#Headers],0),FALSE)),"")</f>
        <v>43840</v>
      </c>
      <c r="AD16" s="74">
        <f>IFERROR(IF(VLOOKUP(CONCATENATE($A16,"_",AD$1),SP_ENV_Lib[],MATCH(AD$2,SP_ENV_Lib[#Headers],0),FALSE)=0,"",VLOOKUP(CONCATENATE($A16,"_",AD$1),SP_ENV_Lib[],MATCH(AD$2,SP_ENV_Lib[#Headers],0),FALSE)),"")</f>
        <v>43874</v>
      </c>
      <c r="AE16" s="74" t="str">
        <f>IFERROR(IF(VLOOKUP(CONCATENATE($A16,"_",AE$1),SP_ENV_Lib[],MATCH(AE$2,SP_ENV_Lib[#Headers],0),FALSE)=0,"",VLOOKUP(CONCATENATE($A16,"_",AE$1),SP_ENV_Lib[],MATCH(AE$2,SP_ENV_Lib[#Headers],0),FALSE)),"")</f>
        <v/>
      </c>
      <c r="AF16" s="172" t="str">
        <f>IFERROR(VLOOKUP(CONCATENATE($A16,"_",AF$1),SP_ENV_Lib[],MATCH(AF$2,SP_ENV_Lib[#Headers],0),FALSE),0)</f>
        <v>Accepted</v>
      </c>
      <c r="AG16" s="74"/>
      <c r="AH16" s="74"/>
      <c r="AI16" s="74"/>
      <c r="AJ16" s="84"/>
    </row>
    <row r="17" spans="1:36" ht="15" x14ac:dyDescent="0.2">
      <c r="A17" s="67" t="s">
        <v>2756</v>
      </c>
      <c r="B17" s="154" t="str">
        <f>LEFT(VLOOKUP($A17,SP_EnvTract_DB[],MATCH(B$2,SP_EnvTract_DB[#Headers],0),FALSE),7)</f>
        <v>R012837</v>
      </c>
      <c r="C17" s="68" t="str">
        <f>VLOOKUP($A17,SP_EnvTract_DB[],MATCH(C$2,SP_EnvTract_DB[#Headers],0),FALSE)</f>
        <v>ENV</v>
      </c>
      <c r="D17" s="156" t="str">
        <f>VLOOKUP($A17,SP_EnvTract_DB[],MATCH(D$2,SP_EnvTract_DB[#Headers],0),FALSE)</f>
        <v>JOHNSON ROBERT C &amp; WF;#105</v>
      </c>
      <c r="E17" s="156" t="str">
        <f>VLOOKUP($A17,SP_EnvTract_DB[],MATCH(E$2,SP_EnvTract_DB[#Headers],0),FALSE)</f>
        <v>0  W KEARNEY;#105</v>
      </c>
      <c r="F17" s="69">
        <f>VLOOKUP($A17,SP_EnvTract_DB[],MATCH(F$2,SP_EnvTract_DB[#Headers],0),FALSE)</f>
        <v>0</v>
      </c>
      <c r="G17" s="73">
        <f>VLOOKUP($A17,SP_EnvTract_DB[],MATCH(G$2,SP_EnvTract_DB[#Headers],0),FALSE)</f>
        <v>0</v>
      </c>
      <c r="H17" s="73" t="str">
        <f>VLOOKUP($A17,SP_EnvTract_DB[],MATCH(H$2,SP_EnvTract_DB[#Headers],0),FALSE)</f>
        <v>Lily Khan</v>
      </c>
      <c r="I17" s="69">
        <f>VLOOKUP($A17,SP_EnvTract_DB[],MATCH(I$2,SP_EnvTract_DB[#Headers],0),FALSE)</f>
        <v>0</v>
      </c>
      <c r="J17" s="69">
        <f>VLOOKUP($A17,SP_EnvTract_DB[],MATCH(J$2,SP_EnvTract_DB[#Headers],0),FALSE)</f>
        <v>0</v>
      </c>
      <c r="K17" s="69">
        <f>VLOOKUP($A17,SP_EnvTract_DB[],MATCH(K$2,SP_EnvTract_DB[#Headers],0),FALSE)</f>
        <v>0</v>
      </c>
      <c r="L17" s="69">
        <f>VLOOKUP($A17,SP_EnvTract_DB[],MATCH(L$2,SP_EnvTract_DB[#Headers],0),FALSE)</f>
        <v>0</v>
      </c>
      <c r="M17" s="69">
        <f>VLOOKUP($A17,SP_EnvTract_DB[],MATCH(M$2,SP_EnvTract_DB[#Headers],0),FALSE)</f>
        <v>0</v>
      </c>
      <c r="N17" s="69">
        <f>VLOOKUP($A17,SP_EnvTract_DB[],MATCH(N$2,SP_EnvTract_DB[#Headers],0),FALSE)</f>
        <v>0</v>
      </c>
      <c r="O17" s="74">
        <f>VLOOKUP($A17,SP_EnvTract_DB[],MATCH(O$2,SP_EnvTract_DB[#Headers],0),FALSE)</f>
        <v>0</v>
      </c>
      <c r="P17" s="73">
        <f>VLOOKUP($A17,SP_EnvTract_DB[],MATCH(P$2,SP_EnvTract_DB[#Headers],0),FALSE)</f>
        <v>0</v>
      </c>
      <c r="Q17" s="73">
        <f>VLOOKUP($A17,SP_EnvTract_DB[],MATCH(Q$2,SP_EnvTract_DB[#Headers],0),FALSE)</f>
        <v>0</v>
      </c>
      <c r="R17" s="74">
        <f>VLOOKUP($A17,SP_EnvTract_DB[],MATCH(R$2,SP_EnvTract_DB[#Headers],0),FALSE)</f>
        <v>0</v>
      </c>
      <c r="S17" s="68">
        <f>VLOOKUP($A17,SP_EnvTract_DB[],MATCH(S$2,SP_EnvTract_DB[#Headers],0),FALSE)</f>
        <v>0</v>
      </c>
      <c r="T17" s="68">
        <f>VLOOKUP($A17,SP_EnvTract_DB[],MATCH(T$2,SP_EnvTract_DB[#Headers],0),FALSE)</f>
        <v>0</v>
      </c>
      <c r="U17" s="74">
        <f>VLOOKUP($A17,SP_EnvTract_DB[],MATCH(U$2,SP_EnvTract_DB[#Headers],0),FALSE)</f>
        <v>0</v>
      </c>
      <c r="V17" s="68">
        <f>VLOOKUP($A17,SP_EnvTract_DB[],MATCH(V$2,SP_EnvTract_DB[#Headers],0),FALSE)</f>
        <v>0</v>
      </c>
      <c r="W17" s="68">
        <f>VLOOKUP($A17,SP_EnvTract_DB[],MATCH(W$2,SP_EnvTract_DB[#Headers],0),FALSE)</f>
        <v>0</v>
      </c>
      <c r="X17" s="68">
        <f>VLOOKUP($A17,SP_EnvTract_DB[],MATCH(X$2,SP_EnvTract_DB[#Headers],0),FALSE)</f>
        <v>0</v>
      </c>
      <c r="Y17" s="80">
        <f>VLOOKUP($A17,SP_EnvTract_DB[],MATCH(Y$2,SP_EnvTract_DB[#Headers],0),FALSE)</f>
        <v>0</v>
      </c>
      <c r="Z17" s="81" t="str">
        <f>IFERROR(IF(VLOOKUP(CONCATENATE($A17,"_",Z$1),SP_,MATCH(Z$2,SP_ENV_Lib[#Headers],0),FALSE)=0,"",VLOOKUP(CONCATENATE($A17,"_",Z$1),SP_ENV_Lib[],MATCH(Z$2,SP_ACQ_Lib[#Headers],0),FALSE)),"")</f>
        <v/>
      </c>
      <c r="AA17" s="74"/>
      <c r="AB17" s="74">
        <f>IFERROR(IF(VLOOKUP(CONCATENATE($A17,"_",AB$1),SP_ENV_Lib[],MATCH(AB$2,SP_ENV_Lib[#Headers],0),FALSE)=0,"",VLOOKUP(CONCATENATE($A17,"_",AB$1),SP_ENV_Lib[],MATCH(AB$2,SP_ENV_Lib[#Headers],0),FALSE)),"")</f>
        <v>43879.735532407409</v>
      </c>
      <c r="AC17" s="74">
        <f>IFERROR(IF(VLOOKUP(CONCATENATE($A17,"_",AC$1),SP_ENV_Lib[],MATCH(AC$2,SP_ENV_Lib[#Headers],0),FALSE)=0,"",VLOOKUP(CONCATENATE($A17,"_",AC$1),SP_ENV_Lib[],MATCH(AC$2,SP_ENV_Lib[#Headers],0),FALSE)),"")</f>
        <v>43840</v>
      </c>
      <c r="AD17" s="74">
        <f>IFERROR(IF(VLOOKUP(CONCATENATE($A17,"_",AD$1),SP_ENV_Lib[],MATCH(AD$2,SP_ENV_Lib[#Headers],0),FALSE)=0,"",VLOOKUP(CONCATENATE($A17,"_",AD$1),SP_ENV_Lib[],MATCH(AD$2,SP_ENV_Lib[#Headers],0),FALSE)),"")</f>
        <v>43874</v>
      </c>
      <c r="AE17" s="74" t="str">
        <f>IFERROR(IF(VLOOKUP(CONCATENATE($A17,"_",AE$1),SP_ENV_Lib[],MATCH(AE$2,SP_ENV_Lib[#Headers],0),FALSE)=0,"",VLOOKUP(CONCATENATE($A17,"_",AE$1),SP_ENV_Lib[],MATCH(AE$2,SP_ENV_Lib[#Headers],0),FALSE)),"")</f>
        <v/>
      </c>
      <c r="AF17" s="172" t="str">
        <f>IFERROR(VLOOKUP(CONCATENATE($A17,"_",AF$1),SP_ENV_Lib[],MATCH(AF$2,SP_ENV_Lib[#Headers],0),FALSE),0)</f>
        <v>Accepted</v>
      </c>
      <c r="AG17" s="74"/>
      <c r="AH17" s="74"/>
      <c r="AI17" s="74"/>
      <c r="AJ17" s="84"/>
    </row>
    <row r="18" spans="1:36" ht="15" x14ac:dyDescent="0.2">
      <c r="A18" s="67" t="s">
        <v>2761</v>
      </c>
      <c r="B18" s="154" t="str">
        <f>LEFT(VLOOKUP($A18,SP_EnvTract_DB[],MATCH(B$2,SP_EnvTract_DB[#Headers],0),FALSE),7)</f>
        <v>R012838</v>
      </c>
      <c r="C18" s="68" t="str">
        <f>VLOOKUP($A18,SP_EnvTract_DB[],MATCH(C$2,SP_EnvTract_DB[#Headers],0),FALSE)</f>
        <v>ENV</v>
      </c>
      <c r="D18" s="156" t="str">
        <f>VLOOKUP($A18,SP_EnvTract_DB[],MATCH(D$2,SP_EnvTract_DB[#Headers],0),FALSE)</f>
        <v>CARTER DAISY G;#106</v>
      </c>
      <c r="E18" s="156" t="str">
        <f>VLOOKUP($A18,SP_EnvTract_DB[],MATCH(E$2,SP_EnvTract_DB[#Headers],0),FALSE)</f>
        <v>1024 W DAMON;#106</v>
      </c>
      <c r="F18" s="69">
        <f>VLOOKUP($A18,SP_EnvTract_DB[],MATCH(F$2,SP_EnvTract_DB[#Headers],0),FALSE)</f>
        <v>0</v>
      </c>
      <c r="G18" s="73">
        <f>VLOOKUP($A18,SP_EnvTract_DB[],MATCH(G$2,SP_EnvTract_DB[#Headers],0),FALSE)</f>
        <v>0</v>
      </c>
      <c r="H18" s="73" t="str">
        <f>VLOOKUP($A18,SP_EnvTract_DB[],MATCH(H$2,SP_EnvTract_DB[#Headers],0),FALSE)</f>
        <v>Lily Khan</v>
      </c>
      <c r="I18" s="69">
        <f>VLOOKUP($A18,SP_EnvTract_DB[],MATCH(I$2,SP_EnvTract_DB[#Headers],0),FALSE)</f>
        <v>0</v>
      </c>
      <c r="J18" s="69">
        <f>VLOOKUP($A18,SP_EnvTract_DB[],MATCH(J$2,SP_EnvTract_DB[#Headers],0),FALSE)</f>
        <v>0</v>
      </c>
      <c r="K18" s="69">
        <f>VLOOKUP($A18,SP_EnvTract_DB[],MATCH(K$2,SP_EnvTract_DB[#Headers],0),FALSE)</f>
        <v>0</v>
      </c>
      <c r="L18" s="69">
        <f>VLOOKUP($A18,SP_EnvTract_DB[],MATCH(L$2,SP_EnvTract_DB[#Headers],0),FALSE)</f>
        <v>0</v>
      </c>
      <c r="M18" s="69">
        <f>VLOOKUP($A18,SP_EnvTract_DB[],MATCH(M$2,SP_EnvTract_DB[#Headers],0),FALSE)</f>
        <v>0</v>
      </c>
      <c r="N18" s="69">
        <f>VLOOKUP($A18,SP_EnvTract_DB[],MATCH(N$2,SP_EnvTract_DB[#Headers],0),FALSE)</f>
        <v>0</v>
      </c>
      <c r="O18" s="74">
        <f>VLOOKUP($A18,SP_EnvTract_DB[],MATCH(O$2,SP_EnvTract_DB[#Headers],0),FALSE)</f>
        <v>0</v>
      </c>
      <c r="P18" s="73">
        <f>VLOOKUP($A18,SP_EnvTract_DB[],MATCH(P$2,SP_EnvTract_DB[#Headers],0),FALSE)</f>
        <v>0</v>
      </c>
      <c r="Q18" s="73">
        <f>VLOOKUP($A18,SP_EnvTract_DB[],MATCH(Q$2,SP_EnvTract_DB[#Headers],0),FALSE)</f>
        <v>0</v>
      </c>
      <c r="R18" s="74">
        <f>VLOOKUP($A18,SP_EnvTract_DB[],MATCH(R$2,SP_EnvTract_DB[#Headers],0),FALSE)</f>
        <v>0</v>
      </c>
      <c r="S18" s="68">
        <f>VLOOKUP($A18,SP_EnvTract_DB[],MATCH(S$2,SP_EnvTract_DB[#Headers],0),FALSE)</f>
        <v>0</v>
      </c>
      <c r="T18" s="68">
        <f>VLOOKUP($A18,SP_EnvTract_DB[],MATCH(T$2,SP_EnvTract_DB[#Headers],0),FALSE)</f>
        <v>0</v>
      </c>
      <c r="U18" s="74">
        <f>VLOOKUP($A18,SP_EnvTract_DB[],MATCH(U$2,SP_EnvTract_DB[#Headers],0),FALSE)</f>
        <v>0</v>
      </c>
      <c r="V18" s="68">
        <f>VLOOKUP($A18,SP_EnvTract_DB[],MATCH(V$2,SP_EnvTract_DB[#Headers],0),FALSE)</f>
        <v>0</v>
      </c>
      <c r="W18" s="68">
        <f>VLOOKUP($A18,SP_EnvTract_DB[],MATCH(W$2,SP_EnvTract_DB[#Headers],0),FALSE)</f>
        <v>0</v>
      </c>
      <c r="X18" s="68">
        <f>VLOOKUP($A18,SP_EnvTract_DB[],MATCH(X$2,SP_EnvTract_DB[#Headers],0),FALSE)</f>
        <v>0</v>
      </c>
      <c r="Y18" s="80">
        <f>VLOOKUP($A18,SP_EnvTract_DB[],MATCH(Y$2,SP_EnvTract_DB[#Headers],0),FALSE)</f>
        <v>0</v>
      </c>
      <c r="Z18" s="81" t="str">
        <f>IFERROR(IF(VLOOKUP(CONCATENATE($A18,"_",Z$1),SP_,MATCH(Z$2,SP_ENV_Lib[#Headers],0),FALSE)=0,"",VLOOKUP(CONCATENATE($A18,"_",Z$1),SP_ENV_Lib[],MATCH(Z$2,SP_ACQ_Lib[#Headers],0),FALSE)),"")</f>
        <v/>
      </c>
      <c r="AA18" s="74"/>
      <c r="AB18" s="74">
        <f>IFERROR(IF(VLOOKUP(CONCATENATE($A18,"_",AB$1),SP_ENV_Lib[],MATCH(AB$2,SP_ENV_Lib[#Headers],0),FALSE)=0,"",VLOOKUP(CONCATENATE($A18,"_",AB$1),SP_ENV_Lib[],MATCH(AB$2,SP_ENV_Lib[#Headers],0),FALSE)),"")</f>
        <v>43879.735532407409</v>
      </c>
      <c r="AC18" s="74">
        <f>IFERROR(IF(VLOOKUP(CONCATENATE($A18,"_",AC$1),SP_ENV_Lib[],MATCH(AC$2,SP_ENV_Lib[#Headers],0),FALSE)=0,"",VLOOKUP(CONCATENATE($A18,"_",AC$1),SP_ENV_Lib[],MATCH(AC$2,SP_ENV_Lib[#Headers],0),FALSE)),"")</f>
        <v>43840</v>
      </c>
      <c r="AD18" s="74">
        <f>IFERROR(IF(VLOOKUP(CONCATENATE($A18,"_",AD$1),SP_ENV_Lib[],MATCH(AD$2,SP_ENV_Lib[#Headers],0),FALSE)=0,"",VLOOKUP(CONCATENATE($A18,"_",AD$1),SP_ENV_Lib[],MATCH(AD$2,SP_ENV_Lib[#Headers],0),FALSE)),"")</f>
        <v>43851</v>
      </c>
      <c r="AE18" s="74" t="str">
        <f>IFERROR(IF(VLOOKUP(CONCATENATE($A18,"_",AE$1),SP_ENV_Lib[],MATCH(AE$2,SP_ENV_Lib[#Headers],0),FALSE)=0,"",VLOOKUP(CONCATENATE($A18,"_",AE$1),SP_ENV_Lib[],MATCH(AE$2,SP_ENV_Lib[#Headers],0),FALSE)),"")</f>
        <v/>
      </c>
      <c r="AF18" s="172" t="str">
        <f>IFERROR(VLOOKUP(CONCATENATE($A18,"_",AF$1),SP_ENV_Lib[],MATCH(AF$2,SP_ENV_Lib[#Headers],0),FALSE),0)</f>
        <v>Accepted</v>
      </c>
      <c r="AG18" s="74"/>
      <c r="AH18" s="74"/>
      <c r="AI18" s="74"/>
      <c r="AJ18" s="84"/>
    </row>
    <row r="19" spans="1:36" ht="15" x14ac:dyDescent="0.2">
      <c r="A19" s="67" t="s">
        <v>2766</v>
      </c>
      <c r="B19" s="154" t="str">
        <f>LEFT(VLOOKUP($A19,SP_EnvTract_DB[],MATCH(B$2,SP_EnvTract_DB[#Headers],0),FALSE),7)</f>
        <v>R012839</v>
      </c>
      <c r="C19" s="68" t="str">
        <f>VLOOKUP($A19,SP_EnvTract_DB[],MATCH(C$2,SP_EnvTract_DB[#Headers],0),FALSE)</f>
        <v>ENV</v>
      </c>
      <c r="D19" s="156" t="str">
        <f>VLOOKUP($A19,SP_EnvTract_DB[],MATCH(D$2,SP_EnvTract_DB[#Headers],0),FALSE)</f>
        <v>JOHNSON JAKE HOMER JR;#107</v>
      </c>
      <c r="E19" s="156" t="str">
        <f>VLOOKUP($A19,SP_EnvTract_DB[],MATCH(E$2,SP_EnvTract_DB[#Headers],0),FALSE)</f>
        <v>1014 W DAMON;#107</v>
      </c>
      <c r="F19" s="69">
        <f>VLOOKUP($A19,SP_EnvTract_DB[],MATCH(F$2,SP_EnvTract_DB[#Headers],0),FALSE)</f>
        <v>0</v>
      </c>
      <c r="G19" s="73">
        <f>VLOOKUP($A19,SP_EnvTract_DB[],MATCH(G$2,SP_EnvTract_DB[#Headers],0),FALSE)</f>
        <v>0</v>
      </c>
      <c r="H19" s="73" t="str">
        <f>VLOOKUP($A19,SP_EnvTract_DB[],MATCH(H$2,SP_EnvTract_DB[#Headers],0),FALSE)</f>
        <v>Lily Khan</v>
      </c>
      <c r="I19" s="69">
        <f>VLOOKUP($A19,SP_EnvTract_DB[],MATCH(I$2,SP_EnvTract_DB[#Headers],0),FALSE)</f>
        <v>0</v>
      </c>
      <c r="J19" s="69">
        <f>VLOOKUP($A19,SP_EnvTract_DB[],MATCH(J$2,SP_EnvTract_DB[#Headers],0),FALSE)</f>
        <v>0</v>
      </c>
      <c r="K19" s="69">
        <f>VLOOKUP($A19,SP_EnvTract_DB[],MATCH(K$2,SP_EnvTract_DB[#Headers],0),FALSE)</f>
        <v>0</v>
      </c>
      <c r="L19" s="69">
        <f>VLOOKUP($A19,SP_EnvTract_DB[],MATCH(L$2,SP_EnvTract_DB[#Headers],0),FALSE)</f>
        <v>0</v>
      </c>
      <c r="M19" s="69">
        <f>VLOOKUP($A19,SP_EnvTract_DB[],MATCH(M$2,SP_EnvTract_DB[#Headers],0),FALSE)</f>
        <v>0</v>
      </c>
      <c r="N19" s="69">
        <f>VLOOKUP($A19,SP_EnvTract_DB[],MATCH(N$2,SP_EnvTract_DB[#Headers],0),FALSE)</f>
        <v>0</v>
      </c>
      <c r="O19" s="74">
        <f>VLOOKUP($A19,SP_EnvTract_DB[],MATCH(O$2,SP_EnvTract_DB[#Headers],0),FALSE)</f>
        <v>0</v>
      </c>
      <c r="P19" s="73">
        <f>VLOOKUP($A19,SP_EnvTract_DB[],MATCH(P$2,SP_EnvTract_DB[#Headers],0),FALSE)</f>
        <v>0</v>
      </c>
      <c r="Q19" s="73">
        <f>VLOOKUP($A19,SP_EnvTract_DB[],MATCH(Q$2,SP_EnvTract_DB[#Headers],0),FALSE)</f>
        <v>0</v>
      </c>
      <c r="R19" s="74">
        <f>VLOOKUP($A19,SP_EnvTract_DB[],MATCH(R$2,SP_EnvTract_DB[#Headers],0),FALSE)</f>
        <v>0</v>
      </c>
      <c r="S19" s="68">
        <f>VLOOKUP($A19,SP_EnvTract_DB[],MATCH(S$2,SP_EnvTract_DB[#Headers],0),FALSE)</f>
        <v>0</v>
      </c>
      <c r="T19" s="68">
        <f>VLOOKUP($A19,SP_EnvTract_DB[],MATCH(T$2,SP_EnvTract_DB[#Headers],0),FALSE)</f>
        <v>0</v>
      </c>
      <c r="U19" s="74">
        <f>VLOOKUP($A19,SP_EnvTract_DB[],MATCH(U$2,SP_EnvTract_DB[#Headers],0),FALSE)</f>
        <v>0</v>
      </c>
      <c r="V19" s="68">
        <f>VLOOKUP($A19,SP_EnvTract_DB[],MATCH(V$2,SP_EnvTract_DB[#Headers],0),FALSE)</f>
        <v>0</v>
      </c>
      <c r="W19" s="68">
        <f>VLOOKUP($A19,SP_EnvTract_DB[],MATCH(W$2,SP_EnvTract_DB[#Headers],0),FALSE)</f>
        <v>0</v>
      </c>
      <c r="X19" s="68">
        <f>VLOOKUP($A19,SP_EnvTract_DB[],MATCH(X$2,SP_EnvTract_DB[#Headers],0),FALSE)</f>
        <v>0</v>
      </c>
      <c r="Y19" s="80">
        <f>VLOOKUP($A19,SP_EnvTract_DB[],MATCH(Y$2,SP_EnvTract_DB[#Headers],0),FALSE)</f>
        <v>0</v>
      </c>
      <c r="Z19" s="81" t="str">
        <f>IFERROR(IF(VLOOKUP(CONCATENATE($A19,"_",Z$1),SP_,MATCH(Z$2,SP_ENV_Lib[#Headers],0),FALSE)=0,"",VLOOKUP(CONCATENATE($A19,"_",Z$1),SP_ENV_Lib[],MATCH(Z$2,SP_ACQ_Lib[#Headers],0),FALSE)),"")</f>
        <v/>
      </c>
      <c r="AA19" s="74"/>
      <c r="AB19" s="74">
        <f>IFERROR(IF(VLOOKUP(CONCATENATE($A19,"_",AB$1),SP_ENV_Lib[],MATCH(AB$2,SP_ENV_Lib[#Headers],0),FALSE)=0,"",VLOOKUP(CONCATENATE($A19,"_",AB$1),SP_ENV_Lib[],MATCH(AB$2,SP_ENV_Lib[#Headers],0),FALSE)),"")</f>
        <v>43893.483217592591</v>
      </c>
      <c r="AC19" s="74">
        <f>IFERROR(IF(VLOOKUP(CONCATENATE($A19,"_",AC$1),SP_ENV_Lib[],MATCH(AC$2,SP_ENV_Lib[#Headers],0),FALSE)=0,"",VLOOKUP(CONCATENATE($A19,"_",AC$1),SP_ENV_Lib[],MATCH(AC$2,SP_ENV_Lib[#Headers],0),FALSE)),"")</f>
        <v>43840</v>
      </c>
      <c r="AD19" s="74">
        <f>IFERROR(IF(VLOOKUP(CONCATENATE($A19,"_",AD$1),SP_ENV_Lib[],MATCH(AD$2,SP_ENV_Lib[#Headers],0),FALSE)=0,"",VLOOKUP(CONCATENATE($A19,"_",AD$1),SP_ENV_Lib[],MATCH(AD$2,SP_ENV_Lib[#Headers],0),FALSE)),"")</f>
        <v>43935</v>
      </c>
      <c r="AE19" s="74" t="str">
        <f>IFERROR(IF(VLOOKUP(CONCATENATE($A19,"_",AE$1),SP_ENV_Lib[],MATCH(AE$2,SP_ENV_Lib[#Headers],0),FALSE)=0,"",VLOOKUP(CONCATENATE($A19,"_",AE$1),SP_ENV_Lib[],MATCH(AE$2,SP_ENV_Lib[#Headers],0),FALSE)),"")</f>
        <v/>
      </c>
      <c r="AF19" s="172" t="str">
        <f>IFERROR(VLOOKUP(CONCATENATE($A19,"_",AF$1),SP_ENV_Lib[],MATCH(AF$2,SP_ENV_Lib[#Headers],0),FALSE),0)</f>
        <v>Accepted</v>
      </c>
      <c r="AG19" s="74"/>
      <c r="AH19" s="74"/>
      <c r="AI19" s="74"/>
      <c r="AJ19" s="84"/>
    </row>
    <row r="20" spans="1:36" ht="15" x14ac:dyDescent="0.2">
      <c r="A20" s="67" t="s">
        <v>2771</v>
      </c>
      <c r="B20" s="154" t="str">
        <f>LEFT(VLOOKUP($A20,SP_EnvTract_DB[],MATCH(B$2,SP_EnvTract_DB[#Headers],0),FALSE),7)</f>
        <v>R012840</v>
      </c>
      <c r="C20" s="68" t="str">
        <f>VLOOKUP($A20,SP_EnvTract_DB[],MATCH(C$2,SP_EnvTract_DB[#Headers],0),FALSE)</f>
        <v>ENV</v>
      </c>
      <c r="D20" s="156" t="str">
        <f>VLOOKUP($A20,SP_EnvTract_DB[],MATCH(D$2,SP_EnvTract_DB[#Headers],0),FALSE)</f>
        <v>THOMAS BILLIE JEAN H;#108</v>
      </c>
      <c r="E20" s="156" t="str">
        <f>VLOOKUP($A20,SP_EnvTract_DB[],MATCH(E$2,SP_EnvTract_DB[#Headers],0),FALSE)</f>
        <v>0 W DAMON;#108</v>
      </c>
      <c r="F20" s="69">
        <f>VLOOKUP($A20,SP_EnvTract_DB[],MATCH(F$2,SP_EnvTract_DB[#Headers],0),FALSE)</f>
        <v>0</v>
      </c>
      <c r="G20" s="73">
        <f>VLOOKUP($A20,SP_EnvTract_DB[],MATCH(G$2,SP_EnvTract_DB[#Headers],0),FALSE)</f>
        <v>0</v>
      </c>
      <c r="H20" s="73" t="str">
        <f>VLOOKUP($A20,SP_EnvTract_DB[],MATCH(H$2,SP_EnvTract_DB[#Headers],0),FALSE)</f>
        <v>Lily Khan</v>
      </c>
      <c r="I20" s="69">
        <f>VLOOKUP($A20,SP_EnvTract_DB[],MATCH(I$2,SP_EnvTract_DB[#Headers],0),FALSE)</f>
        <v>0</v>
      </c>
      <c r="J20" s="69">
        <f>VLOOKUP($A20,SP_EnvTract_DB[],MATCH(J$2,SP_EnvTract_DB[#Headers],0),FALSE)</f>
        <v>0</v>
      </c>
      <c r="K20" s="69">
        <f>VLOOKUP($A20,SP_EnvTract_DB[],MATCH(K$2,SP_EnvTract_DB[#Headers],0),FALSE)</f>
        <v>0</v>
      </c>
      <c r="L20" s="69">
        <f>VLOOKUP($A20,SP_EnvTract_DB[],MATCH(L$2,SP_EnvTract_DB[#Headers],0),FALSE)</f>
        <v>0</v>
      </c>
      <c r="M20" s="69">
        <f>VLOOKUP($A20,SP_EnvTract_DB[],MATCH(M$2,SP_EnvTract_DB[#Headers],0),FALSE)</f>
        <v>0</v>
      </c>
      <c r="N20" s="69">
        <f>VLOOKUP($A20,SP_EnvTract_DB[],MATCH(N$2,SP_EnvTract_DB[#Headers],0),FALSE)</f>
        <v>0</v>
      </c>
      <c r="O20" s="74">
        <f>VLOOKUP($A20,SP_EnvTract_DB[],MATCH(O$2,SP_EnvTract_DB[#Headers],0),FALSE)</f>
        <v>0</v>
      </c>
      <c r="P20" s="73">
        <f>VLOOKUP($A20,SP_EnvTract_DB[],MATCH(P$2,SP_EnvTract_DB[#Headers],0),FALSE)</f>
        <v>0</v>
      </c>
      <c r="Q20" s="73">
        <f>VLOOKUP($A20,SP_EnvTract_DB[],MATCH(Q$2,SP_EnvTract_DB[#Headers],0),FALSE)</f>
        <v>0</v>
      </c>
      <c r="R20" s="74">
        <f>VLOOKUP($A20,SP_EnvTract_DB[],MATCH(R$2,SP_EnvTract_DB[#Headers],0),FALSE)</f>
        <v>0</v>
      </c>
      <c r="S20" s="68">
        <f>VLOOKUP($A20,SP_EnvTract_DB[],MATCH(S$2,SP_EnvTract_DB[#Headers],0),FALSE)</f>
        <v>0</v>
      </c>
      <c r="T20" s="68">
        <f>VLOOKUP($A20,SP_EnvTract_DB[],MATCH(T$2,SP_EnvTract_DB[#Headers],0),FALSE)</f>
        <v>0</v>
      </c>
      <c r="U20" s="74">
        <f>VLOOKUP($A20,SP_EnvTract_DB[],MATCH(U$2,SP_EnvTract_DB[#Headers],0),FALSE)</f>
        <v>0</v>
      </c>
      <c r="V20" s="68">
        <f>VLOOKUP($A20,SP_EnvTract_DB[],MATCH(V$2,SP_EnvTract_DB[#Headers],0),FALSE)</f>
        <v>0</v>
      </c>
      <c r="W20" s="68">
        <f>VLOOKUP($A20,SP_EnvTract_DB[],MATCH(W$2,SP_EnvTract_DB[#Headers],0),FALSE)</f>
        <v>0</v>
      </c>
      <c r="X20" s="68">
        <f>VLOOKUP($A20,SP_EnvTract_DB[],MATCH(X$2,SP_EnvTract_DB[#Headers],0),FALSE)</f>
        <v>0</v>
      </c>
      <c r="Y20" s="80">
        <f>VLOOKUP($A20,SP_EnvTract_DB[],MATCH(Y$2,SP_EnvTract_DB[#Headers],0),FALSE)</f>
        <v>0</v>
      </c>
      <c r="Z20" s="81" t="str">
        <f>IFERROR(IF(VLOOKUP(CONCATENATE($A20,"_",Z$1),SP_,MATCH(Z$2,SP_ENV_Lib[#Headers],0),FALSE)=0,"",VLOOKUP(CONCATENATE($A20,"_",Z$1),SP_ENV_Lib[],MATCH(Z$2,SP_ACQ_Lib[#Headers],0),FALSE)),"")</f>
        <v/>
      </c>
      <c r="AA20" s="74"/>
      <c r="AB20" s="74">
        <f>IFERROR(IF(VLOOKUP(CONCATENATE($A20,"_",AB$1),SP_ENV_Lib[],MATCH(AB$2,SP_ENV_Lib[#Headers],0),FALSE)=0,"",VLOOKUP(CONCATENATE($A20,"_",AB$1),SP_ENV_Lib[],MATCH(AB$2,SP_ENV_Lib[#Headers],0),FALSE)),"")</f>
        <v>43885.460416666669</v>
      </c>
      <c r="AC20" s="74">
        <f>IFERROR(IF(VLOOKUP(CONCATENATE($A20,"_",AC$1),SP_ENV_Lib[],MATCH(AC$2,SP_ENV_Lib[#Headers],0),FALSE)=0,"",VLOOKUP(CONCATENATE($A20,"_",AC$1),SP_ENV_Lib[],MATCH(AC$2,SP_ENV_Lib[#Headers],0),FALSE)),"")</f>
        <v>43840</v>
      </c>
      <c r="AD20" s="74">
        <f>IFERROR(IF(VLOOKUP(CONCATENATE($A20,"_",AD$1),SP_ENV_Lib[],MATCH(AD$2,SP_ENV_Lib[#Headers],0),FALSE)=0,"",VLOOKUP(CONCATENATE($A20,"_",AD$1),SP_ENV_Lib[],MATCH(AD$2,SP_ENV_Lib[#Headers],0),FALSE)),"")</f>
        <v>43895</v>
      </c>
      <c r="AE20" s="74" t="str">
        <f>IFERROR(IF(VLOOKUP(CONCATENATE($A20,"_",AE$1),SP_ENV_Lib[],MATCH(AE$2,SP_ENV_Lib[#Headers],0),FALSE)=0,"",VLOOKUP(CONCATENATE($A20,"_",AE$1),SP_ENV_Lib[],MATCH(AE$2,SP_ENV_Lib[#Headers],0),FALSE)),"")</f>
        <v/>
      </c>
      <c r="AF20" s="172" t="str">
        <f>IFERROR(VLOOKUP(CONCATENATE($A20,"_",AF$1),SP_ENV_Lib[],MATCH(AF$2,SP_ENV_Lib[#Headers],0),FALSE),0)</f>
        <v>Accepted</v>
      </c>
      <c r="AG20" s="74"/>
      <c r="AH20" s="74"/>
      <c r="AI20" s="74"/>
      <c r="AJ20" s="84"/>
    </row>
    <row r="21" spans="1:36" ht="15" x14ac:dyDescent="0.2">
      <c r="A21" s="67" t="s">
        <v>2773</v>
      </c>
      <c r="B21" s="154" t="str">
        <f>LEFT(VLOOKUP($A21,SP_EnvTract_DB[],MATCH(B$2,SP_EnvTract_DB[#Headers],0),FALSE),7)</f>
        <v>R012841</v>
      </c>
      <c r="C21" s="68" t="str">
        <f>VLOOKUP($A21,SP_EnvTract_DB[],MATCH(C$2,SP_EnvTract_DB[#Headers],0),FALSE)</f>
        <v>ENV</v>
      </c>
      <c r="D21" s="156" t="str">
        <f>VLOOKUP($A21,SP_EnvTract_DB[],MATCH(D$2,SP_EnvTract_DB[#Headers],0),FALSE)</f>
        <v>HARDEMON GENE &amp; CHRYLE;#109</v>
      </c>
      <c r="E21" s="156" t="str">
        <f>VLOOKUP($A21,SP_EnvTract_DB[],MATCH(E$2,SP_EnvTract_DB[#Headers],0),FALSE)</f>
        <v>1010 DAMON;#109</v>
      </c>
      <c r="F21" s="69">
        <f>VLOOKUP($A21,SP_EnvTract_DB[],MATCH(F$2,SP_EnvTract_DB[#Headers],0),FALSE)</f>
        <v>0</v>
      </c>
      <c r="G21" s="73">
        <f>VLOOKUP($A21,SP_EnvTract_DB[],MATCH(G$2,SP_EnvTract_DB[#Headers],0),FALSE)</f>
        <v>0</v>
      </c>
      <c r="H21" s="73" t="str">
        <f>VLOOKUP($A21,SP_EnvTract_DB[],MATCH(H$2,SP_EnvTract_DB[#Headers],0),FALSE)</f>
        <v>Lily Khan</v>
      </c>
      <c r="I21" s="69">
        <f>VLOOKUP($A21,SP_EnvTract_DB[],MATCH(I$2,SP_EnvTract_DB[#Headers],0),FALSE)</f>
        <v>0</v>
      </c>
      <c r="J21" s="69">
        <f>VLOOKUP($A21,SP_EnvTract_DB[],MATCH(J$2,SP_EnvTract_DB[#Headers],0),FALSE)</f>
        <v>0</v>
      </c>
      <c r="K21" s="69">
        <f>VLOOKUP($A21,SP_EnvTract_DB[],MATCH(K$2,SP_EnvTract_DB[#Headers],0),FALSE)</f>
        <v>0</v>
      </c>
      <c r="L21" s="69">
        <f>VLOOKUP($A21,SP_EnvTract_DB[],MATCH(L$2,SP_EnvTract_DB[#Headers],0),FALSE)</f>
        <v>0</v>
      </c>
      <c r="M21" s="69">
        <f>VLOOKUP($A21,SP_EnvTract_DB[],MATCH(M$2,SP_EnvTract_DB[#Headers],0),FALSE)</f>
        <v>0</v>
      </c>
      <c r="N21" s="69">
        <f>VLOOKUP($A21,SP_EnvTract_DB[],MATCH(N$2,SP_EnvTract_DB[#Headers],0),FALSE)</f>
        <v>0</v>
      </c>
      <c r="O21" s="74">
        <f>VLOOKUP($A21,SP_EnvTract_DB[],MATCH(O$2,SP_EnvTract_DB[#Headers],0),FALSE)</f>
        <v>0</v>
      </c>
      <c r="P21" s="73">
        <f>VLOOKUP($A21,SP_EnvTract_DB[],MATCH(P$2,SP_EnvTract_DB[#Headers],0),FALSE)</f>
        <v>0</v>
      </c>
      <c r="Q21" s="73">
        <f>VLOOKUP($A21,SP_EnvTract_DB[],MATCH(Q$2,SP_EnvTract_DB[#Headers],0),FALSE)</f>
        <v>0</v>
      </c>
      <c r="R21" s="74">
        <f>VLOOKUP($A21,SP_EnvTract_DB[],MATCH(R$2,SP_EnvTract_DB[#Headers],0),FALSE)</f>
        <v>0</v>
      </c>
      <c r="S21" s="68">
        <f>VLOOKUP($A21,SP_EnvTract_DB[],MATCH(S$2,SP_EnvTract_DB[#Headers],0),FALSE)</f>
        <v>0</v>
      </c>
      <c r="T21" s="68">
        <f>VLOOKUP($A21,SP_EnvTract_DB[],MATCH(T$2,SP_EnvTract_DB[#Headers],0),FALSE)</f>
        <v>0</v>
      </c>
      <c r="U21" s="74">
        <f>VLOOKUP($A21,SP_EnvTract_DB[],MATCH(U$2,SP_EnvTract_DB[#Headers],0),FALSE)</f>
        <v>0</v>
      </c>
      <c r="V21" s="68">
        <f>VLOOKUP($A21,SP_EnvTract_DB[],MATCH(V$2,SP_EnvTract_DB[#Headers],0),FALSE)</f>
        <v>0</v>
      </c>
      <c r="W21" s="68">
        <f>VLOOKUP($A21,SP_EnvTract_DB[],MATCH(W$2,SP_EnvTract_DB[#Headers],0),FALSE)</f>
        <v>0</v>
      </c>
      <c r="X21" s="68">
        <f>VLOOKUP($A21,SP_EnvTract_DB[],MATCH(X$2,SP_EnvTract_DB[#Headers],0),FALSE)</f>
        <v>0</v>
      </c>
      <c r="Y21" s="80">
        <f>VLOOKUP($A21,SP_EnvTract_DB[],MATCH(Y$2,SP_EnvTract_DB[#Headers],0),FALSE)</f>
        <v>0</v>
      </c>
      <c r="Z21" s="81" t="str">
        <f>IFERROR(IF(VLOOKUP(CONCATENATE($A21,"_",Z$1),SP_,MATCH(Z$2,SP_ENV_Lib[#Headers],0),FALSE)=0,"",VLOOKUP(CONCATENATE($A21,"_",Z$1),SP_ENV_Lib[],MATCH(Z$2,SP_ACQ_Lib[#Headers],0),FALSE)),"")</f>
        <v/>
      </c>
      <c r="AA21" s="74"/>
      <c r="AB21" s="74">
        <f>IFERROR(IF(VLOOKUP(CONCATENATE($A21,"_",AB$1),SP_ENV_Lib[],MATCH(AB$2,SP_ENV_Lib[#Headers],0),FALSE)=0,"",VLOOKUP(CONCATENATE($A21,"_",AB$1),SP_ENV_Lib[],MATCH(AB$2,SP_ENV_Lib[#Headers],0),FALSE)),"")</f>
        <v>43879.735532407409</v>
      </c>
      <c r="AC21" s="74">
        <f>IFERROR(IF(VLOOKUP(CONCATENATE($A21,"_",AC$1),SP_ENV_Lib[],MATCH(AC$2,SP_ENV_Lib[#Headers],0),FALSE)=0,"",VLOOKUP(CONCATENATE($A21,"_",AC$1),SP_ENV_Lib[],MATCH(AC$2,SP_ENV_Lib[#Headers],0),FALSE)),"")</f>
        <v>43840</v>
      </c>
      <c r="AD21" s="74">
        <f>IFERROR(IF(VLOOKUP(CONCATENATE($A21,"_",AD$1),SP_ENV_Lib[],MATCH(AD$2,SP_ENV_Lib[#Headers],0),FALSE)=0,"",VLOOKUP(CONCATENATE($A21,"_",AD$1),SP_ENV_Lib[],MATCH(AD$2,SP_ENV_Lib[#Headers],0),FALSE)),"")</f>
        <v>43880</v>
      </c>
      <c r="AE21" s="74" t="str">
        <f>IFERROR(IF(VLOOKUP(CONCATENATE($A21,"_",AE$1),SP_ENV_Lib[],MATCH(AE$2,SP_ENV_Lib[#Headers],0),FALSE)=0,"",VLOOKUP(CONCATENATE($A21,"_",AE$1),SP_ENV_Lib[],MATCH(AE$2,SP_ENV_Lib[#Headers],0),FALSE)),"")</f>
        <v/>
      </c>
      <c r="AF21" s="172" t="str">
        <f>IFERROR(VLOOKUP(CONCATENATE($A21,"_",AF$1),SP_ENV_Lib[],MATCH(AF$2,SP_ENV_Lib[#Headers],0),FALSE),0)</f>
        <v>Accepted</v>
      </c>
      <c r="AG21" s="74"/>
      <c r="AH21" s="74"/>
      <c r="AI21" s="74"/>
      <c r="AJ21" s="84"/>
    </row>
    <row r="22" spans="1:36" ht="15" x14ac:dyDescent="0.2">
      <c r="A22" s="67" t="s">
        <v>2778</v>
      </c>
      <c r="B22" s="154" t="str">
        <f>LEFT(VLOOKUP($A22,SP_EnvTract_DB[],MATCH(B$2,SP_EnvTract_DB[#Headers],0),FALSE),7)</f>
        <v>R012842</v>
      </c>
      <c r="C22" s="68" t="str">
        <f>VLOOKUP($A22,SP_EnvTract_DB[],MATCH(C$2,SP_EnvTract_DB[#Headers],0),FALSE)</f>
        <v>ENV</v>
      </c>
      <c r="D22" s="156" t="str">
        <f>VLOOKUP($A22,SP_EnvTract_DB[],MATCH(D$2,SP_EnvTract_DB[#Headers],0),FALSE)</f>
        <v>KING EDDIE EST %PHYNON EDDIE;#110</v>
      </c>
      <c r="E22" s="156" t="str">
        <f>VLOOKUP($A22,SP_EnvTract_DB[],MATCH(E$2,SP_EnvTract_DB[#Headers],0),FALSE)</f>
        <v>314 S SHEPPARD;#110</v>
      </c>
      <c r="F22" s="69">
        <f>VLOOKUP($A22,SP_EnvTract_DB[],MATCH(F$2,SP_EnvTract_DB[#Headers],0),FALSE)</f>
        <v>0</v>
      </c>
      <c r="G22" s="73">
        <f>VLOOKUP($A22,SP_EnvTract_DB[],MATCH(G$2,SP_EnvTract_DB[#Headers],0),FALSE)</f>
        <v>0</v>
      </c>
      <c r="H22" s="73" t="str">
        <f>VLOOKUP($A22,SP_EnvTract_DB[],MATCH(H$2,SP_EnvTract_DB[#Headers],0),FALSE)</f>
        <v>Lily Khan</v>
      </c>
      <c r="I22" s="69">
        <f>VLOOKUP($A22,SP_EnvTract_DB[],MATCH(I$2,SP_EnvTract_DB[#Headers],0),FALSE)</f>
        <v>0</v>
      </c>
      <c r="J22" s="69">
        <f>VLOOKUP($A22,SP_EnvTract_DB[],MATCH(J$2,SP_EnvTract_DB[#Headers],0),FALSE)</f>
        <v>0</v>
      </c>
      <c r="K22" s="69">
        <f>VLOOKUP($A22,SP_EnvTract_DB[],MATCH(K$2,SP_EnvTract_DB[#Headers],0),FALSE)</f>
        <v>0</v>
      </c>
      <c r="L22" s="69">
        <f>VLOOKUP($A22,SP_EnvTract_DB[],MATCH(L$2,SP_EnvTract_DB[#Headers],0),FALSE)</f>
        <v>0</v>
      </c>
      <c r="M22" s="69">
        <f>VLOOKUP($A22,SP_EnvTract_DB[],MATCH(M$2,SP_EnvTract_DB[#Headers],0),FALSE)</f>
        <v>0</v>
      </c>
      <c r="N22" s="69">
        <f>VLOOKUP($A22,SP_EnvTract_DB[],MATCH(N$2,SP_EnvTract_DB[#Headers],0),FALSE)</f>
        <v>0</v>
      </c>
      <c r="O22" s="74">
        <f>VLOOKUP($A22,SP_EnvTract_DB[],MATCH(O$2,SP_EnvTract_DB[#Headers],0),FALSE)</f>
        <v>0</v>
      </c>
      <c r="P22" s="73">
        <f>VLOOKUP($A22,SP_EnvTract_DB[],MATCH(P$2,SP_EnvTract_DB[#Headers],0),FALSE)</f>
        <v>0</v>
      </c>
      <c r="Q22" s="73">
        <f>VLOOKUP($A22,SP_EnvTract_DB[],MATCH(Q$2,SP_EnvTract_DB[#Headers],0),FALSE)</f>
        <v>0</v>
      </c>
      <c r="R22" s="74">
        <f>VLOOKUP($A22,SP_EnvTract_DB[],MATCH(R$2,SP_EnvTract_DB[#Headers],0),FALSE)</f>
        <v>0</v>
      </c>
      <c r="S22" s="68">
        <f>VLOOKUP($A22,SP_EnvTract_DB[],MATCH(S$2,SP_EnvTract_DB[#Headers],0),FALSE)</f>
        <v>0</v>
      </c>
      <c r="T22" s="68">
        <f>VLOOKUP($A22,SP_EnvTract_DB[],MATCH(T$2,SP_EnvTract_DB[#Headers],0),FALSE)</f>
        <v>0</v>
      </c>
      <c r="U22" s="74">
        <f>VLOOKUP($A22,SP_EnvTract_DB[],MATCH(U$2,SP_EnvTract_DB[#Headers],0),FALSE)</f>
        <v>0</v>
      </c>
      <c r="V22" s="68">
        <f>VLOOKUP($A22,SP_EnvTract_DB[],MATCH(V$2,SP_EnvTract_DB[#Headers],0),FALSE)</f>
        <v>0</v>
      </c>
      <c r="W22" s="68">
        <f>VLOOKUP($A22,SP_EnvTract_DB[],MATCH(W$2,SP_EnvTract_DB[#Headers],0),FALSE)</f>
        <v>0</v>
      </c>
      <c r="X22" s="68">
        <f>VLOOKUP($A22,SP_EnvTract_DB[],MATCH(X$2,SP_EnvTract_DB[#Headers],0),FALSE)</f>
        <v>0</v>
      </c>
      <c r="Y22" s="80">
        <f>VLOOKUP($A22,SP_EnvTract_DB[],MATCH(Y$2,SP_EnvTract_DB[#Headers],0),FALSE)</f>
        <v>0</v>
      </c>
      <c r="Z22" s="81" t="str">
        <f>IFERROR(IF(VLOOKUP(CONCATENATE($A22,"_",Z$1),SP_,MATCH(Z$2,SP_ENV_Lib[#Headers],0),FALSE)=0,"",VLOOKUP(CONCATENATE($A22,"_",Z$1),SP_ENV_Lib[],MATCH(Z$2,SP_ACQ_Lib[#Headers],0),FALSE)),"")</f>
        <v/>
      </c>
      <c r="AA22" s="74"/>
      <c r="AB22" s="74">
        <f>IFERROR(IF(VLOOKUP(CONCATENATE($A22,"_",AB$1),SP_ENV_Lib[],MATCH(AB$2,SP_ENV_Lib[#Headers],0),FALSE)=0,"",VLOOKUP(CONCATENATE($A22,"_",AB$1),SP_ENV_Lib[],MATCH(AB$2,SP_ENV_Lib[#Headers],0),FALSE)),"")</f>
        <v>43879.735532407409</v>
      </c>
      <c r="AC22" s="74">
        <f>IFERROR(IF(VLOOKUP(CONCATENATE($A22,"_",AC$1),SP_ENV_Lib[],MATCH(AC$2,SP_ENV_Lib[#Headers],0),FALSE)=0,"",VLOOKUP(CONCATENATE($A22,"_",AC$1),SP_ENV_Lib[],MATCH(AC$2,SP_ENV_Lib[#Headers],0),FALSE)),"")</f>
        <v>43840</v>
      </c>
      <c r="AD22" s="74">
        <f>IFERROR(IF(VLOOKUP(CONCATENATE($A22,"_",AD$1),SP_ENV_Lib[],MATCH(AD$2,SP_ENV_Lib[#Headers],0),FALSE)=0,"",VLOOKUP(CONCATENATE($A22,"_",AD$1),SP_ENV_Lib[],MATCH(AD$2,SP_ENV_Lib[#Headers],0),FALSE)),"")</f>
        <v>43864</v>
      </c>
      <c r="AE22" s="74" t="str">
        <f>IFERROR(IF(VLOOKUP(CONCATENATE($A22,"_",AE$1),SP_ENV_Lib[],MATCH(AE$2,SP_ENV_Lib[#Headers],0),FALSE)=0,"",VLOOKUP(CONCATENATE($A22,"_",AE$1),SP_ENV_Lib[],MATCH(AE$2,SP_ENV_Lib[#Headers],0),FALSE)),"")</f>
        <v/>
      </c>
      <c r="AF22" s="172" t="str">
        <f>IFERROR(VLOOKUP(CONCATENATE($A22,"_",AF$1),SP_ENV_Lib[],MATCH(AF$2,SP_ENV_Lib[#Headers],0),FALSE),0)</f>
        <v>Accepted</v>
      </c>
      <c r="AG22" s="74"/>
      <c r="AH22" s="74"/>
      <c r="AI22" s="74"/>
      <c r="AJ22" s="84"/>
    </row>
    <row r="23" spans="1:36" ht="15" x14ac:dyDescent="0.2">
      <c r="A23" s="67" t="s">
        <v>2783</v>
      </c>
      <c r="B23" s="154" t="str">
        <f>LEFT(VLOOKUP($A23,SP_EnvTract_DB[],MATCH(B$2,SP_EnvTract_DB[#Headers],0),FALSE),7)</f>
        <v>R012843</v>
      </c>
      <c r="C23" s="68" t="str">
        <f>VLOOKUP($A23,SP_EnvTract_DB[],MATCH(C$2,SP_EnvTract_DB[#Headers],0),FALSE)</f>
        <v>ENV</v>
      </c>
      <c r="D23" s="156" t="str">
        <f>VLOOKUP($A23,SP_EnvTract_DB[],MATCH(D$2,SP_EnvTract_DB[#Headers],0),FALSE)</f>
        <v>HARDEMON GENE CHRYLE;#111</v>
      </c>
      <c r="E23" s="156" t="str">
        <f>VLOOKUP($A23,SP_EnvTract_DB[],MATCH(E$2,SP_EnvTract_DB[#Headers],0),FALSE)</f>
        <v>310 S SHEPPARD;#111</v>
      </c>
      <c r="F23" s="69">
        <f>VLOOKUP($A23,SP_EnvTract_DB[],MATCH(F$2,SP_EnvTract_DB[#Headers],0),FALSE)</f>
        <v>0</v>
      </c>
      <c r="G23" s="73">
        <f>VLOOKUP($A23,SP_EnvTract_DB[],MATCH(G$2,SP_EnvTract_DB[#Headers],0),FALSE)</f>
        <v>0</v>
      </c>
      <c r="H23" s="73" t="str">
        <f>VLOOKUP($A23,SP_EnvTract_DB[],MATCH(H$2,SP_EnvTract_DB[#Headers],0),FALSE)</f>
        <v>Lily Khan</v>
      </c>
      <c r="I23" s="69">
        <f>VLOOKUP($A23,SP_EnvTract_DB[],MATCH(I$2,SP_EnvTract_DB[#Headers],0),FALSE)</f>
        <v>0</v>
      </c>
      <c r="J23" s="69">
        <f>VLOOKUP($A23,SP_EnvTract_DB[],MATCH(J$2,SP_EnvTract_DB[#Headers],0),FALSE)</f>
        <v>0</v>
      </c>
      <c r="K23" s="69">
        <f>VLOOKUP($A23,SP_EnvTract_DB[],MATCH(K$2,SP_EnvTract_DB[#Headers],0),FALSE)</f>
        <v>0</v>
      </c>
      <c r="L23" s="69">
        <f>VLOOKUP($A23,SP_EnvTract_DB[],MATCH(L$2,SP_EnvTract_DB[#Headers],0),FALSE)</f>
        <v>0</v>
      </c>
      <c r="M23" s="69">
        <f>VLOOKUP($A23,SP_EnvTract_DB[],MATCH(M$2,SP_EnvTract_DB[#Headers],0),FALSE)</f>
        <v>0</v>
      </c>
      <c r="N23" s="69">
        <f>VLOOKUP($A23,SP_EnvTract_DB[],MATCH(N$2,SP_EnvTract_DB[#Headers],0),FALSE)</f>
        <v>0</v>
      </c>
      <c r="O23" s="74">
        <f>VLOOKUP($A23,SP_EnvTract_DB[],MATCH(O$2,SP_EnvTract_DB[#Headers],0),FALSE)</f>
        <v>0</v>
      </c>
      <c r="P23" s="73">
        <f>VLOOKUP($A23,SP_EnvTract_DB[],MATCH(P$2,SP_EnvTract_DB[#Headers],0),FALSE)</f>
        <v>0</v>
      </c>
      <c r="Q23" s="73">
        <f>VLOOKUP($A23,SP_EnvTract_DB[],MATCH(Q$2,SP_EnvTract_DB[#Headers],0),FALSE)</f>
        <v>0</v>
      </c>
      <c r="R23" s="74">
        <f>VLOOKUP($A23,SP_EnvTract_DB[],MATCH(R$2,SP_EnvTract_DB[#Headers],0),FALSE)</f>
        <v>0</v>
      </c>
      <c r="S23" s="68">
        <f>VLOOKUP($A23,SP_EnvTract_DB[],MATCH(S$2,SP_EnvTract_DB[#Headers],0),FALSE)</f>
        <v>0</v>
      </c>
      <c r="T23" s="68">
        <f>VLOOKUP($A23,SP_EnvTract_DB[],MATCH(T$2,SP_EnvTract_DB[#Headers],0),FALSE)</f>
        <v>0</v>
      </c>
      <c r="U23" s="74">
        <f>VLOOKUP($A23,SP_EnvTract_DB[],MATCH(U$2,SP_EnvTract_DB[#Headers],0),FALSE)</f>
        <v>0</v>
      </c>
      <c r="V23" s="68">
        <f>VLOOKUP($A23,SP_EnvTract_DB[],MATCH(V$2,SP_EnvTract_DB[#Headers],0),FALSE)</f>
        <v>0</v>
      </c>
      <c r="W23" s="68">
        <f>VLOOKUP($A23,SP_EnvTract_DB[],MATCH(W$2,SP_EnvTract_DB[#Headers],0),FALSE)</f>
        <v>0</v>
      </c>
      <c r="X23" s="68">
        <f>VLOOKUP($A23,SP_EnvTract_DB[],MATCH(X$2,SP_EnvTract_DB[#Headers],0),FALSE)</f>
        <v>0</v>
      </c>
      <c r="Y23" s="80">
        <f>VLOOKUP($A23,SP_EnvTract_DB[],MATCH(Y$2,SP_EnvTract_DB[#Headers],0),FALSE)</f>
        <v>0</v>
      </c>
      <c r="Z23" s="81" t="str">
        <f>IFERROR(IF(VLOOKUP(CONCATENATE($A23,"_",Z$1),SP_,MATCH(Z$2,SP_ENV_Lib[#Headers],0),FALSE)=0,"",VLOOKUP(CONCATENATE($A23,"_",Z$1),SP_ENV_Lib[],MATCH(Z$2,SP_ACQ_Lib[#Headers],0),FALSE)),"")</f>
        <v/>
      </c>
      <c r="AA23" s="74"/>
      <c r="AB23" s="74">
        <f>IFERROR(IF(VLOOKUP(CONCATENATE($A23,"_",AB$1),SP_ENV_Lib[],MATCH(AB$2,SP_ENV_Lib[#Headers],0),FALSE)=0,"",VLOOKUP(CONCATENATE($A23,"_",AB$1),SP_ENV_Lib[],MATCH(AB$2,SP_ENV_Lib[#Headers],0),FALSE)),"")</f>
        <v>43879.735543981478</v>
      </c>
      <c r="AC23" s="74">
        <f>IFERROR(IF(VLOOKUP(CONCATENATE($A23,"_",AC$1),SP_ENV_Lib[],MATCH(AC$2,SP_ENV_Lib[#Headers],0),FALSE)=0,"",VLOOKUP(CONCATENATE($A23,"_",AC$1),SP_ENV_Lib[],MATCH(AC$2,SP_ENV_Lib[#Headers],0),FALSE)),"")</f>
        <v>43840</v>
      </c>
      <c r="AD23" s="74">
        <f>IFERROR(IF(VLOOKUP(CONCATENATE($A23,"_",AD$1),SP_ENV_Lib[],MATCH(AD$2,SP_ENV_Lib[#Headers],0),FALSE)=0,"",VLOOKUP(CONCATENATE($A23,"_",AD$1),SP_ENV_Lib[],MATCH(AD$2,SP_ENV_Lib[#Headers],0),FALSE)),"")</f>
        <v>43880</v>
      </c>
      <c r="AE23" s="74" t="str">
        <f>IFERROR(IF(VLOOKUP(CONCATENATE($A23,"_",AE$1),SP_ENV_Lib[],MATCH(AE$2,SP_ENV_Lib[#Headers],0),FALSE)=0,"",VLOOKUP(CONCATENATE($A23,"_",AE$1),SP_ENV_Lib[],MATCH(AE$2,SP_ENV_Lib[#Headers],0),FALSE)),"")</f>
        <v/>
      </c>
      <c r="AF23" s="172" t="str">
        <f>IFERROR(VLOOKUP(CONCATENATE($A23,"_",AF$1),SP_ENV_Lib[],MATCH(AF$2,SP_ENV_Lib[#Headers],0),FALSE),0)</f>
        <v>Accepted</v>
      </c>
      <c r="AG23" s="74"/>
      <c r="AH23" s="74"/>
      <c r="AI23" s="74"/>
      <c r="AJ23" s="84"/>
    </row>
    <row r="24" spans="1:36" ht="15" x14ac:dyDescent="0.2">
      <c r="A24" s="67" t="s">
        <v>2788</v>
      </c>
      <c r="B24" s="154" t="str">
        <f>LEFT(VLOOKUP($A24,SP_EnvTract_DB[],MATCH(B$2,SP_EnvTract_DB[#Headers],0),FALSE),7)</f>
        <v>R015979</v>
      </c>
      <c r="C24" s="68" t="str">
        <f>VLOOKUP($A24,SP_EnvTract_DB[],MATCH(C$2,SP_EnvTract_DB[#Headers],0),FALSE)</f>
        <v>ENV</v>
      </c>
      <c r="D24" s="156" t="str">
        <f>VLOOKUP($A24,SP_EnvTract_DB[],MATCH(D$2,SP_EnvTract_DB[#Headers],0),FALSE)</f>
        <v>J-M MANUFACTURING CO;#112</v>
      </c>
      <c r="E24" s="156" t="str">
        <f>VLOOKUP($A24,SP_EnvTract_DB[],MATCH(E$2,SP_EnvTract_DB[#Headers],0),FALSE)</f>
        <v>0 MLK BLVD;#112</v>
      </c>
      <c r="F24" s="69">
        <f>VLOOKUP($A24,SP_EnvTract_DB[],MATCH(F$2,SP_EnvTract_DB[#Headers],0),FALSE)</f>
        <v>0</v>
      </c>
      <c r="G24" s="73">
        <f>VLOOKUP($A24,SP_EnvTract_DB[],MATCH(G$2,SP_EnvTract_DB[#Headers],0),FALSE)</f>
        <v>0</v>
      </c>
      <c r="H24" s="73" t="str">
        <f>VLOOKUP($A24,SP_EnvTract_DB[],MATCH(H$2,SP_EnvTract_DB[#Headers],0),FALSE)</f>
        <v>Lily Khan</v>
      </c>
      <c r="I24" s="69">
        <f>VLOOKUP($A24,SP_EnvTract_DB[],MATCH(I$2,SP_EnvTract_DB[#Headers],0),FALSE)</f>
        <v>0</v>
      </c>
      <c r="J24" s="69">
        <f>VLOOKUP($A24,SP_EnvTract_DB[],MATCH(J$2,SP_EnvTract_DB[#Headers],0),FALSE)</f>
        <v>0</v>
      </c>
      <c r="K24" s="69">
        <f>VLOOKUP($A24,SP_EnvTract_DB[],MATCH(K$2,SP_EnvTract_DB[#Headers],0),FALSE)</f>
        <v>0</v>
      </c>
      <c r="L24" s="69">
        <f>VLOOKUP($A24,SP_EnvTract_DB[],MATCH(L$2,SP_EnvTract_DB[#Headers],0),FALSE)</f>
        <v>0</v>
      </c>
      <c r="M24" s="69">
        <f>VLOOKUP($A24,SP_EnvTract_DB[],MATCH(M$2,SP_EnvTract_DB[#Headers],0),FALSE)</f>
        <v>0</v>
      </c>
      <c r="N24" s="69">
        <f>VLOOKUP($A24,SP_EnvTract_DB[],MATCH(N$2,SP_EnvTract_DB[#Headers],0),FALSE)</f>
        <v>0</v>
      </c>
      <c r="O24" s="74">
        <f>VLOOKUP($A24,SP_EnvTract_DB[],MATCH(O$2,SP_EnvTract_DB[#Headers],0),FALSE)</f>
        <v>0</v>
      </c>
      <c r="P24" s="73">
        <f>VLOOKUP($A24,SP_EnvTract_DB[],MATCH(P$2,SP_EnvTract_DB[#Headers],0),FALSE)</f>
        <v>0</v>
      </c>
      <c r="Q24" s="73">
        <f>VLOOKUP($A24,SP_EnvTract_DB[],MATCH(Q$2,SP_EnvTract_DB[#Headers],0),FALSE)</f>
        <v>0</v>
      </c>
      <c r="R24" s="74">
        <f>VLOOKUP($A24,SP_EnvTract_DB[],MATCH(R$2,SP_EnvTract_DB[#Headers],0),FALSE)</f>
        <v>0</v>
      </c>
      <c r="S24" s="68">
        <f>VLOOKUP($A24,SP_EnvTract_DB[],MATCH(S$2,SP_EnvTract_DB[#Headers],0),FALSE)</f>
        <v>0</v>
      </c>
      <c r="T24" s="68">
        <f>VLOOKUP($A24,SP_EnvTract_DB[],MATCH(T$2,SP_EnvTract_DB[#Headers],0),FALSE)</f>
        <v>0</v>
      </c>
      <c r="U24" s="74">
        <f>VLOOKUP($A24,SP_EnvTract_DB[],MATCH(U$2,SP_EnvTract_DB[#Headers],0),FALSE)</f>
        <v>0</v>
      </c>
      <c r="V24" s="68">
        <f>VLOOKUP($A24,SP_EnvTract_DB[],MATCH(V$2,SP_EnvTract_DB[#Headers],0),FALSE)</f>
        <v>0</v>
      </c>
      <c r="W24" s="68">
        <f>VLOOKUP($A24,SP_EnvTract_DB[],MATCH(W$2,SP_EnvTract_DB[#Headers],0),FALSE)</f>
        <v>0</v>
      </c>
      <c r="X24" s="68">
        <f>VLOOKUP($A24,SP_EnvTract_DB[],MATCH(X$2,SP_EnvTract_DB[#Headers],0),FALSE)</f>
        <v>0</v>
      </c>
      <c r="Y24" s="80">
        <f>VLOOKUP($A24,SP_EnvTract_DB[],MATCH(Y$2,SP_EnvTract_DB[#Headers],0),FALSE)</f>
        <v>0</v>
      </c>
      <c r="Z24" s="81" t="str">
        <f>IFERROR(IF(VLOOKUP(CONCATENATE($A24,"_",Z$1),SP_,MATCH(Z$2,SP_ENV_Lib[#Headers],0),FALSE)=0,"",VLOOKUP(CONCATENATE($A24,"_",Z$1),SP_ENV_Lib[],MATCH(Z$2,SP_ACQ_Lib[#Headers],0),FALSE)),"")</f>
        <v/>
      </c>
      <c r="AA24" s="74"/>
      <c r="AB24" s="74">
        <f>IFERROR(IF(VLOOKUP(CONCATENATE($A24,"_",AB$1),SP_ENV_Lib[],MATCH(AB$2,SP_ENV_Lib[#Headers],0),FALSE)=0,"",VLOOKUP(CONCATENATE($A24,"_",AB$1),SP_ENV_Lib[],MATCH(AB$2,SP_ENV_Lib[#Headers],0),FALSE)),"")</f>
        <v>43881.657511574071</v>
      </c>
      <c r="AC24" s="74">
        <f>IFERROR(IF(VLOOKUP(CONCATENATE($A24,"_",AC$1),SP_ENV_Lib[],MATCH(AC$2,SP_ENV_Lib[#Headers],0),FALSE)=0,"",VLOOKUP(CONCATENATE($A24,"_",AC$1),SP_ENV_Lib[],MATCH(AC$2,SP_ENV_Lib[#Headers],0),FALSE)),"")</f>
        <v>43840</v>
      </c>
      <c r="AD24" s="74">
        <f>IFERROR(IF(VLOOKUP(CONCATENATE($A24,"_",AD$1),SP_ENV_Lib[],MATCH(AD$2,SP_ENV_Lib[#Headers],0),FALSE)=0,"",VLOOKUP(CONCATENATE($A24,"_",AD$1),SP_ENV_Lib[],MATCH(AD$2,SP_ENV_Lib[#Headers],0),FALSE)),"")</f>
        <v>43895</v>
      </c>
      <c r="AE24" s="74" t="str">
        <f>IFERROR(IF(VLOOKUP(CONCATENATE($A24,"_",AE$1),SP_ENV_Lib[],MATCH(AE$2,SP_ENV_Lib[#Headers],0),FALSE)=0,"",VLOOKUP(CONCATENATE($A24,"_",AE$1),SP_ENV_Lib[],MATCH(AE$2,SP_ENV_Lib[#Headers],0),FALSE)),"")</f>
        <v/>
      </c>
      <c r="AF24" s="172" t="str">
        <f>IFERROR(VLOOKUP(CONCATENATE($A24,"_",AF$1),SP_ENV_Lib[],MATCH(AF$2,SP_ENV_Lib[#Headers],0),FALSE),0)</f>
        <v>Accepted</v>
      </c>
      <c r="AG24" s="74"/>
      <c r="AH24" s="74"/>
      <c r="AI24" s="74"/>
      <c r="AJ24" s="84"/>
    </row>
    <row r="25" spans="1:36" ht="15" x14ac:dyDescent="0.2">
      <c r="A25" s="67" t="s">
        <v>2793</v>
      </c>
      <c r="B25" s="154" t="str">
        <f>LEFT(VLOOKUP($A25,SP_EnvTract_DB[],MATCH(B$2,SP_EnvTract_DB[#Headers],0),FALSE),7)</f>
        <v>R015981</v>
      </c>
      <c r="C25" s="68" t="str">
        <f>VLOOKUP($A25,SP_EnvTract_DB[],MATCH(C$2,SP_EnvTract_DB[#Headers],0),FALSE)</f>
        <v>ENV</v>
      </c>
      <c r="D25" s="156" t="str">
        <f>VLOOKUP($A25,SP_EnvTract_DB[],MATCH(D$2,SP_EnvTract_DB[#Headers],0),FALSE)</f>
        <v>ARGUIJO ALICE;#113</v>
      </c>
      <c r="E25" s="156" t="str">
        <f>VLOOKUP($A25,SP_EnvTract_DB[],MATCH(E$2,SP_EnvTract_DB[#Headers],0),FALSE)</f>
        <v>414 WILKES;#113</v>
      </c>
      <c r="F25" s="69">
        <f>VLOOKUP($A25,SP_EnvTract_DB[],MATCH(F$2,SP_EnvTract_DB[#Headers],0),FALSE)</f>
        <v>0</v>
      </c>
      <c r="G25" s="73">
        <f>VLOOKUP($A25,SP_EnvTract_DB[],MATCH(G$2,SP_EnvTract_DB[#Headers],0),FALSE)</f>
        <v>0</v>
      </c>
      <c r="H25" s="73" t="str">
        <f>VLOOKUP($A25,SP_EnvTract_DB[],MATCH(H$2,SP_EnvTract_DB[#Headers],0),FALSE)</f>
        <v>Lily Khan</v>
      </c>
      <c r="I25" s="69">
        <f>VLOOKUP($A25,SP_EnvTract_DB[],MATCH(I$2,SP_EnvTract_DB[#Headers],0),FALSE)</f>
        <v>0</v>
      </c>
      <c r="J25" s="69">
        <f>VLOOKUP($A25,SP_EnvTract_DB[],MATCH(J$2,SP_EnvTract_DB[#Headers],0),FALSE)</f>
        <v>0</v>
      </c>
      <c r="K25" s="69">
        <f>VLOOKUP($A25,SP_EnvTract_DB[],MATCH(K$2,SP_EnvTract_DB[#Headers],0),FALSE)</f>
        <v>0</v>
      </c>
      <c r="L25" s="69">
        <f>VLOOKUP($A25,SP_EnvTract_DB[],MATCH(L$2,SP_EnvTract_DB[#Headers],0),FALSE)</f>
        <v>0</v>
      </c>
      <c r="M25" s="69">
        <f>VLOOKUP($A25,SP_EnvTract_DB[],MATCH(M$2,SP_EnvTract_DB[#Headers],0),FALSE)</f>
        <v>0</v>
      </c>
      <c r="N25" s="69">
        <f>VLOOKUP($A25,SP_EnvTract_DB[],MATCH(N$2,SP_EnvTract_DB[#Headers],0),FALSE)</f>
        <v>0</v>
      </c>
      <c r="O25" s="74">
        <f>VLOOKUP($A25,SP_EnvTract_DB[],MATCH(O$2,SP_EnvTract_DB[#Headers],0),FALSE)</f>
        <v>0</v>
      </c>
      <c r="P25" s="73">
        <f>VLOOKUP($A25,SP_EnvTract_DB[],MATCH(P$2,SP_EnvTract_DB[#Headers],0),FALSE)</f>
        <v>0</v>
      </c>
      <c r="Q25" s="73">
        <f>VLOOKUP($A25,SP_EnvTract_DB[],MATCH(Q$2,SP_EnvTract_DB[#Headers],0),FALSE)</f>
        <v>0</v>
      </c>
      <c r="R25" s="74">
        <f>VLOOKUP($A25,SP_EnvTract_DB[],MATCH(R$2,SP_EnvTract_DB[#Headers],0),FALSE)</f>
        <v>0</v>
      </c>
      <c r="S25" s="68">
        <f>VLOOKUP($A25,SP_EnvTract_DB[],MATCH(S$2,SP_EnvTract_DB[#Headers],0),FALSE)</f>
        <v>0</v>
      </c>
      <c r="T25" s="68">
        <f>VLOOKUP($A25,SP_EnvTract_DB[],MATCH(T$2,SP_EnvTract_DB[#Headers],0),FALSE)</f>
        <v>0</v>
      </c>
      <c r="U25" s="74">
        <f>VLOOKUP($A25,SP_EnvTract_DB[],MATCH(U$2,SP_EnvTract_DB[#Headers],0),FALSE)</f>
        <v>0</v>
      </c>
      <c r="V25" s="68">
        <f>VLOOKUP($A25,SP_EnvTract_DB[],MATCH(V$2,SP_EnvTract_DB[#Headers],0),FALSE)</f>
        <v>0</v>
      </c>
      <c r="W25" s="68">
        <f>VLOOKUP($A25,SP_EnvTract_DB[],MATCH(W$2,SP_EnvTract_DB[#Headers],0),FALSE)</f>
        <v>0</v>
      </c>
      <c r="X25" s="68">
        <f>VLOOKUP($A25,SP_EnvTract_DB[],MATCH(X$2,SP_EnvTract_DB[#Headers],0),FALSE)</f>
        <v>0</v>
      </c>
      <c r="Y25" s="80">
        <f>VLOOKUP($A25,SP_EnvTract_DB[],MATCH(Y$2,SP_EnvTract_DB[#Headers],0),FALSE)</f>
        <v>0</v>
      </c>
      <c r="Z25" s="81" t="str">
        <f>IFERROR(IF(VLOOKUP(CONCATENATE($A25,"_",Z$1),SP_,MATCH(Z$2,SP_ENV_Lib[#Headers],0),FALSE)=0,"",VLOOKUP(CONCATENATE($A25,"_",Z$1),SP_ENV_Lib[],MATCH(Z$2,SP_ACQ_Lib[#Headers],0),FALSE)),"")</f>
        <v/>
      </c>
      <c r="AA25" s="74"/>
      <c r="AB25" s="74">
        <f>IFERROR(IF(VLOOKUP(CONCATENATE($A25,"_",AB$1),SP_ENV_Lib[],MATCH(AB$2,SP_ENV_Lib[#Headers],0),FALSE)=0,"",VLOOKUP(CONCATENATE($A25,"_",AB$1),SP_ENV_Lib[],MATCH(AB$2,SP_ENV_Lib[#Headers],0),FALSE)),"")</f>
        <v>43943.674861111111</v>
      </c>
      <c r="AC25" s="74" t="str">
        <f>IFERROR(IF(VLOOKUP(CONCATENATE($A25,"_",AC$1),SP_ENV_Lib[],MATCH(AC$2,SP_ENV_Lib[#Headers],0),FALSE)=0,"",VLOOKUP(CONCATENATE($A25,"_",AC$1),SP_ENV_Lib[],MATCH(AC$2,SP_ENV_Lib[#Headers],0),FALSE)),"")</f>
        <v/>
      </c>
      <c r="AD25" s="74" t="str">
        <f>IFERROR(IF(VLOOKUP(CONCATENATE($A25,"_",AD$1),SP_ENV_Lib[],MATCH(AD$2,SP_ENV_Lib[#Headers],0),FALSE)=0,"",VLOOKUP(CONCATENATE($A25,"_",AD$1),SP_ENV_Lib[],MATCH(AD$2,SP_ENV_Lib[#Headers],0),FALSE)),"")</f>
        <v/>
      </c>
      <c r="AE25" s="74" t="str">
        <f>IFERROR(IF(VLOOKUP(CONCATENATE($A25,"_",AE$1),SP_ENV_Lib[],MATCH(AE$2,SP_ENV_Lib[#Headers],0),FALSE)=0,"",VLOOKUP(CONCATENATE($A25,"_",AE$1),SP_ENV_Lib[],MATCH(AE$2,SP_ENV_Lib[#Headers],0),FALSE)),"")</f>
        <v/>
      </c>
      <c r="AF25" s="172" t="str">
        <f>IFERROR(VLOOKUP(CONCATENATE($A25,"_",AF$1),SP_ENV_Lib[],MATCH(AF$2,SP_ENV_Lib[#Headers],0),FALSE),0)</f>
        <v>Accepted</v>
      </c>
      <c r="AG25" s="74"/>
      <c r="AH25" s="74"/>
      <c r="AI25" s="74"/>
      <c r="AJ25" s="84"/>
    </row>
    <row r="26" spans="1:36" ht="15" x14ac:dyDescent="0.2">
      <c r="A26" s="67" t="s">
        <v>2798</v>
      </c>
      <c r="B26" s="154" t="str">
        <f>LEFT(VLOOKUP($A26,SP_EnvTract_DB[],MATCH(B$2,SP_EnvTract_DB[#Headers],0),FALSE),7)</f>
        <v>R015983</v>
      </c>
      <c r="C26" s="68" t="str">
        <f>VLOOKUP($A26,SP_EnvTract_DB[],MATCH(C$2,SP_EnvTract_DB[#Headers],0),FALSE)</f>
        <v>ENV</v>
      </c>
      <c r="D26" s="156" t="str">
        <f>VLOOKUP($A26,SP_EnvTract_DB[],MATCH(D$2,SP_EnvTract_DB[#Headers],0),FALSE)</f>
        <v>PHILLIPS EDNA;#114</v>
      </c>
      <c r="E26" s="156" t="str">
        <f>VLOOKUP($A26,SP_EnvTract_DB[],MATCH(E$2,SP_EnvTract_DB[#Headers],0),FALSE)</f>
        <v>410 WILKES;#114</v>
      </c>
      <c r="F26" s="69">
        <f>VLOOKUP($A26,SP_EnvTract_DB[],MATCH(F$2,SP_EnvTract_DB[#Headers],0),FALSE)</f>
        <v>0</v>
      </c>
      <c r="G26" s="73">
        <f>VLOOKUP($A26,SP_EnvTract_DB[],MATCH(G$2,SP_EnvTract_DB[#Headers],0),FALSE)</f>
        <v>0</v>
      </c>
      <c r="H26" s="73" t="str">
        <f>VLOOKUP($A26,SP_EnvTract_DB[],MATCH(H$2,SP_EnvTract_DB[#Headers],0),FALSE)</f>
        <v>Lily Khan</v>
      </c>
      <c r="I26" s="69">
        <f>VLOOKUP($A26,SP_EnvTract_DB[],MATCH(I$2,SP_EnvTract_DB[#Headers],0),FALSE)</f>
        <v>0</v>
      </c>
      <c r="J26" s="69">
        <f>VLOOKUP($A26,SP_EnvTract_DB[],MATCH(J$2,SP_EnvTract_DB[#Headers],0),FALSE)</f>
        <v>0</v>
      </c>
      <c r="K26" s="69">
        <f>VLOOKUP($A26,SP_EnvTract_DB[],MATCH(K$2,SP_EnvTract_DB[#Headers],0),FALSE)</f>
        <v>0</v>
      </c>
      <c r="L26" s="69">
        <f>VLOOKUP($A26,SP_EnvTract_DB[],MATCH(L$2,SP_EnvTract_DB[#Headers],0),FALSE)</f>
        <v>0</v>
      </c>
      <c r="M26" s="69">
        <f>VLOOKUP($A26,SP_EnvTract_DB[],MATCH(M$2,SP_EnvTract_DB[#Headers],0),FALSE)</f>
        <v>0</v>
      </c>
      <c r="N26" s="69">
        <f>VLOOKUP($A26,SP_EnvTract_DB[],MATCH(N$2,SP_EnvTract_DB[#Headers],0),FALSE)</f>
        <v>0</v>
      </c>
      <c r="O26" s="74">
        <f>VLOOKUP($A26,SP_EnvTract_DB[],MATCH(O$2,SP_EnvTract_DB[#Headers],0),FALSE)</f>
        <v>0</v>
      </c>
      <c r="P26" s="73">
        <f>VLOOKUP($A26,SP_EnvTract_DB[],MATCH(P$2,SP_EnvTract_DB[#Headers],0),FALSE)</f>
        <v>0</v>
      </c>
      <c r="Q26" s="73">
        <f>VLOOKUP($A26,SP_EnvTract_DB[],MATCH(Q$2,SP_EnvTract_DB[#Headers],0),FALSE)</f>
        <v>0</v>
      </c>
      <c r="R26" s="74">
        <f>VLOOKUP($A26,SP_EnvTract_DB[],MATCH(R$2,SP_EnvTract_DB[#Headers],0),FALSE)</f>
        <v>0</v>
      </c>
      <c r="S26" s="68">
        <f>VLOOKUP($A26,SP_EnvTract_DB[],MATCH(S$2,SP_EnvTract_DB[#Headers],0),FALSE)</f>
        <v>0</v>
      </c>
      <c r="T26" s="68">
        <f>VLOOKUP($A26,SP_EnvTract_DB[],MATCH(T$2,SP_EnvTract_DB[#Headers],0),FALSE)</f>
        <v>0</v>
      </c>
      <c r="U26" s="74">
        <f>VLOOKUP($A26,SP_EnvTract_DB[],MATCH(U$2,SP_EnvTract_DB[#Headers],0),FALSE)</f>
        <v>0</v>
      </c>
      <c r="V26" s="68">
        <f>VLOOKUP($A26,SP_EnvTract_DB[],MATCH(V$2,SP_EnvTract_DB[#Headers],0),FALSE)</f>
        <v>0</v>
      </c>
      <c r="W26" s="68">
        <f>VLOOKUP($A26,SP_EnvTract_DB[],MATCH(W$2,SP_EnvTract_DB[#Headers],0),FALSE)</f>
        <v>0</v>
      </c>
      <c r="X26" s="68">
        <f>VLOOKUP($A26,SP_EnvTract_DB[],MATCH(X$2,SP_EnvTract_DB[#Headers],0),FALSE)</f>
        <v>0</v>
      </c>
      <c r="Y26" s="80">
        <f>VLOOKUP($A26,SP_EnvTract_DB[],MATCH(Y$2,SP_EnvTract_DB[#Headers],0),FALSE)</f>
        <v>0</v>
      </c>
      <c r="Z26" s="81" t="str">
        <f>IFERROR(IF(VLOOKUP(CONCATENATE($A26,"_",Z$1),SP_,MATCH(Z$2,SP_ENV_Lib[#Headers],0),FALSE)=0,"",VLOOKUP(CONCATENATE($A26,"_",Z$1),SP_ENV_Lib[],MATCH(Z$2,SP_ACQ_Lib[#Headers],0),FALSE)),"")</f>
        <v/>
      </c>
      <c r="AA26" s="74"/>
      <c r="AB26" s="74">
        <f>IFERROR(IF(VLOOKUP(CONCATENATE($A26,"_",AB$1),SP_ENV_Lib[],MATCH(AB$2,SP_ENV_Lib[#Headers],0),FALSE)=0,"",VLOOKUP(CONCATENATE($A26,"_",AB$1),SP_ENV_Lib[],MATCH(AB$2,SP_ENV_Lib[#Headers],0),FALSE)),"")</f>
        <v>43893.484490740739</v>
      </c>
      <c r="AC26" s="74">
        <f>IFERROR(IF(VLOOKUP(CONCATENATE($A26,"_",AC$1),SP_ENV_Lib[],MATCH(AC$2,SP_ENV_Lib[#Headers],0),FALSE)=0,"",VLOOKUP(CONCATENATE($A26,"_",AC$1),SP_ENV_Lib[],MATCH(AC$2,SP_ENV_Lib[#Headers],0),FALSE)),"")</f>
        <v>43844</v>
      </c>
      <c r="AD26" s="74" t="str">
        <f>IFERROR(IF(VLOOKUP(CONCATENATE($A26,"_",AD$1),SP_ENV_Lib[],MATCH(AD$2,SP_ENV_Lib[#Headers],0),FALSE)=0,"",VLOOKUP(CONCATENATE($A26,"_",AD$1),SP_ENV_Lib[],MATCH(AD$2,SP_ENV_Lib[#Headers],0),FALSE)),"")</f>
        <v/>
      </c>
      <c r="AE26" s="74" t="str">
        <f>IFERROR(IF(VLOOKUP(CONCATENATE($A26,"_",AE$1),SP_ENV_Lib[],MATCH(AE$2,SP_ENV_Lib[#Headers],0),FALSE)=0,"",VLOOKUP(CONCATENATE($A26,"_",AE$1),SP_ENV_Lib[],MATCH(AE$2,SP_ENV_Lib[#Headers],0),FALSE)),"")</f>
        <v/>
      </c>
      <c r="AF26" s="172" t="str">
        <f>IFERROR(VLOOKUP(CONCATENATE($A26,"_",AF$1),SP_ENV_Lib[],MATCH(AF$2,SP_ENV_Lib[#Headers],0),FALSE),0)</f>
        <v>Accepted</v>
      </c>
      <c r="AG26" s="74"/>
      <c r="AH26" s="74"/>
      <c r="AI26" s="74"/>
      <c r="AJ26" s="84"/>
    </row>
    <row r="27" spans="1:36" ht="15" x14ac:dyDescent="0.2">
      <c r="A27" s="67" t="s">
        <v>2803</v>
      </c>
      <c r="B27" s="154" t="str">
        <f>LEFT(VLOOKUP($A27,SP_EnvTract_DB[],MATCH(B$2,SP_EnvTract_DB[#Headers],0),FALSE),7)</f>
        <v>R015995</v>
      </c>
      <c r="C27" s="68" t="str">
        <f>VLOOKUP($A27,SP_EnvTract_DB[],MATCH(C$2,SP_EnvTract_DB[#Headers],0),FALSE)</f>
        <v>ENV</v>
      </c>
      <c r="D27" s="156" t="str">
        <f>VLOOKUP($A27,SP_EnvTract_DB[],MATCH(D$2,SP_EnvTract_DB[#Headers],0),FALSE)</f>
        <v>MANSKE RICHARD L;#115</v>
      </c>
      <c r="E27" s="156" t="str">
        <f>VLOOKUP($A27,SP_EnvTract_DB[],MATCH(E$2,SP_EnvTract_DB[#Headers],0),FALSE)</f>
        <v>0  WILKES;#115</v>
      </c>
      <c r="F27" s="69">
        <f>VLOOKUP($A27,SP_EnvTract_DB[],MATCH(F$2,SP_EnvTract_DB[#Headers],0),FALSE)</f>
        <v>0</v>
      </c>
      <c r="G27" s="73">
        <f>VLOOKUP($A27,SP_EnvTract_DB[],MATCH(G$2,SP_EnvTract_DB[#Headers],0),FALSE)</f>
        <v>0</v>
      </c>
      <c r="H27" s="73" t="str">
        <f>VLOOKUP($A27,SP_EnvTract_DB[],MATCH(H$2,SP_EnvTract_DB[#Headers],0),FALSE)</f>
        <v>Lily Khan</v>
      </c>
      <c r="I27" s="69">
        <f>VLOOKUP($A27,SP_EnvTract_DB[],MATCH(I$2,SP_EnvTract_DB[#Headers],0),FALSE)</f>
        <v>0</v>
      </c>
      <c r="J27" s="69">
        <f>VLOOKUP($A27,SP_EnvTract_DB[],MATCH(J$2,SP_EnvTract_DB[#Headers],0),FALSE)</f>
        <v>0</v>
      </c>
      <c r="K27" s="69">
        <f>VLOOKUP($A27,SP_EnvTract_DB[],MATCH(K$2,SP_EnvTract_DB[#Headers],0),FALSE)</f>
        <v>0</v>
      </c>
      <c r="L27" s="69">
        <f>VLOOKUP($A27,SP_EnvTract_DB[],MATCH(L$2,SP_EnvTract_DB[#Headers],0),FALSE)</f>
        <v>0</v>
      </c>
      <c r="M27" s="69">
        <f>VLOOKUP($A27,SP_EnvTract_DB[],MATCH(M$2,SP_EnvTract_DB[#Headers],0),FALSE)</f>
        <v>0</v>
      </c>
      <c r="N27" s="69">
        <f>VLOOKUP($A27,SP_EnvTract_DB[],MATCH(N$2,SP_EnvTract_DB[#Headers],0),FALSE)</f>
        <v>0</v>
      </c>
      <c r="O27" s="74">
        <f>VLOOKUP($A27,SP_EnvTract_DB[],MATCH(O$2,SP_EnvTract_DB[#Headers],0),FALSE)</f>
        <v>0</v>
      </c>
      <c r="P27" s="73">
        <f>VLOOKUP($A27,SP_EnvTract_DB[],MATCH(P$2,SP_EnvTract_DB[#Headers],0),FALSE)</f>
        <v>0</v>
      </c>
      <c r="Q27" s="73">
        <f>VLOOKUP($A27,SP_EnvTract_DB[],MATCH(Q$2,SP_EnvTract_DB[#Headers],0),FALSE)</f>
        <v>0</v>
      </c>
      <c r="R27" s="74">
        <f>VLOOKUP($A27,SP_EnvTract_DB[],MATCH(R$2,SP_EnvTract_DB[#Headers],0),FALSE)</f>
        <v>0</v>
      </c>
      <c r="S27" s="68">
        <f>VLOOKUP($A27,SP_EnvTract_DB[],MATCH(S$2,SP_EnvTract_DB[#Headers],0),FALSE)</f>
        <v>0</v>
      </c>
      <c r="T27" s="68">
        <f>VLOOKUP($A27,SP_EnvTract_DB[],MATCH(T$2,SP_EnvTract_DB[#Headers],0),FALSE)</f>
        <v>0</v>
      </c>
      <c r="U27" s="74">
        <f>VLOOKUP($A27,SP_EnvTract_DB[],MATCH(U$2,SP_EnvTract_DB[#Headers],0),FALSE)</f>
        <v>0</v>
      </c>
      <c r="V27" s="68">
        <f>VLOOKUP($A27,SP_EnvTract_DB[],MATCH(V$2,SP_EnvTract_DB[#Headers],0),FALSE)</f>
        <v>0</v>
      </c>
      <c r="W27" s="68">
        <f>VLOOKUP($A27,SP_EnvTract_DB[],MATCH(W$2,SP_EnvTract_DB[#Headers],0),FALSE)</f>
        <v>0</v>
      </c>
      <c r="X27" s="68">
        <f>VLOOKUP($A27,SP_EnvTract_DB[],MATCH(X$2,SP_EnvTract_DB[#Headers],0),FALSE)</f>
        <v>0</v>
      </c>
      <c r="Y27" s="80">
        <f>VLOOKUP($A27,SP_EnvTract_DB[],MATCH(Y$2,SP_EnvTract_DB[#Headers],0),FALSE)</f>
        <v>0</v>
      </c>
      <c r="Z27" s="81" t="str">
        <f>IFERROR(IF(VLOOKUP(CONCATENATE($A27,"_",Z$1),SP_,MATCH(Z$2,SP_ENV_Lib[#Headers],0),FALSE)=0,"",VLOOKUP(CONCATENATE($A27,"_",Z$1),SP_ENV_Lib[],MATCH(Z$2,SP_ACQ_Lib[#Headers],0),FALSE)),"")</f>
        <v/>
      </c>
      <c r="AA27" s="74"/>
      <c r="AB27" s="74">
        <f>IFERROR(IF(VLOOKUP(CONCATENATE($A27,"_",AB$1),SP_ENV_Lib[],MATCH(AB$2,SP_ENV_Lib[#Headers],0),FALSE)=0,"",VLOOKUP(CONCATENATE($A27,"_",AB$1),SP_ENV_Lib[],MATCH(AB$2,SP_ENV_Lib[#Headers],0),FALSE)),"")</f>
        <v>43879.735543981478</v>
      </c>
      <c r="AC27" s="74">
        <f>IFERROR(IF(VLOOKUP(CONCATENATE($A27,"_",AC$1),SP_ENV_Lib[],MATCH(AC$2,SP_ENV_Lib[#Headers],0),FALSE)=0,"",VLOOKUP(CONCATENATE($A27,"_",AC$1),SP_ENV_Lib[],MATCH(AC$2,SP_ENV_Lib[#Headers],0),FALSE)),"")</f>
        <v>43874</v>
      </c>
      <c r="AD27" s="74" t="str">
        <f>IFERROR(IF(VLOOKUP(CONCATENATE($A27,"_",AD$1),SP_ENV_Lib[],MATCH(AD$2,SP_ENV_Lib[#Headers],0),FALSE)=0,"",VLOOKUP(CONCATENATE($A27,"_",AD$1),SP_ENV_Lib[],MATCH(AD$2,SP_ENV_Lib[#Headers],0),FALSE)),"")</f>
        <v/>
      </c>
      <c r="AE27" s="74" t="str">
        <f>IFERROR(IF(VLOOKUP(CONCATENATE($A27,"_",AE$1),SP_ENV_Lib[],MATCH(AE$2,SP_ENV_Lib[#Headers],0),FALSE)=0,"",VLOOKUP(CONCATENATE($A27,"_",AE$1),SP_ENV_Lib[],MATCH(AE$2,SP_ENV_Lib[#Headers],0),FALSE)),"")</f>
        <v/>
      </c>
      <c r="AF27" s="172" t="str">
        <f>IFERROR(VLOOKUP(CONCATENATE($A27,"_",AF$1),SP_ENV_Lib[],MATCH(AF$2,SP_ENV_Lib[#Headers],0),FALSE),0)</f>
        <v>Accepted</v>
      </c>
      <c r="AG27" s="74"/>
      <c r="AH27" s="74"/>
      <c r="AI27" s="74"/>
      <c r="AJ27" s="84"/>
    </row>
    <row r="28" spans="1:36" ht="15" x14ac:dyDescent="0.2">
      <c r="A28" s="67" t="s">
        <v>2808</v>
      </c>
      <c r="B28" s="154" t="str">
        <f>LEFT(VLOOKUP($A28,SP_EnvTract_DB[],MATCH(B$2,SP_EnvTract_DB[#Headers],0),FALSE),7)</f>
        <v>R015996</v>
      </c>
      <c r="C28" s="68" t="str">
        <f>VLOOKUP($A28,SP_EnvTract_DB[],MATCH(C$2,SP_EnvTract_DB[#Headers],0),FALSE)</f>
        <v>ENV</v>
      </c>
      <c r="D28" s="156" t="str">
        <f>VLOOKUP($A28,SP_EnvTract_DB[],MATCH(D$2,SP_EnvTract_DB[#Headers],0),FALSE)</f>
        <v>TANNER LILY;#116</v>
      </c>
      <c r="E28" s="156" t="str">
        <f>VLOOKUP($A28,SP_EnvTract_DB[],MATCH(E$2,SP_EnvTract_DB[#Headers],0),FALSE)</f>
        <v>0  WILKES;#116</v>
      </c>
      <c r="F28" s="69">
        <f>VLOOKUP($A28,SP_EnvTract_DB[],MATCH(F$2,SP_EnvTract_DB[#Headers],0),FALSE)</f>
        <v>0</v>
      </c>
      <c r="G28" s="73">
        <f>VLOOKUP($A28,SP_EnvTract_DB[],MATCH(G$2,SP_EnvTract_DB[#Headers],0),FALSE)</f>
        <v>0</v>
      </c>
      <c r="H28" s="73" t="str">
        <f>VLOOKUP($A28,SP_EnvTract_DB[],MATCH(H$2,SP_EnvTract_DB[#Headers],0),FALSE)</f>
        <v>Lily Khan</v>
      </c>
      <c r="I28" s="69">
        <f>VLOOKUP($A28,SP_EnvTract_DB[],MATCH(I$2,SP_EnvTract_DB[#Headers],0),FALSE)</f>
        <v>0</v>
      </c>
      <c r="J28" s="69">
        <f>VLOOKUP($A28,SP_EnvTract_DB[],MATCH(J$2,SP_EnvTract_DB[#Headers],0),FALSE)</f>
        <v>0</v>
      </c>
      <c r="K28" s="69">
        <f>VLOOKUP($A28,SP_EnvTract_DB[],MATCH(K$2,SP_EnvTract_DB[#Headers],0),FALSE)</f>
        <v>0</v>
      </c>
      <c r="L28" s="69">
        <f>VLOOKUP($A28,SP_EnvTract_DB[],MATCH(L$2,SP_EnvTract_DB[#Headers],0),FALSE)</f>
        <v>0</v>
      </c>
      <c r="M28" s="69">
        <f>VLOOKUP($A28,SP_EnvTract_DB[],MATCH(M$2,SP_EnvTract_DB[#Headers],0),FALSE)</f>
        <v>0</v>
      </c>
      <c r="N28" s="69">
        <f>VLOOKUP($A28,SP_EnvTract_DB[],MATCH(N$2,SP_EnvTract_DB[#Headers],0),FALSE)</f>
        <v>0</v>
      </c>
      <c r="O28" s="74">
        <f>VLOOKUP($A28,SP_EnvTract_DB[],MATCH(O$2,SP_EnvTract_DB[#Headers],0),FALSE)</f>
        <v>0</v>
      </c>
      <c r="P28" s="73">
        <f>VLOOKUP($A28,SP_EnvTract_DB[],MATCH(P$2,SP_EnvTract_DB[#Headers],0),FALSE)</f>
        <v>0</v>
      </c>
      <c r="Q28" s="73">
        <f>VLOOKUP($A28,SP_EnvTract_DB[],MATCH(Q$2,SP_EnvTract_DB[#Headers],0),FALSE)</f>
        <v>0</v>
      </c>
      <c r="R28" s="74">
        <f>VLOOKUP($A28,SP_EnvTract_DB[],MATCH(R$2,SP_EnvTract_DB[#Headers],0),FALSE)</f>
        <v>0</v>
      </c>
      <c r="S28" s="68">
        <f>VLOOKUP($A28,SP_EnvTract_DB[],MATCH(S$2,SP_EnvTract_DB[#Headers],0),FALSE)</f>
        <v>0</v>
      </c>
      <c r="T28" s="68">
        <f>VLOOKUP($A28,SP_EnvTract_DB[],MATCH(T$2,SP_EnvTract_DB[#Headers],0),FALSE)</f>
        <v>0</v>
      </c>
      <c r="U28" s="74">
        <f>VLOOKUP($A28,SP_EnvTract_DB[],MATCH(U$2,SP_EnvTract_DB[#Headers],0),FALSE)</f>
        <v>0</v>
      </c>
      <c r="V28" s="68">
        <f>VLOOKUP($A28,SP_EnvTract_DB[],MATCH(V$2,SP_EnvTract_DB[#Headers],0),FALSE)</f>
        <v>0</v>
      </c>
      <c r="W28" s="68">
        <f>VLOOKUP($A28,SP_EnvTract_DB[],MATCH(W$2,SP_EnvTract_DB[#Headers],0),FALSE)</f>
        <v>0</v>
      </c>
      <c r="X28" s="68">
        <f>VLOOKUP($A28,SP_EnvTract_DB[],MATCH(X$2,SP_EnvTract_DB[#Headers],0),FALSE)</f>
        <v>0</v>
      </c>
      <c r="Y28" s="80">
        <f>VLOOKUP($A28,SP_EnvTract_DB[],MATCH(Y$2,SP_EnvTract_DB[#Headers],0),FALSE)</f>
        <v>0</v>
      </c>
      <c r="Z28" s="81" t="str">
        <f>IFERROR(IF(VLOOKUP(CONCATENATE($A28,"_",Z$1),SP_,MATCH(Z$2,SP_ENV_Lib[#Headers],0),FALSE)=0,"",VLOOKUP(CONCATENATE($A28,"_",Z$1),SP_ENV_Lib[],MATCH(Z$2,SP_ACQ_Lib[#Headers],0),FALSE)),"")</f>
        <v/>
      </c>
      <c r="AA28" s="74"/>
      <c r="AB28" s="74">
        <f>IFERROR(IF(VLOOKUP(CONCATENATE($A28,"_",AB$1),SP_ENV_Lib[],MATCH(AB$2,SP_ENV_Lib[#Headers],0),FALSE)=0,"",VLOOKUP(CONCATENATE($A28,"_",AB$1),SP_ENV_Lib[],MATCH(AB$2,SP_ENV_Lib[#Headers],0),FALSE)),"")</f>
        <v>43879.735543981478</v>
      </c>
      <c r="AC28" s="74">
        <f>IFERROR(IF(VLOOKUP(CONCATENATE($A28,"_",AC$1),SP_ENV_Lib[],MATCH(AC$2,SP_ENV_Lib[#Headers],0),FALSE)=0,"",VLOOKUP(CONCATENATE($A28,"_",AC$1),SP_ENV_Lib[],MATCH(AC$2,SP_ENV_Lib[#Headers],0),FALSE)),"")</f>
        <v>43844</v>
      </c>
      <c r="AD28" s="74">
        <f>IFERROR(IF(VLOOKUP(CONCATENATE($A28,"_",AD$1),SP_ENV_Lib[],MATCH(AD$2,SP_ENV_Lib[#Headers],0),FALSE)=0,"",VLOOKUP(CONCATENATE($A28,"_",AD$1),SP_ENV_Lib[],MATCH(AD$2,SP_ENV_Lib[#Headers],0),FALSE)),"")</f>
        <v>43860</v>
      </c>
      <c r="AE28" s="74" t="str">
        <f>IFERROR(IF(VLOOKUP(CONCATENATE($A28,"_",AE$1),SP_ENV_Lib[],MATCH(AE$2,SP_ENV_Lib[#Headers],0),FALSE)=0,"",VLOOKUP(CONCATENATE($A28,"_",AE$1),SP_ENV_Lib[],MATCH(AE$2,SP_ENV_Lib[#Headers],0),FALSE)),"")</f>
        <v/>
      </c>
      <c r="AF28" s="172" t="str">
        <f>IFERROR(VLOOKUP(CONCATENATE($A28,"_",AF$1),SP_ENV_Lib[],MATCH(AF$2,SP_ENV_Lib[#Headers],0),FALSE),0)</f>
        <v>Accepted</v>
      </c>
      <c r="AG28" s="74"/>
      <c r="AH28" s="74"/>
      <c r="AI28" s="74"/>
      <c r="AJ28" s="84"/>
    </row>
    <row r="29" spans="1:36" ht="15" x14ac:dyDescent="0.2">
      <c r="A29" s="67" t="s">
        <v>2813</v>
      </c>
      <c r="B29" s="154" t="str">
        <f>LEFT(VLOOKUP($A29,SP_EnvTract_DB[],MATCH(B$2,SP_EnvTract_DB[#Headers],0),FALSE),7)</f>
        <v>R015997</v>
      </c>
      <c r="C29" s="68" t="str">
        <f>VLOOKUP($A29,SP_EnvTract_DB[],MATCH(C$2,SP_EnvTract_DB[#Headers],0),FALSE)</f>
        <v>ENV</v>
      </c>
      <c r="D29" s="156" t="str">
        <f>VLOOKUP($A29,SP_EnvTract_DB[],MATCH(D$2,SP_EnvTract_DB[#Headers],0),FALSE)</f>
        <v>PHILLIPS MANUEL;#117</v>
      </c>
      <c r="E29" s="156" t="str">
        <f>VLOOKUP($A29,SP_EnvTract_DB[],MATCH(E$2,SP_EnvTract_DB[#Headers],0),FALSE)</f>
        <v>0 WILKES;#117</v>
      </c>
      <c r="F29" s="69">
        <f>VLOOKUP($A29,SP_EnvTract_DB[],MATCH(F$2,SP_EnvTract_DB[#Headers],0),FALSE)</f>
        <v>0</v>
      </c>
      <c r="G29" s="73">
        <f>VLOOKUP($A29,SP_EnvTract_DB[],MATCH(G$2,SP_EnvTract_DB[#Headers],0),FALSE)</f>
        <v>0</v>
      </c>
      <c r="H29" s="73" t="str">
        <f>VLOOKUP($A29,SP_EnvTract_DB[],MATCH(H$2,SP_EnvTract_DB[#Headers],0),FALSE)</f>
        <v>Lily Khan</v>
      </c>
      <c r="I29" s="69">
        <f>VLOOKUP($A29,SP_EnvTract_DB[],MATCH(I$2,SP_EnvTract_DB[#Headers],0),FALSE)</f>
        <v>0</v>
      </c>
      <c r="J29" s="69">
        <f>VLOOKUP($A29,SP_EnvTract_DB[],MATCH(J$2,SP_EnvTract_DB[#Headers],0),FALSE)</f>
        <v>0</v>
      </c>
      <c r="K29" s="69">
        <f>VLOOKUP($A29,SP_EnvTract_DB[],MATCH(K$2,SP_EnvTract_DB[#Headers],0),FALSE)</f>
        <v>0</v>
      </c>
      <c r="L29" s="69">
        <f>VLOOKUP($A29,SP_EnvTract_DB[],MATCH(L$2,SP_EnvTract_DB[#Headers],0),FALSE)</f>
        <v>0</v>
      </c>
      <c r="M29" s="69">
        <f>VLOOKUP($A29,SP_EnvTract_DB[],MATCH(M$2,SP_EnvTract_DB[#Headers],0),FALSE)</f>
        <v>0</v>
      </c>
      <c r="N29" s="69">
        <f>VLOOKUP($A29,SP_EnvTract_DB[],MATCH(N$2,SP_EnvTract_DB[#Headers],0),FALSE)</f>
        <v>0</v>
      </c>
      <c r="O29" s="74">
        <f>VLOOKUP($A29,SP_EnvTract_DB[],MATCH(O$2,SP_EnvTract_DB[#Headers],0),FALSE)</f>
        <v>0</v>
      </c>
      <c r="P29" s="73">
        <f>VLOOKUP($A29,SP_EnvTract_DB[],MATCH(P$2,SP_EnvTract_DB[#Headers],0),FALSE)</f>
        <v>0</v>
      </c>
      <c r="Q29" s="73">
        <f>VLOOKUP($A29,SP_EnvTract_DB[],MATCH(Q$2,SP_EnvTract_DB[#Headers],0),FALSE)</f>
        <v>0</v>
      </c>
      <c r="R29" s="74">
        <f>VLOOKUP($A29,SP_EnvTract_DB[],MATCH(R$2,SP_EnvTract_DB[#Headers],0),FALSE)</f>
        <v>0</v>
      </c>
      <c r="S29" s="68">
        <f>VLOOKUP($A29,SP_EnvTract_DB[],MATCH(S$2,SP_EnvTract_DB[#Headers],0),FALSE)</f>
        <v>0</v>
      </c>
      <c r="T29" s="68">
        <f>VLOOKUP($A29,SP_EnvTract_DB[],MATCH(T$2,SP_EnvTract_DB[#Headers],0),FALSE)</f>
        <v>0</v>
      </c>
      <c r="U29" s="74">
        <f>VLOOKUP($A29,SP_EnvTract_DB[],MATCH(U$2,SP_EnvTract_DB[#Headers],0),FALSE)</f>
        <v>0</v>
      </c>
      <c r="V29" s="68">
        <f>VLOOKUP($A29,SP_EnvTract_DB[],MATCH(V$2,SP_EnvTract_DB[#Headers],0),FALSE)</f>
        <v>0</v>
      </c>
      <c r="W29" s="68">
        <f>VLOOKUP($A29,SP_EnvTract_DB[],MATCH(W$2,SP_EnvTract_DB[#Headers],0),FALSE)</f>
        <v>0</v>
      </c>
      <c r="X29" s="68">
        <f>VLOOKUP($A29,SP_EnvTract_DB[],MATCH(X$2,SP_EnvTract_DB[#Headers],0),FALSE)</f>
        <v>0</v>
      </c>
      <c r="Y29" s="80">
        <f>VLOOKUP($A29,SP_EnvTract_DB[],MATCH(Y$2,SP_EnvTract_DB[#Headers],0),FALSE)</f>
        <v>0</v>
      </c>
      <c r="Z29" s="81" t="str">
        <f>IFERROR(IF(VLOOKUP(CONCATENATE($A29,"_",Z$1),SP_,MATCH(Z$2,SP_ENV_Lib[#Headers],0),FALSE)=0,"",VLOOKUP(CONCATENATE($A29,"_",Z$1),SP_ENV_Lib[],MATCH(Z$2,SP_ACQ_Lib[#Headers],0),FALSE)),"")</f>
        <v/>
      </c>
      <c r="AA29" s="74"/>
      <c r="AB29" s="74">
        <f>IFERROR(IF(VLOOKUP(CONCATENATE($A29,"_",AB$1),SP_ENV_Lib[],MATCH(AB$2,SP_ENV_Lib[#Headers],0),FALSE)=0,"",VLOOKUP(CONCATENATE($A29,"_",AB$1),SP_ENV_Lib[],MATCH(AB$2,SP_ENV_Lib[#Headers],0),FALSE)),"")</f>
        <v>43881.6640625</v>
      </c>
      <c r="AC29" s="74">
        <f>IFERROR(IF(VLOOKUP(CONCATENATE($A29,"_",AC$1),SP_ENV_Lib[],MATCH(AC$2,SP_ENV_Lib[#Headers],0),FALSE)=0,"",VLOOKUP(CONCATENATE($A29,"_",AC$1),SP_ENV_Lib[],MATCH(AC$2,SP_ENV_Lib[#Headers],0),FALSE)),"")</f>
        <v>43844</v>
      </c>
      <c r="AD29" s="74" t="str">
        <f>IFERROR(IF(VLOOKUP(CONCATENATE($A29,"_",AD$1),SP_ENV_Lib[],MATCH(AD$2,SP_ENV_Lib[#Headers],0),FALSE)=0,"",VLOOKUP(CONCATENATE($A29,"_",AD$1),SP_ENV_Lib[],MATCH(AD$2,SP_ENV_Lib[#Headers],0),FALSE)),"")</f>
        <v/>
      </c>
      <c r="AE29" s="74" t="str">
        <f>IFERROR(IF(VLOOKUP(CONCATENATE($A29,"_",AE$1),SP_ENV_Lib[],MATCH(AE$2,SP_ENV_Lib[#Headers],0),FALSE)=0,"",VLOOKUP(CONCATENATE($A29,"_",AE$1),SP_ENV_Lib[],MATCH(AE$2,SP_ENV_Lib[#Headers],0),FALSE)),"")</f>
        <v/>
      </c>
      <c r="AF29" s="172" t="str">
        <f>IFERROR(VLOOKUP(CONCATENATE($A29,"_",AF$1),SP_ENV_Lib[],MATCH(AF$2,SP_ENV_Lib[#Headers],0),FALSE),0)</f>
        <v>Accepted</v>
      </c>
      <c r="AG29" s="74"/>
      <c r="AH29" s="74"/>
      <c r="AI29" s="74"/>
      <c r="AJ29" s="84"/>
    </row>
    <row r="30" spans="1:36" ht="15" x14ac:dyDescent="0.2">
      <c r="A30" s="67" t="s">
        <v>2818</v>
      </c>
      <c r="B30" s="154" t="str">
        <f>LEFT(VLOOKUP($A30,SP_EnvTract_DB[],MATCH(B$2,SP_EnvTract_DB[#Headers],0),FALSE),7)</f>
        <v>R015999</v>
      </c>
      <c r="C30" s="68" t="str">
        <f>VLOOKUP($A30,SP_EnvTract_DB[],MATCH(C$2,SP_EnvTract_DB[#Headers],0),FALSE)</f>
        <v>ENV</v>
      </c>
      <c r="D30" s="156" t="str">
        <f>VLOOKUP($A30,SP_EnvTract_DB[],MATCH(D$2,SP_EnvTract_DB[#Headers],0),FALSE)</f>
        <v>NELSON RODNEY B &amp; NELSON SHANICE NE SHAY;#118</v>
      </c>
      <c r="E30" s="156" t="str">
        <f>VLOOKUP($A30,SP_EnvTract_DB[],MATCH(E$2,SP_EnvTract_DB[#Headers],0),FALSE)</f>
        <v>0 WILKES;#118</v>
      </c>
      <c r="F30" s="69">
        <f>VLOOKUP($A30,SP_EnvTract_DB[],MATCH(F$2,SP_EnvTract_DB[#Headers],0),FALSE)</f>
        <v>0</v>
      </c>
      <c r="G30" s="73">
        <f>VLOOKUP($A30,SP_EnvTract_DB[],MATCH(G$2,SP_EnvTract_DB[#Headers],0),FALSE)</f>
        <v>0</v>
      </c>
      <c r="H30" s="73" t="str">
        <f>VLOOKUP($A30,SP_EnvTract_DB[],MATCH(H$2,SP_EnvTract_DB[#Headers],0),FALSE)</f>
        <v>Lily Khan</v>
      </c>
      <c r="I30" s="69">
        <f>VLOOKUP($A30,SP_EnvTract_DB[],MATCH(I$2,SP_EnvTract_DB[#Headers],0),FALSE)</f>
        <v>0</v>
      </c>
      <c r="J30" s="69">
        <f>VLOOKUP($A30,SP_EnvTract_DB[],MATCH(J$2,SP_EnvTract_DB[#Headers],0),FALSE)</f>
        <v>0</v>
      </c>
      <c r="K30" s="69">
        <f>VLOOKUP($A30,SP_EnvTract_DB[],MATCH(K$2,SP_EnvTract_DB[#Headers],0),FALSE)</f>
        <v>0</v>
      </c>
      <c r="L30" s="69">
        <f>VLOOKUP($A30,SP_EnvTract_DB[],MATCH(L$2,SP_EnvTract_DB[#Headers],0),FALSE)</f>
        <v>0</v>
      </c>
      <c r="M30" s="69">
        <f>VLOOKUP($A30,SP_EnvTract_DB[],MATCH(M$2,SP_EnvTract_DB[#Headers],0),FALSE)</f>
        <v>0</v>
      </c>
      <c r="N30" s="69">
        <f>VLOOKUP($A30,SP_EnvTract_DB[],MATCH(N$2,SP_EnvTract_DB[#Headers],0),FALSE)</f>
        <v>0</v>
      </c>
      <c r="O30" s="74">
        <f>VLOOKUP($A30,SP_EnvTract_DB[],MATCH(O$2,SP_EnvTract_DB[#Headers],0),FALSE)</f>
        <v>0</v>
      </c>
      <c r="P30" s="73">
        <f>VLOOKUP($A30,SP_EnvTract_DB[],MATCH(P$2,SP_EnvTract_DB[#Headers],0),FALSE)</f>
        <v>0</v>
      </c>
      <c r="Q30" s="73">
        <f>VLOOKUP($A30,SP_EnvTract_DB[],MATCH(Q$2,SP_EnvTract_DB[#Headers],0),FALSE)</f>
        <v>0</v>
      </c>
      <c r="R30" s="74">
        <f>VLOOKUP($A30,SP_EnvTract_DB[],MATCH(R$2,SP_EnvTract_DB[#Headers],0),FALSE)</f>
        <v>0</v>
      </c>
      <c r="S30" s="68">
        <f>VLOOKUP($A30,SP_EnvTract_DB[],MATCH(S$2,SP_EnvTract_DB[#Headers],0),FALSE)</f>
        <v>0</v>
      </c>
      <c r="T30" s="68">
        <f>VLOOKUP($A30,SP_EnvTract_DB[],MATCH(T$2,SP_EnvTract_DB[#Headers],0),FALSE)</f>
        <v>0</v>
      </c>
      <c r="U30" s="74">
        <f>VLOOKUP($A30,SP_EnvTract_DB[],MATCH(U$2,SP_EnvTract_DB[#Headers],0),FALSE)</f>
        <v>0</v>
      </c>
      <c r="V30" s="68">
        <f>VLOOKUP($A30,SP_EnvTract_DB[],MATCH(V$2,SP_EnvTract_DB[#Headers],0),FALSE)</f>
        <v>0</v>
      </c>
      <c r="W30" s="68">
        <f>VLOOKUP($A30,SP_EnvTract_DB[],MATCH(W$2,SP_EnvTract_DB[#Headers],0),FALSE)</f>
        <v>0</v>
      </c>
      <c r="X30" s="68">
        <f>VLOOKUP($A30,SP_EnvTract_DB[],MATCH(X$2,SP_EnvTract_DB[#Headers],0),FALSE)</f>
        <v>0</v>
      </c>
      <c r="Y30" s="80">
        <f>VLOOKUP($A30,SP_EnvTract_DB[],MATCH(Y$2,SP_EnvTract_DB[#Headers],0),FALSE)</f>
        <v>0</v>
      </c>
      <c r="Z30" s="81" t="str">
        <f>IFERROR(IF(VLOOKUP(CONCATENATE($A30,"_",Z$1),SP_,MATCH(Z$2,SP_ENV_Lib[#Headers],0),FALSE)=0,"",VLOOKUP(CONCATENATE($A30,"_",Z$1),SP_ENV_Lib[],MATCH(Z$2,SP_ACQ_Lib[#Headers],0),FALSE)),"")</f>
        <v/>
      </c>
      <c r="AA30" s="74"/>
      <c r="AB30" s="74">
        <f>IFERROR(IF(VLOOKUP(CONCATENATE($A30,"_",AB$1),SP_ENV_Lib[],MATCH(AB$2,SP_ENV_Lib[#Headers],0),FALSE)=0,"",VLOOKUP(CONCATENATE($A30,"_",AB$1),SP_ENV_Lib[],MATCH(AB$2,SP_ENV_Lib[#Headers],0),FALSE)),"")</f>
        <v>43888.441307870373</v>
      </c>
      <c r="AC30" s="74">
        <f>IFERROR(IF(VLOOKUP(CONCATENATE($A30,"_",AC$1),SP_ENV_Lib[],MATCH(AC$2,SP_ENV_Lib[#Headers],0),FALSE)=0,"",VLOOKUP(CONCATENATE($A30,"_",AC$1),SP_ENV_Lib[],MATCH(AC$2,SP_ENV_Lib[#Headers],0),FALSE)),"")</f>
        <v>43844</v>
      </c>
      <c r="AD30" s="74">
        <f>IFERROR(IF(VLOOKUP(CONCATENATE($A30,"_",AD$1),SP_ENV_Lib[],MATCH(AD$2,SP_ENV_Lib[#Headers],0),FALSE)=0,"",VLOOKUP(CONCATENATE($A30,"_",AD$1),SP_ENV_Lib[],MATCH(AD$2,SP_ENV_Lib[#Headers],0),FALSE)),"")</f>
        <v>43895</v>
      </c>
      <c r="AE30" s="74" t="str">
        <f>IFERROR(IF(VLOOKUP(CONCATENATE($A30,"_",AE$1),SP_ENV_Lib[],MATCH(AE$2,SP_ENV_Lib[#Headers],0),FALSE)=0,"",VLOOKUP(CONCATENATE($A30,"_",AE$1),SP_ENV_Lib[],MATCH(AE$2,SP_ENV_Lib[#Headers],0),FALSE)),"")</f>
        <v/>
      </c>
      <c r="AF30" s="172" t="str">
        <f>IFERROR(VLOOKUP(CONCATENATE($A30,"_",AF$1),SP_ENV_Lib[],MATCH(AF$2,SP_ENV_Lib[#Headers],0),FALSE),0)</f>
        <v>Accepted</v>
      </c>
      <c r="AG30" s="74"/>
      <c r="AH30" s="74"/>
      <c r="AI30" s="74"/>
      <c r="AJ30" s="84"/>
    </row>
    <row r="31" spans="1:36" ht="15" x14ac:dyDescent="0.2">
      <c r="A31" s="67" t="s">
        <v>2823</v>
      </c>
      <c r="B31" s="154" t="str">
        <f>LEFT(VLOOKUP($A31,SP_EnvTract_DB[],MATCH(B$2,SP_EnvTract_DB[#Headers],0),FALSE),7)</f>
        <v>R016003</v>
      </c>
      <c r="C31" s="68" t="str">
        <f>VLOOKUP($A31,SP_EnvTract_DB[],MATCH(C$2,SP_EnvTract_DB[#Headers],0),FALSE)</f>
        <v>ENV</v>
      </c>
      <c r="D31" s="156" t="str">
        <f>VLOOKUP($A31,SP_EnvTract_DB[],MATCH(D$2,SP_EnvTract_DB[#Headers],0),FALSE)</f>
        <v>NELSON RODNEY B &amp; NELSON SHANICE NE SHAY;#119</v>
      </c>
      <c r="E31" s="156" t="str">
        <f>VLOOKUP($A31,SP_EnvTract_DB[],MATCH(E$2,SP_EnvTract_DB[#Headers],0),FALSE)</f>
        <v>0 WILKES;#119</v>
      </c>
      <c r="F31" s="69">
        <f>VLOOKUP($A31,SP_EnvTract_DB[],MATCH(F$2,SP_EnvTract_DB[#Headers],0),FALSE)</f>
        <v>0</v>
      </c>
      <c r="G31" s="73">
        <f>VLOOKUP($A31,SP_EnvTract_DB[],MATCH(G$2,SP_EnvTract_DB[#Headers],0),FALSE)</f>
        <v>0</v>
      </c>
      <c r="H31" s="73" t="str">
        <f>VLOOKUP($A31,SP_EnvTract_DB[],MATCH(H$2,SP_EnvTract_DB[#Headers],0),FALSE)</f>
        <v>Lily Khan</v>
      </c>
      <c r="I31" s="69">
        <f>VLOOKUP($A31,SP_EnvTract_DB[],MATCH(I$2,SP_EnvTract_DB[#Headers],0),FALSE)</f>
        <v>0</v>
      </c>
      <c r="J31" s="69">
        <f>VLOOKUP($A31,SP_EnvTract_DB[],MATCH(J$2,SP_EnvTract_DB[#Headers],0),FALSE)</f>
        <v>0</v>
      </c>
      <c r="K31" s="69">
        <f>VLOOKUP($A31,SP_EnvTract_DB[],MATCH(K$2,SP_EnvTract_DB[#Headers],0),FALSE)</f>
        <v>0</v>
      </c>
      <c r="L31" s="69">
        <f>VLOOKUP($A31,SP_EnvTract_DB[],MATCH(L$2,SP_EnvTract_DB[#Headers],0),FALSE)</f>
        <v>0</v>
      </c>
      <c r="M31" s="69">
        <f>VLOOKUP($A31,SP_EnvTract_DB[],MATCH(M$2,SP_EnvTract_DB[#Headers],0),FALSE)</f>
        <v>0</v>
      </c>
      <c r="N31" s="69">
        <f>VLOOKUP($A31,SP_EnvTract_DB[],MATCH(N$2,SP_EnvTract_DB[#Headers],0),FALSE)</f>
        <v>0</v>
      </c>
      <c r="O31" s="74">
        <f>VLOOKUP($A31,SP_EnvTract_DB[],MATCH(O$2,SP_EnvTract_DB[#Headers],0),FALSE)</f>
        <v>0</v>
      </c>
      <c r="P31" s="73">
        <f>VLOOKUP($A31,SP_EnvTract_DB[],MATCH(P$2,SP_EnvTract_DB[#Headers],0),FALSE)</f>
        <v>0</v>
      </c>
      <c r="Q31" s="73">
        <f>VLOOKUP($A31,SP_EnvTract_DB[],MATCH(Q$2,SP_EnvTract_DB[#Headers],0),FALSE)</f>
        <v>0</v>
      </c>
      <c r="R31" s="74">
        <f>VLOOKUP($A31,SP_EnvTract_DB[],MATCH(R$2,SP_EnvTract_DB[#Headers],0),FALSE)</f>
        <v>0</v>
      </c>
      <c r="S31" s="68">
        <f>VLOOKUP($A31,SP_EnvTract_DB[],MATCH(S$2,SP_EnvTract_DB[#Headers],0),FALSE)</f>
        <v>0</v>
      </c>
      <c r="T31" s="68">
        <f>VLOOKUP($A31,SP_EnvTract_DB[],MATCH(T$2,SP_EnvTract_DB[#Headers],0),FALSE)</f>
        <v>0</v>
      </c>
      <c r="U31" s="74">
        <f>VLOOKUP($A31,SP_EnvTract_DB[],MATCH(U$2,SP_EnvTract_DB[#Headers],0),FALSE)</f>
        <v>0</v>
      </c>
      <c r="V31" s="68">
        <f>VLOOKUP($A31,SP_EnvTract_DB[],MATCH(V$2,SP_EnvTract_DB[#Headers],0),FALSE)</f>
        <v>0</v>
      </c>
      <c r="W31" s="68">
        <f>VLOOKUP($A31,SP_EnvTract_DB[],MATCH(W$2,SP_EnvTract_DB[#Headers],0),FALSE)</f>
        <v>0</v>
      </c>
      <c r="X31" s="68">
        <f>VLOOKUP($A31,SP_EnvTract_DB[],MATCH(X$2,SP_EnvTract_DB[#Headers],0),FALSE)</f>
        <v>0</v>
      </c>
      <c r="Y31" s="80">
        <f>VLOOKUP($A31,SP_EnvTract_DB[],MATCH(Y$2,SP_EnvTract_DB[#Headers],0),FALSE)</f>
        <v>0</v>
      </c>
      <c r="Z31" s="81" t="str">
        <f>IFERROR(IF(VLOOKUP(CONCATENATE($A31,"_",Z$1),SP_,MATCH(Z$2,SP_ENV_Lib[#Headers],0),FALSE)=0,"",VLOOKUP(CONCATENATE($A31,"_",Z$1),SP_ENV_Lib[],MATCH(Z$2,SP_ACQ_Lib[#Headers],0),FALSE)),"")</f>
        <v/>
      </c>
      <c r="AA31" s="74"/>
      <c r="AB31" s="74">
        <f>IFERROR(IF(VLOOKUP(CONCATENATE($A31,"_",AB$1),SP_ENV_Lib[],MATCH(AB$2,SP_ENV_Lib[#Headers],0),FALSE)=0,"",VLOOKUP(CONCATENATE($A31,"_",AB$1),SP_ENV_Lib[],MATCH(AB$2,SP_ENV_Lib[#Headers],0),FALSE)),"")</f>
        <v>43893.494745370372</v>
      </c>
      <c r="AC31" s="74">
        <f>IFERROR(IF(VLOOKUP(CONCATENATE($A31,"_",AC$1),SP_ENV_Lib[],MATCH(AC$2,SP_ENV_Lib[#Headers],0),FALSE)=0,"",VLOOKUP(CONCATENATE($A31,"_",AC$1),SP_ENV_Lib[],MATCH(AC$2,SP_ENV_Lib[#Headers],0),FALSE)),"")</f>
        <v>43844</v>
      </c>
      <c r="AD31" s="74">
        <f>IFERROR(IF(VLOOKUP(CONCATENATE($A31,"_",AD$1),SP_ENV_Lib[],MATCH(AD$2,SP_ENV_Lib[#Headers],0),FALSE)=0,"",VLOOKUP(CONCATENATE($A31,"_",AD$1),SP_ENV_Lib[],MATCH(AD$2,SP_ENV_Lib[#Headers],0),FALSE)),"")</f>
        <v>43895</v>
      </c>
      <c r="AE31" s="74" t="str">
        <f>IFERROR(IF(VLOOKUP(CONCATENATE($A31,"_",AE$1),SP_ENV_Lib[],MATCH(AE$2,SP_ENV_Lib[#Headers],0),FALSE)=0,"",VLOOKUP(CONCATENATE($A31,"_",AE$1),SP_ENV_Lib[],MATCH(AE$2,SP_ENV_Lib[#Headers],0),FALSE)),"")</f>
        <v/>
      </c>
      <c r="AF31" s="172" t="str">
        <f>IFERROR(VLOOKUP(CONCATENATE($A31,"_",AF$1),SP_ENV_Lib[],MATCH(AF$2,SP_ENV_Lib[#Headers],0),FALSE),0)</f>
        <v>Accepted</v>
      </c>
      <c r="AG31" s="74"/>
      <c r="AH31" s="74"/>
      <c r="AI31" s="74"/>
      <c r="AJ31" s="84"/>
    </row>
    <row r="32" spans="1:36" ht="15" x14ac:dyDescent="0.2">
      <c r="A32" s="67" t="s">
        <v>2698</v>
      </c>
      <c r="B32" s="154" t="str">
        <f>LEFT(VLOOKUP($A32,SP_EnvTract_DB[],MATCH(B$2,SP_EnvTract_DB[#Headers],0),FALSE),7)</f>
        <v>R018352</v>
      </c>
      <c r="C32" s="68" t="str">
        <f>VLOOKUP($A32,SP_EnvTract_DB[],MATCH(C$2,SP_EnvTract_DB[#Headers],0),FALSE)</f>
        <v>ENV</v>
      </c>
      <c r="D32" s="156" t="str">
        <f>VLOOKUP($A32,SP_EnvTract_DB[],MATCH(D$2,SP_EnvTract_DB[#Headers],0),FALSE)</f>
        <v>LANGSTON EDNA L ETAL;#120</v>
      </c>
      <c r="E32" s="156" t="str">
        <f>VLOOKUP($A32,SP_EnvTract_DB[],MATCH(E$2,SP_EnvTract_DB[#Headers],0),FALSE)</f>
        <v>0  HARRIS;#120</v>
      </c>
      <c r="F32" s="69">
        <f>VLOOKUP($A32,SP_EnvTract_DB[],MATCH(F$2,SP_EnvTract_DB[#Headers],0),FALSE)</f>
        <v>0</v>
      </c>
      <c r="G32" s="73">
        <f>VLOOKUP($A32,SP_EnvTract_DB[],MATCH(G$2,SP_EnvTract_DB[#Headers],0),FALSE)</f>
        <v>0</v>
      </c>
      <c r="H32" s="73" t="str">
        <f>VLOOKUP($A32,SP_EnvTract_DB[],MATCH(H$2,SP_EnvTract_DB[#Headers],0),FALSE)</f>
        <v>Lily Khan</v>
      </c>
      <c r="I32" s="69">
        <f>VLOOKUP($A32,SP_EnvTract_DB[],MATCH(I$2,SP_EnvTract_DB[#Headers],0),FALSE)</f>
        <v>0</v>
      </c>
      <c r="J32" s="69">
        <f>VLOOKUP($A32,SP_EnvTract_DB[],MATCH(J$2,SP_EnvTract_DB[#Headers],0),FALSE)</f>
        <v>0</v>
      </c>
      <c r="K32" s="69">
        <f>VLOOKUP($A32,SP_EnvTract_DB[],MATCH(K$2,SP_EnvTract_DB[#Headers],0),FALSE)</f>
        <v>0</v>
      </c>
      <c r="L32" s="69">
        <f>VLOOKUP($A32,SP_EnvTract_DB[],MATCH(L$2,SP_EnvTract_DB[#Headers],0),FALSE)</f>
        <v>0</v>
      </c>
      <c r="M32" s="69">
        <f>VLOOKUP($A32,SP_EnvTract_DB[],MATCH(M$2,SP_EnvTract_DB[#Headers],0),FALSE)</f>
        <v>0</v>
      </c>
      <c r="N32" s="69">
        <f>VLOOKUP($A32,SP_EnvTract_DB[],MATCH(N$2,SP_EnvTract_DB[#Headers],0),FALSE)</f>
        <v>0</v>
      </c>
      <c r="O32" s="74">
        <f>VLOOKUP($A32,SP_EnvTract_DB[],MATCH(O$2,SP_EnvTract_DB[#Headers],0),FALSE)</f>
        <v>0</v>
      </c>
      <c r="P32" s="73">
        <f>VLOOKUP($A32,SP_EnvTract_DB[],MATCH(P$2,SP_EnvTract_DB[#Headers],0),FALSE)</f>
        <v>0</v>
      </c>
      <c r="Q32" s="73">
        <f>VLOOKUP($A32,SP_EnvTract_DB[],MATCH(Q$2,SP_EnvTract_DB[#Headers],0),FALSE)</f>
        <v>0</v>
      </c>
      <c r="R32" s="74">
        <f>VLOOKUP($A32,SP_EnvTract_DB[],MATCH(R$2,SP_EnvTract_DB[#Headers],0),FALSE)</f>
        <v>0</v>
      </c>
      <c r="S32" s="68">
        <f>VLOOKUP($A32,SP_EnvTract_DB[],MATCH(S$2,SP_EnvTract_DB[#Headers],0),FALSE)</f>
        <v>0</v>
      </c>
      <c r="T32" s="68">
        <f>VLOOKUP($A32,SP_EnvTract_DB[],MATCH(T$2,SP_EnvTract_DB[#Headers],0),FALSE)</f>
        <v>0</v>
      </c>
      <c r="U32" s="74">
        <f>VLOOKUP($A32,SP_EnvTract_DB[],MATCH(U$2,SP_EnvTract_DB[#Headers],0),FALSE)</f>
        <v>0</v>
      </c>
      <c r="V32" s="68">
        <f>VLOOKUP($A32,SP_EnvTract_DB[],MATCH(V$2,SP_EnvTract_DB[#Headers],0),FALSE)</f>
        <v>0</v>
      </c>
      <c r="W32" s="68">
        <f>VLOOKUP($A32,SP_EnvTract_DB[],MATCH(W$2,SP_EnvTract_DB[#Headers],0),FALSE)</f>
        <v>0</v>
      </c>
      <c r="X32" s="68">
        <f>VLOOKUP($A32,SP_EnvTract_DB[],MATCH(X$2,SP_EnvTract_DB[#Headers],0),FALSE)</f>
        <v>0</v>
      </c>
      <c r="Y32" s="80">
        <f>VLOOKUP($A32,SP_EnvTract_DB[],MATCH(Y$2,SP_EnvTract_DB[#Headers],0),FALSE)</f>
        <v>0</v>
      </c>
      <c r="Z32" s="81" t="str">
        <f>IFERROR(IF(VLOOKUP(CONCATENATE($A32,"_",Z$1),SP_,MATCH(Z$2,SP_ENV_Lib[#Headers],0),FALSE)=0,"",VLOOKUP(CONCATENATE($A32,"_",Z$1),SP_ENV_Lib[],MATCH(Z$2,SP_ACQ_Lib[#Headers],0),FALSE)),"")</f>
        <v/>
      </c>
      <c r="AA32" s="74"/>
      <c r="AB32" s="74">
        <f>IFERROR(IF(VLOOKUP(CONCATENATE($A32,"_",AB$1),SP_ENV_Lib[],MATCH(AB$2,SP_ENV_Lib[#Headers],0),FALSE)=0,"",VLOOKUP(CONCATENATE($A32,"_",AB$1),SP_ENV_Lib[],MATCH(AB$2,SP_ENV_Lib[#Headers],0),FALSE)),"")</f>
        <v>43879.735555555555</v>
      </c>
      <c r="AC32" s="74">
        <f>IFERROR(IF(VLOOKUP(CONCATENATE($A32,"_",AC$1),SP_ENV_Lib[],MATCH(AC$2,SP_ENV_Lib[#Headers],0),FALSE)=0,"",VLOOKUP(CONCATENATE($A32,"_",AC$1),SP_ENV_Lib[],MATCH(AC$2,SP_ENV_Lib[#Headers],0),FALSE)),"")</f>
        <v>43844</v>
      </c>
      <c r="AD32" s="74">
        <f>IFERROR(IF(VLOOKUP(CONCATENATE($A32,"_",AD$1),SP_ENV_Lib[],MATCH(AD$2,SP_ENV_Lib[#Headers],0),FALSE)=0,"",VLOOKUP(CONCATENATE($A32,"_",AD$1),SP_ENV_Lib[],MATCH(AD$2,SP_ENV_Lib[#Headers],0),FALSE)),"")</f>
        <v>43895</v>
      </c>
      <c r="AE32" s="74" t="str">
        <f>IFERROR(IF(VLOOKUP(CONCATENATE($A32,"_",AE$1),SP_ENV_Lib[],MATCH(AE$2,SP_ENV_Lib[#Headers],0),FALSE)=0,"",VLOOKUP(CONCATENATE($A32,"_",AE$1),SP_ENV_Lib[],MATCH(AE$2,SP_ENV_Lib[#Headers],0),FALSE)),"")</f>
        <v/>
      </c>
      <c r="AF32" s="172" t="str">
        <f>IFERROR(VLOOKUP(CONCATENATE($A32,"_",AF$1),SP_ENV_Lib[],MATCH(AF$2,SP_ENV_Lib[#Headers],0),FALSE),0)</f>
        <v>Accepted</v>
      </c>
      <c r="AG32" s="74"/>
      <c r="AH32" s="74"/>
      <c r="AI32" s="74"/>
      <c r="AJ32" s="84"/>
    </row>
    <row r="33" spans="1:36" ht="15" x14ac:dyDescent="0.2">
      <c r="A33" s="67" t="s">
        <v>2831</v>
      </c>
      <c r="B33" s="154" t="str">
        <f>LEFT(VLOOKUP($A33,SP_EnvTract_DB[],MATCH(B$2,SP_EnvTract_DB[#Headers],0),FALSE),7)</f>
        <v>R018523</v>
      </c>
      <c r="C33" s="68" t="str">
        <f>VLOOKUP($A33,SP_EnvTract_DB[],MATCH(C$2,SP_EnvTract_DB[#Headers],0),FALSE)</f>
        <v>ENV</v>
      </c>
      <c r="D33" s="156" t="str">
        <f>VLOOKUP($A33,SP_EnvTract_DB[],MATCH(D$2,SP_EnvTract_DB[#Headers],0),FALSE)</f>
        <v>GREEN FERBE;#121</v>
      </c>
      <c r="E33" s="156" t="str">
        <f>VLOOKUP($A33,SP_EnvTract_DB[],MATCH(E$2,SP_EnvTract_DB[#Headers],0),FALSE)</f>
        <v>1113 W MILAM;#121</v>
      </c>
      <c r="F33" s="69">
        <f>VLOOKUP($A33,SP_EnvTract_DB[],MATCH(F$2,SP_EnvTract_DB[#Headers],0),FALSE)</f>
        <v>0</v>
      </c>
      <c r="G33" s="73">
        <f>VLOOKUP($A33,SP_EnvTract_DB[],MATCH(G$2,SP_EnvTract_DB[#Headers],0),FALSE)</f>
        <v>0</v>
      </c>
      <c r="H33" s="73" t="str">
        <f>VLOOKUP($A33,SP_EnvTract_DB[],MATCH(H$2,SP_EnvTract_DB[#Headers],0),FALSE)</f>
        <v>Lily Khan</v>
      </c>
      <c r="I33" s="69">
        <f>VLOOKUP($A33,SP_EnvTract_DB[],MATCH(I$2,SP_EnvTract_DB[#Headers],0),FALSE)</f>
        <v>0</v>
      </c>
      <c r="J33" s="69">
        <f>VLOOKUP($A33,SP_EnvTract_DB[],MATCH(J$2,SP_EnvTract_DB[#Headers],0),FALSE)</f>
        <v>0</v>
      </c>
      <c r="K33" s="69">
        <f>VLOOKUP($A33,SP_EnvTract_DB[],MATCH(K$2,SP_EnvTract_DB[#Headers],0),FALSE)</f>
        <v>0</v>
      </c>
      <c r="L33" s="69">
        <f>VLOOKUP($A33,SP_EnvTract_DB[],MATCH(L$2,SP_EnvTract_DB[#Headers],0),FALSE)</f>
        <v>0</v>
      </c>
      <c r="M33" s="69">
        <f>VLOOKUP($A33,SP_EnvTract_DB[],MATCH(M$2,SP_EnvTract_DB[#Headers],0),FALSE)</f>
        <v>0</v>
      </c>
      <c r="N33" s="69">
        <f>VLOOKUP($A33,SP_EnvTract_DB[],MATCH(N$2,SP_EnvTract_DB[#Headers],0),FALSE)</f>
        <v>0</v>
      </c>
      <c r="O33" s="74">
        <f>VLOOKUP($A33,SP_EnvTract_DB[],MATCH(O$2,SP_EnvTract_DB[#Headers],0),FALSE)</f>
        <v>0</v>
      </c>
      <c r="P33" s="73">
        <f>VLOOKUP($A33,SP_EnvTract_DB[],MATCH(P$2,SP_EnvTract_DB[#Headers],0),FALSE)</f>
        <v>0</v>
      </c>
      <c r="Q33" s="73">
        <f>VLOOKUP($A33,SP_EnvTract_DB[],MATCH(Q$2,SP_EnvTract_DB[#Headers],0),FALSE)</f>
        <v>0</v>
      </c>
      <c r="R33" s="74">
        <f>VLOOKUP($A33,SP_EnvTract_DB[],MATCH(R$2,SP_EnvTract_DB[#Headers],0),FALSE)</f>
        <v>0</v>
      </c>
      <c r="S33" s="68">
        <f>VLOOKUP($A33,SP_EnvTract_DB[],MATCH(S$2,SP_EnvTract_DB[#Headers],0),FALSE)</f>
        <v>0</v>
      </c>
      <c r="T33" s="68">
        <f>VLOOKUP($A33,SP_EnvTract_DB[],MATCH(T$2,SP_EnvTract_DB[#Headers],0),FALSE)</f>
        <v>0</v>
      </c>
      <c r="U33" s="74">
        <f>VLOOKUP($A33,SP_EnvTract_DB[],MATCH(U$2,SP_EnvTract_DB[#Headers],0),FALSE)</f>
        <v>0</v>
      </c>
      <c r="V33" s="68">
        <f>VLOOKUP($A33,SP_EnvTract_DB[],MATCH(V$2,SP_EnvTract_DB[#Headers],0),FALSE)</f>
        <v>0</v>
      </c>
      <c r="W33" s="68">
        <f>VLOOKUP($A33,SP_EnvTract_DB[],MATCH(W$2,SP_EnvTract_DB[#Headers],0),FALSE)</f>
        <v>0</v>
      </c>
      <c r="X33" s="68">
        <f>VLOOKUP($A33,SP_EnvTract_DB[],MATCH(X$2,SP_EnvTract_DB[#Headers],0),FALSE)</f>
        <v>0</v>
      </c>
      <c r="Y33" s="80">
        <f>VLOOKUP($A33,SP_EnvTract_DB[],MATCH(Y$2,SP_EnvTract_DB[#Headers],0),FALSE)</f>
        <v>0</v>
      </c>
      <c r="Z33" s="81" t="str">
        <f>IFERROR(IF(VLOOKUP(CONCATENATE($A33,"_",Z$1),SP_,MATCH(Z$2,SP_ENV_Lib[#Headers],0),FALSE)=0,"",VLOOKUP(CONCATENATE($A33,"_",Z$1),SP_ENV_Lib[],MATCH(Z$2,SP_ACQ_Lib[#Headers],0),FALSE)),"")</f>
        <v/>
      </c>
      <c r="AA33" s="74"/>
      <c r="AB33" s="74">
        <f>IFERROR(IF(VLOOKUP(CONCATENATE($A33,"_",AB$1),SP_ENV_Lib[],MATCH(AB$2,SP_ENV_Lib[#Headers],0),FALSE)=0,"",VLOOKUP(CONCATENATE($A33,"_",AB$1),SP_ENV_Lib[],MATCH(AB$2,SP_ENV_Lib[#Headers],0),FALSE)),"")</f>
        <v>43943.683206018519</v>
      </c>
      <c r="AC33" s="74">
        <f>IFERROR(IF(VLOOKUP(CONCATENATE($A33,"_",AC$1),SP_ENV_Lib[],MATCH(AC$2,SP_ENV_Lib[#Headers],0),FALSE)=0,"",VLOOKUP(CONCATENATE($A33,"_",AC$1),SP_ENV_Lib[],MATCH(AC$2,SP_ENV_Lib[#Headers],0),FALSE)),"")</f>
        <v>43844</v>
      </c>
      <c r="AD33" s="74" t="str">
        <f>IFERROR(IF(VLOOKUP(CONCATENATE($A33,"_",AD$1),SP_ENV_Lib[],MATCH(AD$2,SP_ENV_Lib[#Headers],0),FALSE)=0,"",VLOOKUP(CONCATENATE($A33,"_",AD$1),SP_ENV_Lib[],MATCH(AD$2,SP_ENV_Lib[#Headers],0),FALSE)),"")</f>
        <v/>
      </c>
      <c r="AE33" s="74" t="str">
        <f>IFERROR(IF(VLOOKUP(CONCATENATE($A33,"_",AE$1),SP_ENV_Lib[],MATCH(AE$2,SP_ENV_Lib[#Headers],0),FALSE)=0,"",VLOOKUP(CONCATENATE($A33,"_",AE$1),SP_ENV_Lib[],MATCH(AE$2,SP_ENV_Lib[#Headers],0),FALSE)),"")</f>
        <v/>
      </c>
      <c r="AF33" s="172" t="str">
        <f>IFERROR(VLOOKUP(CONCATENATE($A33,"_",AF$1),SP_ENV_Lib[],MATCH(AF$2,SP_ENV_Lib[#Headers],0),FALSE),0)</f>
        <v>Accepted</v>
      </c>
      <c r="AG33" s="74"/>
      <c r="AH33" s="74"/>
      <c r="AI33" s="74"/>
      <c r="AJ33" s="84"/>
    </row>
    <row r="34" spans="1:36" ht="15" x14ac:dyDescent="0.2">
      <c r="A34" s="67" t="s">
        <v>2836</v>
      </c>
      <c r="B34" s="154" t="str">
        <f>LEFT(VLOOKUP($A34,SP_EnvTract_DB[],MATCH(B$2,SP_EnvTract_DB[#Headers],0),FALSE),7)</f>
        <v>R018536</v>
      </c>
      <c r="C34" s="68" t="str">
        <f>VLOOKUP($A34,SP_EnvTract_DB[],MATCH(C$2,SP_EnvTract_DB[#Headers],0),FALSE)</f>
        <v>ENV</v>
      </c>
      <c r="D34" s="156" t="str">
        <f>VLOOKUP($A34,SP_EnvTract_DB[],MATCH(D$2,SP_EnvTract_DB[#Headers],0),FALSE)</f>
        <v>SCARLET DURIA III;#122</v>
      </c>
      <c r="E34" s="156" t="str">
        <f>VLOOKUP($A34,SP_EnvTract_DB[],MATCH(E$2,SP_EnvTract_DB[#Headers],0),FALSE)</f>
        <v>0  S SHEPPARD;#122</v>
      </c>
      <c r="F34" s="69">
        <f>VLOOKUP($A34,SP_EnvTract_DB[],MATCH(F$2,SP_EnvTract_DB[#Headers],0),FALSE)</f>
        <v>0</v>
      </c>
      <c r="G34" s="73">
        <f>VLOOKUP($A34,SP_EnvTract_DB[],MATCH(G$2,SP_EnvTract_DB[#Headers],0),FALSE)</f>
        <v>0</v>
      </c>
      <c r="H34" s="73" t="str">
        <f>VLOOKUP($A34,SP_EnvTract_DB[],MATCH(H$2,SP_EnvTract_DB[#Headers],0),FALSE)</f>
        <v>Lily Khan</v>
      </c>
      <c r="I34" s="69">
        <f>VLOOKUP($A34,SP_EnvTract_DB[],MATCH(I$2,SP_EnvTract_DB[#Headers],0),FALSE)</f>
        <v>0</v>
      </c>
      <c r="J34" s="69">
        <f>VLOOKUP($A34,SP_EnvTract_DB[],MATCH(J$2,SP_EnvTract_DB[#Headers],0),FALSE)</f>
        <v>0</v>
      </c>
      <c r="K34" s="69">
        <f>VLOOKUP($A34,SP_EnvTract_DB[],MATCH(K$2,SP_EnvTract_DB[#Headers],0),FALSE)</f>
        <v>0</v>
      </c>
      <c r="L34" s="69">
        <f>VLOOKUP($A34,SP_EnvTract_DB[],MATCH(L$2,SP_EnvTract_DB[#Headers],0),FALSE)</f>
        <v>0</v>
      </c>
      <c r="M34" s="69">
        <f>VLOOKUP($A34,SP_EnvTract_DB[],MATCH(M$2,SP_EnvTract_DB[#Headers],0),FALSE)</f>
        <v>0</v>
      </c>
      <c r="N34" s="69">
        <f>VLOOKUP($A34,SP_EnvTract_DB[],MATCH(N$2,SP_EnvTract_DB[#Headers],0),FALSE)</f>
        <v>0</v>
      </c>
      <c r="O34" s="74">
        <f>VLOOKUP($A34,SP_EnvTract_DB[],MATCH(O$2,SP_EnvTract_DB[#Headers],0),FALSE)</f>
        <v>0</v>
      </c>
      <c r="P34" s="73">
        <f>VLOOKUP($A34,SP_EnvTract_DB[],MATCH(P$2,SP_EnvTract_DB[#Headers],0),FALSE)</f>
        <v>0</v>
      </c>
      <c r="Q34" s="73">
        <f>VLOOKUP($A34,SP_EnvTract_DB[],MATCH(Q$2,SP_EnvTract_DB[#Headers],0),FALSE)</f>
        <v>0</v>
      </c>
      <c r="R34" s="74">
        <f>VLOOKUP($A34,SP_EnvTract_DB[],MATCH(R$2,SP_EnvTract_DB[#Headers],0),FALSE)</f>
        <v>0</v>
      </c>
      <c r="S34" s="68">
        <f>VLOOKUP($A34,SP_EnvTract_DB[],MATCH(S$2,SP_EnvTract_DB[#Headers],0),FALSE)</f>
        <v>0</v>
      </c>
      <c r="T34" s="68">
        <f>VLOOKUP($A34,SP_EnvTract_DB[],MATCH(T$2,SP_EnvTract_DB[#Headers],0),FALSE)</f>
        <v>0</v>
      </c>
      <c r="U34" s="74">
        <f>VLOOKUP($A34,SP_EnvTract_DB[],MATCH(U$2,SP_EnvTract_DB[#Headers],0),FALSE)</f>
        <v>0</v>
      </c>
      <c r="V34" s="68">
        <f>VLOOKUP($A34,SP_EnvTract_DB[],MATCH(V$2,SP_EnvTract_DB[#Headers],0),FALSE)</f>
        <v>0</v>
      </c>
      <c r="W34" s="68">
        <f>VLOOKUP($A34,SP_EnvTract_DB[],MATCH(W$2,SP_EnvTract_DB[#Headers],0),FALSE)</f>
        <v>0</v>
      </c>
      <c r="X34" s="68">
        <f>VLOOKUP($A34,SP_EnvTract_DB[],MATCH(X$2,SP_EnvTract_DB[#Headers],0),FALSE)</f>
        <v>0</v>
      </c>
      <c r="Y34" s="80">
        <f>VLOOKUP($A34,SP_EnvTract_DB[],MATCH(Y$2,SP_EnvTract_DB[#Headers],0),FALSE)</f>
        <v>0</v>
      </c>
      <c r="Z34" s="81" t="str">
        <f>IFERROR(IF(VLOOKUP(CONCATENATE($A34,"_",Z$1),SP_,MATCH(Z$2,SP_ENV_Lib[#Headers],0),FALSE)=0,"",VLOOKUP(CONCATENATE($A34,"_",Z$1),SP_ENV_Lib[],MATCH(Z$2,SP_ACQ_Lib[#Headers],0),FALSE)),"")</f>
        <v/>
      </c>
      <c r="AA34" s="74"/>
      <c r="AB34" s="74">
        <f>IFERROR(IF(VLOOKUP(CONCATENATE($A34,"_",AB$1),SP_ENV_Lib[],MATCH(AB$2,SP_ENV_Lib[#Headers],0),FALSE)=0,"",VLOOKUP(CONCATENATE($A34,"_",AB$1),SP_ENV_Lib[],MATCH(AB$2,SP_ENV_Lib[#Headers],0),FALSE)),"")</f>
        <v>43879.735555555555</v>
      </c>
      <c r="AC34" s="74">
        <f>IFERROR(IF(VLOOKUP(CONCATENATE($A34,"_",AC$1),SP_ENV_Lib[],MATCH(AC$2,SP_ENV_Lib[#Headers],0),FALSE)=0,"",VLOOKUP(CONCATENATE($A34,"_",AC$1),SP_ENV_Lib[],MATCH(AC$2,SP_ENV_Lib[#Headers],0),FALSE)),"")</f>
        <v>43844</v>
      </c>
      <c r="AD34" s="74">
        <f>IFERROR(IF(VLOOKUP(CONCATENATE($A34,"_",AD$1),SP_ENV_Lib[],MATCH(AD$2,SP_ENV_Lib[#Headers],0),FALSE)=0,"",VLOOKUP(CONCATENATE($A34,"_",AD$1),SP_ENV_Lib[],MATCH(AD$2,SP_ENV_Lib[#Headers],0),FALSE)),"")</f>
        <v>43867</v>
      </c>
      <c r="AE34" s="74" t="str">
        <f>IFERROR(IF(VLOOKUP(CONCATENATE($A34,"_",AE$1),SP_ENV_Lib[],MATCH(AE$2,SP_ENV_Lib[#Headers],0),FALSE)=0,"",VLOOKUP(CONCATENATE($A34,"_",AE$1),SP_ENV_Lib[],MATCH(AE$2,SP_ENV_Lib[#Headers],0),FALSE)),"")</f>
        <v/>
      </c>
      <c r="AF34" s="172" t="str">
        <f>IFERROR(VLOOKUP(CONCATENATE($A34,"_",AF$1),SP_ENV_Lib[],MATCH(AF$2,SP_ENV_Lib[#Headers],0),FALSE),0)</f>
        <v>Accepted</v>
      </c>
      <c r="AG34" s="74"/>
      <c r="AH34" s="74"/>
      <c r="AI34" s="74"/>
      <c r="AJ34" s="84"/>
    </row>
    <row r="35" spans="1:36" ht="15" x14ac:dyDescent="0.2">
      <c r="A35" s="67" t="s">
        <v>2841</v>
      </c>
      <c r="B35" s="154" t="str">
        <f>LEFT(VLOOKUP($A35,SP_EnvTract_DB[],MATCH(B$2,SP_EnvTract_DB[#Headers],0),FALSE),7)</f>
        <v>R018557</v>
      </c>
      <c r="C35" s="68" t="str">
        <f>VLOOKUP($A35,SP_EnvTract_DB[],MATCH(C$2,SP_EnvTract_DB[#Headers],0),FALSE)</f>
        <v>ENV</v>
      </c>
      <c r="D35" s="156" t="str">
        <f>VLOOKUP($A35,SP_EnvTract_DB[],MATCH(D$2,SP_EnvTract_DB[#Headers],0),FALSE)</f>
        <v>EDWARDS CURTIS E;#123</v>
      </c>
      <c r="E35" s="156" t="str">
        <f>VLOOKUP($A35,SP_EnvTract_DB[],MATCH(E$2,SP_EnvTract_DB[#Headers],0),FALSE)</f>
        <v>303 S SHEPPARD;#123</v>
      </c>
      <c r="F35" s="69">
        <f>VLOOKUP($A35,SP_EnvTract_DB[],MATCH(F$2,SP_EnvTract_DB[#Headers],0),FALSE)</f>
        <v>0</v>
      </c>
      <c r="G35" s="73">
        <f>VLOOKUP($A35,SP_EnvTract_DB[],MATCH(G$2,SP_EnvTract_DB[#Headers],0),FALSE)</f>
        <v>0</v>
      </c>
      <c r="H35" s="73" t="str">
        <f>VLOOKUP($A35,SP_EnvTract_DB[],MATCH(H$2,SP_EnvTract_DB[#Headers],0),FALSE)</f>
        <v>Lily Khan</v>
      </c>
      <c r="I35" s="69">
        <f>VLOOKUP($A35,SP_EnvTract_DB[],MATCH(I$2,SP_EnvTract_DB[#Headers],0),FALSE)</f>
        <v>0</v>
      </c>
      <c r="J35" s="69">
        <f>VLOOKUP($A35,SP_EnvTract_DB[],MATCH(J$2,SP_EnvTract_DB[#Headers],0),FALSE)</f>
        <v>0</v>
      </c>
      <c r="K35" s="69">
        <f>VLOOKUP($A35,SP_EnvTract_DB[],MATCH(K$2,SP_EnvTract_DB[#Headers],0),FALSE)</f>
        <v>0</v>
      </c>
      <c r="L35" s="69">
        <f>VLOOKUP($A35,SP_EnvTract_DB[],MATCH(L$2,SP_EnvTract_DB[#Headers],0),FALSE)</f>
        <v>0</v>
      </c>
      <c r="M35" s="69">
        <f>VLOOKUP($A35,SP_EnvTract_DB[],MATCH(M$2,SP_EnvTract_DB[#Headers],0),FALSE)</f>
        <v>0</v>
      </c>
      <c r="N35" s="69">
        <f>VLOOKUP($A35,SP_EnvTract_DB[],MATCH(N$2,SP_EnvTract_DB[#Headers],0),FALSE)</f>
        <v>0</v>
      </c>
      <c r="O35" s="74">
        <f>VLOOKUP($A35,SP_EnvTract_DB[],MATCH(O$2,SP_EnvTract_DB[#Headers],0),FALSE)</f>
        <v>0</v>
      </c>
      <c r="P35" s="73">
        <f>VLOOKUP($A35,SP_EnvTract_DB[],MATCH(P$2,SP_EnvTract_DB[#Headers],0),FALSE)</f>
        <v>0</v>
      </c>
      <c r="Q35" s="73">
        <f>VLOOKUP($A35,SP_EnvTract_DB[],MATCH(Q$2,SP_EnvTract_DB[#Headers],0),FALSE)</f>
        <v>0</v>
      </c>
      <c r="R35" s="74">
        <f>VLOOKUP($A35,SP_EnvTract_DB[],MATCH(R$2,SP_EnvTract_DB[#Headers],0),FALSE)</f>
        <v>0</v>
      </c>
      <c r="S35" s="68">
        <f>VLOOKUP($A35,SP_EnvTract_DB[],MATCH(S$2,SP_EnvTract_DB[#Headers],0),FALSE)</f>
        <v>0</v>
      </c>
      <c r="T35" s="68">
        <f>VLOOKUP($A35,SP_EnvTract_DB[],MATCH(T$2,SP_EnvTract_DB[#Headers],0),FALSE)</f>
        <v>0</v>
      </c>
      <c r="U35" s="74">
        <f>VLOOKUP($A35,SP_EnvTract_DB[],MATCH(U$2,SP_EnvTract_DB[#Headers],0),FALSE)</f>
        <v>0</v>
      </c>
      <c r="V35" s="68">
        <f>VLOOKUP($A35,SP_EnvTract_DB[],MATCH(V$2,SP_EnvTract_DB[#Headers],0),FALSE)</f>
        <v>0</v>
      </c>
      <c r="W35" s="68">
        <f>VLOOKUP($A35,SP_EnvTract_DB[],MATCH(W$2,SP_EnvTract_DB[#Headers],0),FALSE)</f>
        <v>0</v>
      </c>
      <c r="X35" s="68">
        <f>VLOOKUP($A35,SP_EnvTract_DB[],MATCH(X$2,SP_EnvTract_DB[#Headers],0),FALSE)</f>
        <v>0</v>
      </c>
      <c r="Y35" s="80">
        <f>VLOOKUP($A35,SP_EnvTract_DB[],MATCH(Y$2,SP_EnvTract_DB[#Headers],0),FALSE)</f>
        <v>0</v>
      </c>
      <c r="Z35" s="81" t="str">
        <f>IFERROR(IF(VLOOKUP(CONCATENATE($A35,"_",Z$1),SP_,MATCH(Z$2,SP_ENV_Lib[#Headers],0),FALSE)=0,"",VLOOKUP(CONCATENATE($A35,"_",Z$1),SP_ENV_Lib[],MATCH(Z$2,SP_ACQ_Lib[#Headers],0),FALSE)),"")</f>
        <v/>
      </c>
      <c r="AA35" s="74"/>
      <c r="AB35" s="74">
        <f>IFERROR(IF(VLOOKUP(CONCATENATE($A35,"_",AB$1),SP_ENV_Lib[],MATCH(AB$2,SP_ENV_Lib[#Headers],0),FALSE)=0,"",VLOOKUP(CONCATENATE($A35,"_",AB$1),SP_ENV_Lib[],MATCH(AB$2,SP_ENV_Lib[#Headers],0),FALSE)),"")</f>
        <v>43879.735555555555</v>
      </c>
      <c r="AC35" s="74">
        <f>IFERROR(IF(VLOOKUP(CONCATENATE($A35,"_",AC$1),SP_ENV_Lib[],MATCH(AC$2,SP_ENV_Lib[#Headers],0),FALSE)=0,"",VLOOKUP(CONCATENATE($A35,"_",AC$1),SP_ENV_Lib[],MATCH(AC$2,SP_ENV_Lib[#Headers],0),FALSE)),"")</f>
        <v>43844</v>
      </c>
      <c r="AD35" s="74">
        <f>IFERROR(IF(VLOOKUP(CONCATENATE($A35,"_",AD$1),SP_ENV_Lib[],MATCH(AD$2,SP_ENV_Lib[#Headers],0),FALSE)=0,"",VLOOKUP(CONCATENATE($A35,"_",AD$1),SP_ENV_Lib[],MATCH(AD$2,SP_ENV_Lib[#Headers],0),FALSE)),"")</f>
        <v>43871</v>
      </c>
      <c r="AE35" s="74" t="str">
        <f>IFERROR(IF(VLOOKUP(CONCATENATE($A35,"_",AE$1),SP_ENV_Lib[],MATCH(AE$2,SP_ENV_Lib[#Headers],0),FALSE)=0,"",VLOOKUP(CONCATENATE($A35,"_",AE$1),SP_ENV_Lib[],MATCH(AE$2,SP_ENV_Lib[#Headers],0),FALSE)),"")</f>
        <v/>
      </c>
      <c r="AF35" s="172" t="str">
        <f>IFERROR(VLOOKUP(CONCATENATE($A35,"_",AF$1),SP_ENV_Lib[],MATCH(AF$2,SP_ENV_Lib[#Headers],0),FALSE),0)</f>
        <v>Accepted</v>
      </c>
      <c r="AG35" s="74"/>
      <c r="AH35" s="74"/>
      <c r="AI35" s="74"/>
      <c r="AJ35" s="84"/>
    </row>
    <row r="36" spans="1:36" ht="15" x14ac:dyDescent="0.2">
      <c r="A36" s="67" t="s">
        <v>2846</v>
      </c>
      <c r="B36" s="154" t="str">
        <f>LEFT(VLOOKUP($A36,SP_EnvTract_DB[],MATCH(B$2,SP_EnvTract_DB[#Headers],0),FALSE),7)</f>
        <v>R018559</v>
      </c>
      <c r="C36" s="68" t="str">
        <f>VLOOKUP($A36,SP_EnvTract_DB[],MATCH(C$2,SP_EnvTract_DB[#Headers],0),FALSE)</f>
        <v>ENV</v>
      </c>
      <c r="D36" s="156" t="str">
        <f>VLOOKUP($A36,SP_EnvTract_DB[],MATCH(D$2,SP_EnvTract_DB[#Headers],0),FALSE)</f>
        <v>EDWARDS CURTIS E;#124</v>
      </c>
      <c r="E36" s="156" t="str">
        <f>VLOOKUP($A36,SP_EnvTract_DB[],MATCH(E$2,SP_EnvTract_DB[#Headers],0),FALSE)</f>
        <v>0  KEARNEY;#124</v>
      </c>
      <c r="F36" s="69">
        <f>VLOOKUP($A36,SP_EnvTract_DB[],MATCH(F$2,SP_EnvTract_DB[#Headers],0),FALSE)</f>
        <v>0</v>
      </c>
      <c r="G36" s="73">
        <f>VLOOKUP($A36,SP_EnvTract_DB[],MATCH(G$2,SP_EnvTract_DB[#Headers],0),FALSE)</f>
        <v>0</v>
      </c>
      <c r="H36" s="73" t="str">
        <f>VLOOKUP($A36,SP_EnvTract_DB[],MATCH(H$2,SP_EnvTract_DB[#Headers],0),FALSE)</f>
        <v>Lily Khan</v>
      </c>
      <c r="I36" s="69">
        <f>VLOOKUP($A36,SP_EnvTract_DB[],MATCH(I$2,SP_EnvTract_DB[#Headers],0),FALSE)</f>
        <v>0</v>
      </c>
      <c r="J36" s="69">
        <f>VLOOKUP($A36,SP_EnvTract_DB[],MATCH(J$2,SP_EnvTract_DB[#Headers],0),FALSE)</f>
        <v>0</v>
      </c>
      <c r="K36" s="69">
        <f>VLOOKUP($A36,SP_EnvTract_DB[],MATCH(K$2,SP_EnvTract_DB[#Headers],0),FALSE)</f>
        <v>0</v>
      </c>
      <c r="L36" s="69">
        <f>VLOOKUP($A36,SP_EnvTract_DB[],MATCH(L$2,SP_EnvTract_DB[#Headers],0),FALSE)</f>
        <v>0</v>
      </c>
      <c r="M36" s="69">
        <f>VLOOKUP($A36,SP_EnvTract_DB[],MATCH(M$2,SP_EnvTract_DB[#Headers],0),FALSE)</f>
        <v>0</v>
      </c>
      <c r="N36" s="69">
        <f>VLOOKUP($A36,SP_EnvTract_DB[],MATCH(N$2,SP_EnvTract_DB[#Headers],0),FALSE)</f>
        <v>0</v>
      </c>
      <c r="O36" s="74">
        <f>VLOOKUP($A36,SP_EnvTract_DB[],MATCH(O$2,SP_EnvTract_DB[#Headers],0),FALSE)</f>
        <v>0</v>
      </c>
      <c r="P36" s="73">
        <f>VLOOKUP($A36,SP_EnvTract_DB[],MATCH(P$2,SP_EnvTract_DB[#Headers],0),FALSE)</f>
        <v>0</v>
      </c>
      <c r="Q36" s="73">
        <f>VLOOKUP($A36,SP_EnvTract_DB[],MATCH(Q$2,SP_EnvTract_DB[#Headers],0),FALSE)</f>
        <v>0</v>
      </c>
      <c r="R36" s="74">
        <f>VLOOKUP($A36,SP_EnvTract_DB[],MATCH(R$2,SP_EnvTract_DB[#Headers],0),FALSE)</f>
        <v>0</v>
      </c>
      <c r="S36" s="68">
        <f>VLOOKUP($A36,SP_EnvTract_DB[],MATCH(S$2,SP_EnvTract_DB[#Headers],0),FALSE)</f>
        <v>0</v>
      </c>
      <c r="T36" s="68">
        <f>VLOOKUP($A36,SP_EnvTract_DB[],MATCH(T$2,SP_EnvTract_DB[#Headers],0),FALSE)</f>
        <v>0</v>
      </c>
      <c r="U36" s="74">
        <f>VLOOKUP($A36,SP_EnvTract_DB[],MATCH(U$2,SP_EnvTract_DB[#Headers],0),FALSE)</f>
        <v>0</v>
      </c>
      <c r="V36" s="68">
        <f>VLOOKUP($A36,SP_EnvTract_DB[],MATCH(V$2,SP_EnvTract_DB[#Headers],0),FALSE)</f>
        <v>0</v>
      </c>
      <c r="W36" s="68">
        <f>VLOOKUP($A36,SP_EnvTract_DB[],MATCH(W$2,SP_EnvTract_DB[#Headers],0),FALSE)</f>
        <v>0</v>
      </c>
      <c r="X36" s="68">
        <f>VLOOKUP($A36,SP_EnvTract_DB[],MATCH(X$2,SP_EnvTract_DB[#Headers],0),FALSE)</f>
        <v>0</v>
      </c>
      <c r="Y36" s="80">
        <f>VLOOKUP($A36,SP_EnvTract_DB[],MATCH(Y$2,SP_EnvTract_DB[#Headers],0),FALSE)</f>
        <v>0</v>
      </c>
      <c r="Z36" s="81" t="str">
        <f>IFERROR(IF(VLOOKUP(CONCATENATE($A36,"_",Z$1),SP_,MATCH(Z$2,SP_ENV_Lib[#Headers],0),FALSE)=0,"",VLOOKUP(CONCATENATE($A36,"_",Z$1),SP_ENV_Lib[],MATCH(Z$2,SP_ACQ_Lib[#Headers],0),FALSE)),"")</f>
        <v/>
      </c>
      <c r="AA36" s="74"/>
      <c r="AB36" s="74">
        <f>IFERROR(IF(VLOOKUP(CONCATENATE($A36,"_",AB$1),SP_ENV_Lib[],MATCH(AB$2,SP_ENV_Lib[#Headers],0),FALSE)=0,"",VLOOKUP(CONCATENATE($A36,"_",AB$1),SP_ENV_Lib[],MATCH(AB$2,SP_ENV_Lib[#Headers],0),FALSE)),"")</f>
        <v>43879.735555555555</v>
      </c>
      <c r="AC36" s="74">
        <f>IFERROR(IF(VLOOKUP(CONCATENATE($A36,"_",AC$1),SP_ENV_Lib[],MATCH(AC$2,SP_ENV_Lib[#Headers],0),FALSE)=0,"",VLOOKUP(CONCATENATE($A36,"_",AC$1),SP_ENV_Lib[],MATCH(AC$2,SP_ENV_Lib[#Headers],0),FALSE)),"")</f>
        <v>43844</v>
      </c>
      <c r="AD36" s="74">
        <f>IFERROR(IF(VLOOKUP(CONCATENATE($A36,"_",AD$1),SP_ENV_Lib[],MATCH(AD$2,SP_ENV_Lib[#Headers],0),FALSE)=0,"",VLOOKUP(CONCATENATE($A36,"_",AD$1),SP_ENV_Lib[],MATCH(AD$2,SP_ENV_Lib[#Headers],0),FALSE)),"")</f>
        <v>43871</v>
      </c>
      <c r="AE36" s="74" t="str">
        <f>IFERROR(IF(VLOOKUP(CONCATENATE($A36,"_",AE$1),SP_ENV_Lib[],MATCH(AE$2,SP_ENV_Lib[#Headers],0),FALSE)=0,"",VLOOKUP(CONCATENATE($A36,"_",AE$1),SP_ENV_Lib[],MATCH(AE$2,SP_ENV_Lib[#Headers],0),FALSE)),"")</f>
        <v/>
      </c>
      <c r="AF36" s="172" t="str">
        <f>IFERROR(VLOOKUP(CONCATENATE($A36,"_",AF$1),SP_ENV_Lib[],MATCH(AF$2,SP_ENV_Lib[#Headers],0),FALSE),0)</f>
        <v>Accepted</v>
      </c>
      <c r="AG36" s="74"/>
      <c r="AH36" s="74"/>
      <c r="AI36" s="74"/>
      <c r="AJ36" s="84"/>
    </row>
    <row r="37" spans="1:36" ht="15" x14ac:dyDescent="0.2">
      <c r="A37" s="67" t="s">
        <v>2851</v>
      </c>
      <c r="B37" s="154" t="str">
        <f>LEFT(VLOOKUP($A37,SP_EnvTract_DB[],MATCH(B$2,SP_EnvTract_DB[#Headers],0),FALSE),7)</f>
        <v>R018560</v>
      </c>
      <c r="C37" s="68" t="str">
        <f>VLOOKUP($A37,SP_EnvTract_DB[],MATCH(C$2,SP_EnvTract_DB[#Headers],0),FALSE)</f>
        <v>ENV</v>
      </c>
      <c r="D37" s="156" t="str">
        <f>VLOOKUP($A37,SP_EnvTract_DB[],MATCH(D$2,SP_EnvTract_DB[#Headers],0),FALSE)</f>
        <v>EDWARDS CURTIS E &amp; WF;#125</v>
      </c>
      <c r="E37" s="156" t="str">
        <f>VLOOKUP($A37,SP_EnvTract_DB[],MATCH(E$2,SP_EnvTract_DB[#Headers],0),FALSE)</f>
        <v>0 S SHEPPARD;#125</v>
      </c>
      <c r="F37" s="69">
        <f>VLOOKUP($A37,SP_EnvTract_DB[],MATCH(F$2,SP_EnvTract_DB[#Headers],0),FALSE)</f>
        <v>0</v>
      </c>
      <c r="G37" s="73">
        <f>VLOOKUP($A37,SP_EnvTract_DB[],MATCH(G$2,SP_EnvTract_DB[#Headers],0),FALSE)</f>
        <v>0</v>
      </c>
      <c r="H37" s="73" t="str">
        <f>VLOOKUP($A37,SP_EnvTract_DB[],MATCH(H$2,SP_EnvTract_DB[#Headers],0),FALSE)</f>
        <v>Lily Khan</v>
      </c>
      <c r="I37" s="69">
        <f>VLOOKUP($A37,SP_EnvTract_DB[],MATCH(I$2,SP_EnvTract_DB[#Headers],0),FALSE)</f>
        <v>0</v>
      </c>
      <c r="J37" s="69">
        <f>VLOOKUP($A37,SP_EnvTract_DB[],MATCH(J$2,SP_EnvTract_DB[#Headers],0),FALSE)</f>
        <v>0</v>
      </c>
      <c r="K37" s="69">
        <f>VLOOKUP($A37,SP_EnvTract_DB[],MATCH(K$2,SP_EnvTract_DB[#Headers],0),FALSE)</f>
        <v>0</v>
      </c>
      <c r="L37" s="69">
        <f>VLOOKUP($A37,SP_EnvTract_DB[],MATCH(L$2,SP_EnvTract_DB[#Headers],0),FALSE)</f>
        <v>0</v>
      </c>
      <c r="M37" s="69">
        <f>VLOOKUP($A37,SP_EnvTract_DB[],MATCH(M$2,SP_EnvTract_DB[#Headers],0),FALSE)</f>
        <v>0</v>
      </c>
      <c r="N37" s="69">
        <f>VLOOKUP($A37,SP_EnvTract_DB[],MATCH(N$2,SP_EnvTract_DB[#Headers],0),FALSE)</f>
        <v>0</v>
      </c>
      <c r="O37" s="74">
        <f>VLOOKUP($A37,SP_EnvTract_DB[],MATCH(O$2,SP_EnvTract_DB[#Headers],0),FALSE)</f>
        <v>0</v>
      </c>
      <c r="P37" s="73">
        <f>VLOOKUP($A37,SP_EnvTract_DB[],MATCH(P$2,SP_EnvTract_DB[#Headers],0),FALSE)</f>
        <v>0</v>
      </c>
      <c r="Q37" s="73">
        <f>VLOOKUP($A37,SP_EnvTract_DB[],MATCH(Q$2,SP_EnvTract_DB[#Headers],0),FALSE)</f>
        <v>0</v>
      </c>
      <c r="R37" s="74">
        <f>VLOOKUP($A37,SP_EnvTract_DB[],MATCH(R$2,SP_EnvTract_DB[#Headers],0),FALSE)</f>
        <v>0</v>
      </c>
      <c r="S37" s="68">
        <f>VLOOKUP($A37,SP_EnvTract_DB[],MATCH(S$2,SP_EnvTract_DB[#Headers],0),FALSE)</f>
        <v>0</v>
      </c>
      <c r="T37" s="68">
        <f>VLOOKUP($A37,SP_EnvTract_DB[],MATCH(T$2,SP_EnvTract_DB[#Headers],0),FALSE)</f>
        <v>0</v>
      </c>
      <c r="U37" s="74">
        <f>VLOOKUP($A37,SP_EnvTract_DB[],MATCH(U$2,SP_EnvTract_DB[#Headers],0),FALSE)</f>
        <v>0</v>
      </c>
      <c r="V37" s="68">
        <f>VLOOKUP($A37,SP_EnvTract_DB[],MATCH(V$2,SP_EnvTract_DB[#Headers],0),FALSE)</f>
        <v>0</v>
      </c>
      <c r="W37" s="68">
        <f>VLOOKUP($A37,SP_EnvTract_DB[],MATCH(W$2,SP_EnvTract_DB[#Headers],0),FALSE)</f>
        <v>0</v>
      </c>
      <c r="X37" s="68">
        <f>VLOOKUP($A37,SP_EnvTract_DB[],MATCH(X$2,SP_EnvTract_DB[#Headers],0),FALSE)</f>
        <v>0</v>
      </c>
      <c r="Y37" s="80">
        <f>VLOOKUP($A37,SP_EnvTract_DB[],MATCH(Y$2,SP_EnvTract_DB[#Headers],0),FALSE)</f>
        <v>0</v>
      </c>
      <c r="Z37" s="81" t="str">
        <f>IFERROR(IF(VLOOKUP(CONCATENATE($A37,"_",Z$1),SP_,MATCH(Z$2,SP_ENV_Lib[#Headers],0),FALSE)=0,"",VLOOKUP(CONCATENATE($A37,"_",Z$1),SP_ENV_Lib[],MATCH(Z$2,SP_ACQ_Lib[#Headers],0),FALSE)),"")</f>
        <v/>
      </c>
      <c r="AA37" s="74"/>
      <c r="AB37" s="74">
        <f>IFERROR(IF(VLOOKUP(CONCATENATE($A37,"_",AB$1),SP_ENV_Lib[],MATCH(AB$2,SP_ENV_Lib[#Headers],0),FALSE)=0,"",VLOOKUP(CONCATENATE($A37,"_",AB$1),SP_ENV_Lib[],MATCH(AB$2,SP_ENV_Lib[#Headers],0),FALSE)),"")</f>
        <v>43879.735555555555</v>
      </c>
      <c r="AC37" s="74">
        <f>IFERROR(IF(VLOOKUP(CONCATENATE($A37,"_",AC$1),SP_ENV_Lib[],MATCH(AC$2,SP_ENV_Lib[#Headers],0),FALSE)=0,"",VLOOKUP(CONCATENATE($A37,"_",AC$1),SP_ENV_Lib[],MATCH(AC$2,SP_ENV_Lib[#Headers],0),FALSE)),"")</f>
        <v>43844</v>
      </c>
      <c r="AD37" s="74">
        <f>IFERROR(IF(VLOOKUP(CONCATENATE($A37,"_",AD$1),SP_ENV_Lib[],MATCH(AD$2,SP_ENV_Lib[#Headers],0),FALSE)=0,"",VLOOKUP(CONCATENATE($A37,"_",AD$1),SP_ENV_Lib[],MATCH(AD$2,SP_ENV_Lib[#Headers],0),FALSE)),"")</f>
        <v>43871</v>
      </c>
      <c r="AE37" s="74" t="str">
        <f>IFERROR(IF(VLOOKUP(CONCATENATE($A37,"_",AE$1),SP_ENV_Lib[],MATCH(AE$2,SP_ENV_Lib[#Headers],0),FALSE)=0,"",VLOOKUP(CONCATENATE($A37,"_",AE$1),SP_ENV_Lib[],MATCH(AE$2,SP_ENV_Lib[#Headers],0),FALSE)),"")</f>
        <v/>
      </c>
      <c r="AF37" s="172" t="str">
        <f>IFERROR(VLOOKUP(CONCATENATE($A37,"_",AF$1),SP_ENV_Lib[],MATCH(AF$2,SP_ENV_Lib[#Headers],0),FALSE),0)</f>
        <v>Accepted</v>
      </c>
      <c r="AG37" s="74"/>
      <c r="AH37" s="74"/>
      <c r="AI37" s="74"/>
      <c r="AJ37" s="84"/>
    </row>
    <row r="38" spans="1:36" ht="15" x14ac:dyDescent="0.2">
      <c r="A38" s="67" t="s">
        <v>2856</v>
      </c>
      <c r="B38" s="154" t="str">
        <f>LEFT(VLOOKUP($A38,SP_EnvTract_DB[],MATCH(B$2,SP_EnvTract_DB[#Headers],0),FALSE),7)</f>
        <v>R018568</v>
      </c>
      <c r="C38" s="68" t="str">
        <f>VLOOKUP($A38,SP_EnvTract_DB[],MATCH(C$2,SP_EnvTract_DB[#Headers],0),FALSE)</f>
        <v>ENV</v>
      </c>
      <c r="D38" s="156" t="str">
        <f>VLOOKUP($A38,SP_EnvTract_DB[],MATCH(D$2,SP_EnvTract_DB[#Headers],0),FALSE)</f>
        <v>HAYNES ERNESTINE EST;#126</v>
      </c>
      <c r="E38" s="156" t="str">
        <f>VLOOKUP($A38,SP_EnvTract_DB[],MATCH(E$2,SP_EnvTract_DB[#Headers],0),FALSE)</f>
        <v>306 S FORD;#126</v>
      </c>
      <c r="F38" s="69">
        <f>VLOOKUP($A38,SP_EnvTract_DB[],MATCH(F$2,SP_EnvTract_DB[#Headers],0),FALSE)</f>
        <v>0</v>
      </c>
      <c r="G38" s="73">
        <f>VLOOKUP($A38,SP_EnvTract_DB[],MATCH(G$2,SP_EnvTract_DB[#Headers],0),FALSE)</f>
        <v>0</v>
      </c>
      <c r="H38" s="73" t="str">
        <f>VLOOKUP($A38,SP_EnvTract_DB[],MATCH(H$2,SP_EnvTract_DB[#Headers],0),FALSE)</f>
        <v>Lily Khan</v>
      </c>
      <c r="I38" s="69">
        <f>VLOOKUP($A38,SP_EnvTract_DB[],MATCH(I$2,SP_EnvTract_DB[#Headers],0),FALSE)</f>
        <v>0</v>
      </c>
      <c r="J38" s="69">
        <f>VLOOKUP($A38,SP_EnvTract_DB[],MATCH(J$2,SP_EnvTract_DB[#Headers],0),FALSE)</f>
        <v>0</v>
      </c>
      <c r="K38" s="69">
        <f>VLOOKUP($A38,SP_EnvTract_DB[],MATCH(K$2,SP_EnvTract_DB[#Headers],0),FALSE)</f>
        <v>0</v>
      </c>
      <c r="L38" s="69">
        <f>VLOOKUP($A38,SP_EnvTract_DB[],MATCH(L$2,SP_EnvTract_DB[#Headers],0),FALSE)</f>
        <v>0</v>
      </c>
      <c r="M38" s="69">
        <f>VLOOKUP($A38,SP_EnvTract_DB[],MATCH(M$2,SP_EnvTract_DB[#Headers],0),FALSE)</f>
        <v>0</v>
      </c>
      <c r="N38" s="69">
        <f>VLOOKUP($A38,SP_EnvTract_DB[],MATCH(N$2,SP_EnvTract_DB[#Headers],0),FALSE)</f>
        <v>0</v>
      </c>
      <c r="O38" s="74">
        <f>VLOOKUP($A38,SP_EnvTract_DB[],MATCH(O$2,SP_EnvTract_DB[#Headers],0),FALSE)</f>
        <v>0</v>
      </c>
      <c r="P38" s="73">
        <f>VLOOKUP($A38,SP_EnvTract_DB[],MATCH(P$2,SP_EnvTract_DB[#Headers],0),FALSE)</f>
        <v>0</v>
      </c>
      <c r="Q38" s="73">
        <f>VLOOKUP($A38,SP_EnvTract_DB[],MATCH(Q$2,SP_EnvTract_DB[#Headers],0),FALSE)</f>
        <v>0</v>
      </c>
      <c r="R38" s="74">
        <f>VLOOKUP($A38,SP_EnvTract_DB[],MATCH(R$2,SP_EnvTract_DB[#Headers],0),FALSE)</f>
        <v>0</v>
      </c>
      <c r="S38" s="68">
        <f>VLOOKUP($A38,SP_EnvTract_DB[],MATCH(S$2,SP_EnvTract_DB[#Headers],0),FALSE)</f>
        <v>0</v>
      </c>
      <c r="T38" s="68">
        <f>VLOOKUP($A38,SP_EnvTract_DB[],MATCH(T$2,SP_EnvTract_DB[#Headers],0),FALSE)</f>
        <v>0</v>
      </c>
      <c r="U38" s="74">
        <f>VLOOKUP($A38,SP_EnvTract_DB[],MATCH(U$2,SP_EnvTract_DB[#Headers],0),FALSE)</f>
        <v>0</v>
      </c>
      <c r="V38" s="68">
        <f>VLOOKUP($A38,SP_EnvTract_DB[],MATCH(V$2,SP_EnvTract_DB[#Headers],0),FALSE)</f>
        <v>0</v>
      </c>
      <c r="W38" s="68">
        <f>VLOOKUP($A38,SP_EnvTract_DB[],MATCH(W$2,SP_EnvTract_DB[#Headers],0),FALSE)</f>
        <v>0</v>
      </c>
      <c r="X38" s="68">
        <f>VLOOKUP($A38,SP_EnvTract_DB[],MATCH(X$2,SP_EnvTract_DB[#Headers],0),FALSE)</f>
        <v>0</v>
      </c>
      <c r="Y38" s="80">
        <f>VLOOKUP($A38,SP_EnvTract_DB[],MATCH(Y$2,SP_EnvTract_DB[#Headers],0),FALSE)</f>
        <v>0</v>
      </c>
      <c r="Z38" s="81" t="str">
        <f>IFERROR(IF(VLOOKUP(CONCATENATE($A38,"_",Z$1),SP_,MATCH(Z$2,SP_ENV_Lib[#Headers],0),FALSE)=0,"",VLOOKUP(CONCATENATE($A38,"_",Z$1),SP_ENV_Lib[],MATCH(Z$2,SP_ACQ_Lib[#Headers],0),FALSE)),"")</f>
        <v/>
      </c>
      <c r="AA38" s="74"/>
      <c r="AB38" s="74">
        <f>IFERROR(IF(VLOOKUP(CONCATENATE($A38,"_",AB$1),SP_ENV_Lib[],MATCH(AB$2,SP_ENV_Lib[#Headers],0),FALSE)=0,"",VLOOKUP(CONCATENATE($A38,"_",AB$1),SP_ENV_Lib[],MATCH(AB$2,SP_ENV_Lib[#Headers],0),FALSE)),"")</f>
        <v>43881.670844907407</v>
      </c>
      <c r="AC38" s="74">
        <f>IFERROR(IF(VLOOKUP(CONCATENATE($A38,"_",AC$1),SP_ENV_Lib[],MATCH(AC$2,SP_ENV_Lib[#Headers],0),FALSE)=0,"",VLOOKUP(CONCATENATE($A38,"_",AC$1),SP_ENV_Lib[],MATCH(AC$2,SP_ENV_Lib[#Headers],0),FALSE)),"")</f>
        <v>43844</v>
      </c>
      <c r="AD38" s="74" t="str">
        <f>IFERROR(IF(VLOOKUP(CONCATENATE($A38,"_",AD$1),SP_ENV_Lib[],MATCH(AD$2,SP_ENV_Lib[#Headers],0),FALSE)=0,"",VLOOKUP(CONCATENATE($A38,"_",AD$1),SP_ENV_Lib[],MATCH(AD$2,SP_ENV_Lib[#Headers],0),FALSE)),"")</f>
        <v/>
      </c>
      <c r="AE38" s="74" t="str">
        <f>IFERROR(IF(VLOOKUP(CONCATENATE($A38,"_",AE$1),SP_ENV_Lib[],MATCH(AE$2,SP_ENV_Lib[#Headers],0),FALSE)=0,"",VLOOKUP(CONCATENATE($A38,"_",AE$1),SP_ENV_Lib[],MATCH(AE$2,SP_ENV_Lib[#Headers],0),FALSE)),"")</f>
        <v/>
      </c>
      <c r="AF38" s="172" t="str">
        <f>IFERROR(VLOOKUP(CONCATENATE($A38,"_",AF$1),SP_ENV_Lib[],MATCH(AF$2,SP_ENV_Lib[#Headers],0),FALSE),0)</f>
        <v>Accepted</v>
      </c>
      <c r="AG38" s="74"/>
      <c r="AH38" s="74"/>
      <c r="AI38" s="74"/>
      <c r="AJ38" s="84"/>
    </row>
    <row r="39" spans="1:36" ht="15" x14ac:dyDescent="0.2">
      <c r="A39" s="67" t="s">
        <v>2861</v>
      </c>
      <c r="B39" s="154" t="str">
        <f>LEFT(VLOOKUP($A39,SP_EnvTract_DB[],MATCH(B$2,SP_EnvTract_DB[#Headers],0),FALSE),7)</f>
        <v>R018573</v>
      </c>
      <c r="C39" s="68" t="str">
        <f>VLOOKUP($A39,SP_EnvTract_DB[],MATCH(C$2,SP_EnvTract_DB[#Headers],0),FALSE)</f>
        <v>ENV</v>
      </c>
      <c r="D39" s="156" t="str">
        <f>VLOOKUP($A39,SP_EnvTract_DB[],MATCH(D$2,SP_EnvTract_DB[#Headers],0),FALSE)</f>
        <v>HAYES JEFFERY ETUX BESSIE;#127</v>
      </c>
      <c r="E39" s="156" t="str">
        <f>VLOOKUP($A39,SP_EnvTract_DB[],MATCH(E$2,SP_EnvTract_DB[#Headers],0),FALSE)</f>
        <v>322 S FORD;#127</v>
      </c>
      <c r="F39" s="69">
        <f>VLOOKUP($A39,SP_EnvTract_DB[],MATCH(F$2,SP_EnvTract_DB[#Headers],0),FALSE)</f>
        <v>0</v>
      </c>
      <c r="G39" s="73">
        <f>VLOOKUP($A39,SP_EnvTract_DB[],MATCH(G$2,SP_EnvTract_DB[#Headers],0),FALSE)</f>
        <v>0</v>
      </c>
      <c r="H39" s="73" t="str">
        <f>VLOOKUP($A39,SP_EnvTract_DB[],MATCH(H$2,SP_EnvTract_DB[#Headers],0),FALSE)</f>
        <v>Lily Khan</v>
      </c>
      <c r="I39" s="69">
        <f>VLOOKUP($A39,SP_EnvTract_DB[],MATCH(I$2,SP_EnvTract_DB[#Headers],0),FALSE)</f>
        <v>0</v>
      </c>
      <c r="J39" s="69">
        <f>VLOOKUP($A39,SP_EnvTract_DB[],MATCH(J$2,SP_EnvTract_DB[#Headers],0),FALSE)</f>
        <v>0</v>
      </c>
      <c r="K39" s="69">
        <f>VLOOKUP($A39,SP_EnvTract_DB[],MATCH(K$2,SP_EnvTract_DB[#Headers],0),FALSE)</f>
        <v>0</v>
      </c>
      <c r="L39" s="69">
        <f>VLOOKUP($A39,SP_EnvTract_DB[],MATCH(L$2,SP_EnvTract_DB[#Headers],0),FALSE)</f>
        <v>0</v>
      </c>
      <c r="M39" s="69">
        <f>VLOOKUP($A39,SP_EnvTract_DB[],MATCH(M$2,SP_EnvTract_DB[#Headers],0),FALSE)</f>
        <v>0</v>
      </c>
      <c r="N39" s="69">
        <f>VLOOKUP($A39,SP_EnvTract_DB[],MATCH(N$2,SP_EnvTract_DB[#Headers],0),FALSE)</f>
        <v>0</v>
      </c>
      <c r="O39" s="74">
        <f>VLOOKUP($A39,SP_EnvTract_DB[],MATCH(O$2,SP_EnvTract_DB[#Headers],0),FALSE)</f>
        <v>0</v>
      </c>
      <c r="P39" s="73">
        <f>VLOOKUP($A39,SP_EnvTract_DB[],MATCH(P$2,SP_EnvTract_DB[#Headers],0),FALSE)</f>
        <v>0</v>
      </c>
      <c r="Q39" s="73">
        <f>VLOOKUP($A39,SP_EnvTract_DB[],MATCH(Q$2,SP_EnvTract_DB[#Headers],0),FALSE)</f>
        <v>0</v>
      </c>
      <c r="R39" s="74">
        <f>VLOOKUP($A39,SP_EnvTract_DB[],MATCH(R$2,SP_EnvTract_DB[#Headers],0),FALSE)</f>
        <v>0</v>
      </c>
      <c r="S39" s="68">
        <f>VLOOKUP($A39,SP_EnvTract_DB[],MATCH(S$2,SP_EnvTract_DB[#Headers],0),FALSE)</f>
        <v>0</v>
      </c>
      <c r="T39" s="68">
        <f>VLOOKUP($A39,SP_EnvTract_DB[],MATCH(T$2,SP_EnvTract_DB[#Headers],0),FALSE)</f>
        <v>0</v>
      </c>
      <c r="U39" s="74">
        <f>VLOOKUP($A39,SP_EnvTract_DB[],MATCH(U$2,SP_EnvTract_DB[#Headers],0),FALSE)</f>
        <v>0</v>
      </c>
      <c r="V39" s="68">
        <f>VLOOKUP($A39,SP_EnvTract_DB[],MATCH(V$2,SP_EnvTract_DB[#Headers],0),FALSE)</f>
        <v>0</v>
      </c>
      <c r="W39" s="68">
        <f>VLOOKUP($A39,SP_EnvTract_DB[],MATCH(W$2,SP_EnvTract_DB[#Headers],0),FALSE)</f>
        <v>0</v>
      </c>
      <c r="X39" s="68">
        <f>VLOOKUP($A39,SP_EnvTract_DB[],MATCH(X$2,SP_EnvTract_DB[#Headers],0),FALSE)</f>
        <v>0</v>
      </c>
      <c r="Y39" s="80">
        <f>VLOOKUP($A39,SP_EnvTract_DB[],MATCH(Y$2,SP_EnvTract_DB[#Headers],0),FALSE)</f>
        <v>0</v>
      </c>
      <c r="Z39" s="81" t="str">
        <f>IFERROR(IF(VLOOKUP(CONCATENATE($A39,"_",Z$1),SP_,MATCH(Z$2,SP_ENV_Lib[#Headers],0),FALSE)=0,"",VLOOKUP(CONCATENATE($A39,"_",Z$1),SP_ENV_Lib[],MATCH(Z$2,SP_ACQ_Lib[#Headers],0),FALSE)),"")</f>
        <v/>
      </c>
      <c r="AA39" s="74"/>
      <c r="AB39" s="74">
        <f>IFERROR(IF(VLOOKUP(CONCATENATE($A39,"_",AB$1),SP_ENV_Lib[],MATCH(AB$2,SP_ENV_Lib[#Headers],0),FALSE)=0,"",VLOOKUP(CONCATENATE($A39,"_",AB$1),SP_ENV_Lib[],MATCH(AB$2,SP_ENV_Lib[#Headers],0),FALSE)),"")</f>
        <v>43879.735567129632</v>
      </c>
      <c r="AC39" s="74">
        <f>IFERROR(IF(VLOOKUP(CONCATENATE($A39,"_",AC$1),SP_ENV_Lib[],MATCH(AC$2,SP_ENV_Lib[#Headers],0),FALSE)=0,"",VLOOKUP(CONCATENATE($A39,"_",AC$1),SP_ENV_Lib[],MATCH(AC$2,SP_ENV_Lib[#Headers],0),FALSE)),"")</f>
        <v>43844</v>
      </c>
      <c r="AD39" s="74">
        <f>IFERROR(IF(VLOOKUP(CONCATENATE($A39,"_",AD$1),SP_ENV_Lib[],MATCH(AD$2,SP_ENV_Lib[#Headers],0),FALSE)=0,"",VLOOKUP(CONCATENATE($A39,"_",AD$1),SP_ENV_Lib[],MATCH(AD$2,SP_ENV_Lib[#Headers],0),FALSE)),"")</f>
        <v>43920</v>
      </c>
      <c r="AE39" s="74" t="str">
        <f>IFERROR(IF(VLOOKUP(CONCATENATE($A39,"_",AE$1),SP_ENV_Lib[],MATCH(AE$2,SP_ENV_Lib[#Headers],0),FALSE)=0,"",VLOOKUP(CONCATENATE($A39,"_",AE$1),SP_ENV_Lib[],MATCH(AE$2,SP_ENV_Lib[#Headers],0),FALSE)),"")</f>
        <v/>
      </c>
      <c r="AF39" s="172" t="str">
        <f>IFERROR(VLOOKUP(CONCATENATE($A39,"_",AF$1),SP_ENV_Lib[],MATCH(AF$2,SP_ENV_Lib[#Headers],0),FALSE),0)</f>
        <v>Accepted</v>
      </c>
      <c r="AG39" s="74"/>
      <c r="AH39" s="74"/>
      <c r="AI39" s="74"/>
      <c r="AJ39" s="84"/>
    </row>
    <row r="40" spans="1:36" ht="15" x14ac:dyDescent="0.2">
      <c r="A40" s="67" t="s">
        <v>2866</v>
      </c>
      <c r="B40" s="154" t="str">
        <f>LEFT(VLOOKUP($A40,SP_EnvTract_DB[],MATCH(B$2,SP_EnvTract_DB[#Headers],0),FALSE),7)</f>
        <v>R018574</v>
      </c>
      <c r="C40" s="68" t="str">
        <f>VLOOKUP($A40,SP_EnvTract_DB[],MATCH(C$2,SP_EnvTract_DB[#Headers],0),FALSE)</f>
        <v>ENV</v>
      </c>
      <c r="D40" s="156" t="str">
        <f>VLOOKUP($A40,SP_EnvTract_DB[],MATCH(D$2,SP_EnvTract_DB[#Headers],0),FALSE)</f>
        <v>HAYES BESSIE J;#128</v>
      </c>
      <c r="E40" s="156" t="str">
        <f>VLOOKUP($A40,SP_EnvTract_DB[],MATCH(E$2,SP_EnvTract_DB[#Headers],0),FALSE)</f>
        <v>404 S FORD;#128</v>
      </c>
      <c r="F40" s="69">
        <f>VLOOKUP($A40,SP_EnvTract_DB[],MATCH(F$2,SP_EnvTract_DB[#Headers],0),FALSE)</f>
        <v>0</v>
      </c>
      <c r="G40" s="73">
        <f>VLOOKUP($A40,SP_EnvTract_DB[],MATCH(G$2,SP_EnvTract_DB[#Headers],0),FALSE)</f>
        <v>0</v>
      </c>
      <c r="H40" s="73" t="str">
        <f>VLOOKUP($A40,SP_EnvTract_DB[],MATCH(H$2,SP_EnvTract_DB[#Headers],0),FALSE)</f>
        <v>Lily Khan</v>
      </c>
      <c r="I40" s="69">
        <f>VLOOKUP($A40,SP_EnvTract_DB[],MATCH(I$2,SP_EnvTract_DB[#Headers],0),FALSE)</f>
        <v>0</v>
      </c>
      <c r="J40" s="69">
        <f>VLOOKUP($A40,SP_EnvTract_DB[],MATCH(J$2,SP_EnvTract_DB[#Headers],0),FALSE)</f>
        <v>0</v>
      </c>
      <c r="K40" s="69">
        <f>VLOOKUP($A40,SP_EnvTract_DB[],MATCH(K$2,SP_EnvTract_DB[#Headers],0),FALSE)</f>
        <v>0</v>
      </c>
      <c r="L40" s="69">
        <f>VLOOKUP($A40,SP_EnvTract_DB[],MATCH(L$2,SP_EnvTract_DB[#Headers],0),FALSE)</f>
        <v>0</v>
      </c>
      <c r="M40" s="69">
        <f>VLOOKUP($A40,SP_EnvTract_DB[],MATCH(M$2,SP_EnvTract_DB[#Headers],0),FALSE)</f>
        <v>0</v>
      </c>
      <c r="N40" s="69">
        <f>VLOOKUP($A40,SP_EnvTract_DB[],MATCH(N$2,SP_EnvTract_DB[#Headers],0),FALSE)</f>
        <v>0</v>
      </c>
      <c r="O40" s="74">
        <f>VLOOKUP($A40,SP_EnvTract_DB[],MATCH(O$2,SP_EnvTract_DB[#Headers],0),FALSE)</f>
        <v>0</v>
      </c>
      <c r="P40" s="73">
        <f>VLOOKUP($A40,SP_EnvTract_DB[],MATCH(P$2,SP_EnvTract_DB[#Headers],0),FALSE)</f>
        <v>0</v>
      </c>
      <c r="Q40" s="73">
        <f>VLOOKUP($A40,SP_EnvTract_DB[],MATCH(Q$2,SP_EnvTract_DB[#Headers],0),FALSE)</f>
        <v>0</v>
      </c>
      <c r="R40" s="74">
        <f>VLOOKUP($A40,SP_EnvTract_DB[],MATCH(R$2,SP_EnvTract_DB[#Headers],0),FALSE)</f>
        <v>0</v>
      </c>
      <c r="S40" s="68">
        <f>VLOOKUP($A40,SP_EnvTract_DB[],MATCH(S$2,SP_EnvTract_DB[#Headers],0),FALSE)</f>
        <v>0</v>
      </c>
      <c r="T40" s="68">
        <f>VLOOKUP($A40,SP_EnvTract_DB[],MATCH(T$2,SP_EnvTract_DB[#Headers],0),FALSE)</f>
        <v>0</v>
      </c>
      <c r="U40" s="74">
        <f>VLOOKUP($A40,SP_EnvTract_DB[],MATCH(U$2,SP_EnvTract_DB[#Headers],0),FALSE)</f>
        <v>0</v>
      </c>
      <c r="V40" s="68">
        <f>VLOOKUP($A40,SP_EnvTract_DB[],MATCH(V$2,SP_EnvTract_DB[#Headers],0),FALSE)</f>
        <v>0</v>
      </c>
      <c r="W40" s="68">
        <f>VLOOKUP($A40,SP_EnvTract_DB[],MATCH(W$2,SP_EnvTract_DB[#Headers],0),FALSE)</f>
        <v>0</v>
      </c>
      <c r="X40" s="68">
        <f>VLOOKUP($A40,SP_EnvTract_DB[],MATCH(X$2,SP_EnvTract_DB[#Headers],0),FALSE)</f>
        <v>0</v>
      </c>
      <c r="Y40" s="80">
        <f>VLOOKUP($A40,SP_EnvTract_DB[],MATCH(Y$2,SP_EnvTract_DB[#Headers],0),FALSE)</f>
        <v>0</v>
      </c>
      <c r="Z40" s="81" t="str">
        <f>IFERROR(IF(VLOOKUP(CONCATENATE($A40,"_",Z$1),SP_,MATCH(Z$2,SP_ENV_Lib[#Headers],0),FALSE)=0,"",VLOOKUP(CONCATENATE($A40,"_",Z$1),SP_ENV_Lib[],MATCH(Z$2,SP_ACQ_Lib[#Headers],0),FALSE)),"")</f>
        <v/>
      </c>
      <c r="AA40" s="74"/>
      <c r="AB40" s="74">
        <f>IFERROR(IF(VLOOKUP(CONCATENATE($A40,"_",AB$1),SP_ENV_Lib[],MATCH(AB$2,SP_ENV_Lib[#Headers],0),FALSE)=0,"",VLOOKUP(CONCATENATE($A40,"_",AB$1),SP_ENV_Lib[],MATCH(AB$2,SP_ENV_Lib[#Headers],0),FALSE)),"")</f>
        <v>43879.735567129632</v>
      </c>
      <c r="AC40" s="74">
        <f>IFERROR(IF(VLOOKUP(CONCATENATE($A40,"_",AC$1),SP_ENV_Lib[],MATCH(AC$2,SP_ENV_Lib[#Headers],0),FALSE)=0,"",VLOOKUP(CONCATENATE($A40,"_",AC$1),SP_ENV_Lib[],MATCH(AC$2,SP_ENV_Lib[#Headers],0),FALSE)),"")</f>
        <v>43844</v>
      </c>
      <c r="AD40" s="74">
        <f>IFERROR(IF(VLOOKUP(CONCATENATE($A40,"_",AD$1),SP_ENV_Lib[],MATCH(AD$2,SP_ENV_Lib[#Headers],0),FALSE)=0,"",VLOOKUP(CONCATENATE($A40,"_",AD$1),SP_ENV_Lib[],MATCH(AD$2,SP_ENV_Lib[#Headers],0),FALSE)),"")</f>
        <v>43920</v>
      </c>
      <c r="AE40" s="74" t="str">
        <f>IFERROR(IF(VLOOKUP(CONCATENATE($A40,"_",AE$1),SP_ENV_Lib[],MATCH(AE$2,SP_ENV_Lib[#Headers],0),FALSE)=0,"",VLOOKUP(CONCATENATE($A40,"_",AE$1),SP_ENV_Lib[],MATCH(AE$2,SP_ENV_Lib[#Headers],0),FALSE)),"")</f>
        <v/>
      </c>
      <c r="AF40" s="172" t="str">
        <f>IFERROR(VLOOKUP(CONCATENATE($A40,"_",AF$1),SP_ENV_Lib[],MATCH(AF$2,SP_ENV_Lib[#Headers],0),FALSE),0)</f>
        <v>Accepted</v>
      </c>
      <c r="AG40" s="74"/>
      <c r="AH40" s="74"/>
      <c r="AI40" s="74"/>
      <c r="AJ40" s="84"/>
    </row>
    <row r="41" spans="1:36" ht="15" x14ac:dyDescent="0.2">
      <c r="A41" s="67" t="s">
        <v>2871</v>
      </c>
      <c r="B41" s="154" t="str">
        <f>LEFT(VLOOKUP($A41,SP_EnvTract_DB[],MATCH(B$2,SP_EnvTract_DB[#Headers],0),FALSE),7)</f>
        <v>R018576</v>
      </c>
      <c r="C41" s="68" t="str">
        <f>VLOOKUP($A41,SP_EnvTract_DB[],MATCH(C$2,SP_EnvTract_DB[#Headers],0),FALSE)</f>
        <v>ENV</v>
      </c>
      <c r="D41" s="156" t="str">
        <f>VLOOKUP($A41,SP_EnvTract_DB[],MATCH(D$2,SP_EnvTract_DB[#Headers],0),FALSE)</f>
        <v>RODRIGUEZ JULIA R;#129</v>
      </c>
      <c r="E41" s="156" t="str">
        <f>VLOOKUP($A41,SP_EnvTract_DB[],MATCH(E$2,SP_EnvTract_DB[#Headers],0),FALSE)</f>
        <v>408 S FORD;#129</v>
      </c>
      <c r="F41" s="69">
        <f>VLOOKUP($A41,SP_EnvTract_DB[],MATCH(F$2,SP_EnvTract_DB[#Headers],0),FALSE)</f>
        <v>0</v>
      </c>
      <c r="G41" s="73">
        <f>VLOOKUP($A41,SP_EnvTract_DB[],MATCH(G$2,SP_EnvTract_DB[#Headers],0),FALSE)</f>
        <v>0</v>
      </c>
      <c r="H41" s="73" t="str">
        <f>VLOOKUP($A41,SP_EnvTract_DB[],MATCH(H$2,SP_EnvTract_DB[#Headers],0),FALSE)</f>
        <v>Lily Khan</v>
      </c>
      <c r="I41" s="69">
        <f>VLOOKUP($A41,SP_EnvTract_DB[],MATCH(I$2,SP_EnvTract_DB[#Headers],0),FALSE)</f>
        <v>0</v>
      </c>
      <c r="J41" s="69">
        <f>VLOOKUP($A41,SP_EnvTract_DB[],MATCH(J$2,SP_EnvTract_DB[#Headers],0),FALSE)</f>
        <v>0</v>
      </c>
      <c r="K41" s="69">
        <f>VLOOKUP($A41,SP_EnvTract_DB[],MATCH(K$2,SP_EnvTract_DB[#Headers],0),FALSE)</f>
        <v>0</v>
      </c>
      <c r="L41" s="69">
        <f>VLOOKUP($A41,SP_EnvTract_DB[],MATCH(L$2,SP_EnvTract_DB[#Headers],0),FALSE)</f>
        <v>0</v>
      </c>
      <c r="M41" s="69">
        <f>VLOOKUP($A41,SP_EnvTract_DB[],MATCH(M$2,SP_EnvTract_DB[#Headers],0),FALSE)</f>
        <v>0</v>
      </c>
      <c r="N41" s="69">
        <f>VLOOKUP($A41,SP_EnvTract_DB[],MATCH(N$2,SP_EnvTract_DB[#Headers],0),FALSE)</f>
        <v>0</v>
      </c>
      <c r="O41" s="74">
        <f>VLOOKUP($A41,SP_EnvTract_DB[],MATCH(O$2,SP_EnvTract_DB[#Headers],0),FALSE)</f>
        <v>0</v>
      </c>
      <c r="P41" s="73">
        <f>VLOOKUP($A41,SP_EnvTract_DB[],MATCH(P$2,SP_EnvTract_DB[#Headers],0),FALSE)</f>
        <v>0</v>
      </c>
      <c r="Q41" s="73">
        <f>VLOOKUP($A41,SP_EnvTract_DB[],MATCH(Q$2,SP_EnvTract_DB[#Headers],0),FALSE)</f>
        <v>0</v>
      </c>
      <c r="R41" s="74">
        <f>VLOOKUP($A41,SP_EnvTract_DB[],MATCH(R$2,SP_EnvTract_DB[#Headers],0),FALSE)</f>
        <v>0</v>
      </c>
      <c r="S41" s="68">
        <f>VLOOKUP($A41,SP_EnvTract_DB[],MATCH(S$2,SP_EnvTract_DB[#Headers],0),FALSE)</f>
        <v>0</v>
      </c>
      <c r="T41" s="68">
        <f>VLOOKUP($A41,SP_EnvTract_DB[],MATCH(T$2,SP_EnvTract_DB[#Headers],0),FALSE)</f>
        <v>0</v>
      </c>
      <c r="U41" s="74">
        <f>VLOOKUP($A41,SP_EnvTract_DB[],MATCH(U$2,SP_EnvTract_DB[#Headers],0),FALSE)</f>
        <v>0</v>
      </c>
      <c r="V41" s="68">
        <f>VLOOKUP($A41,SP_EnvTract_DB[],MATCH(V$2,SP_EnvTract_DB[#Headers],0),FALSE)</f>
        <v>0</v>
      </c>
      <c r="W41" s="68">
        <f>VLOOKUP($A41,SP_EnvTract_DB[],MATCH(W$2,SP_EnvTract_DB[#Headers],0),FALSE)</f>
        <v>0</v>
      </c>
      <c r="X41" s="68">
        <f>VLOOKUP($A41,SP_EnvTract_DB[],MATCH(X$2,SP_EnvTract_DB[#Headers],0),FALSE)</f>
        <v>0</v>
      </c>
      <c r="Y41" s="80">
        <f>VLOOKUP($A41,SP_EnvTract_DB[],MATCH(Y$2,SP_EnvTract_DB[#Headers],0),FALSE)</f>
        <v>0</v>
      </c>
      <c r="Z41" s="81" t="str">
        <f>IFERROR(IF(VLOOKUP(CONCATENATE($A41,"_",Z$1),SP_,MATCH(Z$2,SP_ENV_Lib[#Headers],0),FALSE)=0,"",VLOOKUP(CONCATENATE($A41,"_",Z$1),SP_ENV_Lib[],MATCH(Z$2,SP_ACQ_Lib[#Headers],0),FALSE)),"")</f>
        <v/>
      </c>
      <c r="AA41" s="74"/>
      <c r="AB41" s="74">
        <f>IFERROR(IF(VLOOKUP(CONCATENATE($A41,"_",AB$1),SP_ENV_Lib[],MATCH(AB$2,SP_ENV_Lib[#Headers],0),FALSE)=0,"",VLOOKUP(CONCATENATE($A41,"_",AB$1),SP_ENV_Lib[],MATCH(AB$2,SP_ENV_Lib[#Headers],0),FALSE)),"")</f>
        <v>43879.735567129632</v>
      </c>
      <c r="AC41" s="74">
        <f>IFERROR(IF(VLOOKUP(CONCATENATE($A41,"_",AC$1),SP_ENV_Lib[],MATCH(AC$2,SP_ENV_Lib[#Headers],0),FALSE)=0,"",VLOOKUP(CONCATENATE($A41,"_",AC$1),SP_ENV_Lib[],MATCH(AC$2,SP_ENV_Lib[#Headers],0),FALSE)),"")</f>
        <v>43844</v>
      </c>
      <c r="AD41" s="74">
        <f>IFERROR(IF(VLOOKUP(CONCATENATE($A41,"_",AD$1),SP_ENV_Lib[],MATCH(AD$2,SP_ENV_Lib[#Headers],0),FALSE)=0,"",VLOOKUP(CONCATENATE($A41,"_",AD$1),SP_ENV_Lib[],MATCH(AD$2,SP_ENV_Lib[#Headers],0),FALSE)),"")</f>
        <v>43852</v>
      </c>
      <c r="AE41" s="74" t="str">
        <f>IFERROR(IF(VLOOKUP(CONCATENATE($A41,"_",AE$1),SP_ENV_Lib[],MATCH(AE$2,SP_ENV_Lib[#Headers],0),FALSE)=0,"",VLOOKUP(CONCATENATE($A41,"_",AE$1),SP_ENV_Lib[],MATCH(AE$2,SP_ENV_Lib[#Headers],0),FALSE)),"")</f>
        <v/>
      </c>
      <c r="AF41" s="172" t="str">
        <f>IFERROR(VLOOKUP(CONCATENATE($A41,"_",AF$1),SP_ENV_Lib[],MATCH(AF$2,SP_ENV_Lib[#Headers],0),FALSE),0)</f>
        <v>Accepted</v>
      </c>
      <c r="AG41" s="74"/>
      <c r="AH41" s="74"/>
      <c r="AI41" s="74"/>
      <c r="AJ41" s="84"/>
    </row>
    <row r="42" spans="1:36" ht="15" x14ac:dyDescent="0.2">
      <c r="A42" s="67" t="s">
        <v>2876</v>
      </c>
      <c r="B42" s="154" t="str">
        <f>LEFT(VLOOKUP($A42,SP_EnvTract_DB[],MATCH(B$2,SP_EnvTract_DB[#Headers],0),FALSE),7)</f>
        <v>R018577</v>
      </c>
      <c r="C42" s="68" t="str">
        <f>VLOOKUP($A42,SP_EnvTract_DB[],MATCH(C$2,SP_EnvTract_DB[#Headers],0),FALSE)</f>
        <v>ENV</v>
      </c>
      <c r="D42" s="156" t="str">
        <f>VLOOKUP($A42,SP_EnvTract_DB[],MATCH(D$2,SP_EnvTract_DB[#Headers],0),FALSE)</f>
        <v>LLANES JUANITA;#130</v>
      </c>
      <c r="E42" s="156" t="str">
        <f>VLOOKUP($A42,SP_EnvTract_DB[],MATCH(E$2,SP_EnvTract_DB[#Headers],0),FALSE)</f>
        <v>500 S FORD;#130</v>
      </c>
      <c r="F42" s="69">
        <f>VLOOKUP($A42,SP_EnvTract_DB[],MATCH(F$2,SP_EnvTract_DB[#Headers],0),FALSE)</f>
        <v>0</v>
      </c>
      <c r="G42" s="73">
        <f>VLOOKUP($A42,SP_EnvTract_DB[],MATCH(G$2,SP_EnvTract_DB[#Headers],0),FALSE)</f>
        <v>0</v>
      </c>
      <c r="H42" s="73" t="str">
        <f>VLOOKUP($A42,SP_EnvTract_DB[],MATCH(H$2,SP_EnvTract_DB[#Headers],0),FALSE)</f>
        <v>Lily Khan</v>
      </c>
      <c r="I42" s="69">
        <f>VLOOKUP($A42,SP_EnvTract_DB[],MATCH(I$2,SP_EnvTract_DB[#Headers],0),FALSE)</f>
        <v>0</v>
      </c>
      <c r="J42" s="69">
        <f>VLOOKUP($A42,SP_EnvTract_DB[],MATCH(J$2,SP_EnvTract_DB[#Headers],0),FALSE)</f>
        <v>0</v>
      </c>
      <c r="K42" s="69">
        <f>VLOOKUP($A42,SP_EnvTract_DB[],MATCH(K$2,SP_EnvTract_DB[#Headers],0),FALSE)</f>
        <v>0</v>
      </c>
      <c r="L42" s="69">
        <f>VLOOKUP($A42,SP_EnvTract_DB[],MATCH(L$2,SP_EnvTract_DB[#Headers],0),FALSE)</f>
        <v>0</v>
      </c>
      <c r="M42" s="69">
        <f>VLOOKUP($A42,SP_EnvTract_DB[],MATCH(M$2,SP_EnvTract_DB[#Headers],0),FALSE)</f>
        <v>0</v>
      </c>
      <c r="N42" s="69">
        <f>VLOOKUP($A42,SP_EnvTract_DB[],MATCH(N$2,SP_EnvTract_DB[#Headers],0),FALSE)</f>
        <v>0</v>
      </c>
      <c r="O42" s="74">
        <f>VLOOKUP($A42,SP_EnvTract_DB[],MATCH(O$2,SP_EnvTract_DB[#Headers],0),FALSE)</f>
        <v>0</v>
      </c>
      <c r="P42" s="73">
        <f>VLOOKUP($A42,SP_EnvTract_DB[],MATCH(P$2,SP_EnvTract_DB[#Headers],0),FALSE)</f>
        <v>0</v>
      </c>
      <c r="Q42" s="73">
        <f>VLOOKUP($A42,SP_EnvTract_DB[],MATCH(Q$2,SP_EnvTract_DB[#Headers],0),FALSE)</f>
        <v>0</v>
      </c>
      <c r="R42" s="74">
        <f>VLOOKUP($A42,SP_EnvTract_DB[],MATCH(R$2,SP_EnvTract_DB[#Headers],0),FALSE)</f>
        <v>0</v>
      </c>
      <c r="S42" s="68">
        <f>VLOOKUP($A42,SP_EnvTract_DB[],MATCH(S$2,SP_EnvTract_DB[#Headers],0),FALSE)</f>
        <v>0</v>
      </c>
      <c r="T42" s="68">
        <f>VLOOKUP($A42,SP_EnvTract_DB[],MATCH(T$2,SP_EnvTract_DB[#Headers],0),FALSE)</f>
        <v>0</v>
      </c>
      <c r="U42" s="74">
        <f>VLOOKUP($A42,SP_EnvTract_DB[],MATCH(U$2,SP_EnvTract_DB[#Headers],0),FALSE)</f>
        <v>0</v>
      </c>
      <c r="V42" s="68">
        <f>VLOOKUP($A42,SP_EnvTract_DB[],MATCH(V$2,SP_EnvTract_DB[#Headers],0),FALSE)</f>
        <v>0</v>
      </c>
      <c r="W42" s="68">
        <f>VLOOKUP($A42,SP_EnvTract_DB[],MATCH(W$2,SP_EnvTract_DB[#Headers],0),FALSE)</f>
        <v>0</v>
      </c>
      <c r="X42" s="68">
        <f>VLOOKUP($A42,SP_EnvTract_DB[],MATCH(X$2,SP_EnvTract_DB[#Headers],0),FALSE)</f>
        <v>0</v>
      </c>
      <c r="Y42" s="80">
        <f>VLOOKUP($A42,SP_EnvTract_DB[],MATCH(Y$2,SP_EnvTract_DB[#Headers],0),FALSE)</f>
        <v>0</v>
      </c>
      <c r="Z42" s="81" t="str">
        <f>IFERROR(IF(VLOOKUP(CONCATENATE($A42,"_",Z$1),SP_,MATCH(Z$2,SP_ENV_Lib[#Headers],0),FALSE)=0,"",VLOOKUP(CONCATENATE($A42,"_",Z$1),SP_ENV_Lib[],MATCH(Z$2,SP_ACQ_Lib[#Headers],0),FALSE)),"")</f>
        <v/>
      </c>
      <c r="AA42" s="74"/>
      <c r="AB42" s="74">
        <f>IFERROR(IF(VLOOKUP(CONCATENATE($A42,"_",AB$1),SP_ENV_Lib[],MATCH(AB$2,SP_ENV_Lib[#Headers],0),FALSE)=0,"",VLOOKUP(CONCATENATE($A42,"_",AB$1),SP_ENV_Lib[],MATCH(AB$2,SP_ENV_Lib[#Headers],0),FALSE)),"")</f>
        <v>43879.735567129632</v>
      </c>
      <c r="AC42" s="74">
        <f>IFERROR(IF(VLOOKUP(CONCATENATE($A42,"_",AC$1),SP_ENV_Lib[],MATCH(AC$2,SP_ENV_Lib[#Headers],0),FALSE)=0,"",VLOOKUP(CONCATENATE($A42,"_",AC$1),SP_ENV_Lib[],MATCH(AC$2,SP_ENV_Lib[#Headers],0),FALSE)),"")</f>
        <v>43844</v>
      </c>
      <c r="AD42" s="74">
        <f>IFERROR(IF(VLOOKUP(CONCATENATE($A42,"_",AD$1),SP_ENV_Lib[],MATCH(AD$2,SP_ENV_Lib[#Headers],0),FALSE)=0,"",VLOOKUP(CONCATENATE($A42,"_",AD$1),SP_ENV_Lib[],MATCH(AD$2,SP_ENV_Lib[#Headers],0),FALSE)),"")</f>
        <v>43852</v>
      </c>
      <c r="AE42" s="74" t="str">
        <f>IFERROR(IF(VLOOKUP(CONCATENATE($A42,"_",AE$1),SP_ENV_Lib[],MATCH(AE$2,SP_ENV_Lib[#Headers],0),FALSE)=0,"",VLOOKUP(CONCATENATE($A42,"_",AE$1),SP_ENV_Lib[],MATCH(AE$2,SP_ENV_Lib[#Headers],0),FALSE)),"")</f>
        <v/>
      </c>
      <c r="AF42" s="172" t="str">
        <f>IFERROR(VLOOKUP(CONCATENATE($A42,"_",AF$1),SP_ENV_Lib[],MATCH(AF$2,SP_ENV_Lib[#Headers],0),FALSE),0)</f>
        <v>Accepted</v>
      </c>
      <c r="AG42" s="74"/>
      <c r="AH42" s="74"/>
      <c r="AI42" s="74"/>
      <c r="AJ42" s="84"/>
    </row>
    <row r="43" spans="1:36" ht="15" x14ac:dyDescent="0.2">
      <c r="A43" s="67" t="s">
        <v>2881</v>
      </c>
      <c r="B43" s="154" t="str">
        <f>LEFT(VLOOKUP($A43,SP_EnvTract_DB[],MATCH(B$2,SP_EnvTract_DB[#Headers],0),FALSE),7)</f>
        <v>R018578</v>
      </c>
      <c r="C43" s="68" t="str">
        <f>VLOOKUP($A43,SP_EnvTract_DB[],MATCH(C$2,SP_EnvTract_DB[#Headers],0),FALSE)</f>
        <v>ENV</v>
      </c>
      <c r="D43" s="156" t="str">
        <f>VLOOKUP($A43,SP_EnvTract_DB[],MATCH(D$2,SP_EnvTract_DB[#Headers],0),FALSE)</f>
        <v>NUNEZ ELIDA;#131</v>
      </c>
      <c r="E43" s="156" t="str">
        <f>VLOOKUP($A43,SP_EnvTract_DB[],MATCH(E$2,SP_EnvTract_DB[#Headers],0),FALSE)</f>
        <v>302 S FORD;#131</v>
      </c>
      <c r="F43" s="69">
        <f>VLOOKUP($A43,SP_EnvTract_DB[],MATCH(F$2,SP_EnvTract_DB[#Headers],0),FALSE)</f>
        <v>0</v>
      </c>
      <c r="G43" s="73">
        <f>VLOOKUP($A43,SP_EnvTract_DB[],MATCH(G$2,SP_EnvTract_DB[#Headers],0),FALSE)</f>
        <v>0</v>
      </c>
      <c r="H43" s="73" t="str">
        <f>VLOOKUP($A43,SP_EnvTract_DB[],MATCH(H$2,SP_EnvTract_DB[#Headers],0),FALSE)</f>
        <v>Lily Khan</v>
      </c>
      <c r="I43" s="69">
        <f>VLOOKUP($A43,SP_EnvTract_DB[],MATCH(I$2,SP_EnvTract_DB[#Headers],0),FALSE)</f>
        <v>0</v>
      </c>
      <c r="J43" s="69">
        <f>VLOOKUP($A43,SP_EnvTract_DB[],MATCH(J$2,SP_EnvTract_DB[#Headers],0),FALSE)</f>
        <v>0</v>
      </c>
      <c r="K43" s="69">
        <f>VLOOKUP($A43,SP_EnvTract_DB[],MATCH(K$2,SP_EnvTract_DB[#Headers],0),FALSE)</f>
        <v>0</v>
      </c>
      <c r="L43" s="69">
        <f>VLOOKUP($A43,SP_EnvTract_DB[],MATCH(L$2,SP_EnvTract_DB[#Headers],0),FALSE)</f>
        <v>0</v>
      </c>
      <c r="M43" s="69">
        <f>VLOOKUP($A43,SP_EnvTract_DB[],MATCH(M$2,SP_EnvTract_DB[#Headers],0),FALSE)</f>
        <v>0</v>
      </c>
      <c r="N43" s="69">
        <f>VLOOKUP($A43,SP_EnvTract_DB[],MATCH(N$2,SP_EnvTract_DB[#Headers],0),FALSE)</f>
        <v>0</v>
      </c>
      <c r="O43" s="74">
        <f>VLOOKUP($A43,SP_EnvTract_DB[],MATCH(O$2,SP_EnvTract_DB[#Headers],0),FALSE)</f>
        <v>0</v>
      </c>
      <c r="P43" s="73">
        <f>VLOOKUP($A43,SP_EnvTract_DB[],MATCH(P$2,SP_EnvTract_DB[#Headers],0),FALSE)</f>
        <v>0</v>
      </c>
      <c r="Q43" s="73">
        <f>VLOOKUP($A43,SP_EnvTract_DB[],MATCH(Q$2,SP_EnvTract_DB[#Headers],0),FALSE)</f>
        <v>0</v>
      </c>
      <c r="R43" s="74">
        <f>VLOOKUP($A43,SP_EnvTract_DB[],MATCH(R$2,SP_EnvTract_DB[#Headers],0),FALSE)</f>
        <v>0</v>
      </c>
      <c r="S43" s="68">
        <f>VLOOKUP($A43,SP_EnvTract_DB[],MATCH(S$2,SP_EnvTract_DB[#Headers],0),FALSE)</f>
        <v>0</v>
      </c>
      <c r="T43" s="68">
        <f>VLOOKUP($A43,SP_EnvTract_DB[],MATCH(T$2,SP_EnvTract_DB[#Headers],0),FALSE)</f>
        <v>0</v>
      </c>
      <c r="U43" s="74">
        <f>VLOOKUP($A43,SP_EnvTract_DB[],MATCH(U$2,SP_EnvTract_DB[#Headers],0),FALSE)</f>
        <v>0</v>
      </c>
      <c r="V43" s="68">
        <f>VLOOKUP($A43,SP_EnvTract_DB[],MATCH(V$2,SP_EnvTract_DB[#Headers],0),FALSE)</f>
        <v>0</v>
      </c>
      <c r="W43" s="68">
        <f>VLOOKUP($A43,SP_EnvTract_DB[],MATCH(W$2,SP_EnvTract_DB[#Headers],0),FALSE)</f>
        <v>0</v>
      </c>
      <c r="X43" s="68">
        <f>VLOOKUP($A43,SP_EnvTract_DB[],MATCH(X$2,SP_EnvTract_DB[#Headers],0),FALSE)</f>
        <v>0</v>
      </c>
      <c r="Y43" s="80">
        <f>VLOOKUP($A43,SP_EnvTract_DB[],MATCH(Y$2,SP_EnvTract_DB[#Headers],0),FALSE)</f>
        <v>0</v>
      </c>
      <c r="Z43" s="81" t="str">
        <f>IFERROR(IF(VLOOKUP(CONCATENATE($A43,"_",Z$1),SP_,MATCH(Z$2,SP_ENV_Lib[#Headers],0),FALSE)=0,"",VLOOKUP(CONCATENATE($A43,"_",Z$1),SP_ENV_Lib[],MATCH(Z$2,SP_ACQ_Lib[#Headers],0),FALSE)),"")</f>
        <v/>
      </c>
      <c r="AA43" s="74"/>
      <c r="AB43" s="74">
        <f>IFERROR(IF(VLOOKUP(CONCATENATE($A43,"_",AB$1),SP_ENV_Lib[],MATCH(AB$2,SP_ENV_Lib[#Headers],0),FALSE)=0,"",VLOOKUP(CONCATENATE($A43,"_",AB$1),SP_ENV_Lib[],MATCH(AB$2,SP_ENV_Lib[#Headers],0),FALSE)),"")</f>
        <v>43879.735567129632</v>
      </c>
      <c r="AC43" s="74">
        <f>IFERROR(IF(VLOOKUP(CONCATENATE($A43,"_",AC$1),SP_ENV_Lib[],MATCH(AC$2,SP_ENV_Lib[#Headers],0),FALSE)=0,"",VLOOKUP(CONCATENATE($A43,"_",AC$1),SP_ENV_Lib[],MATCH(AC$2,SP_ENV_Lib[#Headers],0),FALSE)),"")</f>
        <v>43844</v>
      </c>
      <c r="AD43" s="74">
        <f>IFERROR(IF(VLOOKUP(CONCATENATE($A43,"_",AD$1),SP_ENV_Lib[],MATCH(AD$2,SP_ENV_Lib[#Headers],0),FALSE)=0,"",VLOOKUP(CONCATENATE($A43,"_",AD$1),SP_ENV_Lib[],MATCH(AD$2,SP_ENV_Lib[#Headers],0),FALSE)),"")</f>
        <v>43852</v>
      </c>
      <c r="AE43" s="74" t="str">
        <f>IFERROR(IF(VLOOKUP(CONCATENATE($A43,"_",AE$1),SP_ENV_Lib[],MATCH(AE$2,SP_ENV_Lib[#Headers],0),FALSE)=0,"",VLOOKUP(CONCATENATE($A43,"_",AE$1),SP_ENV_Lib[],MATCH(AE$2,SP_ENV_Lib[#Headers],0),FALSE)),"")</f>
        <v/>
      </c>
      <c r="AF43" s="172" t="str">
        <f>IFERROR(VLOOKUP(CONCATENATE($A43,"_",AF$1),SP_ENV_Lib[],MATCH(AF$2,SP_ENV_Lib[#Headers],0),FALSE),0)</f>
        <v>Accepted</v>
      </c>
      <c r="AG43" s="74"/>
      <c r="AH43" s="74"/>
      <c r="AI43" s="74"/>
      <c r="AJ43" s="84"/>
    </row>
    <row r="44" spans="1:36" ht="15" x14ac:dyDescent="0.2">
      <c r="A44" s="67" t="s">
        <v>2886</v>
      </c>
      <c r="B44" s="154" t="str">
        <f>LEFT(VLOOKUP($A44,SP_EnvTract_DB[],MATCH(B$2,SP_EnvTract_DB[#Headers],0),FALSE),7)</f>
        <v>R018579</v>
      </c>
      <c r="C44" s="68" t="str">
        <f>VLOOKUP($A44,SP_EnvTract_DB[],MATCH(C$2,SP_EnvTract_DB[#Headers],0),FALSE)</f>
        <v>ENV</v>
      </c>
      <c r="D44" s="156" t="str">
        <f>VLOOKUP($A44,SP_EnvTract_DB[],MATCH(D$2,SP_EnvTract_DB[#Headers],0),FALSE)</f>
        <v>RIVERA ERNEST &amp; ELIDA;#132</v>
      </c>
      <c r="E44" s="156" t="str">
        <f>VLOOKUP($A44,SP_EnvTract_DB[],MATCH(E$2,SP_EnvTract_DB[#Headers],0),FALSE)</f>
        <v>502 S FORD;#132</v>
      </c>
      <c r="F44" s="69">
        <f>VLOOKUP($A44,SP_EnvTract_DB[],MATCH(F$2,SP_EnvTract_DB[#Headers],0),FALSE)</f>
        <v>0</v>
      </c>
      <c r="G44" s="73">
        <f>VLOOKUP($A44,SP_EnvTract_DB[],MATCH(G$2,SP_EnvTract_DB[#Headers],0),FALSE)</f>
        <v>0</v>
      </c>
      <c r="H44" s="73" t="str">
        <f>VLOOKUP($A44,SP_EnvTract_DB[],MATCH(H$2,SP_EnvTract_DB[#Headers],0),FALSE)</f>
        <v>Lily Khan</v>
      </c>
      <c r="I44" s="69">
        <f>VLOOKUP($A44,SP_EnvTract_DB[],MATCH(I$2,SP_EnvTract_DB[#Headers],0),FALSE)</f>
        <v>0</v>
      </c>
      <c r="J44" s="69">
        <f>VLOOKUP($A44,SP_EnvTract_DB[],MATCH(J$2,SP_EnvTract_DB[#Headers],0),FALSE)</f>
        <v>0</v>
      </c>
      <c r="K44" s="69">
        <f>VLOOKUP($A44,SP_EnvTract_DB[],MATCH(K$2,SP_EnvTract_DB[#Headers],0),FALSE)</f>
        <v>0</v>
      </c>
      <c r="L44" s="69">
        <f>VLOOKUP($A44,SP_EnvTract_DB[],MATCH(L$2,SP_EnvTract_DB[#Headers],0),FALSE)</f>
        <v>0</v>
      </c>
      <c r="M44" s="69">
        <f>VLOOKUP($A44,SP_EnvTract_DB[],MATCH(M$2,SP_EnvTract_DB[#Headers],0),FALSE)</f>
        <v>0</v>
      </c>
      <c r="N44" s="69">
        <f>VLOOKUP($A44,SP_EnvTract_DB[],MATCH(N$2,SP_EnvTract_DB[#Headers],0),FALSE)</f>
        <v>0</v>
      </c>
      <c r="O44" s="74">
        <f>VLOOKUP($A44,SP_EnvTract_DB[],MATCH(O$2,SP_EnvTract_DB[#Headers],0),FALSE)</f>
        <v>0</v>
      </c>
      <c r="P44" s="73">
        <f>VLOOKUP($A44,SP_EnvTract_DB[],MATCH(P$2,SP_EnvTract_DB[#Headers],0),FALSE)</f>
        <v>0</v>
      </c>
      <c r="Q44" s="73">
        <f>VLOOKUP($A44,SP_EnvTract_DB[],MATCH(Q$2,SP_EnvTract_DB[#Headers],0),FALSE)</f>
        <v>0</v>
      </c>
      <c r="R44" s="74">
        <f>VLOOKUP($A44,SP_EnvTract_DB[],MATCH(R$2,SP_EnvTract_DB[#Headers],0),FALSE)</f>
        <v>0</v>
      </c>
      <c r="S44" s="68">
        <f>VLOOKUP($A44,SP_EnvTract_DB[],MATCH(S$2,SP_EnvTract_DB[#Headers],0),FALSE)</f>
        <v>0</v>
      </c>
      <c r="T44" s="68">
        <f>VLOOKUP($A44,SP_EnvTract_DB[],MATCH(T$2,SP_EnvTract_DB[#Headers],0),FALSE)</f>
        <v>0</v>
      </c>
      <c r="U44" s="74">
        <f>VLOOKUP($A44,SP_EnvTract_DB[],MATCH(U$2,SP_EnvTract_DB[#Headers],0),FALSE)</f>
        <v>0</v>
      </c>
      <c r="V44" s="68">
        <f>VLOOKUP($A44,SP_EnvTract_DB[],MATCH(V$2,SP_EnvTract_DB[#Headers],0),FALSE)</f>
        <v>0</v>
      </c>
      <c r="W44" s="68">
        <f>VLOOKUP($A44,SP_EnvTract_DB[],MATCH(W$2,SP_EnvTract_DB[#Headers],0),FALSE)</f>
        <v>0</v>
      </c>
      <c r="X44" s="68">
        <f>VLOOKUP($A44,SP_EnvTract_DB[],MATCH(X$2,SP_EnvTract_DB[#Headers],0),FALSE)</f>
        <v>0</v>
      </c>
      <c r="Y44" s="80">
        <f>VLOOKUP($A44,SP_EnvTract_DB[],MATCH(Y$2,SP_EnvTract_DB[#Headers],0),FALSE)</f>
        <v>0</v>
      </c>
      <c r="Z44" s="81" t="str">
        <f>IFERROR(IF(VLOOKUP(CONCATENATE($A44,"_",Z$1),SP_,MATCH(Z$2,SP_ENV_Lib[#Headers],0),FALSE)=0,"",VLOOKUP(CONCATENATE($A44,"_",Z$1),SP_ENV_Lib[],MATCH(Z$2,SP_ACQ_Lib[#Headers],0),FALSE)),"")</f>
        <v/>
      </c>
      <c r="AA44" s="74"/>
      <c r="AB44" s="74">
        <f>IFERROR(IF(VLOOKUP(CONCATENATE($A44,"_",AB$1),SP_ENV_Lib[],MATCH(AB$2,SP_ENV_Lib[#Headers],0),FALSE)=0,"",VLOOKUP(CONCATENATE($A44,"_",AB$1),SP_ENV_Lib[],MATCH(AB$2,SP_ENV_Lib[#Headers],0),FALSE)),"")</f>
        <v>43879.735567129632</v>
      </c>
      <c r="AC44" s="74">
        <f>IFERROR(IF(VLOOKUP(CONCATENATE($A44,"_",AC$1),SP_ENV_Lib[],MATCH(AC$2,SP_ENV_Lib[#Headers],0),FALSE)=0,"",VLOOKUP(CONCATENATE($A44,"_",AC$1),SP_ENV_Lib[],MATCH(AC$2,SP_ENV_Lib[#Headers],0),FALSE)),"")</f>
        <v>43845</v>
      </c>
      <c r="AD44" s="74">
        <f>IFERROR(IF(VLOOKUP(CONCATENATE($A44,"_",AD$1),SP_ENV_Lib[],MATCH(AD$2,SP_ENV_Lib[#Headers],0),FALSE)=0,"",VLOOKUP(CONCATENATE($A44,"_",AD$1),SP_ENV_Lib[],MATCH(AD$2,SP_ENV_Lib[#Headers],0),FALSE)),"")</f>
        <v>43852</v>
      </c>
      <c r="AE44" s="74" t="str">
        <f>IFERROR(IF(VLOOKUP(CONCATENATE($A44,"_",AE$1),SP_ENV_Lib[],MATCH(AE$2,SP_ENV_Lib[#Headers],0),FALSE)=0,"",VLOOKUP(CONCATENATE($A44,"_",AE$1),SP_ENV_Lib[],MATCH(AE$2,SP_ENV_Lib[#Headers],0),FALSE)),"")</f>
        <v/>
      </c>
      <c r="AF44" s="172" t="str">
        <f>IFERROR(VLOOKUP(CONCATENATE($A44,"_",AF$1),SP_ENV_Lib[],MATCH(AF$2,SP_ENV_Lib[#Headers],0),FALSE),0)</f>
        <v>Accepted</v>
      </c>
      <c r="AG44" s="74"/>
      <c r="AH44" s="74"/>
      <c r="AI44" s="74"/>
      <c r="AJ44" s="84"/>
    </row>
    <row r="45" spans="1:36" ht="15" x14ac:dyDescent="0.2">
      <c r="A45" s="67" t="s">
        <v>2891</v>
      </c>
      <c r="B45" s="154" t="str">
        <f>LEFT(VLOOKUP($A45,SP_EnvTract_DB[],MATCH(B$2,SP_EnvTract_DB[#Headers],0),FALSE),7)</f>
        <v>R018580</v>
      </c>
      <c r="C45" s="68" t="str">
        <f>VLOOKUP($A45,SP_EnvTract_DB[],MATCH(C$2,SP_EnvTract_DB[#Headers],0),FALSE)</f>
        <v>ENV</v>
      </c>
      <c r="D45" s="156" t="str">
        <f>VLOOKUP($A45,SP_EnvTract_DB[],MATCH(D$2,SP_EnvTract_DB[#Headers],0),FALSE)</f>
        <v>RIVERA RAUL;#133</v>
      </c>
      <c r="E45" s="156" t="str">
        <f>VLOOKUP($A45,SP_EnvTract_DB[],MATCH(E$2,SP_EnvTract_DB[#Headers],0),FALSE)</f>
        <v>504 S FORD;#133</v>
      </c>
      <c r="F45" s="69">
        <f>VLOOKUP($A45,SP_EnvTract_DB[],MATCH(F$2,SP_EnvTract_DB[#Headers],0),FALSE)</f>
        <v>0</v>
      </c>
      <c r="G45" s="73">
        <f>VLOOKUP($A45,SP_EnvTract_DB[],MATCH(G$2,SP_EnvTract_DB[#Headers],0),FALSE)</f>
        <v>0</v>
      </c>
      <c r="H45" s="73" t="str">
        <f>VLOOKUP($A45,SP_EnvTract_DB[],MATCH(H$2,SP_EnvTract_DB[#Headers],0),FALSE)</f>
        <v>Lily Khan</v>
      </c>
      <c r="I45" s="69">
        <f>VLOOKUP($A45,SP_EnvTract_DB[],MATCH(I$2,SP_EnvTract_DB[#Headers],0),FALSE)</f>
        <v>0</v>
      </c>
      <c r="J45" s="69">
        <f>VLOOKUP($A45,SP_EnvTract_DB[],MATCH(J$2,SP_EnvTract_DB[#Headers],0),FALSE)</f>
        <v>0</v>
      </c>
      <c r="K45" s="69">
        <f>VLOOKUP($A45,SP_EnvTract_DB[],MATCH(K$2,SP_EnvTract_DB[#Headers],0),FALSE)</f>
        <v>0</v>
      </c>
      <c r="L45" s="69">
        <f>VLOOKUP($A45,SP_EnvTract_DB[],MATCH(L$2,SP_EnvTract_DB[#Headers],0),FALSE)</f>
        <v>0</v>
      </c>
      <c r="M45" s="69">
        <f>VLOOKUP($A45,SP_EnvTract_DB[],MATCH(M$2,SP_EnvTract_DB[#Headers],0),FALSE)</f>
        <v>0</v>
      </c>
      <c r="N45" s="69">
        <f>VLOOKUP($A45,SP_EnvTract_DB[],MATCH(N$2,SP_EnvTract_DB[#Headers],0),FALSE)</f>
        <v>0</v>
      </c>
      <c r="O45" s="74">
        <f>VLOOKUP($A45,SP_EnvTract_DB[],MATCH(O$2,SP_EnvTract_DB[#Headers],0),FALSE)</f>
        <v>0</v>
      </c>
      <c r="P45" s="73">
        <f>VLOOKUP($A45,SP_EnvTract_DB[],MATCH(P$2,SP_EnvTract_DB[#Headers],0),FALSE)</f>
        <v>0</v>
      </c>
      <c r="Q45" s="73">
        <f>VLOOKUP($A45,SP_EnvTract_DB[],MATCH(Q$2,SP_EnvTract_DB[#Headers],0),FALSE)</f>
        <v>0</v>
      </c>
      <c r="R45" s="74">
        <f>VLOOKUP($A45,SP_EnvTract_DB[],MATCH(R$2,SP_EnvTract_DB[#Headers],0),FALSE)</f>
        <v>0</v>
      </c>
      <c r="S45" s="68">
        <f>VLOOKUP($A45,SP_EnvTract_DB[],MATCH(S$2,SP_EnvTract_DB[#Headers],0),FALSE)</f>
        <v>0</v>
      </c>
      <c r="T45" s="68">
        <f>VLOOKUP($A45,SP_EnvTract_DB[],MATCH(T$2,SP_EnvTract_DB[#Headers],0),FALSE)</f>
        <v>0</v>
      </c>
      <c r="U45" s="74">
        <f>VLOOKUP($A45,SP_EnvTract_DB[],MATCH(U$2,SP_EnvTract_DB[#Headers],0),FALSE)</f>
        <v>0</v>
      </c>
      <c r="V45" s="68">
        <f>VLOOKUP($A45,SP_EnvTract_DB[],MATCH(V$2,SP_EnvTract_DB[#Headers],0),FALSE)</f>
        <v>0</v>
      </c>
      <c r="W45" s="68">
        <f>VLOOKUP($A45,SP_EnvTract_DB[],MATCH(W$2,SP_EnvTract_DB[#Headers],0),FALSE)</f>
        <v>0</v>
      </c>
      <c r="X45" s="68">
        <f>VLOOKUP($A45,SP_EnvTract_DB[],MATCH(X$2,SP_EnvTract_DB[#Headers],0),FALSE)</f>
        <v>0</v>
      </c>
      <c r="Y45" s="80">
        <f>VLOOKUP($A45,SP_EnvTract_DB[],MATCH(Y$2,SP_EnvTract_DB[#Headers],0),FALSE)</f>
        <v>0</v>
      </c>
      <c r="Z45" s="81" t="str">
        <f>IFERROR(IF(VLOOKUP(CONCATENATE($A45,"_",Z$1),SP_,MATCH(Z$2,SP_ENV_Lib[#Headers],0),FALSE)=0,"",VLOOKUP(CONCATENATE($A45,"_",Z$1),SP_ENV_Lib[],MATCH(Z$2,SP_ACQ_Lib[#Headers],0),FALSE)),"")</f>
        <v/>
      </c>
      <c r="AA45" s="74"/>
      <c r="AB45" s="74">
        <f>IFERROR(IF(VLOOKUP(CONCATENATE($A45,"_",AB$1),SP_ENV_Lib[],MATCH(AB$2,SP_ENV_Lib[#Headers],0),FALSE)=0,"",VLOOKUP(CONCATENATE($A45,"_",AB$1),SP_ENV_Lib[],MATCH(AB$2,SP_ENV_Lib[#Headers],0),FALSE)),"")</f>
        <v>43879.735567129632</v>
      </c>
      <c r="AC45" s="74">
        <f>IFERROR(IF(VLOOKUP(CONCATENATE($A45,"_",AC$1),SP_ENV_Lib[],MATCH(AC$2,SP_ENV_Lib[#Headers],0),FALSE)=0,"",VLOOKUP(CONCATENATE($A45,"_",AC$1),SP_ENV_Lib[],MATCH(AC$2,SP_ENV_Lib[#Headers],0),FALSE)),"")</f>
        <v>43845</v>
      </c>
      <c r="AD45" s="74">
        <f>IFERROR(IF(VLOOKUP(CONCATENATE($A45,"_",AD$1),SP_ENV_Lib[],MATCH(AD$2,SP_ENV_Lib[#Headers],0),FALSE)=0,"",VLOOKUP(CONCATENATE($A45,"_",AD$1),SP_ENV_Lib[],MATCH(AD$2,SP_ENV_Lib[#Headers],0),FALSE)),"")</f>
        <v>43852</v>
      </c>
      <c r="AE45" s="74" t="str">
        <f>IFERROR(IF(VLOOKUP(CONCATENATE($A45,"_",AE$1),SP_ENV_Lib[],MATCH(AE$2,SP_ENV_Lib[#Headers],0),FALSE)=0,"",VLOOKUP(CONCATENATE($A45,"_",AE$1),SP_ENV_Lib[],MATCH(AE$2,SP_ENV_Lib[#Headers],0),FALSE)),"")</f>
        <v/>
      </c>
      <c r="AF45" s="172" t="str">
        <f>IFERROR(VLOOKUP(CONCATENATE($A45,"_",AF$1),SP_ENV_Lib[],MATCH(AF$2,SP_ENV_Lib[#Headers],0),FALSE),0)</f>
        <v>Accepted</v>
      </c>
      <c r="AG45" s="74"/>
      <c r="AH45" s="74"/>
      <c r="AI45" s="74"/>
      <c r="AJ45" s="84"/>
    </row>
    <row r="46" spans="1:36" ht="15" x14ac:dyDescent="0.2">
      <c r="A46" s="67" t="s">
        <v>2896</v>
      </c>
      <c r="B46" s="154" t="str">
        <f>LEFT(VLOOKUP($A46,SP_EnvTract_DB[],MATCH(B$2,SP_EnvTract_DB[#Headers],0),FALSE),7)</f>
        <v>R018581</v>
      </c>
      <c r="C46" s="68" t="str">
        <f>VLOOKUP($A46,SP_EnvTract_DB[],MATCH(C$2,SP_EnvTract_DB[#Headers],0),FALSE)</f>
        <v>ENV</v>
      </c>
      <c r="D46" s="156" t="str">
        <f>VLOOKUP($A46,SP_EnvTract_DB[],MATCH(D$2,SP_EnvTract_DB[#Headers],0),FALSE)</f>
        <v>ANDERSON VELMA L ESTATE;#134</v>
      </c>
      <c r="E46" s="156" t="str">
        <f>VLOOKUP($A46,SP_EnvTract_DB[],MATCH(E$2,SP_EnvTract_DB[#Headers],0),FALSE)</f>
        <v>510 S FORD;#134</v>
      </c>
      <c r="F46" s="69">
        <f>VLOOKUP($A46,SP_EnvTract_DB[],MATCH(F$2,SP_EnvTract_DB[#Headers],0),FALSE)</f>
        <v>0</v>
      </c>
      <c r="G46" s="73">
        <f>VLOOKUP($A46,SP_EnvTract_DB[],MATCH(G$2,SP_EnvTract_DB[#Headers],0),FALSE)</f>
        <v>0</v>
      </c>
      <c r="H46" s="73" t="str">
        <f>VLOOKUP($A46,SP_EnvTract_DB[],MATCH(H$2,SP_EnvTract_DB[#Headers],0),FALSE)</f>
        <v>Lily Khan</v>
      </c>
      <c r="I46" s="69">
        <f>VLOOKUP($A46,SP_EnvTract_DB[],MATCH(I$2,SP_EnvTract_DB[#Headers],0),FALSE)</f>
        <v>0</v>
      </c>
      <c r="J46" s="69">
        <f>VLOOKUP($A46,SP_EnvTract_DB[],MATCH(J$2,SP_EnvTract_DB[#Headers],0),FALSE)</f>
        <v>0</v>
      </c>
      <c r="K46" s="69">
        <f>VLOOKUP($A46,SP_EnvTract_DB[],MATCH(K$2,SP_EnvTract_DB[#Headers],0),FALSE)</f>
        <v>0</v>
      </c>
      <c r="L46" s="69">
        <f>VLOOKUP($A46,SP_EnvTract_DB[],MATCH(L$2,SP_EnvTract_DB[#Headers],0),FALSE)</f>
        <v>0</v>
      </c>
      <c r="M46" s="69">
        <f>VLOOKUP($A46,SP_EnvTract_DB[],MATCH(M$2,SP_EnvTract_DB[#Headers],0),FALSE)</f>
        <v>0</v>
      </c>
      <c r="N46" s="69">
        <f>VLOOKUP($A46,SP_EnvTract_DB[],MATCH(N$2,SP_EnvTract_DB[#Headers],0),FALSE)</f>
        <v>0</v>
      </c>
      <c r="O46" s="74">
        <f>VLOOKUP($A46,SP_EnvTract_DB[],MATCH(O$2,SP_EnvTract_DB[#Headers],0),FALSE)</f>
        <v>0</v>
      </c>
      <c r="P46" s="73">
        <f>VLOOKUP($A46,SP_EnvTract_DB[],MATCH(P$2,SP_EnvTract_DB[#Headers],0),FALSE)</f>
        <v>0</v>
      </c>
      <c r="Q46" s="73">
        <f>VLOOKUP($A46,SP_EnvTract_DB[],MATCH(Q$2,SP_EnvTract_DB[#Headers],0),FALSE)</f>
        <v>0</v>
      </c>
      <c r="R46" s="74">
        <f>VLOOKUP($A46,SP_EnvTract_DB[],MATCH(R$2,SP_EnvTract_DB[#Headers],0),FALSE)</f>
        <v>0</v>
      </c>
      <c r="S46" s="68">
        <f>VLOOKUP($A46,SP_EnvTract_DB[],MATCH(S$2,SP_EnvTract_DB[#Headers],0),FALSE)</f>
        <v>0</v>
      </c>
      <c r="T46" s="68">
        <f>VLOOKUP($A46,SP_EnvTract_DB[],MATCH(T$2,SP_EnvTract_DB[#Headers],0),FALSE)</f>
        <v>0</v>
      </c>
      <c r="U46" s="74">
        <f>VLOOKUP($A46,SP_EnvTract_DB[],MATCH(U$2,SP_EnvTract_DB[#Headers],0),FALSE)</f>
        <v>0</v>
      </c>
      <c r="V46" s="68">
        <f>VLOOKUP($A46,SP_EnvTract_DB[],MATCH(V$2,SP_EnvTract_DB[#Headers],0),FALSE)</f>
        <v>0</v>
      </c>
      <c r="W46" s="68">
        <f>VLOOKUP($A46,SP_EnvTract_DB[],MATCH(W$2,SP_EnvTract_DB[#Headers],0),FALSE)</f>
        <v>0</v>
      </c>
      <c r="X46" s="68">
        <f>VLOOKUP($A46,SP_EnvTract_DB[],MATCH(X$2,SP_EnvTract_DB[#Headers],0),FALSE)</f>
        <v>0</v>
      </c>
      <c r="Y46" s="80">
        <f>VLOOKUP($A46,SP_EnvTract_DB[],MATCH(Y$2,SP_EnvTract_DB[#Headers],0),FALSE)</f>
        <v>0</v>
      </c>
      <c r="Z46" s="81" t="str">
        <f>IFERROR(IF(VLOOKUP(CONCATENATE($A46,"_",Z$1),SP_,MATCH(Z$2,SP_ENV_Lib[#Headers],0),FALSE)=0,"",VLOOKUP(CONCATENATE($A46,"_",Z$1),SP_ENV_Lib[],MATCH(Z$2,SP_ACQ_Lib[#Headers],0),FALSE)),"")</f>
        <v/>
      </c>
      <c r="AA46" s="74"/>
      <c r="AB46" s="74">
        <f>IFERROR(IF(VLOOKUP(CONCATENATE($A46,"_",AB$1),SP_ENV_Lib[],MATCH(AB$2,SP_ENV_Lib[#Headers],0),FALSE)=0,"",VLOOKUP(CONCATENATE($A46,"_",AB$1),SP_ENV_Lib[],MATCH(AB$2,SP_ENV_Lib[#Headers],0),FALSE)),"")</f>
        <v>43893.497581018521</v>
      </c>
      <c r="AC46" s="74">
        <f>IFERROR(IF(VLOOKUP(CONCATENATE($A46,"_",AC$1),SP_ENV_Lib[],MATCH(AC$2,SP_ENV_Lib[#Headers],0),FALSE)=0,"",VLOOKUP(CONCATENATE($A46,"_",AC$1),SP_ENV_Lib[],MATCH(AC$2,SP_ENV_Lib[#Headers],0),FALSE)),"")</f>
        <v>43845</v>
      </c>
      <c r="AD46" s="74">
        <f>IFERROR(IF(VLOOKUP(CONCATENATE($A46,"_",AD$1),SP_ENV_Lib[],MATCH(AD$2,SP_ENV_Lib[#Headers],0),FALSE)=0,"",VLOOKUP(CONCATENATE($A46,"_",AD$1),SP_ENV_Lib[],MATCH(AD$2,SP_ENV_Lib[#Headers],0),FALSE)),"")</f>
        <v>43899</v>
      </c>
      <c r="AE46" s="74" t="str">
        <f>IFERROR(IF(VLOOKUP(CONCATENATE($A46,"_",AE$1),SP_ENV_Lib[],MATCH(AE$2,SP_ENV_Lib[#Headers],0),FALSE)=0,"",VLOOKUP(CONCATENATE($A46,"_",AE$1),SP_ENV_Lib[],MATCH(AE$2,SP_ENV_Lib[#Headers],0),FALSE)),"")</f>
        <v/>
      </c>
      <c r="AF46" s="172" t="str">
        <f>IFERROR(VLOOKUP(CONCATENATE($A46,"_",AF$1),SP_ENV_Lib[],MATCH(AF$2,SP_ENV_Lib[#Headers],0),FALSE),0)</f>
        <v>Accepted</v>
      </c>
      <c r="AG46" s="74"/>
      <c r="AH46" s="74"/>
      <c r="AI46" s="74"/>
      <c r="AJ46" s="84"/>
    </row>
    <row r="47" spans="1:36" ht="15" x14ac:dyDescent="0.2">
      <c r="A47" s="67" t="s">
        <v>2901</v>
      </c>
      <c r="B47" s="154" t="str">
        <f>LEFT(VLOOKUP($A47,SP_EnvTract_DB[],MATCH(B$2,SP_EnvTract_DB[#Headers],0),FALSE),7)</f>
        <v>R018582</v>
      </c>
      <c r="C47" s="68" t="str">
        <f>VLOOKUP($A47,SP_EnvTract_DB[],MATCH(C$2,SP_EnvTract_DB[#Headers],0),FALSE)</f>
        <v>ENV</v>
      </c>
      <c r="D47" s="156" t="str">
        <f>VLOOKUP($A47,SP_EnvTract_DB[],MATCH(D$2,SP_EnvTract_DB[#Headers],0),FALSE)</f>
        <v>JC RENTALS LLC;#135</v>
      </c>
      <c r="E47" s="156" t="str">
        <f>VLOOKUP($A47,SP_EnvTract_DB[],MATCH(E$2,SP_EnvTract_DB[#Headers],0),FALSE)</f>
        <v>516 S FORD;#135</v>
      </c>
      <c r="F47" s="69">
        <f>VLOOKUP($A47,SP_EnvTract_DB[],MATCH(F$2,SP_EnvTract_DB[#Headers],0),FALSE)</f>
        <v>0</v>
      </c>
      <c r="G47" s="73">
        <f>VLOOKUP($A47,SP_EnvTract_DB[],MATCH(G$2,SP_EnvTract_DB[#Headers],0),FALSE)</f>
        <v>0</v>
      </c>
      <c r="H47" s="73" t="str">
        <f>VLOOKUP($A47,SP_EnvTract_DB[],MATCH(H$2,SP_EnvTract_DB[#Headers],0),FALSE)</f>
        <v>Lily Khan</v>
      </c>
      <c r="I47" s="69">
        <f>VLOOKUP($A47,SP_EnvTract_DB[],MATCH(I$2,SP_EnvTract_DB[#Headers],0),FALSE)</f>
        <v>0</v>
      </c>
      <c r="J47" s="69">
        <f>VLOOKUP($A47,SP_EnvTract_DB[],MATCH(J$2,SP_EnvTract_DB[#Headers],0),FALSE)</f>
        <v>0</v>
      </c>
      <c r="K47" s="69">
        <f>VLOOKUP($A47,SP_EnvTract_DB[],MATCH(K$2,SP_EnvTract_DB[#Headers],0),FALSE)</f>
        <v>0</v>
      </c>
      <c r="L47" s="69">
        <f>VLOOKUP($A47,SP_EnvTract_DB[],MATCH(L$2,SP_EnvTract_DB[#Headers],0),FALSE)</f>
        <v>0</v>
      </c>
      <c r="M47" s="69">
        <f>VLOOKUP($A47,SP_EnvTract_DB[],MATCH(M$2,SP_EnvTract_DB[#Headers],0),FALSE)</f>
        <v>0</v>
      </c>
      <c r="N47" s="69">
        <f>VLOOKUP($A47,SP_EnvTract_DB[],MATCH(N$2,SP_EnvTract_DB[#Headers],0),FALSE)</f>
        <v>0</v>
      </c>
      <c r="O47" s="74">
        <f>VLOOKUP($A47,SP_EnvTract_DB[],MATCH(O$2,SP_EnvTract_DB[#Headers],0),FALSE)</f>
        <v>0</v>
      </c>
      <c r="P47" s="73">
        <f>VLOOKUP($A47,SP_EnvTract_DB[],MATCH(P$2,SP_EnvTract_DB[#Headers],0),FALSE)</f>
        <v>0</v>
      </c>
      <c r="Q47" s="73">
        <f>VLOOKUP($A47,SP_EnvTract_DB[],MATCH(Q$2,SP_EnvTract_DB[#Headers],0),FALSE)</f>
        <v>0</v>
      </c>
      <c r="R47" s="74">
        <f>VLOOKUP($A47,SP_EnvTract_DB[],MATCH(R$2,SP_EnvTract_DB[#Headers],0),FALSE)</f>
        <v>0</v>
      </c>
      <c r="S47" s="68">
        <f>VLOOKUP($A47,SP_EnvTract_DB[],MATCH(S$2,SP_EnvTract_DB[#Headers],0),FALSE)</f>
        <v>0</v>
      </c>
      <c r="T47" s="68">
        <f>VLOOKUP($A47,SP_EnvTract_DB[],MATCH(T$2,SP_EnvTract_DB[#Headers],0),FALSE)</f>
        <v>0</v>
      </c>
      <c r="U47" s="74">
        <f>VLOOKUP($A47,SP_EnvTract_DB[],MATCH(U$2,SP_EnvTract_DB[#Headers],0),FALSE)</f>
        <v>0</v>
      </c>
      <c r="V47" s="68">
        <f>VLOOKUP($A47,SP_EnvTract_DB[],MATCH(V$2,SP_EnvTract_DB[#Headers],0),FALSE)</f>
        <v>0</v>
      </c>
      <c r="W47" s="68">
        <f>VLOOKUP($A47,SP_EnvTract_DB[],MATCH(W$2,SP_EnvTract_DB[#Headers],0),FALSE)</f>
        <v>0</v>
      </c>
      <c r="X47" s="68">
        <f>VLOOKUP($A47,SP_EnvTract_DB[],MATCH(X$2,SP_EnvTract_DB[#Headers],0),FALSE)</f>
        <v>0</v>
      </c>
      <c r="Y47" s="80">
        <f>VLOOKUP($A47,SP_EnvTract_DB[],MATCH(Y$2,SP_EnvTract_DB[#Headers],0),FALSE)</f>
        <v>0</v>
      </c>
      <c r="Z47" s="81" t="str">
        <f>IFERROR(IF(VLOOKUP(CONCATENATE($A47,"_",Z$1),SP_,MATCH(Z$2,SP_ENV_Lib[#Headers],0),FALSE)=0,"",VLOOKUP(CONCATENATE($A47,"_",Z$1),SP_ENV_Lib[],MATCH(Z$2,SP_ACQ_Lib[#Headers],0),FALSE)),"")</f>
        <v/>
      </c>
      <c r="AA47" s="74"/>
      <c r="AB47" s="74">
        <f>IFERROR(IF(VLOOKUP(CONCATENATE($A47,"_",AB$1),SP_ENV_Lib[],MATCH(AB$2,SP_ENV_Lib[#Headers],0),FALSE)=0,"",VLOOKUP(CONCATENATE($A47,"_",AB$1),SP_ENV_Lib[],MATCH(AB$2,SP_ENV_Lib[#Headers],0),FALSE)),"")</f>
        <v>43888.443611111114</v>
      </c>
      <c r="AC47" s="74">
        <f>IFERROR(IF(VLOOKUP(CONCATENATE($A47,"_",AC$1),SP_ENV_Lib[],MATCH(AC$2,SP_ENV_Lib[#Headers],0),FALSE)=0,"",VLOOKUP(CONCATENATE($A47,"_",AC$1),SP_ENV_Lib[],MATCH(AC$2,SP_ENV_Lib[#Headers],0),FALSE)),"")</f>
        <v>43845</v>
      </c>
      <c r="AD47" s="74">
        <f>IFERROR(IF(VLOOKUP(CONCATENATE($A47,"_",AD$1),SP_ENV_Lib[],MATCH(AD$2,SP_ENV_Lib[#Headers],0),FALSE)=0,"",VLOOKUP(CONCATENATE($A47,"_",AD$1),SP_ENV_Lib[],MATCH(AD$2,SP_ENV_Lib[#Headers],0),FALSE)),"")</f>
        <v>43900</v>
      </c>
      <c r="AE47" s="74" t="str">
        <f>IFERROR(IF(VLOOKUP(CONCATENATE($A47,"_",AE$1),SP_ENV_Lib[],MATCH(AE$2,SP_ENV_Lib[#Headers],0),FALSE)=0,"",VLOOKUP(CONCATENATE($A47,"_",AE$1),SP_ENV_Lib[],MATCH(AE$2,SP_ENV_Lib[#Headers],0),FALSE)),"")</f>
        <v/>
      </c>
      <c r="AF47" s="172" t="str">
        <f>IFERROR(VLOOKUP(CONCATENATE($A47,"_",AF$1),SP_ENV_Lib[],MATCH(AF$2,SP_ENV_Lib[#Headers],0),FALSE),0)</f>
        <v>Accepted</v>
      </c>
      <c r="AG47" s="74"/>
      <c r="AH47" s="74"/>
      <c r="AI47" s="74"/>
      <c r="AJ47" s="84"/>
    </row>
    <row r="48" spans="1:36" ht="15" x14ac:dyDescent="0.2">
      <c r="A48" s="67" t="s">
        <v>2906</v>
      </c>
      <c r="B48" s="154" t="str">
        <f>LEFT(VLOOKUP($A48,SP_EnvTract_DB[],MATCH(B$2,SP_EnvTract_DB[#Headers],0),FALSE),7)</f>
        <v>R018583</v>
      </c>
      <c r="C48" s="68" t="str">
        <f>VLOOKUP($A48,SP_EnvTract_DB[],MATCH(C$2,SP_EnvTract_DB[#Headers],0),FALSE)</f>
        <v>ENV</v>
      </c>
      <c r="D48" s="156" t="str">
        <f>VLOOKUP($A48,SP_EnvTract_DB[],MATCH(D$2,SP_EnvTract_DB[#Headers],0),FALSE)</f>
        <v>RIVERA RAUL;#136</v>
      </c>
      <c r="E48" s="156" t="str">
        <f>VLOOKUP($A48,SP_EnvTract_DB[],MATCH(E$2,SP_EnvTract_DB[#Headers],0),FALSE)</f>
        <v>520 S FORD;#136</v>
      </c>
      <c r="F48" s="69">
        <f>VLOOKUP($A48,SP_EnvTract_DB[],MATCH(F$2,SP_EnvTract_DB[#Headers],0),FALSE)</f>
        <v>0</v>
      </c>
      <c r="G48" s="73">
        <f>VLOOKUP($A48,SP_EnvTract_DB[],MATCH(G$2,SP_EnvTract_DB[#Headers],0),FALSE)</f>
        <v>0</v>
      </c>
      <c r="H48" s="73" t="str">
        <f>VLOOKUP($A48,SP_EnvTract_DB[],MATCH(H$2,SP_EnvTract_DB[#Headers],0),FALSE)</f>
        <v>Lily Khan</v>
      </c>
      <c r="I48" s="69">
        <f>VLOOKUP($A48,SP_EnvTract_DB[],MATCH(I$2,SP_EnvTract_DB[#Headers],0),FALSE)</f>
        <v>0</v>
      </c>
      <c r="J48" s="69">
        <f>VLOOKUP($A48,SP_EnvTract_DB[],MATCH(J$2,SP_EnvTract_DB[#Headers],0),FALSE)</f>
        <v>0</v>
      </c>
      <c r="K48" s="69">
        <f>VLOOKUP($A48,SP_EnvTract_DB[],MATCH(K$2,SP_EnvTract_DB[#Headers],0),FALSE)</f>
        <v>0</v>
      </c>
      <c r="L48" s="69">
        <f>VLOOKUP($A48,SP_EnvTract_DB[],MATCH(L$2,SP_EnvTract_DB[#Headers],0),FALSE)</f>
        <v>0</v>
      </c>
      <c r="M48" s="69">
        <f>VLOOKUP($A48,SP_EnvTract_DB[],MATCH(M$2,SP_EnvTract_DB[#Headers],0),FALSE)</f>
        <v>0</v>
      </c>
      <c r="N48" s="69">
        <f>VLOOKUP($A48,SP_EnvTract_DB[],MATCH(N$2,SP_EnvTract_DB[#Headers],0),FALSE)</f>
        <v>0</v>
      </c>
      <c r="O48" s="74">
        <f>VLOOKUP($A48,SP_EnvTract_DB[],MATCH(O$2,SP_EnvTract_DB[#Headers],0),FALSE)</f>
        <v>0</v>
      </c>
      <c r="P48" s="73">
        <f>VLOOKUP($A48,SP_EnvTract_DB[],MATCH(P$2,SP_EnvTract_DB[#Headers],0),FALSE)</f>
        <v>0</v>
      </c>
      <c r="Q48" s="73">
        <f>VLOOKUP($A48,SP_EnvTract_DB[],MATCH(Q$2,SP_EnvTract_DB[#Headers],0),FALSE)</f>
        <v>0</v>
      </c>
      <c r="R48" s="74">
        <f>VLOOKUP($A48,SP_EnvTract_DB[],MATCH(R$2,SP_EnvTract_DB[#Headers],0),FALSE)</f>
        <v>0</v>
      </c>
      <c r="S48" s="68">
        <f>VLOOKUP($A48,SP_EnvTract_DB[],MATCH(S$2,SP_EnvTract_DB[#Headers],0),FALSE)</f>
        <v>0</v>
      </c>
      <c r="T48" s="68">
        <f>VLOOKUP($A48,SP_EnvTract_DB[],MATCH(T$2,SP_EnvTract_DB[#Headers],0),FALSE)</f>
        <v>0</v>
      </c>
      <c r="U48" s="74">
        <f>VLOOKUP($A48,SP_EnvTract_DB[],MATCH(U$2,SP_EnvTract_DB[#Headers],0),FALSE)</f>
        <v>0</v>
      </c>
      <c r="V48" s="68">
        <f>VLOOKUP($A48,SP_EnvTract_DB[],MATCH(V$2,SP_EnvTract_DB[#Headers],0),FALSE)</f>
        <v>0</v>
      </c>
      <c r="W48" s="68">
        <f>VLOOKUP($A48,SP_EnvTract_DB[],MATCH(W$2,SP_EnvTract_DB[#Headers],0),FALSE)</f>
        <v>0</v>
      </c>
      <c r="X48" s="68">
        <f>VLOOKUP($A48,SP_EnvTract_DB[],MATCH(X$2,SP_EnvTract_DB[#Headers],0),FALSE)</f>
        <v>0</v>
      </c>
      <c r="Y48" s="80">
        <f>VLOOKUP($A48,SP_EnvTract_DB[],MATCH(Y$2,SP_EnvTract_DB[#Headers],0),FALSE)</f>
        <v>0</v>
      </c>
      <c r="Z48" s="81" t="str">
        <f>IFERROR(IF(VLOOKUP(CONCATENATE($A48,"_",Z$1),SP_,MATCH(Z$2,SP_ENV_Lib[#Headers],0),FALSE)=0,"",VLOOKUP(CONCATENATE($A48,"_",Z$1),SP_ENV_Lib[],MATCH(Z$2,SP_ACQ_Lib[#Headers],0),FALSE)),"")</f>
        <v/>
      </c>
      <c r="AA48" s="74"/>
      <c r="AB48" s="74" t="str">
        <f>IFERROR(IF(VLOOKUP(CONCATENATE($A48,"_",AB$1),SP_ENV_Lib[],MATCH(AB$2,SP_ENV_Lib[#Headers],0),FALSE)=0,"",VLOOKUP(CONCATENATE($A48,"_",AB$1),SP_ENV_Lib[],MATCH(AB$2,SP_ENV_Lib[#Headers],0),FALSE)),"")</f>
        <v/>
      </c>
      <c r="AC48" s="74">
        <f>IFERROR(IF(VLOOKUP(CONCATENATE($A48,"_",AC$1),SP_ENV_Lib[],MATCH(AC$2,SP_ENV_Lib[#Headers],0),FALSE)=0,"",VLOOKUP(CONCATENATE($A48,"_",AC$1),SP_ENV_Lib[],MATCH(AC$2,SP_ENV_Lib[#Headers],0),FALSE)),"")</f>
        <v>43845</v>
      </c>
      <c r="AD48" s="74">
        <f>IFERROR(IF(VLOOKUP(CONCATENATE($A48,"_",AD$1),SP_ENV_Lib[],MATCH(AD$2,SP_ENV_Lib[#Headers],0),FALSE)=0,"",VLOOKUP(CONCATENATE($A48,"_",AD$1),SP_ENV_Lib[],MATCH(AD$2,SP_ENV_Lib[#Headers],0),FALSE)),"")</f>
        <v>43852</v>
      </c>
      <c r="AE48" s="74" t="str">
        <f>IFERROR(IF(VLOOKUP(CONCATENATE($A48,"_",AE$1),SP_ENV_Lib[],MATCH(AE$2,SP_ENV_Lib[#Headers],0),FALSE)=0,"",VLOOKUP(CONCATENATE($A48,"_",AE$1),SP_ENV_Lib[],MATCH(AE$2,SP_ENV_Lib[#Headers],0),FALSE)),"")</f>
        <v/>
      </c>
      <c r="AF48" s="172" t="str">
        <f>IFERROR(VLOOKUP(CONCATENATE($A48,"_",AF$1),SP_ENV_Lib[],MATCH(AF$2,SP_ENV_Lib[#Headers],0),FALSE),0)</f>
        <v>Accepted</v>
      </c>
      <c r="AG48" s="74"/>
      <c r="AH48" s="74"/>
      <c r="AI48" s="74"/>
      <c r="AJ48" s="84"/>
    </row>
    <row r="49" spans="1:36" ht="15" x14ac:dyDescent="0.2">
      <c r="A49" s="67" t="s">
        <v>2911</v>
      </c>
      <c r="B49" s="154" t="str">
        <f>LEFT(VLOOKUP($A49,SP_EnvTract_DB[],MATCH(B$2,SP_EnvTract_DB[#Headers],0),FALSE),7)</f>
        <v>R018584</v>
      </c>
      <c r="C49" s="68" t="str">
        <f>VLOOKUP($A49,SP_EnvTract_DB[],MATCH(C$2,SP_EnvTract_DB[#Headers],0),FALSE)</f>
        <v>ENV</v>
      </c>
      <c r="D49" s="156" t="str">
        <f>VLOOKUP($A49,SP_EnvTract_DB[],MATCH(D$2,SP_EnvTract_DB[#Headers],0),FALSE)</f>
        <v>RODRIGUEZ ELIAS M;#137</v>
      </c>
      <c r="E49" s="156" t="str">
        <f>VLOOKUP($A49,SP_EnvTract_DB[],MATCH(E$2,SP_EnvTract_DB[#Headers],0),FALSE)</f>
        <v>528 S FORD;#137</v>
      </c>
      <c r="F49" s="69">
        <f>VLOOKUP($A49,SP_EnvTract_DB[],MATCH(F$2,SP_EnvTract_DB[#Headers],0),FALSE)</f>
        <v>0</v>
      </c>
      <c r="G49" s="73">
        <f>VLOOKUP($A49,SP_EnvTract_DB[],MATCH(G$2,SP_EnvTract_DB[#Headers],0),FALSE)</f>
        <v>0</v>
      </c>
      <c r="H49" s="73" t="str">
        <f>VLOOKUP($A49,SP_EnvTract_DB[],MATCH(H$2,SP_EnvTract_DB[#Headers],0),FALSE)</f>
        <v>Lily Khan</v>
      </c>
      <c r="I49" s="69">
        <f>VLOOKUP($A49,SP_EnvTract_DB[],MATCH(I$2,SP_EnvTract_DB[#Headers],0),FALSE)</f>
        <v>0</v>
      </c>
      <c r="J49" s="69">
        <f>VLOOKUP($A49,SP_EnvTract_DB[],MATCH(J$2,SP_EnvTract_DB[#Headers],0),FALSE)</f>
        <v>0</v>
      </c>
      <c r="K49" s="69">
        <f>VLOOKUP($A49,SP_EnvTract_DB[],MATCH(K$2,SP_EnvTract_DB[#Headers],0),FALSE)</f>
        <v>0</v>
      </c>
      <c r="L49" s="69">
        <f>VLOOKUP($A49,SP_EnvTract_DB[],MATCH(L$2,SP_EnvTract_DB[#Headers],0),FALSE)</f>
        <v>0</v>
      </c>
      <c r="M49" s="69">
        <f>VLOOKUP($A49,SP_EnvTract_DB[],MATCH(M$2,SP_EnvTract_DB[#Headers],0),FALSE)</f>
        <v>0</v>
      </c>
      <c r="N49" s="69">
        <f>VLOOKUP($A49,SP_EnvTract_DB[],MATCH(N$2,SP_EnvTract_DB[#Headers],0),FALSE)</f>
        <v>0</v>
      </c>
      <c r="O49" s="74">
        <f>VLOOKUP($A49,SP_EnvTract_DB[],MATCH(O$2,SP_EnvTract_DB[#Headers],0),FALSE)</f>
        <v>0</v>
      </c>
      <c r="P49" s="73">
        <f>VLOOKUP($A49,SP_EnvTract_DB[],MATCH(P$2,SP_EnvTract_DB[#Headers],0),FALSE)</f>
        <v>0</v>
      </c>
      <c r="Q49" s="73">
        <f>VLOOKUP($A49,SP_EnvTract_DB[],MATCH(Q$2,SP_EnvTract_DB[#Headers],0),FALSE)</f>
        <v>0</v>
      </c>
      <c r="R49" s="74">
        <f>VLOOKUP($A49,SP_EnvTract_DB[],MATCH(R$2,SP_EnvTract_DB[#Headers],0),FALSE)</f>
        <v>0</v>
      </c>
      <c r="S49" s="68">
        <f>VLOOKUP($A49,SP_EnvTract_DB[],MATCH(S$2,SP_EnvTract_DB[#Headers],0),FALSE)</f>
        <v>0</v>
      </c>
      <c r="T49" s="68">
        <f>VLOOKUP($A49,SP_EnvTract_DB[],MATCH(T$2,SP_EnvTract_DB[#Headers],0),FALSE)</f>
        <v>0</v>
      </c>
      <c r="U49" s="74">
        <f>VLOOKUP($A49,SP_EnvTract_DB[],MATCH(U$2,SP_EnvTract_DB[#Headers],0),FALSE)</f>
        <v>0</v>
      </c>
      <c r="V49" s="68">
        <f>VLOOKUP($A49,SP_EnvTract_DB[],MATCH(V$2,SP_EnvTract_DB[#Headers],0),FALSE)</f>
        <v>0</v>
      </c>
      <c r="W49" s="68">
        <f>VLOOKUP($A49,SP_EnvTract_DB[],MATCH(W$2,SP_EnvTract_DB[#Headers],0),FALSE)</f>
        <v>0</v>
      </c>
      <c r="X49" s="68">
        <f>VLOOKUP($A49,SP_EnvTract_DB[],MATCH(X$2,SP_EnvTract_DB[#Headers],0),FALSE)</f>
        <v>0</v>
      </c>
      <c r="Y49" s="80">
        <f>VLOOKUP($A49,SP_EnvTract_DB[],MATCH(Y$2,SP_EnvTract_DB[#Headers],0),FALSE)</f>
        <v>0</v>
      </c>
      <c r="Z49" s="81" t="str">
        <f>IFERROR(IF(VLOOKUP(CONCATENATE($A49,"_",Z$1),SP_,MATCH(Z$2,SP_ENV_Lib[#Headers],0),FALSE)=0,"",VLOOKUP(CONCATENATE($A49,"_",Z$1),SP_ENV_Lib[],MATCH(Z$2,SP_ACQ_Lib[#Headers],0),FALSE)),"")</f>
        <v/>
      </c>
      <c r="AA49" s="74"/>
      <c r="AB49" s="74">
        <f>IFERROR(IF(VLOOKUP(CONCATENATE($A49,"_",AB$1),SP_ENV_Lib[],MATCH(AB$2,SP_ENV_Lib[#Headers],0),FALSE)=0,"",VLOOKUP(CONCATENATE($A49,"_",AB$1),SP_ENV_Lib[],MATCH(AB$2,SP_ENV_Lib[#Headers],0),FALSE)),"")</f>
        <v>43879.735578703701</v>
      </c>
      <c r="AC49" s="74">
        <f>IFERROR(IF(VLOOKUP(CONCATENATE($A49,"_",AC$1),SP_ENV_Lib[],MATCH(AC$2,SP_ENV_Lib[#Headers],0),FALSE)=0,"",VLOOKUP(CONCATENATE($A49,"_",AC$1),SP_ENV_Lib[],MATCH(AC$2,SP_ENV_Lib[#Headers],0),FALSE)),"")</f>
        <v>43845</v>
      </c>
      <c r="AD49" s="74">
        <f>IFERROR(IF(VLOOKUP(CONCATENATE($A49,"_",AD$1),SP_ENV_Lib[],MATCH(AD$2,SP_ENV_Lib[#Headers],0),FALSE)=0,"",VLOOKUP(CONCATENATE($A49,"_",AD$1),SP_ENV_Lib[],MATCH(AD$2,SP_ENV_Lib[#Headers],0),FALSE)),"")</f>
        <v>43852</v>
      </c>
      <c r="AE49" s="74" t="str">
        <f>IFERROR(IF(VLOOKUP(CONCATENATE($A49,"_",AE$1),SP_ENV_Lib[],MATCH(AE$2,SP_ENV_Lib[#Headers],0),FALSE)=0,"",VLOOKUP(CONCATENATE($A49,"_",AE$1),SP_ENV_Lib[],MATCH(AE$2,SP_ENV_Lib[#Headers],0),FALSE)),"")</f>
        <v/>
      </c>
      <c r="AF49" s="172" t="str">
        <f>IFERROR(VLOOKUP(CONCATENATE($A49,"_",AF$1),SP_ENV_Lib[],MATCH(AF$2,SP_ENV_Lib[#Headers],0),FALSE),0)</f>
        <v>Accepted</v>
      </c>
      <c r="AG49" s="74"/>
      <c r="AH49" s="74"/>
      <c r="AI49" s="74"/>
      <c r="AJ49" s="84"/>
    </row>
    <row r="50" spans="1:36" ht="15" x14ac:dyDescent="0.2">
      <c r="A50" s="67" t="s">
        <v>2916</v>
      </c>
      <c r="B50" s="154" t="str">
        <f>LEFT(VLOOKUP($A50,SP_EnvTract_DB[],MATCH(B$2,SP_EnvTract_DB[#Headers],0),FALSE),7)</f>
        <v>R018593</v>
      </c>
      <c r="C50" s="68" t="str">
        <f>VLOOKUP($A50,SP_EnvTract_DB[],MATCH(C$2,SP_EnvTract_DB[#Headers],0),FALSE)</f>
        <v>ENV</v>
      </c>
      <c r="D50" s="156" t="str">
        <f>VLOOKUP($A50,SP_EnvTract_DB[],MATCH(D$2,SP_EnvTract_DB[#Headers],0),FALSE)</f>
        <v>HAYES JEFFERY L;#138</v>
      </c>
      <c r="E50" s="156" t="str">
        <f>VLOOKUP($A50,SP_EnvTract_DB[],MATCH(E$2,SP_EnvTract_DB[#Headers],0),FALSE)</f>
        <v>315 S FORD;#138</v>
      </c>
      <c r="F50" s="69">
        <f>VLOOKUP($A50,SP_EnvTract_DB[],MATCH(F$2,SP_EnvTract_DB[#Headers],0),FALSE)</f>
        <v>0</v>
      </c>
      <c r="G50" s="73">
        <f>VLOOKUP($A50,SP_EnvTract_DB[],MATCH(G$2,SP_EnvTract_DB[#Headers],0),FALSE)</f>
        <v>0</v>
      </c>
      <c r="H50" s="73" t="str">
        <f>VLOOKUP($A50,SP_EnvTract_DB[],MATCH(H$2,SP_EnvTract_DB[#Headers],0),FALSE)</f>
        <v>Lily Khan</v>
      </c>
      <c r="I50" s="69">
        <f>VLOOKUP($A50,SP_EnvTract_DB[],MATCH(I$2,SP_EnvTract_DB[#Headers],0),FALSE)</f>
        <v>0</v>
      </c>
      <c r="J50" s="69">
        <f>VLOOKUP($A50,SP_EnvTract_DB[],MATCH(J$2,SP_EnvTract_DB[#Headers],0),FALSE)</f>
        <v>0</v>
      </c>
      <c r="K50" s="69">
        <f>VLOOKUP($A50,SP_EnvTract_DB[],MATCH(K$2,SP_EnvTract_DB[#Headers],0),FALSE)</f>
        <v>0</v>
      </c>
      <c r="L50" s="69">
        <f>VLOOKUP($A50,SP_EnvTract_DB[],MATCH(L$2,SP_EnvTract_DB[#Headers],0),FALSE)</f>
        <v>0</v>
      </c>
      <c r="M50" s="69">
        <f>VLOOKUP($A50,SP_EnvTract_DB[],MATCH(M$2,SP_EnvTract_DB[#Headers],0),FALSE)</f>
        <v>0</v>
      </c>
      <c r="N50" s="69">
        <f>VLOOKUP($A50,SP_EnvTract_DB[],MATCH(N$2,SP_EnvTract_DB[#Headers],0),FALSE)</f>
        <v>0</v>
      </c>
      <c r="O50" s="74">
        <f>VLOOKUP($A50,SP_EnvTract_DB[],MATCH(O$2,SP_EnvTract_DB[#Headers],0),FALSE)</f>
        <v>0</v>
      </c>
      <c r="P50" s="73">
        <f>VLOOKUP($A50,SP_EnvTract_DB[],MATCH(P$2,SP_EnvTract_DB[#Headers],0),FALSE)</f>
        <v>0</v>
      </c>
      <c r="Q50" s="73">
        <f>VLOOKUP($A50,SP_EnvTract_DB[],MATCH(Q$2,SP_EnvTract_DB[#Headers],0),FALSE)</f>
        <v>0</v>
      </c>
      <c r="R50" s="74">
        <f>VLOOKUP($A50,SP_EnvTract_DB[],MATCH(R$2,SP_EnvTract_DB[#Headers],0),FALSE)</f>
        <v>0</v>
      </c>
      <c r="S50" s="68">
        <f>VLOOKUP($A50,SP_EnvTract_DB[],MATCH(S$2,SP_EnvTract_DB[#Headers],0),FALSE)</f>
        <v>0</v>
      </c>
      <c r="T50" s="68">
        <f>VLOOKUP($A50,SP_EnvTract_DB[],MATCH(T$2,SP_EnvTract_DB[#Headers],0),FALSE)</f>
        <v>0</v>
      </c>
      <c r="U50" s="74">
        <f>VLOOKUP($A50,SP_EnvTract_DB[],MATCH(U$2,SP_EnvTract_DB[#Headers],0),FALSE)</f>
        <v>0</v>
      </c>
      <c r="V50" s="68">
        <f>VLOOKUP($A50,SP_EnvTract_DB[],MATCH(V$2,SP_EnvTract_DB[#Headers],0),FALSE)</f>
        <v>0</v>
      </c>
      <c r="W50" s="68">
        <f>VLOOKUP($A50,SP_EnvTract_DB[],MATCH(W$2,SP_EnvTract_DB[#Headers],0),FALSE)</f>
        <v>0</v>
      </c>
      <c r="X50" s="68">
        <f>VLOOKUP($A50,SP_EnvTract_DB[],MATCH(X$2,SP_EnvTract_DB[#Headers],0),FALSE)</f>
        <v>0</v>
      </c>
      <c r="Y50" s="80">
        <f>VLOOKUP($A50,SP_EnvTract_DB[],MATCH(Y$2,SP_EnvTract_DB[#Headers],0),FALSE)</f>
        <v>0</v>
      </c>
      <c r="Z50" s="81" t="str">
        <f>IFERROR(IF(VLOOKUP(CONCATENATE($A50,"_",Z$1),SP_,MATCH(Z$2,SP_ENV_Lib[#Headers],0),FALSE)=0,"",VLOOKUP(CONCATENATE($A50,"_",Z$1),SP_ENV_Lib[],MATCH(Z$2,SP_ACQ_Lib[#Headers],0),FALSE)),"")</f>
        <v/>
      </c>
      <c r="AA50" s="74"/>
      <c r="AB50" s="74">
        <f>IFERROR(IF(VLOOKUP(CONCATENATE($A50,"_",AB$1),SP_ENV_Lib[],MATCH(AB$2,SP_ENV_Lib[#Headers],0),FALSE)=0,"",VLOOKUP(CONCATENATE($A50,"_",AB$1),SP_ENV_Lib[],MATCH(AB$2,SP_ENV_Lib[#Headers],0),FALSE)),"")</f>
        <v>43879.735578703701</v>
      </c>
      <c r="AC50" s="74">
        <f>IFERROR(IF(VLOOKUP(CONCATENATE($A50,"_",AC$1),SP_ENV_Lib[],MATCH(AC$2,SP_ENV_Lib[#Headers],0),FALSE)=0,"",VLOOKUP(CONCATENATE($A50,"_",AC$1),SP_ENV_Lib[],MATCH(AC$2,SP_ENV_Lib[#Headers],0),FALSE)),"")</f>
        <v>43845</v>
      </c>
      <c r="AD50" s="74">
        <f>IFERROR(IF(VLOOKUP(CONCATENATE($A50,"_",AD$1),SP_ENV_Lib[],MATCH(AD$2,SP_ENV_Lib[#Headers],0),FALSE)=0,"",VLOOKUP(CONCATENATE($A50,"_",AD$1),SP_ENV_Lib[],MATCH(AD$2,SP_ENV_Lib[#Headers],0),FALSE)),"")</f>
        <v>43920</v>
      </c>
      <c r="AE50" s="74" t="str">
        <f>IFERROR(IF(VLOOKUP(CONCATENATE($A50,"_",AE$1),SP_ENV_Lib[],MATCH(AE$2,SP_ENV_Lib[#Headers],0),FALSE)=0,"",VLOOKUP(CONCATENATE($A50,"_",AE$1),SP_ENV_Lib[],MATCH(AE$2,SP_ENV_Lib[#Headers],0),FALSE)),"")</f>
        <v/>
      </c>
      <c r="AF50" s="172" t="str">
        <f>IFERROR(VLOOKUP(CONCATENATE($A50,"_",AF$1),SP_ENV_Lib[],MATCH(AF$2,SP_ENV_Lib[#Headers],0),FALSE),0)</f>
        <v>Accepted</v>
      </c>
      <c r="AG50" s="74"/>
      <c r="AH50" s="74"/>
      <c r="AI50" s="74"/>
      <c r="AJ50" s="84"/>
    </row>
    <row r="51" spans="1:36" ht="15" x14ac:dyDescent="0.2">
      <c r="A51" s="67" t="s">
        <v>2921</v>
      </c>
      <c r="B51" s="154" t="str">
        <f>LEFT(VLOOKUP($A51,SP_EnvTract_DB[],MATCH(B$2,SP_EnvTract_DB[#Headers],0),FALSE),7)</f>
        <v>R018594</v>
      </c>
      <c r="C51" s="68" t="str">
        <f>VLOOKUP($A51,SP_EnvTract_DB[],MATCH(C$2,SP_EnvTract_DB[#Headers],0),FALSE)</f>
        <v>ENV</v>
      </c>
      <c r="D51" s="156" t="str">
        <f>VLOOKUP($A51,SP_EnvTract_DB[],MATCH(D$2,SP_EnvTract_DB[#Headers],0),FALSE)</f>
        <v>HAYES JEFFERY L;#139</v>
      </c>
      <c r="E51" s="156" t="str">
        <f>VLOOKUP($A51,SP_EnvTract_DB[],MATCH(E$2,SP_EnvTract_DB[#Headers],0),FALSE)</f>
        <v>313 S FORD;#139</v>
      </c>
      <c r="F51" s="69">
        <f>VLOOKUP($A51,SP_EnvTract_DB[],MATCH(F$2,SP_EnvTract_DB[#Headers],0),FALSE)</f>
        <v>0</v>
      </c>
      <c r="G51" s="73">
        <f>VLOOKUP($A51,SP_EnvTract_DB[],MATCH(G$2,SP_EnvTract_DB[#Headers],0),FALSE)</f>
        <v>0</v>
      </c>
      <c r="H51" s="73" t="str">
        <f>VLOOKUP($A51,SP_EnvTract_DB[],MATCH(H$2,SP_EnvTract_DB[#Headers],0),FALSE)</f>
        <v>Lily Khan</v>
      </c>
      <c r="I51" s="69">
        <f>VLOOKUP($A51,SP_EnvTract_DB[],MATCH(I$2,SP_EnvTract_DB[#Headers],0),FALSE)</f>
        <v>0</v>
      </c>
      <c r="J51" s="69">
        <f>VLOOKUP($A51,SP_EnvTract_DB[],MATCH(J$2,SP_EnvTract_DB[#Headers],0),FALSE)</f>
        <v>0</v>
      </c>
      <c r="K51" s="69">
        <f>VLOOKUP($A51,SP_EnvTract_DB[],MATCH(K$2,SP_EnvTract_DB[#Headers],0),FALSE)</f>
        <v>0</v>
      </c>
      <c r="L51" s="69">
        <f>VLOOKUP($A51,SP_EnvTract_DB[],MATCH(L$2,SP_EnvTract_DB[#Headers],0),FALSE)</f>
        <v>0</v>
      </c>
      <c r="M51" s="69">
        <f>VLOOKUP($A51,SP_EnvTract_DB[],MATCH(M$2,SP_EnvTract_DB[#Headers],0),FALSE)</f>
        <v>0</v>
      </c>
      <c r="N51" s="69">
        <f>VLOOKUP($A51,SP_EnvTract_DB[],MATCH(N$2,SP_EnvTract_DB[#Headers],0),FALSE)</f>
        <v>0</v>
      </c>
      <c r="O51" s="74">
        <f>VLOOKUP($A51,SP_EnvTract_DB[],MATCH(O$2,SP_EnvTract_DB[#Headers],0),FALSE)</f>
        <v>0</v>
      </c>
      <c r="P51" s="73">
        <f>VLOOKUP($A51,SP_EnvTract_DB[],MATCH(P$2,SP_EnvTract_DB[#Headers],0),FALSE)</f>
        <v>0</v>
      </c>
      <c r="Q51" s="73">
        <f>VLOOKUP($A51,SP_EnvTract_DB[],MATCH(Q$2,SP_EnvTract_DB[#Headers],0),FALSE)</f>
        <v>0</v>
      </c>
      <c r="R51" s="74">
        <f>VLOOKUP($A51,SP_EnvTract_DB[],MATCH(R$2,SP_EnvTract_DB[#Headers],0),FALSE)</f>
        <v>0</v>
      </c>
      <c r="S51" s="68">
        <f>VLOOKUP($A51,SP_EnvTract_DB[],MATCH(S$2,SP_EnvTract_DB[#Headers],0),FALSE)</f>
        <v>0</v>
      </c>
      <c r="T51" s="68">
        <f>VLOOKUP($A51,SP_EnvTract_DB[],MATCH(T$2,SP_EnvTract_DB[#Headers],0),FALSE)</f>
        <v>0</v>
      </c>
      <c r="U51" s="74">
        <f>VLOOKUP($A51,SP_EnvTract_DB[],MATCH(U$2,SP_EnvTract_DB[#Headers],0),FALSE)</f>
        <v>0</v>
      </c>
      <c r="V51" s="68">
        <f>VLOOKUP($A51,SP_EnvTract_DB[],MATCH(V$2,SP_EnvTract_DB[#Headers],0),FALSE)</f>
        <v>0</v>
      </c>
      <c r="W51" s="68">
        <f>VLOOKUP($A51,SP_EnvTract_DB[],MATCH(W$2,SP_EnvTract_DB[#Headers],0),FALSE)</f>
        <v>0</v>
      </c>
      <c r="X51" s="68">
        <f>VLOOKUP($A51,SP_EnvTract_DB[],MATCH(X$2,SP_EnvTract_DB[#Headers],0),FALSE)</f>
        <v>0</v>
      </c>
      <c r="Y51" s="80">
        <f>VLOOKUP($A51,SP_EnvTract_DB[],MATCH(Y$2,SP_EnvTract_DB[#Headers],0),FALSE)</f>
        <v>0</v>
      </c>
      <c r="Z51" s="81" t="str">
        <f>IFERROR(IF(VLOOKUP(CONCATENATE($A51,"_",Z$1),SP_,MATCH(Z$2,SP_ENV_Lib[#Headers],0),FALSE)=0,"",VLOOKUP(CONCATENATE($A51,"_",Z$1),SP_ENV_Lib[],MATCH(Z$2,SP_ACQ_Lib[#Headers],0),FALSE)),"")</f>
        <v/>
      </c>
      <c r="AA51" s="74"/>
      <c r="AB51" s="74">
        <f>IFERROR(IF(VLOOKUP(CONCATENATE($A51,"_",AB$1),SP_ENV_Lib[],MATCH(AB$2,SP_ENV_Lib[#Headers],0),FALSE)=0,"",VLOOKUP(CONCATENATE($A51,"_",AB$1),SP_ENV_Lib[],MATCH(AB$2,SP_ENV_Lib[#Headers],0),FALSE)),"")</f>
        <v>43879.735578703701</v>
      </c>
      <c r="AC51" s="74">
        <f>IFERROR(IF(VLOOKUP(CONCATENATE($A51,"_",AC$1),SP_ENV_Lib[],MATCH(AC$2,SP_ENV_Lib[#Headers],0),FALSE)=0,"",VLOOKUP(CONCATENATE($A51,"_",AC$1),SP_ENV_Lib[],MATCH(AC$2,SP_ENV_Lib[#Headers],0),FALSE)),"")</f>
        <v>43845</v>
      </c>
      <c r="AD51" s="74">
        <f>IFERROR(IF(VLOOKUP(CONCATENATE($A51,"_",AD$1),SP_ENV_Lib[],MATCH(AD$2,SP_ENV_Lib[#Headers],0),FALSE)=0,"",VLOOKUP(CONCATENATE($A51,"_",AD$1),SP_ENV_Lib[],MATCH(AD$2,SP_ENV_Lib[#Headers],0),FALSE)),"")</f>
        <v>43920</v>
      </c>
      <c r="AE51" s="74" t="str">
        <f>IFERROR(IF(VLOOKUP(CONCATENATE($A51,"_",AE$1),SP_ENV_Lib[],MATCH(AE$2,SP_ENV_Lib[#Headers],0),FALSE)=0,"",VLOOKUP(CONCATENATE($A51,"_",AE$1),SP_ENV_Lib[],MATCH(AE$2,SP_ENV_Lib[#Headers],0),FALSE)),"")</f>
        <v/>
      </c>
      <c r="AF51" s="172" t="str">
        <f>IFERROR(VLOOKUP(CONCATENATE($A51,"_",AF$1),SP_ENV_Lib[],MATCH(AF$2,SP_ENV_Lib[#Headers],0),FALSE),0)</f>
        <v>Accepted</v>
      </c>
      <c r="AG51" s="74"/>
      <c r="AH51" s="74"/>
      <c r="AI51" s="74"/>
      <c r="AJ51" s="84"/>
    </row>
    <row r="52" spans="1:36" ht="15" x14ac:dyDescent="0.2">
      <c r="A52" s="67" t="s">
        <v>2926</v>
      </c>
      <c r="B52" s="154" t="str">
        <f>LEFT(VLOOKUP($A52,SP_EnvTract_DB[],MATCH(B$2,SP_EnvTract_DB[#Headers],0),FALSE),7)</f>
        <v>R018604</v>
      </c>
      <c r="C52" s="68" t="str">
        <f>VLOOKUP($A52,SP_EnvTract_DB[],MATCH(C$2,SP_EnvTract_DB[#Headers],0),FALSE)</f>
        <v>ENV</v>
      </c>
      <c r="D52" s="156" t="str">
        <f>VLOOKUP($A52,SP_EnvTract_DB[],MATCH(D$2,SP_EnvTract_DB[#Headers],0),FALSE)</f>
        <v>MARKS NORMA;#140</v>
      </c>
      <c r="E52" s="156" t="str">
        <f>VLOOKUP($A52,SP_EnvTract_DB[],MATCH(E$2,SP_EnvTract_DB[#Headers],0),FALSE)</f>
        <v>526 S FORD;#140</v>
      </c>
      <c r="F52" s="69">
        <f>VLOOKUP($A52,SP_EnvTract_DB[],MATCH(F$2,SP_EnvTract_DB[#Headers],0),FALSE)</f>
        <v>0</v>
      </c>
      <c r="G52" s="73">
        <f>VLOOKUP($A52,SP_EnvTract_DB[],MATCH(G$2,SP_EnvTract_DB[#Headers],0),FALSE)</f>
        <v>0</v>
      </c>
      <c r="H52" s="73" t="str">
        <f>VLOOKUP($A52,SP_EnvTract_DB[],MATCH(H$2,SP_EnvTract_DB[#Headers],0),FALSE)</f>
        <v>Lily Khan</v>
      </c>
      <c r="I52" s="69">
        <f>VLOOKUP($A52,SP_EnvTract_DB[],MATCH(I$2,SP_EnvTract_DB[#Headers],0),FALSE)</f>
        <v>0</v>
      </c>
      <c r="J52" s="69">
        <f>VLOOKUP($A52,SP_EnvTract_DB[],MATCH(J$2,SP_EnvTract_DB[#Headers],0),FALSE)</f>
        <v>0</v>
      </c>
      <c r="K52" s="69">
        <f>VLOOKUP($A52,SP_EnvTract_DB[],MATCH(K$2,SP_EnvTract_DB[#Headers],0),FALSE)</f>
        <v>0</v>
      </c>
      <c r="L52" s="69">
        <f>VLOOKUP($A52,SP_EnvTract_DB[],MATCH(L$2,SP_EnvTract_DB[#Headers],0),FALSE)</f>
        <v>0</v>
      </c>
      <c r="M52" s="69">
        <f>VLOOKUP($A52,SP_EnvTract_DB[],MATCH(M$2,SP_EnvTract_DB[#Headers],0),FALSE)</f>
        <v>0</v>
      </c>
      <c r="N52" s="69">
        <f>VLOOKUP($A52,SP_EnvTract_DB[],MATCH(N$2,SP_EnvTract_DB[#Headers],0),FALSE)</f>
        <v>0</v>
      </c>
      <c r="O52" s="74">
        <f>VLOOKUP($A52,SP_EnvTract_DB[],MATCH(O$2,SP_EnvTract_DB[#Headers],0),FALSE)</f>
        <v>0</v>
      </c>
      <c r="P52" s="73">
        <f>VLOOKUP($A52,SP_EnvTract_DB[],MATCH(P$2,SP_EnvTract_DB[#Headers],0),FALSE)</f>
        <v>0</v>
      </c>
      <c r="Q52" s="73">
        <f>VLOOKUP($A52,SP_EnvTract_DB[],MATCH(Q$2,SP_EnvTract_DB[#Headers],0),FALSE)</f>
        <v>0</v>
      </c>
      <c r="R52" s="74">
        <f>VLOOKUP($A52,SP_EnvTract_DB[],MATCH(R$2,SP_EnvTract_DB[#Headers],0),FALSE)</f>
        <v>0</v>
      </c>
      <c r="S52" s="68">
        <f>VLOOKUP($A52,SP_EnvTract_DB[],MATCH(S$2,SP_EnvTract_DB[#Headers],0),FALSE)</f>
        <v>0</v>
      </c>
      <c r="T52" s="68">
        <f>VLOOKUP($A52,SP_EnvTract_DB[],MATCH(T$2,SP_EnvTract_DB[#Headers],0),FALSE)</f>
        <v>0</v>
      </c>
      <c r="U52" s="74">
        <f>VLOOKUP($A52,SP_EnvTract_DB[],MATCH(U$2,SP_EnvTract_DB[#Headers],0),FALSE)</f>
        <v>0</v>
      </c>
      <c r="V52" s="68">
        <f>VLOOKUP($A52,SP_EnvTract_DB[],MATCH(V$2,SP_EnvTract_DB[#Headers],0),FALSE)</f>
        <v>0</v>
      </c>
      <c r="W52" s="68">
        <f>VLOOKUP($A52,SP_EnvTract_DB[],MATCH(W$2,SP_EnvTract_DB[#Headers],0),FALSE)</f>
        <v>0</v>
      </c>
      <c r="X52" s="68">
        <f>VLOOKUP($A52,SP_EnvTract_DB[],MATCH(X$2,SP_EnvTract_DB[#Headers],0),FALSE)</f>
        <v>0</v>
      </c>
      <c r="Y52" s="80">
        <f>VLOOKUP($A52,SP_EnvTract_DB[],MATCH(Y$2,SP_EnvTract_DB[#Headers],0),FALSE)</f>
        <v>0</v>
      </c>
      <c r="Z52" s="81" t="str">
        <f>IFERROR(IF(VLOOKUP(CONCATENATE($A52,"_",Z$1),SP_,MATCH(Z$2,SP_ENV_Lib[#Headers],0),FALSE)=0,"",VLOOKUP(CONCATENATE($A52,"_",Z$1),SP_ENV_Lib[],MATCH(Z$2,SP_ACQ_Lib[#Headers],0),FALSE)),"")</f>
        <v/>
      </c>
      <c r="AA52" s="74"/>
      <c r="AB52" s="74">
        <f>IFERROR(IF(VLOOKUP(CONCATENATE($A52,"_",AB$1),SP_ENV_Lib[],MATCH(AB$2,SP_ENV_Lib[#Headers],0),FALSE)=0,"",VLOOKUP(CONCATENATE($A52,"_",AB$1),SP_ENV_Lib[],MATCH(AB$2,SP_ENV_Lib[#Headers],0),FALSE)),"")</f>
        <v>43879.735578703701</v>
      </c>
      <c r="AC52" s="74">
        <f>IFERROR(IF(VLOOKUP(CONCATENATE($A52,"_",AC$1),SP_ENV_Lib[],MATCH(AC$2,SP_ENV_Lib[#Headers],0),FALSE)=0,"",VLOOKUP(CONCATENATE($A52,"_",AC$1),SP_ENV_Lib[],MATCH(AC$2,SP_ENV_Lib[#Headers],0),FALSE)),"")</f>
        <v>43844</v>
      </c>
      <c r="AD52" s="74">
        <f>IFERROR(IF(VLOOKUP(CONCATENATE($A52,"_",AD$1),SP_ENV_Lib[],MATCH(AD$2,SP_ENV_Lib[#Headers],0),FALSE)=0,"",VLOOKUP(CONCATENATE($A52,"_",AD$1),SP_ENV_Lib[],MATCH(AD$2,SP_ENV_Lib[#Headers],0),FALSE)),"")</f>
        <v>43886</v>
      </c>
      <c r="AE52" s="74" t="str">
        <f>IFERROR(IF(VLOOKUP(CONCATENATE($A52,"_",AE$1),SP_ENV_Lib[],MATCH(AE$2,SP_ENV_Lib[#Headers],0),FALSE)=0,"",VLOOKUP(CONCATENATE($A52,"_",AE$1),SP_ENV_Lib[],MATCH(AE$2,SP_ENV_Lib[#Headers],0),FALSE)),"")</f>
        <v/>
      </c>
      <c r="AF52" s="172" t="str">
        <f>IFERROR(VLOOKUP(CONCATENATE($A52,"_",AF$1),SP_ENV_Lib[],MATCH(AF$2,SP_ENV_Lib[#Headers],0),FALSE),0)</f>
        <v>Accepted</v>
      </c>
      <c r="AG52" s="74"/>
      <c r="AH52" s="74"/>
      <c r="AI52" s="74"/>
      <c r="AJ52" s="84"/>
    </row>
    <row r="53" spans="1:36" ht="15" x14ac:dyDescent="0.2">
      <c r="A53" s="67" t="s">
        <v>2939</v>
      </c>
      <c r="B53" s="154" t="str">
        <f>LEFT(VLOOKUP($A53,SP_EnvTract_DB[],MATCH(B$2,SP_EnvTract_DB[#Headers],0),FALSE),7)</f>
        <v>R020844</v>
      </c>
      <c r="C53" s="68" t="str">
        <f>VLOOKUP($A53,SP_EnvTract_DB[],MATCH(C$2,SP_EnvTract_DB[#Headers],0),FALSE)</f>
        <v>ENV</v>
      </c>
      <c r="D53" s="156" t="str">
        <f>VLOOKUP($A53,SP_EnvTract_DB[],MATCH(D$2,SP_EnvTract_DB[#Headers],0),FALSE)</f>
        <v>ZAMUDIO JOSE;#149</v>
      </c>
      <c r="E53" s="156" t="str">
        <f>VLOOKUP($A53,SP_EnvTract_DB[],MATCH(E$2,SP_EnvTract_DB[#Headers],0),FALSE)</f>
        <v>604 MURPHY AVE;#149</v>
      </c>
      <c r="F53" s="69">
        <f>VLOOKUP($A53,SP_EnvTract_DB[],MATCH(F$2,SP_EnvTract_DB[#Headers],0),FALSE)</f>
        <v>0</v>
      </c>
      <c r="G53" s="73">
        <f>VLOOKUP($A53,SP_EnvTract_DB[],MATCH(G$2,SP_EnvTract_DB[#Headers],0),FALSE)</f>
        <v>0</v>
      </c>
      <c r="H53" s="73" t="str">
        <f>VLOOKUP($A53,SP_EnvTract_DB[],MATCH(H$2,SP_EnvTract_DB[#Headers],0),FALSE)</f>
        <v>Stateside</v>
      </c>
      <c r="I53" s="69">
        <f>VLOOKUP($A53,SP_EnvTract_DB[],MATCH(I$2,SP_EnvTract_DB[#Headers],0),FALSE)</f>
        <v>0</v>
      </c>
      <c r="J53" s="69">
        <f>VLOOKUP($A53,SP_EnvTract_DB[],MATCH(J$2,SP_EnvTract_DB[#Headers],0),FALSE)</f>
        <v>0</v>
      </c>
      <c r="K53" s="69">
        <f>VLOOKUP($A53,SP_EnvTract_DB[],MATCH(K$2,SP_EnvTract_DB[#Headers],0),FALSE)</f>
        <v>0</v>
      </c>
      <c r="L53" s="69">
        <f>VLOOKUP($A53,SP_EnvTract_DB[],MATCH(L$2,SP_EnvTract_DB[#Headers],0),FALSE)</f>
        <v>0</v>
      </c>
      <c r="M53" s="69">
        <f>VLOOKUP($A53,SP_EnvTract_DB[],MATCH(M$2,SP_EnvTract_DB[#Headers],0),FALSE)</f>
        <v>0</v>
      </c>
      <c r="N53" s="69">
        <f>VLOOKUP($A53,SP_EnvTract_DB[],MATCH(N$2,SP_EnvTract_DB[#Headers],0),FALSE)</f>
        <v>0</v>
      </c>
      <c r="O53" s="74">
        <f>VLOOKUP($A53,SP_EnvTract_DB[],MATCH(O$2,SP_EnvTract_DB[#Headers],0),FALSE)</f>
        <v>0</v>
      </c>
      <c r="P53" s="73">
        <f>VLOOKUP($A53,SP_EnvTract_DB[],MATCH(P$2,SP_EnvTract_DB[#Headers],0),FALSE)</f>
        <v>0</v>
      </c>
      <c r="Q53" s="73">
        <f>VLOOKUP($A53,SP_EnvTract_DB[],MATCH(Q$2,SP_EnvTract_DB[#Headers],0),FALSE)</f>
        <v>0</v>
      </c>
      <c r="R53" s="74">
        <f>VLOOKUP($A53,SP_EnvTract_DB[],MATCH(R$2,SP_EnvTract_DB[#Headers],0),FALSE)</f>
        <v>0</v>
      </c>
      <c r="S53" s="68">
        <f>VLOOKUP($A53,SP_EnvTract_DB[],MATCH(S$2,SP_EnvTract_DB[#Headers],0),FALSE)</f>
        <v>0</v>
      </c>
      <c r="T53" s="68">
        <f>VLOOKUP($A53,SP_EnvTract_DB[],MATCH(T$2,SP_EnvTract_DB[#Headers],0),FALSE)</f>
        <v>0</v>
      </c>
      <c r="U53" s="74">
        <f>VLOOKUP($A53,SP_EnvTract_DB[],MATCH(U$2,SP_EnvTract_DB[#Headers],0),FALSE)</f>
        <v>0</v>
      </c>
      <c r="V53" s="68">
        <f>VLOOKUP($A53,SP_EnvTract_DB[],MATCH(V$2,SP_EnvTract_DB[#Headers],0),FALSE)</f>
        <v>0</v>
      </c>
      <c r="W53" s="68">
        <f>VLOOKUP($A53,SP_EnvTract_DB[],MATCH(W$2,SP_EnvTract_DB[#Headers],0),FALSE)</f>
        <v>0</v>
      </c>
      <c r="X53" s="68">
        <f>VLOOKUP($A53,SP_EnvTract_DB[],MATCH(X$2,SP_EnvTract_DB[#Headers],0),FALSE)</f>
        <v>0</v>
      </c>
      <c r="Y53" s="80">
        <f>VLOOKUP($A53,SP_EnvTract_DB[],MATCH(Y$2,SP_EnvTract_DB[#Headers],0),FALSE)</f>
        <v>0</v>
      </c>
      <c r="Z53" s="81" t="str">
        <f>IFERROR(IF(VLOOKUP(CONCATENATE($A53,"_",Z$1),SP_,MATCH(Z$2,SP_ENV_Lib[#Headers],0),FALSE)=0,"",VLOOKUP(CONCATENATE($A53,"_",Z$1),SP_ENV_Lib[],MATCH(Z$2,SP_ACQ_Lib[#Headers],0),FALSE)),"")</f>
        <v/>
      </c>
      <c r="AA53" s="74"/>
      <c r="AB53" s="74" t="str">
        <f>IFERROR(IF(VLOOKUP(CONCATENATE($A53,"_",AB$1),SP_ENV_Lib[],MATCH(AB$2,SP_ENV_Lib[#Headers],0),FALSE)=0,"",VLOOKUP(CONCATENATE($A53,"_",AB$1),SP_ENV_Lib[],MATCH(AB$2,SP_ENV_Lib[#Headers],0),FALSE)),"")</f>
        <v/>
      </c>
      <c r="AC53" s="74">
        <f>IFERROR(IF(VLOOKUP(CONCATENATE($A53,"_",AC$1),SP_ENV_Lib[],MATCH(AC$2,SP_ENV_Lib[#Headers],0),FALSE)=0,"",VLOOKUP(CONCATENATE($A53,"_",AC$1),SP_ENV_Lib[],MATCH(AC$2,SP_ENV_Lib[#Headers],0),FALSE)),"")</f>
        <v>43845</v>
      </c>
      <c r="AD53" s="74">
        <f>IFERROR(IF(VLOOKUP(CONCATENATE($A53,"_",AD$1),SP_ENV_Lib[],MATCH(AD$2,SP_ENV_Lib[#Headers],0),FALSE)=0,"",VLOOKUP(CONCATENATE($A53,"_",AD$1),SP_ENV_Lib[],MATCH(AD$2,SP_ENV_Lib[#Headers],0),FALSE)),"")</f>
        <v>43906</v>
      </c>
      <c r="AE53" s="74" t="str">
        <f>IFERROR(IF(VLOOKUP(CONCATENATE($A53,"_",AE$1),SP_ENV_Lib[],MATCH(AE$2,SP_ENV_Lib[#Headers],0),FALSE)=0,"",VLOOKUP(CONCATENATE($A53,"_",AE$1),SP_ENV_Lib[],MATCH(AE$2,SP_ENV_Lib[#Headers],0),FALSE)),"")</f>
        <v/>
      </c>
      <c r="AF53" s="172" t="str">
        <f>IFERROR(VLOOKUP(CONCATENATE($A53,"_",AF$1),SP_ENV_Lib[],MATCH(AF$2,SP_ENV_Lib[#Headers],0),FALSE),0)</f>
        <v>Accepted</v>
      </c>
      <c r="AG53" s="74"/>
      <c r="AH53" s="74"/>
      <c r="AI53" s="74"/>
      <c r="AJ53" s="84"/>
    </row>
    <row r="54" spans="1:36" ht="15" x14ac:dyDescent="0.2">
      <c r="A54" s="67" t="s">
        <v>2944</v>
      </c>
      <c r="B54" s="154" t="str">
        <f>LEFT(VLOOKUP($A54,SP_EnvTract_DB[],MATCH(B$2,SP_EnvTract_DB[#Headers],0),FALSE),7)</f>
        <v>R020845</v>
      </c>
      <c r="C54" s="68" t="str">
        <f>VLOOKUP($A54,SP_EnvTract_DB[],MATCH(C$2,SP_EnvTract_DB[#Headers],0),FALSE)</f>
        <v>ENV</v>
      </c>
      <c r="D54" s="156" t="str">
        <f>VLOOKUP($A54,SP_EnvTract_DB[],MATCH(D$2,SP_EnvTract_DB[#Headers],0),FALSE)</f>
        <v>MULTIPLE OWNERS -  CAMACHO JOHN SR LIFE ESTATE;#150</v>
      </c>
      <c r="E54" s="156" t="str">
        <f>VLOOKUP($A54,SP_EnvTract_DB[],MATCH(E$2,SP_EnvTract_DB[#Headers],0),FALSE)</f>
        <v>610 MURPHY AVE;#150</v>
      </c>
      <c r="F54" s="69">
        <f>VLOOKUP($A54,SP_EnvTract_DB[],MATCH(F$2,SP_EnvTract_DB[#Headers],0),FALSE)</f>
        <v>0</v>
      </c>
      <c r="G54" s="73">
        <f>VLOOKUP($A54,SP_EnvTract_DB[],MATCH(G$2,SP_EnvTract_DB[#Headers],0),FALSE)</f>
        <v>0</v>
      </c>
      <c r="H54" s="73" t="str">
        <f>VLOOKUP($A54,SP_EnvTract_DB[],MATCH(H$2,SP_EnvTract_DB[#Headers],0),FALSE)</f>
        <v>Stateside</v>
      </c>
      <c r="I54" s="69">
        <f>VLOOKUP($A54,SP_EnvTract_DB[],MATCH(I$2,SP_EnvTract_DB[#Headers],0),FALSE)</f>
        <v>0</v>
      </c>
      <c r="J54" s="69">
        <f>VLOOKUP($A54,SP_EnvTract_DB[],MATCH(J$2,SP_EnvTract_DB[#Headers],0),FALSE)</f>
        <v>0</v>
      </c>
      <c r="K54" s="69">
        <f>VLOOKUP($A54,SP_EnvTract_DB[],MATCH(K$2,SP_EnvTract_DB[#Headers],0),FALSE)</f>
        <v>0</v>
      </c>
      <c r="L54" s="69">
        <f>VLOOKUP($A54,SP_EnvTract_DB[],MATCH(L$2,SP_EnvTract_DB[#Headers],0),FALSE)</f>
        <v>0</v>
      </c>
      <c r="M54" s="69">
        <f>VLOOKUP($A54,SP_EnvTract_DB[],MATCH(M$2,SP_EnvTract_DB[#Headers],0),FALSE)</f>
        <v>0</v>
      </c>
      <c r="N54" s="69">
        <f>VLOOKUP($A54,SP_EnvTract_DB[],MATCH(N$2,SP_EnvTract_DB[#Headers],0),FALSE)</f>
        <v>0</v>
      </c>
      <c r="O54" s="74">
        <f>VLOOKUP($A54,SP_EnvTract_DB[],MATCH(O$2,SP_EnvTract_DB[#Headers],0),FALSE)</f>
        <v>0</v>
      </c>
      <c r="P54" s="73">
        <f>VLOOKUP($A54,SP_EnvTract_DB[],MATCH(P$2,SP_EnvTract_DB[#Headers],0),FALSE)</f>
        <v>0</v>
      </c>
      <c r="Q54" s="73">
        <f>VLOOKUP($A54,SP_EnvTract_DB[],MATCH(Q$2,SP_EnvTract_DB[#Headers],0),FALSE)</f>
        <v>0</v>
      </c>
      <c r="R54" s="74">
        <f>VLOOKUP($A54,SP_EnvTract_DB[],MATCH(R$2,SP_EnvTract_DB[#Headers],0),FALSE)</f>
        <v>0</v>
      </c>
      <c r="S54" s="68">
        <f>VLOOKUP($A54,SP_EnvTract_DB[],MATCH(S$2,SP_EnvTract_DB[#Headers],0),FALSE)</f>
        <v>0</v>
      </c>
      <c r="T54" s="68">
        <f>VLOOKUP($A54,SP_EnvTract_DB[],MATCH(T$2,SP_EnvTract_DB[#Headers],0),FALSE)</f>
        <v>0</v>
      </c>
      <c r="U54" s="74">
        <f>VLOOKUP($A54,SP_EnvTract_DB[],MATCH(U$2,SP_EnvTract_DB[#Headers],0),FALSE)</f>
        <v>0</v>
      </c>
      <c r="V54" s="68">
        <f>VLOOKUP($A54,SP_EnvTract_DB[],MATCH(V$2,SP_EnvTract_DB[#Headers],0),FALSE)</f>
        <v>0</v>
      </c>
      <c r="W54" s="68">
        <f>VLOOKUP($A54,SP_EnvTract_DB[],MATCH(W$2,SP_EnvTract_DB[#Headers],0),FALSE)</f>
        <v>0</v>
      </c>
      <c r="X54" s="68">
        <f>VLOOKUP($A54,SP_EnvTract_DB[],MATCH(X$2,SP_EnvTract_DB[#Headers],0),FALSE)</f>
        <v>0</v>
      </c>
      <c r="Y54" s="80">
        <f>VLOOKUP($A54,SP_EnvTract_DB[],MATCH(Y$2,SP_EnvTract_DB[#Headers],0),FALSE)</f>
        <v>0</v>
      </c>
      <c r="Z54" s="81" t="str">
        <f>IFERROR(IF(VLOOKUP(CONCATENATE($A54,"_",Z$1),SP_,MATCH(Z$2,SP_ENV_Lib[#Headers],0),FALSE)=0,"",VLOOKUP(CONCATENATE($A54,"_",Z$1),SP_ENV_Lib[],MATCH(Z$2,SP_ACQ_Lib[#Headers],0),FALSE)),"")</f>
        <v/>
      </c>
      <c r="AA54" s="74"/>
      <c r="AB54" s="74" t="str">
        <f>IFERROR(IF(VLOOKUP(CONCATENATE($A54,"_",AB$1),SP_ENV_Lib[],MATCH(AB$2,SP_ENV_Lib[#Headers],0),FALSE)=0,"",VLOOKUP(CONCATENATE($A54,"_",AB$1),SP_ENV_Lib[],MATCH(AB$2,SP_ENV_Lib[#Headers],0),FALSE)),"")</f>
        <v/>
      </c>
      <c r="AC54" s="74">
        <f>IFERROR(IF(VLOOKUP(CONCATENATE($A54,"_",AC$1),SP_ENV_Lib[],MATCH(AC$2,SP_ENV_Lib[#Headers],0),FALSE)=0,"",VLOOKUP(CONCATENATE($A54,"_",AC$1),SP_ENV_Lib[],MATCH(AC$2,SP_ENV_Lib[#Headers],0),FALSE)),"")</f>
        <v>43845</v>
      </c>
      <c r="AD54" s="74" t="str">
        <f>IFERROR(IF(VLOOKUP(CONCATENATE($A54,"_",AD$1),SP_ENV_Lib[],MATCH(AD$2,SP_ENV_Lib[#Headers],0),FALSE)=0,"",VLOOKUP(CONCATENATE($A54,"_",AD$1),SP_ENV_Lib[],MATCH(AD$2,SP_ENV_Lib[#Headers],0),FALSE)),"")</f>
        <v/>
      </c>
      <c r="AE54" s="74" t="str">
        <f>IFERROR(IF(VLOOKUP(CONCATENATE($A54,"_",AE$1),SP_ENV_Lib[],MATCH(AE$2,SP_ENV_Lib[#Headers],0),FALSE)=0,"",VLOOKUP(CONCATENATE($A54,"_",AE$1),SP_ENV_Lib[],MATCH(AE$2,SP_ENV_Lib[#Headers],0),FALSE)),"")</f>
        <v/>
      </c>
      <c r="AF54" s="172" t="str">
        <f>IFERROR(VLOOKUP(CONCATENATE($A54,"_",AF$1),SP_ENV_Lib[],MATCH(AF$2,SP_ENV_Lib[#Headers],0),FALSE),0)</f>
        <v>Accepted</v>
      </c>
      <c r="AG54" s="74"/>
      <c r="AH54" s="74"/>
      <c r="AI54" s="74"/>
      <c r="AJ54" s="84"/>
    </row>
    <row r="55" spans="1:36" ht="15" x14ac:dyDescent="0.2">
      <c r="A55" s="67" t="s">
        <v>2949</v>
      </c>
      <c r="B55" s="154" t="str">
        <f>LEFT(VLOOKUP($A55,SP_EnvTract_DB[],MATCH(B$2,SP_EnvTract_DB[#Headers],0),FALSE),7)</f>
        <v>R021315</v>
      </c>
      <c r="C55" s="68" t="str">
        <f>VLOOKUP($A55,SP_EnvTract_DB[],MATCH(C$2,SP_EnvTract_DB[#Headers],0),FALSE)</f>
        <v>ENV</v>
      </c>
      <c r="D55" s="156" t="str">
        <f>VLOOKUP($A55,SP_EnvTract_DB[],MATCH(D$2,SP_EnvTract_DB[#Headers],0),FALSE)</f>
        <v>SAM HOUSTON AREA COUNCIL OF BOY SCOUTS OF AMERICA;#151</v>
      </c>
      <c r="E55" s="156" t="str">
        <f>VLOOKUP($A55,SP_EnvTract_DB[],MATCH(E$2,SP_EnvTract_DB[#Headers],0),FALSE)</f>
        <v>0 HARRIS;#151</v>
      </c>
      <c r="F55" s="69">
        <f>VLOOKUP($A55,SP_EnvTract_DB[],MATCH(F$2,SP_EnvTract_DB[#Headers],0),FALSE)</f>
        <v>0</v>
      </c>
      <c r="G55" s="73">
        <f>VLOOKUP($A55,SP_EnvTract_DB[],MATCH(G$2,SP_EnvTract_DB[#Headers],0),FALSE)</f>
        <v>0</v>
      </c>
      <c r="H55" s="73" t="str">
        <f>VLOOKUP($A55,SP_EnvTract_DB[],MATCH(H$2,SP_EnvTract_DB[#Headers],0),FALSE)</f>
        <v>Stateside</v>
      </c>
      <c r="I55" s="69">
        <f>VLOOKUP($A55,SP_EnvTract_DB[],MATCH(I$2,SP_EnvTract_DB[#Headers],0),FALSE)</f>
        <v>0</v>
      </c>
      <c r="J55" s="69">
        <f>VLOOKUP($A55,SP_EnvTract_DB[],MATCH(J$2,SP_EnvTract_DB[#Headers],0),FALSE)</f>
        <v>0</v>
      </c>
      <c r="K55" s="69">
        <f>VLOOKUP($A55,SP_EnvTract_DB[],MATCH(K$2,SP_EnvTract_DB[#Headers],0),FALSE)</f>
        <v>0</v>
      </c>
      <c r="L55" s="69">
        <f>VLOOKUP($A55,SP_EnvTract_DB[],MATCH(L$2,SP_EnvTract_DB[#Headers],0),FALSE)</f>
        <v>0</v>
      </c>
      <c r="M55" s="69">
        <f>VLOOKUP($A55,SP_EnvTract_DB[],MATCH(M$2,SP_EnvTract_DB[#Headers],0),FALSE)</f>
        <v>0</v>
      </c>
      <c r="N55" s="69">
        <f>VLOOKUP($A55,SP_EnvTract_DB[],MATCH(N$2,SP_EnvTract_DB[#Headers],0),FALSE)</f>
        <v>0</v>
      </c>
      <c r="O55" s="74">
        <f>VLOOKUP($A55,SP_EnvTract_DB[],MATCH(O$2,SP_EnvTract_DB[#Headers],0),FALSE)</f>
        <v>0</v>
      </c>
      <c r="P55" s="73">
        <f>VLOOKUP($A55,SP_EnvTract_DB[],MATCH(P$2,SP_EnvTract_DB[#Headers],0),FALSE)</f>
        <v>0</v>
      </c>
      <c r="Q55" s="73">
        <f>VLOOKUP($A55,SP_EnvTract_DB[],MATCH(Q$2,SP_EnvTract_DB[#Headers],0),FALSE)</f>
        <v>0</v>
      </c>
      <c r="R55" s="74">
        <f>VLOOKUP($A55,SP_EnvTract_DB[],MATCH(R$2,SP_EnvTract_DB[#Headers],0),FALSE)</f>
        <v>0</v>
      </c>
      <c r="S55" s="68">
        <f>VLOOKUP($A55,SP_EnvTract_DB[],MATCH(S$2,SP_EnvTract_DB[#Headers],0),FALSE)</f>
        <v>0</v>
      </c>
      <c r="T55" s="68">
        <f>VLOOKUP($A55,SP_EnvTract_DB[],MATCH(T$2,SP_EnvTract_DB[#Headers],0),FALSE)</f>
        <v>0</v>
      </c>
      <c r="U55" s="74">
        <f>VLOOKUP($A55,SP_EnvTract_DB[],MATCH(U$2,SP_EnvTract_DB[#Headers],0),FALSE)</f>
        <v>0</v>
      </c>
      <c r="V55" s="68">
        <f>VLOOKUP($A55,SP_EnvTract_DB[],MATCH(V$2,SP_EnvTract_DB[#Headers],0),FALSE)</f>
        <v>0</v>
      </c>
      <c r="W55" s="68">
        <f>VLOOKUP($A55,SP_EnvTract_DB[],MATCH(W$2,SP_EnvTract_DB[#Headers],0),FALSE)</f>
        <v>0</v>
      </c>
      <c r="X55" s="68">
        <f>VLOOKUP($A55,SP_EnvTract_DB[],MATCH(X$2,SP_EnvTract_DB[#Headers],0),FALSE)</f>
        <v>0</v>
      </c>
      <c r="Y55" s="80">
        <f>VLOOKUP($A55,SP_EnvTract_DB[],MATCH(Y$2,SP_EnvTract_DB[#Headers],0),FALSE)</f>
        <v>0</v>
      </c>
      <c r="Z55" s="81" t="str">
        <f>IFERROR(IF(VLOOKUP(CONCATENATE($A55,"_",Z$1),SP_,MATCH(Z$2,SP_ENV_Lib[#Headers],0),FALSE)=0,"",VLOOKUP(CONCATENATE($A55,"_",Z$1),SP_ENV_Lib[],MATCH(Z$2,SP_ACQ_Lib[#Headers],0),FALSE)),"")</f>
        <v/>
      </c>
      <c r="AA55" s="74"/>
      <c r="AB55" s="74" t="str">
        <f>IFERROR(IF(VLOOKUP(CONCATENATE($A55,"_",AB$1),SP_ENV_Lib[],MATCH(AB$2,SP_ENV_Lib[#Headers],0),FALSE)=0,"",VLOOKUP(CONCATENATE($A55,"_",AB$1),SP_ENV_Lib[],MATCH(AB$2,SP_ENV_Lib[#Headers],0),FALSE)),"")</f>
        <v/>
      </c>
      <c r="AC55" s="74">
        <f>IFERROR(IF(VLOOKUP(CONCATENATE($A55,"_",AC$1),SP_ENV_Lib[],MATCH(AC$2,SP_ENV_Lib[#Headers],0),FALSE)=0,"",VLOOKUP(CONCATENATE($A55,"_",AC$1),SP_ENV_Lib[],MATCH(AC$2,SP_ENV_Lib[#Headers],0),FALSE)),"")</f>
        <v>43844</v>
      </c>
      <c r="AD55" s="74">
        <f>IFERROR(IF(VLOOKUP(CONCATENATE($A55,"_",AD$1),SP_ENV_Lib[],MATCH(AD$2,SP_ENV_Lib[#Headers],0),FALSE)=0,"",VLOOKUP(CONCATENATE($A55,"_",AD$1),SP_ENV_Lib[],MATCH(AD$2,SP_ENV_Lib[#Headers],0),FALSE)),"")</f>
        <v>43887</v>
      </c>
      <c r="AE55" s="74" t="str">
        <f>IFERROR(IF(VLOOKUP(CONCATENATE($A55,"_",AE$1),SP_ENV_Lib[],MATCH(AE$2,SP_ENV_Lib[#Headers],0),FALSE)=0,"",VLOOKUP(CONCATENATE($A55,"_",AE$1),SP_ENV_Lib[],MATCH(AE$2,SP_ENV_Lib[#Headers],0),FALSE)),"")</f>
        <v/>
      </c>
      <c r="AF55" s="172" t="str">
        <f>IFERROR(VLOOKUP(CONCATENATE($A55,"_",AF$1),SP_ENV_Lib[],MATCH(AF$2,SP_ENV_Lib[#Headers],0),FALSE),0)</f>
        <v>Accepted</v>
      </c>
      <c r="AG55" s="74"/>
      <c r="AH55" s="74"/>
      <c r="AI55" s="74"/>
      <c r="AJ55" s="84"/>
    </row>
    <row r="56" spans="1:36" ht="15" x14ac:dyDescent="0.2">
      <c r="A56" s="67" t="s">
        <v>2954</v>
      </c>
      <c r="B56" s="154" t="str">
        <f>LEFT(VLOOKUP($A56,SP_EnvTract_DB[],MATCH(B$2,SP_EnvTract_DB[#Headers],0),FALSE),7)</f>
        <v>R021328</v>
      </c>
      <c r="C56" s="68" t="str">
        <f>VLOOKUP($A56,SP_EnvTract_DB[],MATCH(C$2,SP_EnvTract_DB[#Headers],0),FALSE)</f>
        <v>ENV</v>
      </c>
      <c r="D56" s="156" t="str">
        <f>VLOOKUP($A56,SP_EnvTract_DB[],MATCH(D$2,SP_EnvTract_DB[#Headers],0),FALSE)</f>
        <v>NEAL BURNELL SR &amp; SHANDRA;#152</v>
      </c>
      <c r="E56" s="156" t="str">
        <f>VLOOKUP($A56,SP_EnvTract_DB[],MATCH(E$2,SP_EnvTract_DB[#Headers],0),FALSE)</f>
        <v>0 HARRIS;#152</v>
      </c>
      <c r="F56" s="69">
        <f>VLOOKUP($A56,SP_EnvTract_DB[],MATCH(F$2,SP_EnvTract_DB[#Headers],0),FALSE)</f>
        <v>0</v>
      </c>
      <c r="G56" s="73">
        <f>VLOOKUP($A56,SP_EnvTract_DB[],MATCH(G$2,SP_EnvTract_DB[#Headers],0),FALSE)</f>
        <v>0</v>
      </c>
      <c r="H56" s="73" t="str">
        <f>VLOOKUP($A56,SP_EnvTract_DB[],MATCH(H$2,SP_EnvTract_DB[#Headers],0),FALSE)</f>
        <v>Stateside</v>
      </c>
      <c r="I56" s="69">
        <f>VLOOKUP($A56,SP_EnvTract_DB[],MATCH(I$2,SP_EnvTract_DB[#Headers],0),FALSE)</f>
        <v>0</v>
      </c>
      <c r="J56" s="69">
        <f>VLOOKUP($A56,SP_EnvTract_DB[],MATCH(J$2,SP_EnvTract_DB[#Headers],0),FALSE)</f>
        <v>0</v>
      </c>
      <c r="K56" s="69">
        <f>VLOOKUP($A56,SP_EnvTract_DB[],MATCH(K$2,SP_EnvTract_DB[#Headers],0),FALSE)</f>
        <v>0</v>
      </c>
      <c r="L56" s="69">
        <f>VLOOKUP($A56,SP_EnvTract_DB[],MATCH(L$2,SP_EnvTract_DB[#Headers],0),FALSE)</f>
        <v>0</v>
      </c>
      <c r="M56" s="69">
        <f>VLOOKUP($A56,SP_EnvTract_DB[],MATCH(M$2,SP_EnvTract_DB[#Headers],0),FALSE)</f>
        <v>0</v>
      </c>
      <c r="N56" s="69">
        <f>VLOOKUP($A56,SP_EnvTract_DB[],MATCH(N$2,SP_EnvTract_DB[#Headers],0),FALSE)</f>
        <v>0</v>
      </c>
      <c r="O56" s="74">
        <f>VLOOKUP($A56,SP_EnvTract_DB[],MATCH(O$2,SP_EnvTract_DB[#Headers],0),FALSE)</f>
        <v>0</v>
      </c>
      <c r="P56" s="73">
        <f>VLOOKUP($A56,SP_EnvTract_DB[],MATCH(P$2,SP_EnvTract_DB[#Headers],0),FALSE)</f>
        <v>0</v>
      </c>
      <c r="Q56" s="73">
        <f>VLOOKUP($A56,SP_EnvTract_DB[],MATCH(Q$2,SP_EnvTract_DB[#Headers],0),FALSE)</f>
        <v>0</v>
      </c>
      <c r="R56" s="74">
        <f>VLOOKUP($A56,SP_EnvTract_DB[],MATCH(R$2,SP_EnvTract_DB[#Headers],0),FALSE)</f>
        <v>0</v>
      </c>
      <c r="S56" s="68">
        <f>VLOOKUP($A56,SP_EnvTract_DB[],MATCH(S$2,SP_EnvTract_DB[#Headers],0),FALSE)</f>
        <v>0</v>
      </c>
      <c r="T56" s="68">
        <f>VLOOKUP($A56,SP_EnvTract_DB[],MATCH(T$2,SP_EnvTract_DB[#Headers],0),FALSE)</f>
        <v>0</v>
      </c>
      <c r="U56" s="74">
        <f>VLOOKUP($A56,SP_EnvTract_DB[],MATCH(U$2,SP_EnvTract_DB[#Headers],0),FALSE)</f>
        <v>0</v>
      </c>
      <c r="V56" s="68">
        <f>VLOOKUP($A56,SP_EnvTract_DB[],MATCH(V$2,SP_EnvTract_DB[#Headers],0),FALSE)</f>
        <v>0</v>
      </c>
      <c r="W56" s="68">
        <f>VLOOKUP($A56,SP_EnvTract_DB[],MATCH(W$2,SP_EnvTract_DB[#Headers],0),FALSE)</f>
        <v>0</v>
      </c>
      <c r="X56" s="68">
        <f>VLOOKUP($A56,SP_EnvTract_DB[],MATCH(X$2,SP_EnvTract_DB[#Headers],0),FALSE)</f>
        <v>0</v>
      </c>
      <c r="Y56" s="80">
        <f>VLOOKUP($A56,SP_EnvTract_DB[],MATCH(Y$2,SP_EnvTract_DB[#Headers],0),FALSE)</f>
        <v>0</v>
      </c>
      <c r="Z56" s="81" t="str">
        <f>IFERROR(IF(VLOOKUP(CONCATENATE($A56,"_",Z$1),SP_,MATCH(Z$2,SP_ENV_Lib[#Headers],0),FALSE)=0,"",VLOOKUP(CONCATENATE($A56,"_",Z$1),SP_ENV_Lib[],MATCH(Z$2,SP_ACQ_Lib[#Headers],0),FALSE)),"")</f>
        <v/>
      </c>
      <c r="AA56" s="74"/>
      <c r="AB56" s="74" t="str">
        <f>IFERROR(IF(VLOOKUP(CONCATENATE($A56,"_",AB$1),SP_ENV_Lib[],MATCH(AB$2,SP_ENV_Lib[#Headers],0),FALSE)=0,"",VLOOKUP(CONCATENATE($A56,"_",AB$1),SP_ENV_Lib[],MATCH(AB$2,SP_ENV_Lib[#Headers],0),FALSE)),"")</f>
        <v/>
      </c>
      <c r="AC56" s="74">
        <f>IFERROR(IF(VLOOKUP(CONCATENATE($A56,"_",AC$1),SP_ENV_Lib[],MATCH(AC$2,SP_ENV_Lib[#Headers],0),FALSE)=0,"",VLOOKUP(CONCATENATE($A56,"_",AC$1),SP_ENV_Lib[],MATCH(AC$2,SP_ENV_Lib[#Headers],0),FALSE)),"")</f>
        <v>43845</v>
      </c>
      <c r="AD56" s="74">
        <f>IFERROR(IF(VLOOKUP(CONCATENATE($A56,"_",AD$1),SP_ENV_Lib[],MATCH(AD$2,SP_ENV_Lib[#Headers],0),FALSE)=0,"",VLOOKUP(CONCATENATE($A56,"_",AD$1),SP_ENV_Lib[],MATCH(AD$2,SP_ENV_Lib[#Headers],0),FALSE)),"")</f>
        <v>43900</v>
      </c>
      <c r="AE56" s="74" t="str">
        <f>IFERROR(IF(VLOOKUP(CONCATENATE($A56,"_",AE$1),SP_ENV_Lib[],MATCH(AE$2,SP_ENV_Lib[#Headers],0),FALSE)=0,"",VLOOKUP(CONCATENATE($A56,"_",AE$1),SP_ENV_Lib[],MATCH(AE$2,SP_ENV_Lib[#Headers],0),FALSE)),"")</f>
        <v/>
      </c>
      <c r="AF56" s="172" t="str">
        <f>IFERROR(VLOOKUP(CONCATENATE($A56,"_",AF$1),SP_ENV_Lib[],MATCH(AF$2,SP_ENV_Lib[#Headers],0),FALSE),0)</f>
        <v>Accepted</v>
      </c>
      <c r="AG56" s="74"/>
      <c r="AH56" s="74"/>
      <c r="AI56" s="74"/>
      <c r="AJ56" s="84"/>
    </row>
    <row r="57" spans="1:36" ht="15" x14ac:dyDescent="0.2">
      <c r="A57" s="67" t="s">
        <v>2959</v>
      </c>
      <c r="B57" s="154" t="str">
        <f>LEFT(VLOOKUP($A57,SP_EnvTract_DB[],MATCH(B$2,SP_EnvTract_DB[#Headers],0),FALSE),7)</f>
        <v>R021331</v>
      </c>
      <c r="C57" s="68" t="str">
        <f>VLOOKUP($A57,SP_EnvTract_DB[],MATCH(C$2,SP_EnvTract_DB[#Headers],0),FALSE)</f>
        <v>ENV</v>
      </c>
      <c r="D57" s="156" t="str">
        <f>VLOOKUP($A57,SP_EnvTract_DB[],MATCH(D$2,SP_EnvTract_DB[#Headers],0),FALSE)</f>
        <v>MARTINEZ ANITA;#153</v>
      </c>
      <c r="E57" s="156" t="str">
        <f>VLOOKUP($A57,SP_EnvTract_DB[],MATCH(E$2,SP_EnvTract_DB[#Headers],0),FALSE)</f>
        <v>0 OUTLAR;#153</v>
      </c>
      <c r="F57" s="69">
        <f>VLOOKUP($A57,SP_EnvTract_DB[],MATCH(F$2,SP_EnvTract_DB[#Headers],0),FALSE)</f>
        <v>0</v>
      </c>
      <c r="G57" s="73">
        <f>VLOOKUP($A57,SP_EnvTract_DB[],MATCH(G$2,SP_EnvTract_DB[#Headers],0),FALSE)</f>
        <v>0</v>
      </c>
      <c r="H57" s="73" t="str">
        <f>VLOOKUP($A57,SP_EnvTract_DB[],MATCH(H$2,SP_EnvTract_DB[#Headers],0),FALSE)</f>
        <v>Lily Khan</v>
      </c>
      <c r="I57" s="69">
        <f>VLOOKUP($A57,SP_EnvTract_DB[],MATCH(I$2,SP_EnvTract_DB[#Headers],0),FALSE)</f>
        <v>0</v>
      </c>
      <c r="J57" s="69">
        <f>VLOOKUP($A57,SP_EnvTract_DB[],MATCH(J$2,SP_EnvTract_DB[#Headers],0),FALSE)</f>
        <v>0</v>
      </c>
      <c r="K57" s="69">
        <f>VLOOKUP($A57,SP_EnvTract_DB[],MATCH(K$2,SP_EnvTract_DB[#Headers],0),FALSE)</f>
        <v>0</v>
      </c>
      <c r="L57" s="69">
        <f>VLOOKUP($A57,SP_EnvTract_DB[],MATCH(L$2,SP_EnvTract_DB[#Headers],0),FALSE)</f>
        <v>0</v>
      </c>
      <c r="M57" s="69">
        <f>VLOOKUP($A57,SP_EnvTract_DB[],MATCH(M$2,SP_EnvTract_DB[#Headers],0),FALSE)</f>
        <v>0</v>
      </c>
      <c r="N57" s="69">
        <f>VLOOKUP($A57,SP_EnvTract_DB[],MATCH(N$2,SP_EnvTract_DB[#Headers],0),FALSE)</f>
        <v>0</v>
      </c>
      <c r="O57" s="74">
        <f>VLOOKUP($A57,SP_EnvTract_DB[],MATCH(O$2,SP_EnvTract_DB[#Headers],0),FALSE)</f>
        <v>0</v>
      </c>
      <c r="P57" s="73">
        <f>VLOOKUP($A57,SP_EnvTract_DB[],MATCH(P$2,SP_EnvTract_DB[#Headers],0),FALSE)</f>
        <v>0</v>
      </c>
      <c r="Q57" s="73">
        <f>VLOOKUP($A57,SP_EnvTract_DB[],MATCH(Q$2,SP_EnvTract_DB[#Headers],0),FALSE)</f>
        <v>0</v>
      </c>
      <c r="R57" s="74">
        <f>VLOOKUP($A57,SP_EnvTract_DB[],MATCH(R$2,SP_EnvTract_DB[#Headers],0),FALSE)</f>
        <v>0</v>
      </c>
      <c r="S57" s="68">
        <f>VLOOKUP($A57,SP_EnvTract_DB[],MATCH(S$2,SP_EnvTract_DB[#Headers],0),FALSE)</f>
        <v>0</v>
      </c>
      <c r="T57" s="68">
        <f>VLOOKUP($A57,SP_EnvTract_DB[],MATCH(T$2,SP_EnvTract_DB[#Headers],0),FALSE)</f>
        <v>0</v>
      </c>
      <c r="U57" s="74">
        <f>VLOOKUP($A57,SP_EnvTract_DB[],MATCH(U$2,SP_EnvTract_DB[#Headers],0),FALSE)</f>
        <v>0</v>
      </c>
      <c r="V57" s="68">
        <f>VLOOKUP($A57,SP_EnvTract_DB[],MATCH(V$2,SP_EnvTract_DB[#Headers],0),FALSE)</f>
        <v>0</v>
      </c>
      <c r="W57" s="68">
        <f>VLOOKUP($A57,SP_EnvTract_DB[],MATCH(W$2,SP_EnvTract_DB[#Headers],0),FALSE)</f>
        <v>0</v>
      </c>
      <c r="X57" s="68">
        <f>VLOOKUP($A57,SP_EnvTract_DB[],MATCH(X$2,SP_EnvTract_DB[#Headers],0),FALSE)</f>
        <v>0</v>
      </c>
      <c r="Y57" s="80">
        <f>VLOOKUP($A57,SP_EnvTract_DB[],MATCH(Y$2,SP_EnvTract_DB[#Headers],0),FALSE)</f>
        <v>0</v>
      </c>
      <c r="Z57" s="81" t="str">
        <f>IFERROR(IF(VLOOKUP(CONCATENATE($A57,"_",Z$1),SP_,MATCH(Z$2,SP_ENV_Lib[#Headers],0),FALSE)=0,"",VLOOKUP(CONCATENATE($A57,"_",Z$1),SP_ENV_Lib[],MATCH(Z$2,SP_ACQ_Lib[#Headers],0),FALSE)),"")</f>
        <v/>
      </c>
      <c r="AA57" s="74"/>
      <c r="AB57" s="74">
        <f>IFERROR(IF(VLOOKUP(CONCATENATE($A57,"_",AB$1),SP_ENV_Lib[],MATCH(AB$2,SP_ENV_Lib[#Headers],0),FALSE)=0,"",VLOOKUP(CONCATENATE($A57,"_",AB$1),SP_ENV_Lib[],MATCH(AB$2,SP_ENV_Lib[#Headers],0),FALSE)),"")</f>
        <v>43943.746134259258</v>
      </c>
      <c r="AC57" s="74">
        <f>IFERROR(IF(VLOOKUP(CONCATENATE($A57,"_",AC$1),SP_ENV_Lib[],MATCH(AC$2,SP_ENV_Lib[#Headers],0),FALSE)=0,"",VLOOKUP(CONCATENATE($A57,"_",AC$1),SP_ENV_Lib[],MATCH(AC$2,SP_ENV_Lib[#Headers],0),FALSE)),"")</f>
        <v>43845</v>
      </c>
      <c r="AD57" s="74" t="str">
        <f>IFERROR(IF(VLOOKUP(CONCATENATE($A57,"_",AD$1),SP_ENV_Lib[],MATCH(AD$2,SP_ENV_Lib[#Headers],0),FALSE)=0,"",VLOOKUP(CONCATENATE($A57,"_",AD$1),SP_ENV_Lib[],MATCH(AD$2,SP_ENV_Lib[#Headers],0),FALSE)),"")</f>
        <v/>
      </c>
      <c r="AE57" s="74" t="str">
        <f>IFERROR(IF(VLOOKUP(CONCATENATE($A57,"_",AE$1),SP_ENV_Lib[],MATCH(AE$2,SP_ENV_Lib[#Headers],0),FALSE)=0,"",VLOOKUP(CONCATENATE($A57,"_",AE$1),SP_ENV_Lib[],MATCH(AE$2,SP_ENV_Lib[#Headers],0),FALSE)),"")</f>
        <v/>
      </c>
      <c r="AF57" s="172" t="str">
        <f>IFERROR(VLOOKUP(CONCATENATE($A57,"_",AF$1),SP_ENV_Lib[],MATCH(AF$2,SP_ENV_Lib[#Headers],0),FALSE),0)</f>
        <v>Accepted</v>
      </c>
      <c r="AG57" s="74"/>
      <c r="AH57" s="74"/>
      <c r="AI57" s="74"/>
      <c r="AJ57" s="84"/>
    </row>
    <row r="58" spans="1:36" ht="15" x14ac:dyDescent="0.2">
      <c r="A58" s="67" t="s">
        <v>2964</v>
      </c>
      <c r="B58" s="154" t="str">
        <f>LEFT(VLOOKUP($A58,SP_EnvTract_DB[],MATCH(B$2,SP_EnvTract_DB[#Headers],0),FALSE),7)</f>
        <v>R021333</v>
      </c>
      <c r="C58" s="68" t="str">
        <f>VLOOKUP($A58,SP_EnvTract_DB[],MATCH(C$2,SP_EnvTract_DB[#Headers],0),FALSE)</f>
        <v>ENV</v>
      </c>
      <c r="D58" s="156" t="str">
        <f>VLOOKUP($A58,SP_EnvTract_DB[],MATCH(D$2,SP_EnvTract_DB[#Headers],0),FALSE)</f>
        <v>MARTINEZ GUADALUPE EST;#154</v>
      </c>
      <c r="E58" s="156" t="str">
        <f>VLOOKUP($A58,SP_EnvTract_DB[],MATCH(E$2,SP_EnvTract_DB[#Headers],0),FALSE)</f>
        <v>209 N OUTLAR;#154</v>
      </c>
      <c r="F58" s="69">
        <f>VLOOKUP($A58,SP_EnvTract_DB[],MATCH(F$2,SP_EnvTract_DB[#Headers],0),FALSE)</f>
        <v>0</v>
      </c>
      <c r="G58" s="73">
        <f>VLOOKUP($A58,SP_EnvTract_DB[],MATCH(G$2,SP_EnvTract_DB[#Headers],0),FALSE)</f>
        <v>0</v>
      </c>
      <c r="H58" s="73" t="str">
        <f>VLOOKUP($A58,SP_EnvTract_DB[],MATCH(H$2,SP_EnvTract_DB[#Headers],0),FALSE)</f>
        <v>Lily Khan</v>
      </c>
      <c r="I58" s="69">
        <f>VLOOKUP($A58,SP_EnvTract_DB[],MATCH(I$2,SP_EnvTract_DB[#Headers],0),FALSE)</f>
        <v>0</v>
      </c>
      <c r="J58" s="69">
        <f>VLOOKUP($A58,SP_EnvTract_DB[],MATCH(J$2,SP_EnvTract_DB[#Headers],0),FALSE)</f>
        <v>0</v>
      </c>
      <c r="K58" s="69">
        <f>VLOOKUP($A58,SP_EnvTract_DB[],MATCH(K$2,SP_EnvTract_DB[#Headers],0),FALSE)</f>
        <v>0</v>
      </c>
      <c r="L58" s="69">
        <f>VLOOKUP($A58,SP_EnvTract_DB[],MATCH(L$2,SP_EnvTract_DB[#Headers],0),FALSE)</f>
        <v>0</v>
      </c>
      <c r="M58" s="69">
        <f>VLOOKUP($A58,SP_EnvTract_DB[],MATCH(M$2,SP_EnvTract_DB[#Headers],0),FALSE)</f>
        <v>0</v>
      </c>
      <c r="N58" s="69">
        <f>VLOOKUP($A58,SP_EnvTract_DB[],MATCH(N$2,SP_EnvTract_DB[#Headers],0),FALSE)</f>
        <v>0</v>
      </c>
      <c r="O58" s="74">
        <f>VLOOKUP($A58,SP_EnvTract_DB[],MATCH(O$2,SP_EnvTract_DB[#Headers],0),FALSE)</f>
        <v>0</v>
      </c>
      <c r="P58" s="73">
        <f>VLOOKUP($A58,SP_EnvTract_DB[],MATCH(P$2,SP_EnvTract_DB[#Headers],0),FALSE)</f>
        <v>0</v>
      </c>
      <c r="Q58" s="73">
        <f>VLOOKUP($A58,SP_EnvTract_DB[],MATCH(Q$2,SP_EnvTract_DB[#Headers],0),FALSE)</f>
        <v>0</v>
      </c>
      <c r="R58" s="74">
        <f>VLOOKUP($A58,SP_EnvTract_DB[],MATCH(R$2,SP_EnvTract_DB[#Headers],0),FALSE)</f>
        <v>0</v>
      </c>
      <c r="S58" s="68">
        <f>VLOOKUP($A58,SP_EnvTract_DB[],MATCH(S$2,SP_EnvTract_DB[#Headers],0),FALSE)</f>
        <v>0</v>
      </c>
      <c r="T58" s="68">
        <f>VLOOKUP($A58,SP_EnvTract_DB[],MATCH(T$2,SP_EnvTract_DB[#Headers],0),FALSE)</f>
        <v>0</v>
      </c>
      <c r="U58" s="74">
        <f>VLOOKUP($A58,SP_EnvTract_DB[],MATCH(U$2,SP_EnvTract_DB[#Headers],0),FALSE)</f>
        <v>0</v>
      </c>
      <c r="V58" s="68">
        <f>VLOOKUP($A58,SP_EnvTract_DB[],MATCH(V$2,SP_EnvTract_DB[#Headers],0),FALSE)</f>
        <v>0</v>
      </c>
      <c r="W58" s="68">
        <f>VLOOKUP($A58,SP_EnvTract_DB[],MATCH(W$2,SP_EnvTract_DB[#Headers],0),FALSE)</f>
        <v>0</v>
      </c>
      <c r="X58" s="68">
        <f>VLOOKUP($A58,SP_EnvTract_DB[],MATCH(X$2,SP_EnvTract_DB[#Headers],0),FALSE)</f>
        <v>0</v>
      </c>
      <c r="Y58" s="80">
        <f>VLOOKUP($A58,SP_EnvTract_DB[],MATCH(Y$2,SP_EnvTract_DB[#Headers],0),FALSE)</f>
        <v>0</v>
      </c>
      <c r="Z58" s="81" t="str">
        <f>IFERROR(IF(VLOOKUP(CONCATENATE($A58,"_",Z$1),SP_,MATCH(Z$2,SP_ENV_Lib[#Headers],0),FALSE)=0,"",VLOOKUP(CONCATENATE($A58,"_",Z$1),SP_ENV_Lib[],MATCH(Z$2,SP_ACQ_Lib[#Headers],0),FALSE)),"")</f>
        <v/>
      </c>
      <c r="AA58" s="74"/>
      <c r="AB58" s="74">
        <f>IFERROR(IF(VLOOKUP(CONCATENATE($A58,"_",AB$1),SP_ENV_Lib[],MATCH(AB$2,SP_ENV_Lib[#Headers],0),FALSE)=0,"",VLOOKUP(CONCATENATE($A58,"_",AB$1),SP_ENV_Lib[],MATCH(AB$2,SP_ENV_Lib[#Headers],0),FALSE)),"")</f>
        <v>43920.696481481478</v>
      </c>
      <c r="AC58" s="74">
        <f>IFERROR(IF(VLOOKUP(CONCATENATE($A58,"_",AC$1),SP_ENV_Lib[],MATCH(AC$2,SP_ENV_Lib[#Headers],0),FALSE)=0,"",VLOOKUP(CONCATENATE($A58,"_",AC$1),SP_ENV_Lib[],MATCH(AC$2,SP_ENV_Lib[#Headers],0),FALSE)),"")</f>
        <v>43845</v>
      </c>
      <c r="AD58" s="74" t="str">
        <f>IFERROR(IF(VLOOKUP(CONCATENATE($A58,"_",AD$1),SP_ENV_Lib[],MATCH(AD$2,SP_ENV_Lib[#Headers],0),FALSE)=0,"",VLOOKUP(CONCATENATE($A58,"_",AD$1),SP_ENV_Lib[],MATCH(AD$2,SP_ENV_Lib[#Headers],0),FALSE)),"")</f>
        <v/>
      </c>
      <c r="AE58" s="74" t="str">
        <f>IFERROR(IF(VLOOKUP(CONCATENATE($A58,"_",AE$1),SP_ENV_Lib[],MATCH(AE$2,SP_ENV_Lib[#Headers],0),FALSE)=0,"",VLOOKUP(CONCATENATE($A58,"_",AE$1),SP_ENV_Lib[],MATCH(AE$2,SP_ENV_Lib[#Headers],0),FALSE)),"")</f>
        <v/>
      </c>
      <c r="AF58" s="172" t="str">
        <f>IFERROR(VLOOKUP(CONCATENATE($A58,"_",AF$1),SP_ENV_Lib[],MATCH(AF$2,SP_ENV_Lib[#Headers],0),FALSE),0)</f>
        <v>Accepted</v>
      </c>
      <c r="AG58" s="74"/>
      <c r="AH58" s="74"/>
      <c r="AI58" s="74"/>
      <c r="AJ58" s="84"/>
    </row>
    <row r="59" spans="1:36" ht="15" x14ac:dyDescent="0.2">
      <c r="A59" s="67" t="s">
        <v>2969</v>
      </c>
      <c r="B59" s="154" t="str">
        <f>LEFT(VLOOKUP($A59,SP_EnvTract_DB[],MATCH(B$2,SP_EnvTract_DB[#Headers],0),FALSE),7)</f>
        <v>R021334</v>
      </c>
      <c r="C59" s="68" t="str">
        <f>VLOOKUP($A59,SP_EnvTract_DB[],MATCH(C$2,SP_EnvTract_DB[#Headers],0),FALSE)</f>
        <v>ENV</v>
      </c>
      <c r="D59" s="156" t="str">
        <f>VLOOKUP($A59,SP_EnvTract_DB[],MATCH(D$2,SP_EnvTract_DB[#Headers],0),FALSE)</f>
        <v>HAYES MICHAEL;#155</v>
      </c>
      <c r="E59" s="156" t="str">
        <f>VLOOKUP($A59,SP_EnvTract_DB[],MATCH(E$2,SP_EnvTract_DB[#Headers],0),FALSE)</f>
        <v>127 OUTLAR;#155</v>
      </c>
      <c r="F59" s="69">
        <f>VLOOKUP($A59,SP_EnvTract_DB[],MATCH(F$2,SP_EnvTract_DB[#Headers],0),FALSE)</f>
        <v>0</v>
      </c>
      <c r="G59" s="73">
        <f>VLOOKUP($A59,SP_EnvTract_DB[],MATCH(G$2,SP_EnvTract_DB[#Headers],0),FALSE)</f>
        <v>0</v>
      </c>
      <c r="H59" s="73" t="str">
        <f>VLOOKUP($A59,SP_EnvTract_DB[],MATCH(H$2,SP_EnvTract_DB[#Headers],0),FALSE)</f>
        <v>Lily Khan</v>
      </c>
      <c r="I59" s="69">
        <f>VLOOKUP($A59,SP_EnvTract_DB[],MATCH(I$2,SP_EnvTract_DB[#Headers],0),FALSE)</f>
        <v>0</v>
      </c>
      <c r="J59" s="69">
        <f>VLOOKUP($A59,SP_EnvTract_DB[],MATCH(J$2,SP_EnvTract_DB[#Headers],0),FALSE)</f>
        <v>0</v>
      </c>
      <c r="K59" s="69">
        <f>VLOOKUP($A59,SP_EnvTract_DB[],MATCH(K$2,SP_EnvTract_DB[#Headers],0),FALSE)</f>
        <v>0</v>
      </c>
      <c r="L59" s="69">
        <f>VLOOKUP($A59,SP_EnvTract_DB[],MATCH(L$2,SP_EnvTract_DB[#Headers],0),FALSE)</f>
        <v>0</v>
      </c>
      <c r="M59" s="69">
        <f>VLOOKUP($A59,SP_EnvTract_DB[],MATCH(M$2,SP_EnvTract_DB[#Headers],0),FALSE)</f>
        <v>0</v>
      </c>
      <c r="N59" s="69">
        <f>VLOOKUP($A59,SP_EnvTract_DB[],MATCH(N$2,SP_EnvTract_DB[#Headers],0),FALSE)</f>
        <v>0</v>
      </c>
      <c r="O59" s="74">
        <f>VLOOKUP($A59,SP_EnvTract_DB[],MATCH(O$2,SP_EnvTract_DB[#Headers],0),FALSE)</f>
        <v>0</v>
      </c>
      <c r="P59" s="73">
        <f>VLOOKUP($A59,SP_EnvTract_DB[],MATCH(P$2,SP_EnvTract_DB[#Headers],0),FALSE)</f>
        <v>0</v>
      </c>
      <c r="Q59" s="73">
        <f>VLOOKUP($A59,SP_EnvTract_DB[],MATCH(Q$2,SP_EnvTract_DB[#Headers],0),FALSE)</f>
        <v>0</v>
      </c>
      <c r="R59" s="74">
        <f>VLOOKUP($A59,SP_EnvTract_DB[],MATCH(R$2,SP_EnvTract_DB[#Headers],0),FALSE)</f>
        <v>0</v>
      </c>
      <c r="S59" s="68">
        <f>VLOOKUP($A59,SP_EnvTract_DB[],MATCH(S$2,SP_EnvTract_DB[#Headers],0),FALSE)</f>
        <v>0</v>
      </c>
      <c r="T59" s="68">
        <f>VLOOKUP($A59,SP_EnvTract_DB[],MATCH(T$2,SP_EnvTract_DB[#Headers],0),FALSE)</f>
        <v>0</v>
      </c>
      <c r="U59" s="74">
        <f>VLOOKUP($A59,SP_EnvTract_DB[],MATCH(U$2,SP_EnvTract_DB[#Headers],0),FALSE)</f>
        <v>0</v>
      </c>
      <c r="V59" s="68">
        <f>VLOOKUP($A59,SP_EnvTract_DB[],MATCH(V$2,SP_EnvTract_DB[#Headers],0),FALSE)</f>
        <v>0</v>
      </c>
      <c r="W59" s="68">
        <f>VLOOKUP($A59,SP_EnvTract_DB[],MATCH(W$2,SP_EnvTract_DB[#Headers],0),FALSE)</f>
        <v>0</v>
      </c>
      <c r="X59" s="68">
        <f>VLOOKUP($A59,SP_EnvTract_DB[],MATCH(X$2,SP_EnvTract_DB[#Headers],0),FALSE)</f>
        <v>0</v>
      </c>
      <c r="Y59" s="80">
        <f>VLOOKUP($A59,SP_EnvTract_DB[],MATCH(Y$2,SP_EnvTract_DB[#Headers],0),FALSE)</f>
        <v>0</v>
      </c>
      <c r="Z59" s="81" t="str">
        <f>IFERROR(IF(VLOOKUP(CONCATENATE($A59,"_",Z$1),SP_,MATCH(Z$2,SP_ENV_Lib[#Headers],0),FALSE)=0,"",VLOOKUP(CONCATENATE($A59,"_",Z$1),SP_ENV_Lib[],MATCH(Z$2,SP_ACQ_Lib[#Headers],0),FALSE)),"")</f>
        <v/>
      </c>
      <c r="AA59" s="74"/>
      <c r="AB59" s="74">
        <f>IFERROR(IF(VLOOKUP(CONCATENATE($A59,"_",AB$1),SP_ENV_Lib[],MATCH(AB$2,SP_ENV_Lib[#Headers],0),FALSE)=0,"",VLOOKUP(CONCATENATE($A59,"_",AB$1),SP_ENV_Lib[],MATCH(AB$2,SP_ENV_Lib[#Headers],0),FALSE)),"")</f>
        <v>43893.499374999999</v>
      </c>
      <c r="AC59" s="74">
        <f>IFERROR(IF(VLOOKUP(CONCATENATE($A59,"_",AC$1),SP_ENV_Lib[],MATCH(AC$2,SP_ENV_Lib[#Headers],0),FALSE)=0,"",VLOOKUP(CONCATENATE($A59,"_",AC$1),SP_ENV_Lib[],MATCH(AC$2,SP_ENV_Lib[#Headers],0),FALSE)),"")</f>
        <v>43845</v>
      </c>
      <c r="AD59" s="74">
        <f>IFERROR(IF(VLOOKUP(CONCATENATE($A59,"_",AD$1),SP_ENV_Lib[],MATCH(AD$2,SP_ENV_Lib[#Headers],0),FALSE)=0,"",VLOOKUP(CONCATENATE($A59,"_",AD$1),SP_ENV_Lib[],MATCH(AD$2,SP_ENV_Lib[#Headers],0),FALSE)),"")</f>
        <v>43895</v>
      </c>
      <c r="AE59" s="74" t="str">
        <f>IFERROR(IF(VLOOKUP(CONCATENATE($A59,"_",AE$1),SP_ENV_Lib[],MATCH(AE$2,SP_ENV_Lib[#Headers],0),FALSE)=0,"",VLOOKUP(CONCATENATE($A59,"_",AE$1),SP_ENV_Lib[],MATCH(AE$2,SP_ENV_Lib[#Headers],0),FALSE)),"")</f>
        <v/>
      </c>
      <c r="AF59" s="172" t="str">
        <f>IFERROR(VLOOKUP(CONCATENATE($A59,"_",AF$1),SP_ENV_Lib[],MATCH(AF$2,SP_ENV_Lib[#Headers],0),FALSE),0)</f>
        <v>Accepted</v>
      </c>
      <c r="AG59" s="74"/>
      <c r="AH59" s="74"/>
      <c r="AI59" s="74"/>
      <c r="AJ59" s="84"/>
    </row>
    <row r="60" spans="1:36" ht="15" x14ac:dyDescent="0.2">
      <c r="A60" s="67" t="s">
        <v>2974</v>
      </c>
      <c r="B60" s="154" t="str">
        <f>LEFT(VLOOKUP($A60,SP_EnvTract_DB[],MATCH(B$2,SP_EnvTract_DB[#Headers],0),FALSE),7)</f>
        <v>R021335</v>
      </c>
      <c r="C60" s="68" t="str">
        <f>VLOOKUP($A60,SP_EnvTract_DB[],MATCH(C$2,SP_EnvTract_DB[#Headers],0),FALSE)</f>
        <v>ENV</v>
      </c>
      <c r="D60" s="156" t="str">
        <f>VLOOKUP($A60,SP_EnvTract_DB[],MATCH(D$2,SP_EnvTract_DB[#Headers],0),FALSE)</f>
        <v>HAYES MICHAEL;#156</v>
      </c>
      <c r="E60" s="156" t="str">
        <f>VLOOKUP($A60,SP_EnvTract_DB[],MATCH(E$2,SP_EnvTract_DB[#Headers],0),FALSE)</f>
        <v>0  OUTLAR;#156</v>
      </c>
      <c r="F60" s="69">
        <f>VLOOKUP($A60,SP_EnvTract_DB[],MATCH(F$2,SP_EnvTract_DB[#Headers],0),FALSE)</f>
        <v>0</v>
      </c>
      <c r="G60" s="73">
        <f>VLOOKUP($A60,SP_EnvTract_DB[],MATCH(G$2,SP_EnvTract_DB[#Headers],0),FALSE)</f>
        <v>0</v>
      </c>
      <c r="H60" s="73" t="str">
        <f>VLOOKUP($A60,SP_EnvTract_DB[],MATCH(H$2,SP_EnvTract_DB[#Headers],0),FALSE)</f>
        <v>Lily Khan</v>
      </c>
      <c r="I60" s="69">
        <f>VLOOKUP($A60,SP_EnvTract_DB[],MATCH(I$2,SP_EnvTract_DB[#Headers],0),FALSE)</f>
        <v>0</v>
      </c>
      <c r="J60" s="69">
        <f>VLOOKUP($A60,SP_EnvTract_DB[],MATCH(J$2,SP_EnvTract_DB[#Headers],0),FALSE)</f>
        <v>0</v>
      </c>
      <c r="K60" s="69">
        <f>VLOOKUP($A60,SP_EnvTract_DB[],MATCH(K$2,SP_EnvTract_DB[#Headers],0),FALSE)</f>
        <v>0</v>
      </c>
      <c r="L60" s="69">
        <f>VLOOKUP($A60,SP_EnvTract_DB[],MATCH(L$2,SP_EnvTract_DB[#Headers],0),FALSE)</f>
        <v>0</v>
      </c>
      <c r="M60" s="69">
        <f>VLOOKUP($A60,SP_EnvTract_DB[],MATCH(M$2,SP_EnvTract_DB[#Headers],0),FALSE)</f>
        <v>0</v>
      </c>
      <c r="N60" s="69">
        <f>VLOOKUP($A60,SP_EnvTract_DB[],MATCH(N$2,SP_EnvTract_DB[#Headers],0),FALSE)</f>
        <v>0</v>
      </c>
      <c r="O60" s="74">
        <f>VLOOKUP($A60,SP_EnvTract_DB[],MATCH(O$2,SP_EnvTract_DB[#Headers],0),FALSE)</f>
        <v>0</v>
      </c>
      <c r="P60" s="73">
        <f>VLOOKUP($A60,SP_EnvTract_DB[],MATCH(P$2,SP_EnvTract_DB[#Headers],0),FALSE)</f>
        <v>0</v>
      </c>
      <c r="Q60" s="73">
        <f>VLOOKUP($A60,SP_EnvTract_DB[],MATCH(Q$2,SP_EnvTract_DB[#Headers],0),FALSE)</f>
        <v>0</v>
      </c>
      <c r="R60" s="74">
        <f>VLOOKUP($A60,SP_EnvTract_DB[],MATCH(R$2,SP_EnvTract_DB[#Headers],0),FALSE)</f>
        <v>0</v>
      </c>
      <c r="S60" s="68">
        <f>VLOOKUP($A60,SP_EnvTract_DB[],MATCH(S$2,SP_EnvTract_DB[#Headers],0),FALSE)</f>
        <v>0</v>
      </c>
      <c r="T60" s="68">
        <f>VLOOKUP($A60,SP_EnvTract_DB[],MATCH(T$2,SP_EnvTract_DB[#Headers],0),FALSE)</f>
        <v>0</v>
      </c>
      <c r="U60" s="74">
        <f>VLOOKUP($A60,SP_EnvTract_DB[],MATCH(U$2,SP_EnvTract_DB[#Headers],0),FALSE)</f>
        <v>0</v>
      </c>
      <c r="V60" s="68">
        <f>VLOOKUP($A60,SP_EnvTract_DB[],MATCH(V$2,SP_EnvTract_DB[#Headers],0),FALSE)</f>
        <v>0</v>
      </c>
      <c r="W60" s="68">
        <f>VLOOKUP($A60,SP_EnvTract_DB[],MATCH(W$2,SP_EnvTract_DB[#Headers],0),FALSE)</f>
        <v>0</v>
      </c>
      <c r="X60" s="68">
        <f>VLOOKUP($A60,SP_EnvTract_DB[],MATCH(X$2,SP_EnvTract_DB[#Headers],0),FALSE)</f>
        <v>0</v>
      </c>
      <c r="Y60" s="80">
        <f>VLOOKUP($A60,SP_EnvTract_DB[],MATCH(Y$2,SP_EnvTract_DB[#Headers],0),FALSE)</f>
        <v>0</v>
      </c>
      <c r="Z60" s="81" t="str">
        <f>IFERROR(IF(VLOOKUP(CONCATENATE($A60,"_",Z$1),SP_,MATCH(Z$2,SP_ENV_Lib[#Headers],0),FALSE)=0,"",VLOOKUP(CONCATENATE($A60,"_",Z$1),SP_ENV_Lib[],MATCH(Z$2,SP_ACQ_Lib[#Headers],0),FALSE)),"")</f>
        <v/>
      </c>
      <c r="AA60" s="74"/>
      <c r="AB60" s="74">
        <f>IFERROR(IF(VLOOKUP(CONCATENATE($A60,"_",AB$1),SP_ENV_Lib[],MATCH(AB$2,SP_ENV_Lib[#Headers],0),FALSE)=0,"",VLOOKUP(CONCATENATE($A60,"_",AB$1),SP_ENV_Lib[],MATCH(AB$2,SP_ENV_Lib[#Headers],0),FALSE)),"")</f>
        <v>43893.500381944446</v>
      </c>
      <c r="AC60" s="74">
        <f>IFERROR(IF(VLOOKUP(CONCATENATE($A60,"_",AC$1),SP_ENV_Lib[],MATCH(AC$2,SP_ENV_Lib[#Headers],0),FALSE)=0,"",VLOOKUP(CONCATENATE($A60,"_",AC$1),SP_ENV_Lib[],MATCH(AC$2,SP_ENV_Lib[#Headers],0),FALSE)),"")</f>
        <v>43845</v>
      </c>
      <c r="AD60" s="74">
        <f>IFERROR(IF(VLOOKUP(CONCATENATE($A60,"_",AD$1),SP_ENV_Lib[],MATCH(AD$2,SP_ENV_Lib[#Headers],0),FALSE)=0,"",VLOOKUP(CONCATENATE($A60,"_",AD$1),SP_ENV_Lib[],MATCH(AD$2,SP_ENV_Lib[#Headers],0),FALSE)),"")</f>
        <v>43895</v>
      </c>
      <c r="AE60" s="74" t="str">
        <f>IFERROR(IF(VLOOKUP(CONCATENATE($A60,"_",AE$1),SP_ENV_Lib[],MATCH(AE$2,SP_ENV_Lib[#Headers],0),FALSE)=0,"",VLOOKUP(CONCATENATE($A60,"_",AE$1),SP_ENV_Lib[],MATCH(AE$2,SP_ENV_Lib[#Headers],0),FALSE)),"")</f>
        <v/>
      </c>
      <c r="AF60" s="172" t="str">
        <f>IFERROR(VLOOKUP(CONCATENATE($A60,"_",AF$1),SP_ENV_Lib[],MATCH(AF$2,SP_ENV_Lib[#Headers],0),FALSE),0)</f>
        <v>Accepted</v>
      </c>
      <c r="AG60" s="74"/>
      <c r="AH60" s="74"/>
      <c r="AI60" s="74"/>
      <c r="AJ60" s="84"/>
    </row>
    <row r="61" spans="1:36" ht="15" x14ac:dyDescent="0.2">
      <c r="A61" s="67" t="s">
        <v>2979</v>
      </c>
      <c r="B61" s="154" t="str">
        <f>LEFT(VLOOKUP($A61,SP_EnvTract_DB[],MATCH(B$2,SP_EnvTract_DB[#Headers],0),FALSE),7)</f>
        <v>R021336</v>
      </c>
      <c r="C61" s="68" t="str">
        <f>VLOOKUP($A61,SP_EnvTract_DB[],MATCH(C$2,SP_EnvTract_DB[#Headers],0),FALSE)</f>
        <v>ENV</v>
      </c>
      <c r="D61" s="156" t="str">
        <f>VLOOKUP($A61,SP_EnvTract_DB[],MATCH(D$2,SP_EnvTract_DB[#Headers],0),FALSE)</f>
        <v>HAYES THELMA JEAN;#157</v>
      </c>
      <c r="E61" s="156" t="str">
        <f>VLOOKUP($A61,SP_EnvTract_DB[],MATCH(E$2,SP_EnvTract_DB[#Headers],0),FALSE)</f>
        <v>125 OUTLAR;#157</v>
      </c>
      <c r="F61" s="69">
        <f>VLOOKUP($A61,SP_EnvTract_DB[],MATCH(F$2,SP_EnvTract_DB[#Headers],0),FALSE)</f>
        <v>0</v>
      </c>
      <c r="G61" s="73">
        <f>VLOOKUP($A61,SP_EnvTract_DB[],MATCH(G$2,SP_EnvTract_DB[#Headers],0),FALSE)</f>
        <v>0</v>
      </c>
      <c r="H61" s="73" t="str">
        <f>VLOOKUP($A61,SP_EnvTract_DB[],MATCH(H$2,SP_EnvTract_DB[#Headers],0),FALSE)</f>
        <v>Lily Khan</v>
      </c>
      <c r="I61" s="69">
        <f>VLOOKUP($A61,SP_EnvTract_DB[],MATCH(I$2,SP_EnvTract_DB[#Headers],0),FALSE)</f>
        <v>0</v>
      </c>
      <c r="J61" s="69">
        <f>VLOOKUP($A61,SP_EnvTract_DB[],MATCH(J$2,SP_EnvTract_DB[#Headers],0),FALSE)</f>
        <v>0</v>
      </c>
      <c r="K61" s="69">
        <f>VLOOKUP($A61,SP_EnvTract_DB[],MATCH(K$2,SP_EnvTract_DB[#Headers],0),FALSE)</f>
        <v>0</v>
      </c>
      <c r="L61" s="69">
        <f>VLOOKUP($A61,SP_EnvTract_DB[],MATCH(L$2,SP_EnvTract_DB[#Headers],0),FALSE)</f>
        <v>0</v>
      </c>
      <c r="M61" s="69">
        <f>VLOOKUP($A61,SP_EnvTract_DB[],MATCH(M$2,SP_EnvTract_DB[#Headers],0),FALSE)</f>
        <v>0</v>
      </c>
      <c r="N61" s="69">
        <f>VLOOKUP($A61,SP_EnvTract_DB[],MATCH(N$2,SP_EnvTract_DB[#Headers],0),FALSE)</f>
        <v>0</v>
      </c>
      <c r="O61" s="74">
        <f>VLOOKUP($A61,SP_EnvTract_DB[],MATCH(O$2,SP_EnvTract_DB[#Headers],0),FALSE)</f>
        <v>0</v>
      </c>
      <c r="P61" s="73">
        <f>VLOOKUP($A61,SP_EnvTract_DB[],MATCH(P$2,SP_EnvTract_DB[#Headers],0),FALSE)</f>
        <v>0</v>
      </c>
      <c r="Q61" s="73">
        <f>VLOOKUP($A61,SP_EnvTract_DB[],MATCH(Q$2,SP_EnvTract_DB[#Headers],0),FALSE)</f>
        <v>0</v>
      </c>
      <c r="R61" s="74">
        <f>VLOOKUP($A61,SP_EnvTract_DB[],MATCH(R$2,SP_EnvTract_DB[#Headers],0),FALSE)</f>
        <v>0</v>
      </c>
      <c r="S61" s="68">
        <f>VLOOKUP($A61,SP_EnvTract_DB[],MATCH(S$2,SP_EnvTract_DB[#Headers],0),FALSE)</f>
        <v>0</v>
      </c>
      <c r="T61" s="68">
        <f>VLOOKUP($A61,SP_EnvTract_DB[],MATCH(T$2,SP_EnvTract_DB[#Headers],0),FALSE)</f>
        <v>0</v>
      </c>
      <c r="U61" s="74">
        <f>VLOOKUP($A61,SP_EnvTract_DB[],MATCH(U$2,SP_EnvTract_DB[#Headers],0),FALSE)</f>
        <v>0</v>
      </c>
      <c r="V61" s="68">
        <f>VLOOKUP($A61,SP_EnvTract_DB[],MATCH(V$2,SP_EnvTract_DB[#Headers],0),FALSE)</f>
        <v>0</v>
      </c>
      <c r="W61" s="68">
        <f>VLOOKUP($A61,SP_EnvTract_DB[],MATCH(W$2,SP_EnvTract_DB[#Headers],0),FALSE)</f>
        <v>0</v>
      </c>
      <c r="X61" s="68">
        <f>VLOOKUP($A61,SP_EnvTract_DB[],MATCH(X$2,SP_EnvTract_DB[#Headers],0),FALSE)</f>
        <v>0</v>
      </c>
      <c r="Y61" s="80">
        <f>VLOOKUP($A61,SP_EnvTract_DB[],MATCH(Y$2,SP_EnvTract_DB[#Headers],0),FALSE)</f>
        <v>0</v>
      </c>
      <c r="Z61" s="81" t="str">
        <f>IFERROR(IF(VLOOKUP(CONCATENATE($A61,"_",Z$1),SP_,MATCH(Z$2,SP_ENV_Lib[#Headers],0),FALSE)=0,"",VLOOKUP(CONCATENATE($A61,"_",Z$1),SP_ENV_Lib[],MATCH(Z$2,SP_ACQ_Lib[#Headers],0),FALSE)),"")</f>
        <v/>
      </c>
      <c r="AA61" s="74"/>
      <c r="AB61" s="74">
        <f>IFERROR(IF(VLOOKUP(CONCATENATE($A61,"_",AB$1),SP_ENV_Lib[],MATCH(AB$2,SP_ENV_Lib[#Headers],0),FALSE)=0,"",VLOOKUP(CONCATENATE($A61,"_",AB$1),SP_ENV_Lib[],MATCH(AB$2,SP_ENV_Lib[#Headers],0),FALSE)),"")</f>
        <v>43893.504930555559</v>
      </c>
      <c r="AC61" s="74">
        <f>IFERROR(IF(VLOOKUP(CONCATENATE($A61,"_",AC$1),SP_ENV_Lib[],MATCH(AC$2,SP_ENV_Lib[#Headers],0),FALSE)=0,"",VLOOKUP(CONCATENATE($A61,"_",AC$1),SP_ENV_Lib[],MATCH(AC$2,SP_ENV_Lib[#Headers],0),FALSE)),"")</f>
        <v>43845</v>
      </c>
      <c r="AD61" s="74">
        <f>IFERROR(IF(VLOOKUP(CONCATENATE($A61,"_",AD$1),SP_ENV_Lib[],MATCH(AD$2,SP_ENV_Lib[#Headers],0),FALSE)=0,"",VLOOKUP(CONCATENATE($A61,"_",AD$1),SP_ENV_Lib[],MATCH(AD$2,SP_ENV_Lib[#Headers],0),FALSE)),"")</f>
        <v>43895</v>
      </c>
      <c r="AE61" s="74" t="str">
        <f>IFERROR(IF(VLOOKUP(CONCATENATE($A61,"_",AE$1),SP_ENV_Lib[],MATCH(AE$2,SP_ENV_Lib[#Headers],0),FALSE)=0,"",VLOOKUP(CONCATENATE($A61,"_",AE$1),SP_ENV_Lib[],MATCH(AE$2,SP_ENV_Lib[#Headers],0),FALSE)),"")</f>
        <v/>
      </c>
      <c r="AF61" s="172" t="str">
        <f>IFERROR(VLOOKUP(CONCATENATE($A61,"_",AF$1),SP_ENV_Lib[],MATCH(AF$2,SP_ENV_Lib[#Headers],0),FALSE),0)</f>
        <v>Accepted</v>
      </c>
      <c r="AG61" s="74"/>
      <c r="AH61" s="74"/>
      <c r="AI61" s="74"/>
      <c r="AJ61" s="84"/>
    </row>
    <row r="62" spans="1:36" ht="15" x14ac:dyDescent="0.2">
      <c r="A62" s="67" t="s">
        <v>2984</v>
      </c>
      <c r="B62" s="154" t="str">
        <f>LEFT(VLOOKUP($A62,SP_EnvTract_DB[],MATCH(B$2,SP_EnvTract_DB[#Headers],0),FALSE),7)</f>
        <v>R021342</v>
      </c>
      <c r="C62" s="68" t="str">
        <f>VLOOKUP($A62,SP_EnvTract_DB[],MATCH(C$2,SP_EnvTract_DB[#Headers],0),FALSE)</f>
        <v>ENV</v>
      </c>
      <c r="D62" s="156" t="str">
        <f>VLOOKUP($A62,SP_EnvTract_DB[],MATCH(D$2,SP_EnvTract_DB[#Headers],0),FALSE)</f>
        <v>DAVENPORT AUSTIN DEC'D %FRANCIS DORIS;#158</v>
      </c>
      <c r="E62" s="156" t="str">
        <f>VLOOKUP($A62,SP_EnvTract_DB[],MATCH(E$2,SP_EnvTract_DB[#Headers],0),FALSE)</f>
        <v>101 OUTLAR;#158</v>
      </c>
      <c r="F62" s="69">
        <f>VLOOKUP($A62,SP_EnvTract_DB[],MATCH(F$2,SP_EnvTract_DB[#Headers],0),FALSE)</f>
        <v>0</v>
      </c>
      <c r="G62" s="73">
        <f>VLOOKUP($A62,SP_EnvTract_DB[],MATCH(G$2,SP_EnvTract_DB[#Headers],0),FALSE)</f>
        <v>0</v>
      </c>
      <c r="H62" s="73" t="str">
        <f>VLOOKUP($A62,SP_EnvTract_DB[],MATCH(H$2,SP_EnvTract_DB[#Headers],0),FALSE)</f>
        <v>Stateside</v>
      </c>
      <c r="I62" s="69">
        <f>VLOOKUP($A62,SP_EnvTract_DB[],MATCH(I$2,SP_EnvTract_DB[#Headers],0),FALSE)</f>
        <v>0</v>
      </c>
      <c r="J62" s="69">
        <f>VLOOKUP($A62,SP_EnvTract_DB[],MATCH(J$2,SP_EnvTract_DB[#Headers],0),FALSE)</f>
        <v>0</v>
      </c>
      <c r="K62" s="69">
        <f>VLOOKUP($A62,SP_EnvTract_DB[],MATCH(K$2,SP_EnvTract_DB[#Headers],0),FALSE)</f>
        <v>0</v>
      </c>
      <c r="L62" s="69">
        <f>VLOOKUP($A62,SP_EnvTract_DB[],MATCH(L$2,SP_EnvTract_DB[#Headers],0),FALSE)</f>
        <v>0</v>
      </c>
      <c r="M62" s="69">
        <f>VLOOKUP($A62,SP_EnvTract_DB[],MATCH(M$2,SP_EnvTract_DB[#Headers],0),FALSE)</f>
        <v>0</v>
      </c>
      <c r="N62" s="69">
        <f>VLOOKUP($A62,SP_EnvTract_DB[],MATCH(N$2,SP_EnvTract_DB[#Headers],0),FALSE)</f>
        <v>0</v>
      </c>
      <c r="O62" s="74">
        <f>VLOOKUP($A62,SP_EnvTract_DB[],MATCH(O$2,SP_EnvTract_DB[#Headers],0),FALSE)</f>
        <v>0</v>
      </c>
      <c r="P62" s="73">
        <f>VLOOKUP($A62,SP_EnvTract_DB[],MATCH(P$2,SP_EnvTract_DB[#Headers],0),FALSE)</f>
        <v>0</v>
      </c>
      <c r="Q62" s="73">
        <f>VLOOKUP($A62,SP_EnvTract_DB[],MATCH(Q$2,SP_EnvTract_DB[#Headers],0),FALSE)</f>
        <v>0</v>
      </c>
      <c r="R62" s="74">
        <f>VLOOKUP($A62,SP_EnvTract_DB[],MATCH(R$2,SP_EnvTract_DB[#Headers],0),FALSE)</f>
        <v>0</v>
      </c>
      <c r="S62" s="68">
        <f>VLOOKUP($A62,SP_EnvTract_DB[],MATCH(S$2,SP_EnvTract_DB[#Headers],0),FALSE)</f>
        <v>0</v>
      </c>
      <c r="T62" s="68">
        <f>VLOOKUP($A62,SP_EnvTract_DB[],MATCH(T$2,SP_EnvTract_DB[#Headers],0),FALSE)</f>
        <v>0</v>
      </c>
      <c r="U62" s="74">
        <f>VLOOKUP($A62,SP_EnvTract_DB[],MATCH(U$2,SP_EnvTract_DB[#Headers],0),FALSE)</f>
        <v>0</v>
      </c>
      <c r="V62" s="68">
        <f>VLOOKUP($A62,SP_EnvTract_DB[],MATCH(V$2,SP_EnvTract_DB[#Headers],0),FALSE)</f>
        <v>0</v>
      </c>
      <c r="W62" s="68">
        <f>VLOOKUP($A62,SP_EnvTract_DB[],MATCH(W$2,SP_EnvTract_DB[#Headers],0),FALSE)</f>
        <v>0</v>
      </c>
      <c r="X62" s="68">
        <f>VLOOKUP($A62,SP_EnvTract_DB[],MATCH(X$2,SP_EnvTract_DB[#Headers],0),FALSE)</f>
        <v>0</v>
      </c>
      <c r="Y62" s="80">
        <f>VLOOKUP($A62,SP_EnvTract_DB[],MATCH(Y$2,SP_EnvTract_DB[#Headers],0),FALSE)</f>
        <v>0</v>
      </c>
      <c r="Z62" s="81" t="str">
        <f>IFERROR(IF(VLOOKUP(CONCATENATE($A62,"_",Z$1),SP_,MATCH(Z$2,SP_ENV_Lib[#Headers],0),FALSE)=0,"",VLOOKUP(CONCATENATE($A62,"_",Z$1),SP_ENV_Lib[],MATCH(Z$2,SP_ACQ_Lib[#Headers],0),FALSE)),"")</f>
        <v/>
      </c>
      <c r="AA62" s="74"/>
      <c r="AB62" s="74" t="str">
        <f>IFERROR(IF(VLOOKUP(CONCATENATE($A62,"_",AB$1),SP_ENV_Lib[],MATCH(AB$2,SP_ENV_Lib[#Headers],0),FALSE)=0,"",VLOOKUP(CONCATENATE($A62,"_",AB$1),SP_ENV_Lib[],MATCH(AB$2,SP_ENV_Lib[#Headers],0),FALSE)),"")</f>
        <v/>
      </c>
      <c r="AC62" s="74">
        <f>IFERROR(IF(VLOOKUP(CONCATENATE($A62,"_",AC$1),SP_ENV_Lib[],MATCH(AC$2,SP_ENV_Lib[#Headers],0),FALSE)=0,"",VLOOKUP(CONCATENATE($A62,"_",AC$1),SP_ENV_Lib[],MATCH(AC$2,SP_ENV_Lib[#Headers],0),FALSE)),"")</f>
        <v>43845</v>
      </c>
      <c r="AD62" s="74" t="str">
        <f>IFERROR(IF(VLOOKUP(CONCATENATE($A62,"_",AD$1),SP_ENV_Lib[],MATCH(AD$2,SP_ENV_Lib[#Headers],0),FALSE)=0,"",VLOOKUP(CONCATENATE($A62,"_",AD$1),SP_ENV_Lib[],MATCH(AD$2,SP_ENV_Lib[#Headers],0),FALSE)),"")</f>
        <v/>
      </c>
      <c r="AE62" s="74" t="str">
        <f>IFERROR(IF(VLOOKUP(CONCATENATE($A62,"_",AE$1),SP_ENV_Lib[],MATCH(AE$2,SP_ENV_Lib[#Headers],0),FALSE)=0,"",VLOOKUP(CONCATENATE($A62,"_",AE$1),SP_ENV_Lib[],MATCH(AE$2,SP_ENV_Lib[#Headers],0),FALSE)),"")</f>
        <v/>
      </c>
      <c r="AF62" s="172" t="str">
        <f>IFERROR(VLOOKUP(CONCATENATE($A62,"_",AF$1),SP_ENV_Lib[],MATCH(AF$2,SP_ENV_Lib[#Headers],0),FALSE),0)</f>
        <v>Accepted</v>
      </c>
      <c r="AG62" s="74"/>
      <c r="AH62" s="74"/>
      <c r="AI62" s="74"/>
      <c r="AJ62" s="84"/>
    </row>
    <row r="63" spans="1:36" ht="15" x14ac:dyDescent="0.2">
      <c r="A63" s="67" t="s">
        <v>2990</v>
      </c>
      <c r="B63" s="154" t="str">
        <f>LEFT(VLOOKUP($A63,SP_EnvTract_DB[],MATCH(B$2,SP_EnvTract_DB[#Headers],0),FALSE),7)</f>
        <v>R022829</v>
      </c>
      <c r="C63" s="68" t="str">
        <f>VLOOKUP($A63,SP_EnvTract_DB[],MATCH(C$2,SP_EnvTract_DB[#Headers],0),FALSE)</f>
        <v>ENV</v>
      </c>
      <c r="D63" s="156" t="str">
        <f>VLOOKUP($A63,SP_EnvTract_DB[],MATCH(D$2,SP_EnvTract_DB[#Headers],0),FALSE)</f>
        <v>FRANKUM BRADLEY L &amp; COLETTE M;#160</v>
      </c>
      <c r="E63" s="156" t="str">
        <f>VLOOKUP($A63,SP_EnvTract_DB[],MATCH(E$2,SP_EnvTract_DB[#Headers],0),FALSE)</f>
        <v>1316 FM 1299;#160</v>
      </c>
      <c r="F63" s="69">
        <f>VLOOKUP($A63,SP_EnvTract_DB[],MATCH(F$2,SP_EnvTract_DB[#Headers],0),FALSE)</f>
        <v>0</v>
      </c>
      <c r="G63" s="73">
        <f>VLOOKUP($A63,SP_EnvTract_DB[],MATCH(G$2,SP_EnvTract_DB[#Headers],0),FALSE)</f>
        <v>0</v>
      </c>
      <c r="H63" s="73" t="str">
        <f>VLOOKUP($A63,SP_EnvTract_DB[],MATCH(H$2,SP_EnvTract_DB[#Headers],0),FALSE)</f>
        <v>Stateside</v>
      </c>
      <c r="I63" s="69">
        <f>VLOOKUP($A63,SP_EnvTract_DB[],MATCH(I$2,SP_EnvTract_DB[#Headers],0),FALSE)</f>
        <v>0</v>
      </c>
      <c r="J63" s="69">
        <f>VLOOKUP($A63,SP_EnvTract_DB[],MATCH(J$2,SP_EnvTract_DB[#Headers],0),FALSE)</f>
        <v>0</v>
      </c>
      <c r="K63" s="69">
        <f>VLOOKUP($A63,SP_EnvTract_DB[],MATCH(K$2,SP_EnvTract_DB[#Headers],0),FALSE)</f>
        <v>0</v>
      </c>
      <c r="L63" s="69">
        <f>VLOOKUP($A63,SP_EnvTract_DB[],MATCH(L$2,SP_EnvTract_DB[#Headers],0),FALSE)</f>
        <v>0</v>
      </c>
      <c r="M63" s="69">
        <f>VLOOKUP($A63,SP_EnvTract_DB[],MATCH(M$2,SP_EnvTract_DB[#Headers],0),FALSE)</f>
        <v>0</v>
      </c>
      <c r="N63" s="69">
        <f>VLOOKUP($A63,SP_EnvTract_DB[],MATCH(N$2,SP_EnvTract_DB[#Headers],0),FALSE)</f>
        <v>0</v>
      </c>
      <c r="O63" s="74">
        <f>VLOOKUP($A63,SP_EnvTract_DB[],MATCH(O$2,SP_EnvTract_DB[#Headers],0),FALSE)</f>
        <v>0</v>
      </c>
      <c r="P63" s="73">
        <f>VLOOKUP($A63,SP_EnvTract_DB[],MATCH(P$2,SP_EnvTract_DB[#Headers],0),FALSE)</f>
        <v>0</v>
      </c>
      <c r="Q63" s="73">
        <f>VLOOKUP($A63,SP_EnvTract_DB[],MATCH(Q$2,SP_EnvTract_DB[#Headers],0),FALSE)</f>
        <v>0</v>
      </c>
      <c r="R63" s="74">
        <f>VLOOKUP($A63,SP_EnvTract_DB[],MATCH(R$2,SP_EnvTract_DB[#Headers],0),FALSE)</f>
        <v>0</v>
      </c>
      <c r="S63" s="68">
        <f>VLOOKUP($A63,SP_EnvTract_DB[],MATCH(S$2,SP_EnvTract_DB[#Headers],0),FALSE)</f>
        <v>0</v>
      </c>
      <c r="T63" s="68">
        <f>VLOOKUP($A63,SP_EnvTract_DB[],MATCH(T$2,SP_EnvTract_DB[#Headers],0),FALSE)</f>
        <v>0</v>
      </c>
      <c r="U63" s="74">
        <f>VLOOKUP($A63,SP_EnvTract_DB[],MATCH(U$2,SP_EnvTract_DB[#Headers],0),FALSE)</f>
        <v>0</v>
      </c>
      <c r="V63" s="68">
        <f>VLOOKUP($A63,SP_EnvTract_DB[],MATCH(V$2,SP_EnvTract_DB[#Headers],0),FALSE)</f>
        <v>0</v>
      </c>
      <c r="W63" s="68">
        <f>VLOOKUP($A63,SP_EnvTract_DB[],MATCH(W$2,SP_EnvTract_DB[#Headers],0),FALSE)</f>
        <v>0</v>
      </c>
      <c r="X63" s="68">
        <f>VLOOKUP($A63,SP_EnvTract_DB[],MATCH(X$2,SP_EnvTract_DB[#Headers],0),FALSE)</f>
        <v>0</v>
      </c>
      <c r="Y63" s="80">
        <f>VLOOKUP($A63,SP_EnvTract_DB[],MATCH(Y$2,SP_EnvTract_DB[#Headers],0),FALSE)</f>
        <v>0</v>
      </c>
      <c r="Z63" s="81" t="str">
        <f>IFERROR(IF(VLOOKUP(CONCATENATE($A63,"_",Z$1),SP_,MATCH(Z$2,SP_ENV_Lib[#Headers],0),FALSE)=0,"",VLOOKUP(CONCATENATE($A63,"_",Z$1),SP_ENV_Lib[],MATCH(Z$2,SP_ACQ_Lib[#Headers],0),FALSE)),"")</f>
        <v/>
      </c>
      <c r="AA63" s="74"/>
      <c r="AB63" s="74" t="str">
        <f>IFERROR(IF(VLOOKUP(CONCATENATE($A63,"_",AB$1),SP_ENV_Lib[],MATCH(AB$2,SP_ENV_Lib[#Headers],0),FALSE)=0,"",VLOOKUP(CONCATENATE($A63,"_",AB$1),SP_ENV_Lib[],MATCH(AB$2,SP_ENV_Lib[#Headers],0),FALSE)),"")</f>
        <v/>
      </c>
      <c r="AC63" s="74" t="str">
        <f>IFERROR(IF(VLOOKUP(CONCATENATE($A63,"_",AC$1),SP_ENV_Lib[],MATCH(AC$2,SP_ENV_Lib[#Headers],0),FALSE)=0,"",VLOOKUP(CONCATENATE($A63,"_",AC$1),SP_ENV_Lib[],MATCH(AC$2,SP_ENV_Lib[#Headers],0),FALSE)),"")</f>
        <v/>
      </c>
      <c r="AD63" s="74">
        <f>IFERROR(IF(VLOOKUP(CONCATENATE($A63,"_",AD$1),SP_ENV_Lib[],MATCH(AD$2,SP_ENV_Lib[#Headers],0),FALSE)=0,"",VLOOKUP(CONCATENATE($A63,"_",AD$1),SP_ENV_Lib[],MATCH(AD$2,SP_ENV_Lib[#Headers],0),FALSE)),"")</f>
        <v>43895</v>
      </c>
      <c r="AE63" s="74" t="str">
        <f>IFERROR(IF(VLOOKUP(CONCATENATE($A63,"_",AE$1),SP_ENV_Lib[],MATCH(AE$2,SP_ENV_Lib[#Headers],0),FALSE)=0,"",VLOOKUP(CONCATENATE($A63,"_",AE$1),SP_ENV_Lib[],MATCH(AE$2,SP_ENV_Lib[#Headers],0),FALSE)),"")</f>
        <v/>
      </c>
      <c r="AF63" s="172" t="str">
        <f>IFERROR(VLOOKUP(CONCATENATE($A63,"_",AF$1),SP_ENV_Lib[],MATCH(AF$2,SP_ENV_Lib[#Headers],0),FALSE),0)</f>
        <v>Accepted</v>
      </c>
      <c r="AG63" s="74"/>
      <c r="AH63" s="74"/>
      <c r="AI63" s="74"/>
      <c r="AJ63" s="84"/>
    </row>
    <row r="64" spans="1:36" ht="15" x14ac:dyDescent="0.2">
      <c r="A64" s="67" t="s">
        <v>2995</v>
      </c>
      <c r="B64" s="154" t="str">
        <f>LEFT(VLOOKUP($A64,SP_EnvTract_DB[],MATCH(B$2,SP_EnvTract_DB[#Headers],0),FALSE),7)</f>
        <v>R022830</v>
      </c>
      <c r="C64" s="68" t="str">
        <f>VLOOKUP($A64,SP_EnvTract_DB[],MATCH(C$2,SP_EnvTract_DB[#Headers],0),FALSE)</f>
        <v>ENV</v>
      </c>
      <c r="D64" s="156" t="str">
        <f>VLOOKUP($A64,SP_EnvTract_DB[],MATCH(D$2,SP_EnvTract_DB[#Headers],0),FALSE)</f>
        <v>MATHEWS DARREN R ETUX KIMBERLY D;#161</v>
      </c>
      <c r="E64" s="156" t="str">
        <f>VLOOKUP($A64,SP_EnvTract_DB[],MATCH(E$2,SP_EnvTract_DB[#Headers],0),FALSE)</f>
        <v>1318 FM 1299;#161</v>
      </c>
      <c r="F64" s="69">
        <f>VLOOKUP($A64,SP_EnvTract_DB[],MATCH(F$2,SP_EnvTract_DB[#Headers],0),FALSE)</f>
        <v>0</v>
      </c>
      <c r="G64" s="73">
        <f>VLOOKUP($A64,SP_EnvTract_DB[],MATCH(G$2,SP_EnvTract_DB[#Headers],0),FALSE)</f>
        <v>0</v>
      </c>
      <c r="H64" s="73" t="str">
        <f>VLOOKUP($A64,SP_EnvTract_DB[],MATCH(H$2,SP_EnvTract_DB[#Headers],0),FALSE)</f>
        <v>Stateside</v>
      </c>
      <c r="I64" s="69">
        <f>VLOOKUP($A64,SP_EnvTract_DB[],MATCH(I$2,SP_EnvTract_DB[#Headers],0),FALSE)</f>
        <v>0</v>
      </c>
      <c r="J64" s="69">
        <f>VLOOKUP($A64,SP_EnvTract_DB[],MATCH(J$2,SP_EnvTract_DB[#Headers],0),FALSE)</f>
        <v>0</v>
      </c>
      <c r="K64" s="69">
        <f>VLOOKUP($A64,SP_EnvTract_DB[],MATCH(K$2,SP_EnvTract_DB[#Headers],0),FALSE)</f>
        <v>0</v>
      </c>
      <c r="L64" s="69">
        <f>VLOOKUP($A64,SP_EnvTract_DB[],MATCH(L$2,SP_EnvTract_DB[#Headers],0),FALSE)</f>
        <v>0</v>
      </c>
      <c r="M64" s="69">
        <f>VLOOKUP($A64,SP_EnvTract_DB[],MATCH(M$2,SP_EnvTract_DB[#Headers],0),FALSE)</f>
        <v>0</v>
      </c>
      <c r="N64" s="69">
        <f>VLOOKUP($A64,SP_EnvTract_DB[],MATCH(N$2,SP_EnvTract_DB[#Headers],0),FALSE)</f>
        <v>0</v>
      </c>
      <c r="O64" s="74">
        <f>VLOOKUP($A64,SP_EnvTract_DB[],MATCH(O$2,SP_EnvTract_DB[#Headers],0),FALSE)</f>
        <v>0</v>
      </c>
      <c r="P64" s="73">
        <f>VLOOKUP($A64,SP_EnvTract_DB[],MATCH(P$2,SP_EnvTract_DB[#Headers],0),FALSE)</f>
        <v>0</v>
      </c>
      <c r="Q64" s="73">
        <f>VLOOKUP($A64,SP_EnvTract_DB[],MATCH(Q$2,SP_EnvTract_DB[#Headers],0),FALSE)</f>
        <v>0</v>
      </c>
      <c r="R64" s="74">
        <f>VLOOKUP($A64,SP_EnvTract_DB[],MATCH(R$2,SP_EnvTract_DB[#Headers],0),FALSE)</f>
        <v>0</v>
      </c>
      <c r="S64" s="68">
        <f>VLOOKUP($A64,SP_EnvTract_DB[],MATCH(S$2,SP_EnvTract_DB[#Headers],0),FALSE)</f>
        <v>0</v>
      </c>
      <c r="T64" s="68">
        <f>VLOOKUP($A64,SP_EnvTract_DB[],MATCH(T$2,SP_EnvTract_DB[#Headers],0),FALSE)</f>
        <v>0</v>
      </c>
      <c r="U64" s="74">
        <f>VLOOKUP($A64,SP_EnvTract_DB[],MATCH(U$2,SP_EnvTract_DB[#Headers],0),FALSE)</f>
        <v>0</v>
      </c>
      <c r="V64" s="68">
        <f>VLOOKUP($A64,SP_EnvTract_DB[],MATCH(V$2,SP_EnvTract_DB[#Headers],0),FALSE)</f>
        <v>0</v>
      </c>
      <c r="W64" s="68">
        <f>VLOOKUP($A64,SP_EnvTract_DB[],MATCH(W$2,SP_EnvTract_DB[#Headers],0),FALSE)</f>
        <v>0</v>
      </c>
      <c r="X64" s="68">
        <f>VLOOKUP($A64,SP_EnvTract_DB[],MATCH(X$2,SP_EnvTract_DB[#Headers],0),FALSE)</f>
        <v>0</v>
      </c>
      <c r="Y64" s="80">
        <f>VLOOKUP($A64,SP_EnvTract_DB[],MATCH(Y$2,SP_EnvTract_DB[#Headers],0),FALSE)</f>
        <v>0</v>
      </c>
      <c r="Z64" s="81" t="str">
        <f>IFERROR(IF(VLOOKUP(CONCATENATE($A64,"_",Z$1),SP_,MATCH(Z$2,SP_ENV_Lib[#Headers],0),FALSE)=0,"",VLOOKUP(CONCATENATE($A64,"_",Z$1),SP_ENV_Lib[],MATCH(Z$2,SP_ACQ_Lib[#Headers],0),FALSE)),"")</f>
        <v/>
      </c>
      <c r="AA64" s="74"/>
      <c r="AB64" s="74" t="str">
        <f>IFERROR(IF(VLOOKUP(CONCATENATE($A64,"_",AB$1),SP_ENV_Lib[],MATCH(AB$2,SP_ENV_Lib[#Headers],0),FALSE)=0,"",VLOOKUP(CONCATENATE($A64,"_",AB$1),SP_ENV_Lib[],MATCH(AB$2,SP_ENV_Lib[#Headers],0),FALSE)),"")</f>
        <v/>
      </c>
      <c r="AC64" s="74">
        <f>IFERROR(IF(VLOOKUP(CONCATENATE($A64,"_",AC$1),SP_ENV_Lib[],MATCH(AC$2,SP_ENV_Lib[#Headers],0),FALSE)=0,"",VLOOKUP(CONCATENATE($A64,"_",AC$1),SP_ENV_Lib[],MATCH(AC$2,SP_ENV_Lib[#Headers],0),FALSE)),"")</f>
        <v>43845</v>
      </c>
      <c r="AD64" s="74" t="str">
        <f>IFERROR(IF(VLOOKUP(CONCATENATE($A64,"_",AD$1),SP_ENV_Lib[],MATCH(AD$2,SP_ENV_Lib[#Headers],0),FALSE)=0,"",VLOOKUP(CONCATENATE($A64,"_",AD$1),SP_ENV_Lib[],MATCH(AD$2,SP_ENV_Lib[#Headers],0),FALSE)),"")</f>
        <v/>
      </c>
      <c r="AE64" s="74" t="str">
        <f>IFERROR(IF(VLOOKUP(CONCATENATE($A64,"_",AE$1),SP_ENV_Lib[],MATCH(AE$2,SP_ENV_Lib[#Headers],0),FALSE)=0,"",VLOOKUP(CONCATENATE($A64,"_",AE$1),SP_ENV_Lib[],MATCH(AE$2,SP_ENV_Lib[#Headers],0),FALSE)),"")</f>
        <v/>
      </c>
      <c r="AF64" s="172" t="str">
        <f>IFERROR(VLOOKUP(CONCATENATE($A64,"_",AF$1),SP_ENV_Lib[],MATCH(AF$2,SP_ENV_Lib[#Headers],0),FALSE),0)</f>
        <v>Accepted</v>
      </c>
      <c r="AG64" s="74"/>
      <c r="AH64" s="74"/>
      <c r="AI64" s="74"/>
      <c r="AJ64" s="84"/>
    </row>
    <row r="65" spans="1:36" ht="15" x14ac:dyDescent="0.2">
      <c r="A65" s="67" t="s">
        <v>3000</v>
      </c>
      <c r="B65" s="154" t="str">
        <f>LEFT(VLOOKUP($A65,SP_EnvTract_DB[],MATCH(B$2,SP_EnvTract_DB[#Headers],0),FALSE),7)</f>
        <v>R022831</v>
      </c>
      <c r="C65" s="68" t="str">
        <f>VLOOKUP($A65,SP_EnvTract_DB[],MATCH(C$2,SP_EnvTract_DB[#Headers],0),FALSE)</f>
        <v>ENV</v>
      </c>
      <c r="D65" s="156" t="str">
        <f>VLOOKUP($A65,SP_EnvTract_DB[],MATCH(D$2,SP_EnvTract_DB[#Headers],0),FALSE)</f>
        <v>FREESE RILEY C;#162</v>
      </c>
      <c r="E65" s="156" t="str">
        <f>VLOOKUP($A65,SP_EnvTract_DB[],MATCH(E$2,SP_EnvTract_DB[#Headers],0),FALSE)</f>
        <v>1400 FM 1299;#162</v>
      </c>
      <c r="F65" s="69">
        <f>VLOOKUP($A65,SP_EnvTract_DB[],MATCH(F$2,SP_EnvTract_DB[#Headers],0),FALSE)</f>
        <v>0</v>
      </c>
      <c r="G65" s="73">
        <f>VLOOKUP($A65,SP_EnvTract_DB[],MATCH(G$2,SP_EnvTract_DB[#Headers],0),FALSE)</f>
        <v>0</v>
      </c>
      <c r="H65" s="73" t="str">
        <f>VLOOKUP($A65,SP_EnvTract_DB[],MATCH(H$2,SP_EnvTract_DB[#Headers],0),FALSE)</f>
        <v>Stateside</v>
      </c>
      <c r="I65" s="69">
        <f>VLOOKUP($A65,SP_EnvTract_DB[],MATCH(I$2,SP_EnvTract_DB[#Headers],0),FALSE)</f>
        <v>0</v>
      </c>
      <c r="J65" s="69">
        <f>VLOOKUP($A65,SP_EnvTract_DB[],MATCH(J$2,SP_EnvTract_DB[#Headers],0),FALSE)</f>
        <v>0</v>
      </c>
      <c r="K65" s="69">
        <f>VLOOKUP($A65,SP_EnvTract_DB[],MATCH(K$2,SP_EnvTract_DB[#Headers],0),FALSE)</f>
        <v>0</v>
      </c>
      <c r="L65" s="69">
        <f>VLOOKUP($A65,SP_EnvTract_DB[],MATCH(L$2,SP_EnvTract_DB[#Headers],0),FALSE)</f>
        <v>0</v>
      </c>
      <c r="M65" s="69">
        <f>VLOOKUP($A65,SP_EnvTract_DB[],MATCH(M$2,SP_EnvTract_DB[#Headers],0),FALSE)</f>
        <v>0</v>
      </c>
      <c r="N65" s="69">
        <f>VLOOKUP($A65,SP_EnvTract_DB[],MATCH(N$2,SP_EnvTract_DB[#Headers],0),FALSE)</f>
        <v>0</v>
      </c>
      <c r="O65" s="74">
        <f>VLOOKUP($A65,SP_EnvTract_DB[],MATCH(O$2,SP_EnvTract_DB[#Headers],0),FALSE)</f>
        <v>0</v>
      </c>
      <c r="P65" s="73">
        <f>VLOOKUP($A65,SP_EnvTract_DB[],MATCH(P$2,SP_EnvTract_DB[#Headers],0),FALSE)</f>
        <v>0</v>
      </c>
      <c r="Q65" s="73">
        <f>VLOOKUP($A65,SP_EnvTract_DB[],MATCH(Q$2,SP_EnvTract_DB[#Headers],0),FALSE)</f>
        <v>0</v>
      </c>
      <c r="R65" s="74">
        <f>VLOOKUP($A65,SP_EnvTract_DB[],MATCH(R$2,SP_EnvTract_DB[#Headers],0),FALSE)</f>
        <v>0</v>
      </c>
      <c r="S65" s="68">
        <f>VLOOKUP($A65,SP_EnvTract_DB[],MATCH(S$2,SP_EnvTract_DB[#Headers],0),FALSE)</f>
        <v>0</v>
      </c>
      <c r="T65" s="68">
        <f>VLOOKUP($A65,SP_EnvTract_DB[],MATCH(T$2,SP_EnvTract_DB[#Headers],0),FALSE)</f>
        <v>0</v>
      </c>
      <c r="U65" s="74">
        <f>VLOOKUP($A65,SP_EnvTract_DB[],MATCH(U$2,SP_EnvTract_DB[#Headers],0),FALSE)</f>
        <v>0</v>
      </c>
      <c r="V65" s="68">
        <f>VLOOKUP($A65,SP_EnvTract_DB[],MATCH(V$2,SP_EnvTract_DB[#Headers],0),FALSE)</f>
        <v>0</v>
      </c>
      <c r="W65" s="68">
        <f>VLOOKUP($A65,SP_EnvTract_DB[],MATCH(W$2,SP_EnvTract_DB[#Headers],0),FALSE)</f>
        <v>0</v>
      </c>
      <c r="X65" s="68">
        <f>VLOOKUP($A65,SP_EnvTract_DB[],MATCH(X$2,SP_EnvTract_DB[#Headers],0),FALSE)</f>
        <v>0</v>
      </c>
      <c r="Y65" s="80">
        <f>VLOOKUP($A65,SP_EnvTract_DB[],MATCH(Y$2,SP_EnvTract_DB[#Headers],0),FALSE)</f>
        <v>0</v>
      </c>
      <c r="Z65" s="81" t="str">
        <f>IFERROR(IF(VLOOKUP(CONCATENATE($A65,"_",Z$1),SP_,MATCH(Z$2,SP_ENV_Lib[#Headers],0),FALSE)=0,"",VLOOKUP(CONCATENATE($A65,"_",Z$1),SP_ENV_Lib[],MATCH(Z$2,SP_ACQ_Lib[#Headers],0),FALSE)),"")</f>
        <v/>
      </c>
      <c r="AA65" s="74"/>
      <c r="AB65" s="74" t="str">
        <f>IFERROR(IF(VLOOKUP(CONCATENATE($A65,"_",AB$1),SP_ENV_Lib[],MATCH(AB$2,SP_ENV_Lib[#Headers],0),FALSE)=0,"",VLOOKUP(CONCATENATE($A65,"_",AB$1),SP_ENV_Lib[],MATCH(AB$2,SP_ENV_Lib[#Headers],0),FALSE)),"")</f>
        <v/>
      </c>
      <c r="AC65" s="74">
        <f>IFERROR(IF(VLOOKUP(CONCATENATE($A65,"_",AC$1),SP_ENV_Lib[],MATCH(AC$2,SP_ENV_Lib[#Headers],0),FALSE)=0,"",VLOOKUP(CONCATENATE($A65,"_",AC$1),SP_ENV_Lib[],MATCH(AC$2,SP_ENV_Lib[#Headers],0),FALSE)),"")</f>
        <v>43845</v>
      </c>
      <c r="AD65" s="74" t="str">
        <f>IFERROR(IF(VLOOKUP(CONCATENATE($A65,"_",AD$1),SP_ENV_Lib[],MATCH(AD$2,SP_ENV_Lib[#Headers],0),FALSE)=0,"",VLOOKUP(CONCATENATE($A65,"_",AD$1),SP_ENV_Lib[],MATCH(AD$2,SP_ENV_Lib[#Headers],0),FALSE)),"")</f>
        <v/>
      </c>
      <c r="AE65" s="74" t="str">
        <f>IFERROR(IF(VLOOKUP(CONCATENATE($A65,"_",AE$1),SP_ENV_Lib[],MATCH(AE$2,SP_ENV_Lib[#Headers],0),FALSE)=0,"",VLOOKUP(CONCATENATE($A65,"_",AE$1),SP_ENV_Lib[],MATCH(AE$2,SP_ENV_Lib[#Headers],0),FALSE)),"")</f>
        <v/>
      </c>
      <c r="AF65" s="172" t="str">
        <f>IFERROR(VLOOKUP(CONCATENATE($A65,"_",AF$1),SP_ENV_Lib[],MATCH(AF$2,SP_ENV_Lib[#Headers],0),FALSE),0)</f>
        <v>Accepted</v>
      </c>
      <c r="AG65" s="74"/>
      <c r="AH65" s="74"/>
      <c r="AI65" s="74"/>
      <c r="AJ65" s="84"/>
    </row>
    <row r="66" spans="1:36" ht="15" x14ac:dyDescent="0.2">
      <c r="A66" s="67" t="s">
        <v>2707</v>
      </c>
      <c r="B66" s="154" t="str">
        <f>LEFT(VLOOKUP($A66,SP_EnvTract_DB[],MATCH(B$2,SP_EnvTract_DB[#Headers],0),FALSE),7)</f>
        <v>R022832</v>
      </c>
      <c r="C66" s="68" t="str">
        <f>VLOOKUP($A66,SP_EnvTract_DB[],MATCH(C$2,SP_EnvTract_DB[#Headers],0),FALSE)</f>
        <v>ENV</v>
      </c>
      <c r="D66" s="156" t="str">
        <f>VLOOKUP($A66,SP_EnvTract_DB[],MATCH(D$2,SP_EnvTract_DB[#Headers],0),FALSE)</f>
        <v>ROSENBERG CARPET CENTER INC;#163</v>
      </c>
      <c r="E66" s="156" t="str">
        <f>VLOOKUP($A66,SP_EnvTract_DB[],MATCH(E$2,SP_EnvTract_DB[#Headers],0),FALSE)</f>
        <v>0  FM 1299;#163</v>
      </c>
      <c r="F66" s="69">
        <f>VLOOKUP($A66,SP_EnvTract_DB[],MATCH(F$2,SP_EnvTract_DB[#Headers],0),FALSE)</f>
        <v>0</v>
      </c>
      <c r="G66" s="73">
        <f>VLOOKUP($A66,SP_EnvTract_DB[],MATCH(G$2,SP_EnvTract_DB[#Headers],0),FALSE)</f>
        <v>0</v>
      </c>
      <c r="H66" s="73" t="str">
        <f>VLOOKUP($A66,SP_EnvTract_DB[],MATCH(H$2,SP_EnvTract_DB[#Headers],0),FALSE)</f>
        <v>Melissa DeLeon</v>
      </c>
      <c r="I66" s="69">
        <f>VLOOKUP($A66,SP_EnvTract_DB[],MATCH(I$2,SP_EnvTract_DB[#Headers],0),FALSE)</f>
        <v>0</v>
      </c>
      <c r="J66" s="69">
        <f>VLOOKUP($A66,SP_EnvTract_DB[],MATCH(J$2,SP_EnvTract_DB[#Headers],0),FALSE)</f>
        <v>0</v>
      </c>
      <c r="K66" s="69">
        <f>VLOOKUP($A66,SP_EnvTract_DB[],MATCH(K$2,SP_EnvTract_DB[#Headers],0),FALSE)</f>
        <v>0</v>
      </c>
      <c r="L66" s="69">
        <f>VLOOKUP($A66,SP_EnvTract_DB[],MATCH(L$2,SP_EnvTract_DB[#Headers],0),FALSE)</f>
        <v>0</v>
      </c>
      <c r="M66" s="69">
        <f>VLOOKUP($A66,SP_EnvTract_DB[],MATCH(M$2,SP_EnvTract_DB[#Headers],0),FALSE)</f>
        <v>0</v>
      </c>
      <c r="N66" s="69">
        <f>VLOOKUP($A66,SP_EnvTract_DB[],MATCH(N$2,SP_EnvTract_DB[#Headers],0),FALSE)</f>
        <v>0</v>
      </c>
      <c r="O66" s="74">
        <f>VLOOKUP($A66,SP_EnvTract_DB[],MATCH(O$2,SP_EnvTract_DB[#Headers],0),FALSE)</f>
        <v>0</v>
      </c>
      <c r="P66" s="73">
        <f>VLOOKUP($A66,SP_EnvTract_DB[],MATCH(P$2,SP_EnvTract_DB[#Headers],0),FALSE)</f>
        <v>0</v>
      </c>
      <c r="Q66" s="73">
        <f>VLOOKUP($A66,SP_EnvTract_DB[],MATCH(Q$2,SP_EnvTract_DB[#Headers],0),FALSE)</f>
        <v>0</v>
      </c>
      <c r="R66" s="74">
        <f>VLOOKUP($A66,SP_EnvTract_DB[],MATCH(R$2,SP_EnvTract_DB[#Headers],0),FALSE)</f>
        <v>0</v>
      </c>
      <c r="S66" s="68">
        <f>VLOOKUP($A66,SP_EnvTract_DB[],MATCH(S$2,SP_EnvTract_DB[#Headers],0),FALSE)</f>
        <v>0</v>
      </c>
      <c r="T66" s="68">
        <f>VLOOKUP($A66,SP_EnvTract_DB[],MATCH(T$2,SP_EnvTract_DB[#Headers],0),FALSE)</f>
        <v>0</v>
      </c>
      <c r="U66" s="74">
        <f>VLOOKUP($A66,SP_EnvTract_DB[],MATCH(U$2,SP_EnvTract_DB[#Headers],0),FALSE)</f>
        <v>0</v>
      </c>
      <c r="V66" s="68">
        <f>VLOOKUP($A66,SP_EnvTract_DB[],MATCH(V$2,SP_EnvTract_DB[#Headers],0),FALSE)</f>
        <v>0</v>
      </c>
      <c r="W66" s="68">
        <f>VLOOKUP($A66,SP_EnvTract_DB[],MATCH(W$2,SP_EnvTract_DB[#Headers],0),FALSE)</f>
        <v>0</v>
      </c>
      <c r="X66" s="68">
        <f>VLOOKUP($A66,SP_EnvTract_DB[],MATCH(X$2,SP_EnvTract_DB[#Headers],0),FALSE)</f>
        <v>0</v>
      </c>
      <c r="Y66" s="80">
        <f>VLOOKUP($A66,SP_EnvTract_DB[],MATCH(Y$2,SP_EnvTract_DB[#Headers],0),FALSE)</f>
        <v>0</v>
      </c>
      <c r="Z66" s="81" t="str">
        <f>IFERROR(IF(VLOOKUP(CONCATENATE($A66,"_",Z$1),SP_,MATCH(Z$2,SP_ENV_Lib[#Headers],0),FALSE)=0,"",VLOOKUP(CONCATENATE($A66,"_",Z$1),SP_ENV_Lib[],MATCH(Z$2,SP_ACQ_Lib[#Headers],0),FALSE)),"")</f>
        <v/>
      </c>
      <c r="AA66" s="74"/>
      <c r="AB66" s="74">
        <f>IFERROR(IF(VLOOKUP(CONCATENATE($A66,"_",AB$1),SP_ENV_Lib[],MATCH(AB$2,SP_ENV_Lib[#Headers],0),FALSE)=0,"",VLOOKUP(CONCATENATE($A66,"_",AB$1),SP_ENV_Lib[],MATCH(AB$2,SP_ENV_Lib[#Headers],0),FALSE)),"")</f>
        <v>43872.521168981482</v>
      </c>
      <c r="AC66" s="74">
        <f>IFERROR(IF(VLOOKUP(CONCATENATE($A66,"_",AC$1),SP_ENV_Lib[],MATCH(AC$2,SP_ENV_Lib[#Headers],0),FALSE)=0,"",VLOOKUP(CONCATENATE($A66,"_",AC$1),SP_ENV_Lib[],MATCH(AC$2,SP_ENV_Lib[#Headers],0),FALSE)),"")</f>
        <v>43845</v>
      </c>
      <c r="AD66" s="74">
        <f>IFERROR(IF(VLOOKUP(CONCATENATE($A66,"_",AD$1),SP_ENV_Lib[],MATCH(AD$2,SP_ENV_Lib[#Headers],0),FALSE)=0,"",VLOOKUP(CONCATENATE($A66,"_",AD$1),SP_ENV_Lib[],MATCH(AD$2,SP_ENV_Lib[#Headers],0),FALSE)),"")</f>
        <v>43867</v>
      </c>
      <c r="AE66" s="74" t="str">
        <f>IFERROR(IF(VLOOKUP(CONCATENATE($A66,"_",AE$1),SP_ENV_Lib[],MATCH(AE$2,SP_ENV_Lib[#Headers],0),FALSE)=0,"",VLOOKUP(CONCATENATE($A66,"_",AE$1),SP_ENV_Lib[],MATCH(AE$2,SP_ENV_Lib[#Headers],0),FALSE)),"")</f>
        <v/>
      </c>
      <c r="AF66" s="172" t="str">
        <f>IFERROR(VLOOKUP(CONCATENATE($A66,"_",AF$1),SP_ENV_Lib[],MATCH(AF$2,SP_ENV_Lib[#Headers],0),FALSE),0)</f>
        <v>Accepted</v>
      </c>
      <c r="AG66" s="74"/>
      <c r="AH66" s="74"/>
      <c r="AI66" s="74"/>
      <c r="AJ66" s="84"/>
    </row>
    <row r="67" spans="1:36" ht="15" x14ac:dyDescent="0.2">
      <c r="A67" s="67" t="s">
        <v>3009</v>
      </c>
      <c r="B67" s="154" t="str">
        <f>LEFT(VLOOKUP($A67,SP_EnvTract_DB[],MATCH(B$2,SP_EnvTract_DB[#Headers],0),FALSE),7)</f>
        <v>R022833</v>
      </c>
      <c r="C67" s="68" t="str">
        <f>VLOOKUP($A67,SP_EnvTract_DB[],MATCH(C$2,SP_EnvTract_DB[#Headers],0),FALSE)</f>
        <v>ENV</v>
      </c>
      <c r="D67" s="156" t="str">
        <f>VLOOKUP($A67,SP_EnvTract_DB[],MATCH(D$2,SP_EnvTract_DB[#Headers],0),FALSE)</f>
        <v>ROSENBERG CARPET CENTER INC;#164</v>
      </c>
      <c r="E67" s="156" t="str">
        <f>VLOOKUP($A67,SP_EnvTract_DB[],MATCH(E$2,SP_EnvTract_DB[#Headers],0),FALSE)</f>
        <v>0 FM 1299;#164</v>
      </c>
      <c r="F67" s="69">
        <f>VLOOKUP($A67,SP_EnvTract_DB[],MATCH(F$2,SP_EnvTract_DB[#Headers],0),FALSE)</f>
        <v>0</v>
      </c>
      <c r="G67" s="73">
        <f>VLOOKUP($A67,SP_EnvTract_DB[],MATCH(G$2,SP_EnvTract_DB[#Headers],0),FALSE)</f>
        <v>0</v>
      </c>
      <c r="H67" s="73" t="str">
        <f>VLOOKUP($A67,SP_EnvTract_DB[],MATCH(H$2,SP_EnvTract_DB[#Headers],0),FALSE)</f>
        <v>Melissa DeLeon</v>
      </c>
      <c r="I67" s="69">
        <f>VLOOKUP($A67,SP_EnvTract_DB[],MATCH(I$2,SP_EnvTract_DB[#Headers],0),FALSE)</f>
        <v>0</v>
      </c>
      <c r="J67" s="69">
        <f>VLOOKUP($A67,SP_EnvTract_DB[],MATCH(J$2,SP_EnvTract_DB[#Headers],0),FALSE)</f>
        <v>0</v>
      </c>
      <c r="K67" s="69">
        <f>VLOOKUP($A67,SP_EnvTract_DB[],MATCH(K$2,SP_EnvTract_DB[#Headers],0),FALSE)</f>
        <v>0</v>
      </c>
      <c r="L67" s="69">
        <f>VLOOKUP($A67,SP_EnvTract_DB[],MATCH(L$2,SP_EnvTract_DB[#Headers],0),FALSE)</f>
        <v>0</v>
      </c>
      <c r="M67" s="69">
        <f>VLOOKUP($A67,SP_EnvTract_DB[],MATCH(M$2,SP_EnvTract_DB[#Headers],0),FALSE)</f>
        <v>0</v>
      </c>
      <c r="N67" s="69">
        <f>VLOOKUP($A67,SP_EnvTract_DB[],MATCH(N$2,SP_EnvTract_DB[#Headers],0),FALSE)</f>
        <v>0</v>
      </c>
      <c r="O67" s="74">
        <f>VLOOKUP($A67,SP_EnvTract_DB[],MATCH(O$2,SP_EnvTract_DB[#Headers],0),FALSE)</f>
        <v>0</v>
      </c>
      <c r="P67" s="73">
        <f>VLOOKUP($A67,SP_EnvTract_DB[],MATCH(P$2,SP_EnvTract_DB[#Headers],0),FALSE)</f>
        <v>0</v>
      </c>
      <c r="Q67" s="73">
        <f>VLOOKUP($A67,SP_EnvTract_DB[],MATCH(Q$2,SP_EnvTract_DB[#Headers],0),FALSE)</f>
        <v>0</v>
      </c>
      <c r="R67" s="74">
        <f>VLOOKUP($A67,SP_EnvTract_DB[],MATCH(R$2,SP_EnvTract_DB[#Headers],0),FALSE)</f>
        <v>0</v>
      </c>
      <c r="S67" s="68">
        <f>VLOOKUP($A67,SP_EnvTract_DB[],MATCH(S$2,SP_EnvTract_DB[#Headers],0),FALSE)</f>
        <v>0</v>
      </c>
      <c r="T67" s="68">
        <f>VLOOKUP($A67,SP_EnvTract_DB[],MATCH(T$2,SP_EnvTract_DB[#Headers],0),FALSE)</f>
        <v>0</v>
      </c>
      <c r="U67" s="74">
        <f>VLOOKUP($A67,SP_EnvTract_DB[],MATCH(U$2,SP_EnvTract_DB[#Headers],0),FALSE)</f>
        <v>0</v>
      </c>
      <c r="V67" s="68">
        <f>VLOOKUP($A67,SP_EnvTract_DB[],MATCH(V$2,SP_EnvTract_DB[#Headers],0),FALSE)</f>
        <v>0</v>
      </c>
      <c r="W67" s="68">
        <f>VLOOKUP($A67,SP_EnvTract_DB[],MATCH(W$2,SP_EnvTract_DB[#Headers],0),FALSE)</f>
        <v>0</v>
      </c>
      <c r="X67" s="68">
        <f>VLOOKUP($A67,SP_EnvTract_DB[],MATCH(X$2,SP_EnvTract_DB[#Headers],0),FALSE)</f>
        <v>0</v>
      </c>
      <c r="Y67" s="80">
        <f>VLOOKUP($A67,SP_EnvTract_DB[],MATCH(Y$2,SP_EnvTract_DB[#Headers],0),FALSE)</f>
        <v>0</v>
      </c>
      <c r="Z67" s="81" t="str">
        <f>IFERROR(IF(VLOOKUP(CONCATENATE($A67,"_",Z$1),SP_,MATCH(Z$2,SP_ENV_Lib[#Headers],0),FALSE)=0,"",VLOOKUP(CONCATENATE($A67,"_",Z$1),SP_ENV_Lib[],MATCH(Z$2,SP_ACQ_Lib[#Headers],0),FALSE)),"")</f>
        <v/>
      </c>
      <c r="AA67" s="74"/>
      <c r="AB67" s="74" t="str">
        <f>IFERROR(IF(VLOOKUP(CONCATENATE($A67,"_",AB$1),SP_ENV_Lib[],MATCH(AB$2,SP_ENV_Lib[#Headers],0),FALSE)=0,"",VLOOKUP(CONCATENATE($A67,"_",AB$1),SP_ENV_Lib[],MATCH(AB$2,SP_ENV_Lib[#Headers],0),FALSE)),"")</f>
        <v/>
      </c>
      <c r="AC67" s="74">
        <f>IFERROR(IF(VLOOKUP(CONCATENATE($A67,"_",AC$1),SP_ENV_Lib[],MATCH(AC$2,SP_ENV_Lib[#Headers],0),FALSE)=0,"",VLOOKUP(CONCATENATE($A67,"_",AC$1),SP_ENV_Lib[],MATCH(AC$2,SP_ENV_Lib[#Headers],0),FALSE)),"")</f>
        <v>43845</v>
      </c>
      <c r="AD67" s="74">
        <f>IFERROR(IF(VLOOKUP(CONCATENATE($A67,"_",AD$1),SP_ENV_Lib[],MATCH(AD$2,SP_ENV_Lib[#Headers],0),FALSE)=0,"",VLOOKUP(CONCATENATE($A67,"_",AD$1),SP_ENV_Lib[],MATCH(AD$2,SP_ENV_Lib[#Headers],0),FALSE)),"")</f>
        <v>43867</v>
      </c>
      <c r="AE67" s="74" t="str">
        <f>IFERROR(IF(VLOOKUP(CONCATENATE($A67,"_",AE$1),SP_ENV_Lib[],MATCH(AE$2,SP_ENV_Lib[#Headers],0),FALSE)=0,"",VLOOKUP(CONCATENATE($A67,"_",AE$1),SP_ENV_Lib[],MATCH(AE$2,SP_ENV_Lib[#Headers],0),FALSE)),"")</f>
        <v/>
      </c>
      <c r="AF67" s="172" t="str">
        <f>IFERROR(VLOOKUP(CONCATENATE($A67,"_",AF$1),SP_ENV_Lib[],MATCH(AF$2,SP_ENV_Lib[#Headers],0),FALSE),0)</f>
        <v>Accepted</v>
      </c>
      <c r="AG67" s="74"/>
      <c r="AH67" s="74"/>
      <c r="AI67" s="74"/>
      <c r="AJ67" s="84"/>
    </row>
    <row r="68" spans="1:36" ht="15" x14ac:dyDescent="0.2">
      <c r="A68" s="67" t="s">
        <v>3014</v>
      </c>
      <c r="B68" s="154" t="str">
        <f>LEFT(VLOOKUP($A68,SP_EnvTract_DB[],MATCH(B$2,SP_EnvTract_DB[#Headers],0),FALSE),7)</f>
        <v>R022834</v>
      </c>
      <c r="C68" s="68" t="str">
        <f>VLOOKUP($A68,SP_EnvTract_DB[],MATCH(C$2,SP_EnvTract_DB[#Headers],0),FALSE)</f>
        <v>ENV</v>
      </c>
      <c r="D68" s="156" t="str">
        <f>VLOOKUP($A68,SP_EnvTract_DB[],MATCH(D$2,SP_EnvTract_DB[#Headers],0),FALSE)</f>
        <v>ROSENBERG CARPET CENTER INC;#165</v>
      </c>
      <c r="E68" s="156" t="str">
        <f>VLOOKUP($A68,SP_EnvTract_DB[],MATCH(E$2,SP_EnvTract_DB[#Headers],0),FALSE)</f>
        <v>0 FM 1299;#165</v>
      </c>
      <c r="F68" s="69">
        <f>VLOOKUP($A68,SP_EnvTract_DB[],MATCH(F$2,SP_EnvTract_DB[#Headers],0),FALSE)</f>
        <v>0</v>
      </c>
      <c r="G68" s="73">
        <f>VLOOKUP($A68,SP_EnvTract_DB[],MATCH(G$2,SP_EnvTract_DB[#Headers],0),FALSE)</f>
        <v>0</v>
      </c>
      <c r="H68" s="73" t="str">
        <f>VLOOKUP($A68,SP_EnvTract_DB[],MATCH(H$2,SP_EnvTract_DB[#Headers],0),FALSE)</f>
        <v>Melissa DeLeon</v>
      </c>
      <c r="I68" s="69">
        <f>VLOOKUP($A68,SP_EnvTract_DB[],MATCH(I$2,SP_EnvTract_DB[#Headers],0),FALSE)</f>
        <v>0</v>
      </c>
      <c r="J68" s="69">
        <f>VLOOKUP($A68,SP_EnvTract_DB[],MATCH(J$2,SP_EnvTract_DB[#Headers],0),FALSE)</f>
        <v>0</v>
      </c>
      <c r="K68" s="69">
        <f>VLOOKUP($A68,SP_EnvTract_DB[],MATCH(K$2,SP_EnvTract_DB[#Headers],0),FALSE)</f>
        <v>0</v>
      </c>
      <c r="L68" s="69">
        <f>VLOOKUP($A68,SP_EnvTract_DB[],MATCH(L$2,SP_EnvTract_DB[#Headers],0),FALSE)</f>
        <v>0</v>
      </c>
      <c r="M68" s="69">
        <f>VLOOKUP($A68,SP_EnvTract_DB[],MATCH(M$2,SP_EnvTract_DB[#Headers],0),FALSE)</f>
        <v>0</v>
      </c>
      <c r="N68" s="69">
        <f>VLOOKUP($A68,SP_EnvTract_DB[],MATCH(N$2,SP_EnvTract_DB[#Headers],0),FALSE)</f>
        <v>0</v>
      </c>
      <c r="O68" s="74">
        <f>VLOOKUP($A68,SP_EnvTract_DB[],MATCH(O$2,SP_EnvTract_DB[#Headers],0),FALSE)</f>
        <v>0</v>
      </c>
      <c r="P68" s="73">
        <f>VLOOKUP($A68,SP_EnvTract_DB[],MATCH(P$2,SP_EnvTract_DB[#Headers],0),FALSE)</f>
        <v>0</v>
      </c>
      <c r="Q68" s="73">
        <f>VLOOKUP($A68,SP_EnvTract_DB[],MATCH(Q$2,SP_EnvTract_DB[#Headers],0),FALSE)</f>
        <v>0</v>
      </c>
      <c r="R68" s="74">
        <f>VLOOKUP($A68,SP_EnvTract_DB[],MATCH(R$2,SP_EnvTract_DB[#Headers],0),FALSE)</f>
        <v>0</v>
      </c>
      <c r="S68" s="68">
        <f>VLOOKUP($A68,SP_EnvTract_DB[],MATCH(S$2,SP_EnvTract_DB[#Headers],0),FALSE)</f>
        <v>0</v>
      </c>
      <c r="T68" s="68">
        <f>VLOOKUP($A68,SP_EnvTract_DB[],MATCH(T$2,SP_EnvTract_DB[#Headers],0),FALSE)</f>
        <v>0</v>
      </c>
      <c r="U68" s="74">
        <f>VLOOKUP($A68,SP_EnvTract_DB[],MATCH(U$2,SP_EnvTract_DB[#Headers],0),FALSE)</f>
        <v>0</v>
      </c>
      <c r="V68" s="68">
        <f>VLOOKUP($A68,SP_EnvTract_DB[],MATCH(V$2,SP_EnvTract_DB[#Headers],0),FALSE)</f>
        <v>0</v>
      </c>
      <c r="W68" s="68">
        <f>VLOOKUP($A68,SP_EnvTract_DB[],MATCH(W$2,SP_EnvTract_DB[#Headers],0),FALSE)</f>
        <v>0</v>
      </c>
      <c r="X68" s="68">
        <f>VLOOKUP($A68,SP_EnvTract_DB[],MATCH(X$2,SP_EnvTract_DB[#Headers],0),FALSE)</f>
        <v>0</v>
      </c>
      <c r="Y68" s="80">
        <f>VLOOKUP($A68,SP_EnvTract_DB[],MATCH(Y$2,SP_EnvTract_DB[#Headers],0),FALSE)</f>
        <v>0</v>
      </c>
      <c r="Z68" s="81" t="str">
        <f>IFERROR(IF(VLOOKUP(CONCATENATE($A68,"_",Z$1),SP_,MATCH(Z$2,SP_ENV_Lib[#Headers],0),FALSE)=0,"",VLOOKUP(CONCATENATE($A68,"_",Z$1),SP_ENV_Lib[],MATCH(Z$2,SP_ACQ_Lib[#Headers],0),FALSE)),"")</f>
        <v/>
      </c>
      <c r="AA68" s="74"/>
      <c r="AB68" s="74" t="str">
        <f>IFERROR(IF(VLOOKUP(CONCATENATE($A68,"_",AB$1),SP_ENV_Lib[],MATCH(AB$2,SP_ENV_Lib[#Headers],0),FALSE)=0,"",VLOOKUP(CONCATENATE($A68,"_",AB$1),SP_ENV_Lib[],MATCH(AB$2,SP_ENV_Lib[#Headers],0),FALSE)),"")</f>
        <v/>
      </c>
      <c r="AC68" s="74">
        <f>IFERROR(IF(VLOOKUP(CONCATENATE($A68,"_",AC$1),SP_ENV_Lib[],MATCH(AC$2,SP_ENV_Lib[#Headers],0),FALSE)=0,"",VLOOKUP(CONCATENATE($A68,"_",AC$1),SP_ENV_Lib[],MATCH(AC$2,SP_ENV_Lib[#Headers],0),FALSE)),"")</f>
        <v>43845</v>
      </c>
      <c r="AD68" s="74">
        <f>IFERROR(IF(VLOOKUP(CONCATENATE($A68,"_",AD$1),SP_ENV_Lib[],MATCH(AD$2,SP_ENV_Lib[#Headers],0),FALSE)=0,"",VLOOKUP(CONCATENATE($A68,"_",AD$1),SP_ENV_Lib[],MATCH(AD$2,SP_ENV_Lib[#Headers],0),FALSE)),"")</f>
        <v>43867</v>
      </c>
      <c r="AE68" s="74" t="str">
        <f>IFERROR(IF(VLOOKUP(CONCATENATE($A68,"_",AE$1),SP_ENV_Lib[],MATCH(AE$2,SP_ENV_Lib[#Headers],0),FALSE)=0,"",VLOOKUP(CONCATENATE($A68,"_",AE$1),SP_ENV_Lib[],MATCH(AE$2,SP_ENV_Lib[#Headers],0),FALSE)),"")</f>
        <v/>
      </c>
      <c r="AF68" s="172" t="str">
        <f>IFERROR(VLOOKUP(CONCATENATE($A68,"_",AF$1),SP_ENV_Lib[],MATCH(AF$2,SP_ENV_Lib[#Headers],0),FALSE),0)</f>
        <v>Accepted</v>
      </c>
      <c r="AG68" s="74"/>
      <c r="AH68" s="74"/>
      <c r="AI68" s="74"/>
      <c r="AJ68" s="84"/>
    </row>
    <row r="69" spans="1:36" ht="15" x14ac:dyDescent="0.2">
      <c r="A69" s="67" t="s">
        <v>3019</v>
      </c>
      <c r="B69" s="154" t="str">
        <f>LEFT(VLOOKUP($A69,SP_EnvTract_DB[],MATCH(B$2,SP_EnvTract_DB[#Headers],0),FALSE),7)</f>
        <v>R022835</v>
      </c>
      <c r="C69" s="68" t="str">
        <f>VLOOKUP($A69,SP_EnvTract_DB[],MATCH(C$2,SP_EnvTract_DB[#Headers],0),FALSE)</f>
        <v>ENV</v>
      </c>
      <c r="D69" s="156" t="str">
        <f>VLOOKUP($A69,SP_EnvTract_DB[],MATCH(D$2,SP_EnvTract_DB[#Headers],0),FALSE)</f>
        <v>JURASEK RUSSELL A ETUX JACQUELIN;#166</v>
      </c>
      <c r="E69" s="156" t="str">
        <f>VLOOKUP($A69,SP_EnvTract_DB[],MATCH(E$2,SP_EnvTract_DB[#Headers],0),FALSE)</f>
        <v>1500 FM 1299;#166</v>
      </c>
      <c r="F69" s="69">
        <f>VLOOKUP($A69,SP_EnvTract_DB[],MATCH(F$2,SP_EnvTract_DB[#Headers],0),FALSE)</f>
        <v>0</v>
      </c>
      <c r="G69" s="73">
        <f>VLOOKUP($A69,SP_EnvTract_DB[],MATCH(G$2,SP_EnvTract_DB[#Headers],0),FALSE)</f>
        <v>0</v>
      </c>
      <c r="H69" s="73" t="str">
        <f>VLOOKUP($A69,SP_EnvTract_DB[],MATCH(H$2,SP_EnvTract_DB[#Headers],0),FALSE)</f>
        <v>Melissa DeLeon</v>
      </c>
      <c r="I69" s="69">
        <f>VLOOKUP($A69,SP_EnvTract_DB[],MATCH(I$2,SP_EnvTract_DB[#Headers],0),FALSE)</f>
        <v>0</v>
      </c>
      <c r="J69" s="69">
        <f>VLOOKUP($A69,SP_EnvTract_DB[],MATCH(J$2,SP_EnvTract_DB[#Headers],0),FALSE)</f>
        <v>0</v>
      </c>
      <c r="K69" s="69">
        <f>VLOOKUP($A69,SP_EnvTract_DB[],MATCH(K$2,SP_EnvTract_DB[#Headers],0),FALSE)</f>
        <v>0</v>
      </c>
      <c r="L69" s="69">
        <f>VLOOKUP($A69,SP_EnvTract_DB[],MATCH(L$2,SP_EnvTract_DB[#Headers],0),FALSE)</f>
        <v>0</v>
      </c>
      <c r="M69" s="69">
        <f>VLOOKUP($A69,SP_EnvTract_DB[],MATCH(M$2,SP_EnvTract_DB[#Headers],0),FALSE)</f>
        <v>0</v>
      </c>
      <c r="N69" s="69">
        <f>VLOOKUP($A69,SP_EnvTract_DB[],MATCH(N$2,SP_EnvTract_DB[#Headers],0),FALSE)</f>
        <v>0</v>
      </c>
      <c r="O69" s="74">
        <f>VLOOKUP($A69,SP_EnvTract_DB[],MATCH(O$2,SP_EnvTract_DB[#Headers],0),FALSE)</f>
        <v>0</v>
      </c>
      <c r="P69" s="73">
        <f>VLOOKUP($A69,SP_EnvTract_DB[],MATCH(P$2,SP_EnvTract_DB[#Headers],0),FALSE)</f>
        <v>0</v>
      </c>
      <c r="Q69" s="73">
        <f>VLOOKUP($A69,SP_EnvTract_DB[],MATCH(Q$2,SP_EnvTract_DB[#Headers],0),FALSE)</f>
        <v>0</v>
      </c>
      <c r="R69" s="74">
        <f>VLOOKUP($A69,SP_EnvTract_DB[],MATCH(R$2,SP_EnvTract_DB[#Headers],0),FALSE)</f>
        <v>0</v>
      </c>
      <c r="S69" s="68">
        <f>VLOOKUP($A69,SP_EnvTract_DB[],MATCH(S$2,SP_EnvTract_DB[#Headers],0),FALSE)</f>
        <v>0</v>
      </c>
      <c r="T69" s="68">
        <f>VLOOKUP($A69,SP_EnvTract_DB[],MATCH(T$2,SP_EnvTract_DB[#Headers],0),FALSE)</f>
        <v>0</v>
      </c>
      <c r="U69" s="74">
        <f>VLOOKUP($A69,SP_EnvTract_DB[],MATCH(U$2,SP_EnvTract_DB[#Headers],0),FALSE)</f>
        <v>0</v>
      </c>
      <c r="V69" s="68">
        <f>VLOOKUP($A69,SP_EnvTract_DB[],MATCH(V$2,SP_EnvTract_DB[#Headers],0),FALSE)</f>
        <v>0</v>
      </c>
      <c r="W69" s="68">
        <f>VLOOKUP($A69,SP_EnvTract_DB[],MATCH(W$2,SP_EnvTract_DB[#Headers],0),FALSE)</f>
        <v>0</v>
      </c>
      <c r="X69" s="68">
        <f>VLOOKUP($A69,SP_EnvTract_DB[],MATCH(X$2,SP_EnvTract_DB[#Headers],0),FALSE)</f>
        <v>0</v>
      </c>
      <c r="Y69" s="80">
        <f>VLOOKUP($A69,SP_EnvTract_DB[],MATCH(Y$2,SP_EnvTract_DB[#Headers],0),FALSE)</f>
        <v>0</v>
      </c>
      <c r="Z69" s="81" t="str">
        <f>IFERROR(IF(VLOOKUP(CONCATENATE($A69,"_",Z$1),SP_,MATCH(Z$2,SP_ENV_Lib[#Headers],0),FALSE)=0,"",VLOOKUP(CONCATENATE($A69,"_",Z$1),SP_ENV_Lib[],MATCH(Z$2,SP_ACQ_Lib[#Headers],0),FALSE)),"")</f>
        <v/>
      </c>
      <c r="AA69" s="74"/>
      <c r="AB69" s="74">
        <f>IFERROR(IF(VLOOKUP(CONCATENATE($A69,"_",AB$1),SP_ENV_Lib[],MATCH(AB$2,SP_ENV_Lib[#Headers],0),FALSE)=0,"",VLOOKUP(CONCATENATE($A69,"_",AB$1),SP_ENV_Lib[],MATCH(AB$2,SP_ENV_Lib[#Headers],0),FALSE)),"")</f>
        <v>43909.644641203704</v>
      </c>
      <c r="AC69" s="74">
        <f>IFERROR(IF(VLOOKUP(CONCATENATE($A69,"_",AC$1),SP_ENV_Lib[],MATCH(AC$2,SP_ENV_Lib[#Headers],0),FALSE)=0,"",VLOOKUP(CONCATENATE($A69,"_",AC$1),SP_ENV_Lib[],MATCH(AC$2,SP_ENV_Lib[#Headers],0),FALSE)),"")</f>
        <v>43845</v>
      </c>
      <c r="AD69" s="74">
        <f>IFERROR(IF(VLOOKUP(CONCATENATE($A69,"_",AD$1),SP_ENV_Lib[],MATCH(AD$2,SP_ENV_Lib[#Headers],0),FALSE)=0,"",VLOOKUP(CONCATENATE($A69,"_",AD$1),SP_ENV_Lib[],MATCH(AD$2,SP_ENV_Lib[#Headers],0),FALSE)),"")</f>
        <v>43920</v>
      </c>
      <c r="AE69" s="74" t="str">
        <f>IFERROR(IF(VLOOKUP(CONCATENATE($A69,"_",AE$1),SP_ENV_Lib[],MATCH(AE$2,SP_ENV_Lib[#Headers],0),FALSE)=0,"",VLOOKUP(CONCATENATE($A69,"_",AE$1),SP_ENV_Lib[],MATCH(AE$2,SP_ENV_Lib[#Headers],0),FALSE)),"")</f>
        <v/>
      </c>
      <c r="AF69" s="172" t="str">
        <f>IFERROR(VLOOKUP(CONCATENATE($A69,"_",AF$1),SP_ENV_Lib[],MATCH(AF$2,SP_ENV_Lib[#Headers],0),FALSE),0)</f>
        <v>Accepted</v>
      </c>
      <c r="AG69" s="74"/>
      <c r="AH69" s="74"/>
      <c r="AI69" s="74"/>
      <c r="AJ69" s="84"/>
    </row>
    <row r="70" spans="1:36" ht="15" x14ac:dyDescent="0.2">
      <c r="A70" s="67" t="s">
        <v>3024</v>
      </c>
      <c r="B70" s="154" t="str">
        <f>LEFT(VLOOKUP($A70,SP_EnvTract_DB[],MATCH(B$2,SP_EnvTract_DB[#Headers],0),FALSE),7)</f>
        <v>R023653</v>
      </c>
      <c r="C70" s="68" t="str">
        <f>VLOOKUP($A70,SP_EnvTract_DB[],MATCH(C$2,SP_EnvTract_DB[#Headers],0),FALSE)</f>
        <v>ENV</v>
      </c>
      <c r="D70" s="156" t="str">
        <f>VLOOKUP($A70,SP_EnvTract_DB[],MATCH(D$2,SP_EnvTract_DB[#Headers],0),FALSE)</f>
        <v>Wharton ISD;#7</v>
      </c>
      <c r="E70" s="156" t="str">
        <f>VLOOKUP($A70,SP_EnvTract_DB[],MATCH(E$2,SP_EnvTract_DB[#Headers],0),FALSE)</f>
        <v>1717 Bailey;#7</v>
      </c>
      <c r="F70" s="69">
        <f>VLOOKUP($A70,SP_EnvTract_DB[],MATCH(F$2,SP_EnvTract_DB[#Headers],0),FALSE)</f>
        <v>0</v>
      </c>
      <c r="G70" s="73">
        <f>VLOOKUP($A70,SP_EnvTract_DB[],MATCH(G$2,SP_EnvTract_DB[#Headers],0),FALSE)</f>
        <v>0</v>
      </c>
      <c r="H70" s="73" t="str">
        <f>VLOOKUP($A70,SP_EnvTract_DB[],MATCH(H$2,SP_EnvTract_DB[#Headers],0),FALSE)</f>
        <v>Melissa DeLeon</v>
      </c>
      <c r="I70" s="69">
        <f>VLOOKUP($A70,SP_EnvTract_DB[],MATCH(I$2,SP_EnvTract_DB[#Headers],0),FALSE)</f>
        <v>0</v>
      </c>
      <c r="J70" s="69">
        <f>VLOOKUP($A70,SP_EnvTract_DB[],MATCH(J$2,SP_EnvTract_DB[#Headers],0),FALSE)</f>
        <v>0</v>
      </c>
      <c r="K70" s="69">
        <f>VLOOKUP($A70,SP_EnvTract_DB[],MATCH(K$2,SP_EnvTract_DB[#Headers],0),FALSE)</f>
        <v>0</v>
      </c>
      <c r="L70" s="69">
        <f>VLOOKUP($A70,SP_EnvTract_DB[],MATCH(L$2,SP_EnvTract_DB[#Headers],0),FALSE)</f>
        <v>0</v>
      </c>
      <c r="M70" s="69">
        <f>VLOOKUP($A70,SP_EnvTract_DB[],MATCH(M$2,SP_EnvTract_DB[#Headers],0),FALSE)</f>
        <v>0</v>
      </c>
      <c r="N70" s="69">
        <f>VLOOKUP($A70,SP_EnvTract_DB[],MATCH(N$2,SP_EnvTract_DB[#Headers],0),FALSE)</f>
        <v>0</v>
      </c>
      <c r="O70" s="74">
        <f>VLOOKUP($A70,SP_EnvTract_DB[],MATCH(O$2,SP_EnvTract_DB[#Headers],0),FALSE)</f>
        <v>0</v>
      </c>
      <c r="P70" s="73">
        <f>VLOOKUP($A70,SP_EnvTract_DB[],MATCH(P$2,SP_EnvTract_DB[#Headers],0),FALSE)</f>
        <v>0</v>
      </c>
      <c r="Q70" s="73">
        <f>VLOOKUP($A70,SP_EnvTract_DB[],MATCH(Q$2,SP_EnvTract_DB[#Headers],0),FALSE)</f>
        <v>0</v>
      </c>
      <c r="R70" s="74">
        <f>VLOOKUP($A70,SP_EnvTract_DB[],MATCH(R$2,SP_EnvTract_DB[#Headers],0),FALSE)</f>
        <v>0</v>
      </c>
      <c r="S70" s="68">
        <f>VLOOKUP($A70,SP_EnvTract_DB[],MATCH(S$2,SP_EnvTract_DB[#Headers],0),FALSE)</f>
        <v>0</v>
      </c>
      <c r="T70" s="68">
        <f>VLOOKUP($A70,SP_EnvTract_DB[],MATCH(T$2,SP_EnvTract_DB[#Headers],0),FALSE)</f>
        <v>0</v>
      </c>
      <c r="U70" s="74">
        <f>VLOOKUP($A70,SP_EnvTract_DB[],MATCH(U$2,SP_EnvTract_DB[#Headers],0),FALSE)</f>
        <v>0</v>
      </c>
      <c r="V70" s="68">
        <f>VLOOKUP($A70,SP_EnvTract_DB[],MATCH(V$2,SP_EnvTract_DB[#Headers],0),FALSE)</f>
        <v>0</v>
      </c>
      <c r="W70" s="68">
        <f>VLOOKUP($A70,SP_EnvTract_DB[],MATCH(W$2,SP_EnvTract_DB[#Headers],0),FALSE)</f>
        <v>0</v>
      </c>
      <c r="X70" s="68">
        <f>VLOOKUP($A70,SP_EnvTract_DB[],MATCH(X$2,SP_EnvTract_DB[#Headers],0),FALSE)</f>
        <v>0</v>
      </c>
      <c r="Y70" s="80">
        <f>VLOOKUP($A70,SP_EnvTract_DB[],MATCH(Y$2,SP_EnvTract_DB[#Headers],0),FALSE)</f>
        <v>0</v>
      </c>
      <c r="Z70" s="81" t="str">
        <f>IFERROR(IF(VLOOKUP(CONCATENATE($A70,"_",Z$1),SP_,MATCH(Z$2,SP_ENV_Lib[#Headers],0),FALSE)=0,"",VLOOKUP(CONCATENATE($A70,"_",Z$1),SP_ENV_Lib[],MATCH(Z$2,SP_ACQ_Lib[#Headers],0),FALSE)),"")</f>
        <v/>
      </c>
      <c r="AA70" s="74"/>
      <c r="AB70" s="74">
        <f>IFERROR(IF(VLOOKUP(CONCATENATE($A70,"_",AB$1),SP_ENV_Lib[],MATCH(AB$2,SP_ENV_Lib[#Headers],0),FALSE)=0,"",VLOOKUP(CONCATENATE($A70,"_",AB$1),SP_ENV_Lib[],MATCH(AB$2,SP_ENV_Lib[#Headers],0),FALSE)),"")</f>
        <v>43872.52140046296</v>
      </c>
      <c r="AC70" s="74">
        <f>IFERROR(IF(VLOOKUP(CONCATENATE($A70,"_",AC$1),SP_ENV_Lib[],MATCH(AC$2,SP_ENV_Lib[#Headers],0),FALSE)=0,"",VLOOKUP(CONCATENATE($A70,"_",AC$1),SP_ENV_Lib[],MATCH(AC$2,SP_ENV_Lib[#Headers],0),FALSE)),"")</f>
        <v>43845</v>
      </c>
      <c r="AD70" s="74">
        <f>IFERROR(IF(VLOOKUP(CONCATENATE($A70,"_",AD$1),SP_ENV_Lib[],MATCH(AD$2,SP_ENV_Lib[#Headers],0),FALSE)=0,"",VLOOKUP(CONCATENATE($A70,"_",AD$1),SP_ENV_Lib[],MATCH(AD$2,SP_ENV_Lib[#Headers],0),FALSE)),"")</f>
        <v>43867</v>
      </c>
      <c r="AE70" s="74" t="str">
        <f>IFERROR(IF(VLOOKUP(CONCATENATE($A70,"_",AE$1),SP_ENV_Lib[],MATCH(AE$2,SP_ENV_Lib[#Headers],0),FALSE)=0,"",VLOOKUP(CONCATENATE($A70,"_",AE$1),SP_ENV_Lib[],MATCH(AE$2,SP_ENV_Lib[#Headers],0),FALSE)),"")</f>
        <v/>
      </c>
      <c r="AF70" s="172" t="str">
        <f>IFERROR(VLOOKUP(CONCATENATE($A70,"_",AF$1),SP_ENV_Lib[],MATCH(AF$2,SP_ENV_Lib[#Headers],0),FALSE),0)</f>
        <v>Accepted</v>
      </c>
      <c r="AG70" s="74"/>
      <c r="AH70" s="74"/>
      <c r="AI70" s="74"/>
      <c r="AJ70" s="84"/>
    </row>
    <row r="71" spans="1:36" ht="15" x14ac:dyDescent="0.2">
      <c r="A71" s="67" t="s">
        <v>3031</v>
      </c>
      <c r="B71" s="154" t="str">
        <f>LEFT(VLOOKUP($A71,SP_EnvTract_DB[],MATCH(B$2,SP_EnvTract_DB[#Headers],0),FALSE),7)</f>
        <v>R023657</v>
      </c>
      <c r="C71" s="68" t="str">
        <f>VLOOKUP($A71,SP_EnvTract_DB[],MATCH(C$2,SP_EnvTract_DB[#Headers],0),FALSE)</f>
        <v>ENV</v>
      </c>
      <c r="D71" s="156" t="str">
        <f>VLOOKUP($A71,SP_EnvTract_DB[],MATCH(D$2,SP_EnvTract_DB[#Headers],0),FALSE)</f>
        <v>SANDERS SARAH;#171</v>
      </c>
      <c r="E71" s="156" t="str">
        <f>VLOOKUP($A71,SP_EnvTract_DB[],MATCH(E$2,SP_EnvTract_DB[#Headers],0),FALSE)</f>
        <v>1802 AZALEA DR;#171</v>
      </c>
      <c r="F71" s="69">
        <f>VLOOKUP($A71,SP_EnvTract_DB[],MATCH(F$2,SP_EnvTract_DB[#Headers],0),FALSE)</f>
        <v>0</v>
      </c>
      <c r="G71" s="73">
        <f>VLOOKUP($A71,SP_EnvTract_DB[],MATCH(G$2,SP_EnvTract_DB[#Headers],0),FALSE)</f>
        <v>0</v>
      </c>
      <c r="H71" s="73" t="str">
        <f>VLOOKUP($A71,SP_EnvTract_DB[],MATCH(H$2,SP_EnvTract_DB[#Headers],0),FALSE)</f>
        <v>Melissa DeLeon</v>
      </c>
      <c r="I71" s="69">
        <f>VLOOKUP($A71,SP_EnvTract_DB[],MATCH(I$2,SP_EnvTract_DB[#Headers],0),FALSE)</f>
        <v>0</v>
      </c>
      <c r="J71" s="69">
        <f>VLOOKUP($A71,SP_EnvTract_DB[],MATCH(J$2,SP_EnvTract_DB[#Headers],0),FALSE)</f>
        <v>0</v>
      </c>
      <c r="K71" s="69">
        <f>VLOOKUP($A71,SP_EnvTract_DB[],MATCH(K$2,SP_EnvTract_DB[#Headers],0),FALSE)</f>
        <v>0</v>
      </c>
      <c r="L71" s="69">
        <f>VLOOKUP($A71,SP_EnvTract_DB[],MATCH(L$2,SP_EnvTract_DB[#Headers],0),FALSE)</f>
        <v>0</v>
      </c>
      <c r="M71" s="69">
        <f>VLOOKUP($A71,SP_EnvTract_DB[],MATCH(M$2,SP_EnvTract_DB[#Headers],0),FALSE)</f>
        <v>0</v>
      </c>
      <c r="N71" s="69">
        <f>VLOOKUP($A71,SP_EnvTract_DB[],MATCH(N$2,SP_EnvTract_DB[#Headers],0),FALSE)</f>
        <v>0</v>
      </c>
      <c r="O71" s="74">
        <f>VLOOKUP($A71,SP_EnvTract_DB[],MATCH(O$2,SP_EnvTract_DB[#Headers],0),FALSE)</f>
        <v>0</v>
      </c>
      <c r="P71" s="73">
        <f>VLOOKUP($A71,SP_EnvTract_DB[],MATCH(P$2,SP_EnvTract_DB[#Headers],0),FALSE)</f>
        <v>0</v>
      </c>
      <c r="Q71" s="73">
        <f>VLOOKUP($A71,SP_EnvTract_DB[],MATCH(Q$2,SP_EnvTract_DB[#Headers],0),FALSE)</f>
        <v>0</v>
      </c>
      <c r="R71" s="74">
        <f>VLOOKUP($A71,SP_EnvTract_DB[],MATCH(R$2,SP_EnvTract_DB[#Headers],0),FALSE)</f>
        <v>0</v>
      </c>
      <c r="S71" s="68">
        <f>VLOOKUP($A71,SP_EnvTract_DB[],MATCH(S$2,SP_EnvTract_DB[#Headers],0),FALSE)</f>
        <v>0</v>
      </c>
      <c r="T71" s="68">
        <f>VLOOKUP($A71,SP_EnvTract_DB[],MATCH(T$2,SP_EnvTract_DB[#Headers],0),FALSE)</f>
        <v>0</v>
      </c>
      <c r="U71" s="74">
        <f>VLOOKUP($A71,SP_EnvTract_DB[],MATCH(U$2,SP_EnvTract_DB[#Headers],0),FALSE)</f>
        <v>0</v>
      </c>
      <c r="V71" s="68">
        <f>VLOOKUP($A71,SP_EnvTract_DB[],MATCH(V$2,SP_EnvTract_DB[#Headers],0),FALSE)</f>
        <v>0</v>
      </c>
      <c r="W71" s="68">
        <f>VLOOKUP($A71,SP_EnvTract_DB[],MATCH(W$2,SP_EnvTract_DB[#Headers],0),FALSE)</f>
        <v>0</v>
      </c>
      <c r="X71" s="68">
        <f>VLOOKUP($A71,SP_EnvTract_DB[],MATCH(X$2,SP_EnvTract_DB[#Headers],0),FALSE)</f>
        <v>0</v>
      </c>
      <c r="Y71" s="80">
        <f>VLOOKUP($A71,SP_EnvTract_DB[],MATCH(Y$2,SP_EnvTract_DB[#Headers],0),FALSE)</f>
        <v>0</v>
      </c>
      <c r="Z71" s="81" t="str">
        <f>IFERROR(IF(VLOOKUP(CONCATENATE($A71,"_",Z$1),SP_,MATCH(Z$2,SP_ENV_Lib[#Headers],0),FALSE)=0,"",VLOOKUP(CONCATENATE($A71,"_",Z$1),SP_ENV_Lib[],MATCH(Z$2,SP_ACQ_Lib[#Headers],0),FALSE)),"")</f>
        <v/>
      </c>
      <c r="AA71" s="74"/>
      <c r="AB71" s="74">
        <f>IFERROR(IF(VLOOKUP(CONCATENATE($A71,"_",AB$1),SP_ENV_Lib[],MATCH(AB$2,SP_ENV_Lib[#Headers],0),FALSE)=0,"",VLOOKUP(CONCATENATE($A71,"_",AB$1),SP_ENV_Lib[],MATCH(AB$2,SP_ENV_Lib[#Headers],0),FALSE)),"")</f>
        <v>43878.491527777776</v>
      </c>
      <c r="AC71" s="74">
        <f>IFERROR(IF(VLOOKUP(CONCATENATE($A71,"_",AC$1),SP_ENV_Lib[],MATCH(AC$2,SP_ENV_Lib[#Headers],0),FALSE)=0,"",VLOOKUP(CONCATENATE($A71,"_",AC$1),SP_ENV_Lib[],MATCH(AC$2,SP_ENV_Lib[#Headers],0),FALSE)),"")</f>
        <v>43845</v>
      </c>
      <c r="AD71" s="74">
        <f>IFERROR(IF(VLOOKUP(CONCATENATE($A71,"_",AD$1),SP_ENV_Lib[],MATCH(AD$2,SP_ENV_Lib[#Headers],0),FALSE)=0,"",VLOOKUP(CONCATENATE($A71,"_",AD$1),SP_ENV_Lib[],MATCH(AD$2,SP_ENV_Lib[#Headers],0),FALSE)),"")</f>
        <v>43887</v>
      </c>
      <c r="AE71" s="74" t="str">
        <f>IFERROR(IF(VLOOKUP(CONCATENATE($A71,"_",AE$1),SP_ENV_Lib[],MATCH(AE$2,SP_ENV_Lib[#Headers],0),FALSE)=0,"",VLOOKUP(CONCATENATE($A71,"_",AE$1),SP_ENV_Lib[],MATCH(AE$2,SP_ENV_Lib[#Headers],0),FALSE)),"")</f>
        <v/>
      </c>
      <c r="AF71" s="172" t="str">
        <f>IFERROR(VLOOKUP(CONCATENATE($A71,"_",AF$1),SP_ENV_Lib[],MATCH(AF$2,SP_ENV_Lib[#Headers],0),FALSE),0)</f>
        <v>Accepted</v>
      </c>
      <c r="AG71" s="74"/>
      <c r="AH71" s="74"/>
      <c r="AI71" s="74"/>
      <c r="AJ71" s="84"/>
    </row>
    <row r="72" spans="1:36" ht="15" x14ac:dyDescent="0.2">
      <c r="A72" s="67" t="s">
        <v>3036</v>
      </c>
      <c r="B72" s="154" t="str">
        <f>LEFT(VLOOKUP($A72,SP_EnvTract_DB[],MATCH(B$2,SP_EnvTract_DB[#Headers],0),FALSE),7)</f>
        <v>R023658</v>
      </c>
      <c r="C72" s="68" t="str">
        <f>VLOOKUP($A72,SP_EnvTract_DB[],MATCH(C$2,SP_EnvTract_DB[#Headers],0),FALSE)</f>
        <v>ENV</v>
      </c>
      <c r="D72" s="156" t="str">
        <f>VLOOKUP($A72,SP_EnvTract_DB[],MATCH(D$2,SP_EnvTract_DB[#Headers],0),FALSE)</f>
        <v>HATTON JOHN H III;#172</v>
      </c>
      <c r="E72" s="156" t="str">
        <f>VLOOKUP($A72,SP_EnvTract_DB[],MATCH(E$2,SP_EnvTract_DB[#Headers],0),FALSE)</f>
        <v>0 AZALEA DR;#172</v>
      </c>
      <c r="F72" s="69">
        <f>VLOOKUP($A72,SP_EnvTract_DB[],MATCH(F$2,SP_EnvTract_DB[#Headers],0),FALSE)</f>
        <v>0</v>
      </c>
      <c r="G72" s="73">
        <f>VLOOKUP($A72,SP_EnvTract_DB[],MATCH(G$2,SP_EnvTract_DB[#Headers],0),FALSE)</f>
        <v>0</v>
      </c>
      <c r="H72" s="73" t="str">
        <f>VLOOKUP($A72,SP_EnvTract_DB[],MATCH(H$2,SP_EnvTract_DB[#Headers],0),FALSE)</f>
        <v>Melissa DeLeon</v>
      </c>
      <c r="I72" s="69">
        <f>VLOOKUP($A72,SP_EnvTract_DB[],MATCH(I$2,SP_EnvTract_DB[#Headers],0),FALSE)</f>
        <v>0</v>
      </c>
      <c r="J72" s="69">
        <f>VLOOKUP($A72,SP_EnvTract_DB[],MATCH(J$2,SP_EnvTract_DB[#Headers],0),FALSE)</f>
        <v>0</v>
      </c>
      <c r="K72" s="69">
        <f>VLOOKUP($A72,SP_EnvTract_DB[],MATCH(K$2,SP_EnvTract_DB[#Headers],0),FALSE)</f>
        <v>0</v>
      </c>
      <c r="L72" s="69">
        <f>VLOOKUP($A72,SP_EnvTract_DB[],MATCH(L$2,SP_EnvTract_DB[#Headers],0),FALSE)</f>
        <v>0</v>
      </c>
      <c r="M72" s="69">
        <f>VLOOKUP($A72,SP_EnvTract_DB[],MATCH(M$2,SP_EnvTract_DB[#Headers],0),FALSE)</f>
        <v>0</v>
      </c>
      <c r="N72" s="69">
        <f>VLOOKUP($A72,SP_EnvTract_DB[],MATCH(N$2,SP_EnvTract_DB[#Headers],0),FALSE)</f>
        <v>0</v>
      </c>
      <c r="O72" s="74">
        <f>VLOOKUP($A72,SP_EnvTract_DB[],MATCH(O$2,SP_EnvTract_DB[#Headers],0),FALSE)</f>
        <v>0</v>
      </c>
      <c r="P72" s="73">
        <f>VLOOKUP($A72,SP_EnvTract_DB[],MATCH(P$2,SP_EnvTract_DB[#Headers],0),FALSE)</f>
        <v>0</v>
      </c>
      <c r="Q72" s="73">
        <f>VLOOKUP($A72,SP_EnvTract_DB[],MATCH(Q$2,SP_EnvTract_DB[#Headers],0),FALSE)</f>
        <v>0</v>
      </c>
      <c r="R72" s="74">
        <f>VLOOKUP($A72,SP_EnvTract_DB[],MATCH(R$2,SP_EnvTract_DB[#Headers],0),FALSE)</f>
        <v>0</v>
      </c>
      <c r="S72" s="68">
        <f>VLOOKUP($A72,SP_EnvTract_DB[],MATCH(S$2,SP_EnvTract_DB[#Headers],0),FALSE)</f>
        <v>0</v>
      </c>
      <c r="T72" s="68">
        <f>VLOOKUP($A72,SP_EnvTract_DB[],MATCH(T$2,SP_EnvTract_DB[#Headers],0),FALSE)</f>
        <v>0</v>
      </c>
      <c r="U72" s="74">
        <f>VLOOKUP($A72,SP_EnvTract_DB[],MATCH(U$2,SP_EnvTract_DB[#Headers],0),FALSE)</f>
        <v>0</v>
      </c>
      <c r="V72" s="68">
        <f>VLOOKUP($A72,SP_EnvTract_DB[],MATCH(V$2,SP_EnvTract_DB[#Headers],0),FALSE)</f>
        <v>0</v>
      </c>
      <c r="W72" s="68">
        <f>VLOOKUP($A72,SP_EnvTract_DB[],MATCH(W$2,SP_EnvTract_DB[#Headers],0),FALSE)</f>
        <v>0</v>
      </c>
      <c r="X72" s="68">
        <f>VLOOKUP($A72,SP_EnvTract_DB[],MATCH(X$2,SP_EnvTract_DB[#Headers],0),FALSE)</f>
        <v>0</v>
      </c>
      <c r="Y72" s="80">
        <f>VLOOKUP($A72,SP_EnvTract_DB[],MATCH(Y$2,SP_EnvTract_DB[#Headers],0),FALSE)</f>
        <v>0</v>
      </c>
      <c r="Z72" s="81" t="str">
        <f>IFERROR(IF(VLOOKUP(CONCATENATE($A72,"_",Z$1),SP_,MATCH(Z$2,SP_ENV_Lib[#Headers],0),FALSE)=0,"",VLOOKUP(CONCATENATE($A72,"_",Z$1),SP_ENV_Lib[],MATCH(Z$2,SP_ACQ_Lib[#Headers],0),FALSE)),"")</f>
        <v/>
      </c>
      <c r="AA72" s="74"/>
      <c r="AB72" s="74">
        <f>IFERROR(IF(VLOOKUP(CONCATENATE($A72,"_",AB$1),SP_ENV_Lib[],MATCH(AB$2,SP_ENV_Lib[#Headers],0),FALSE)=0,"",VLOOKUP(CONCATENATE($A72,"_",AB$1),SP_ENV_Lib[],MATCH(AB$2,SP_ENV_Lib[#Headers],0),FALSE)),"")</f>
        <v>43874.700555555559</v>
      </c>
      <c r="AC72" s="74">
        <f>IFERROR(IF(VLOOKUP(CONCATENATE($A72,"_",AC$1),SP_ENV_Lib[],MATCH(AC$2,SP_ENV_Lib[#Headers],0),FALSE)=0,"",VLOOKUP(CONCATENATE($A72,"_",AC$1),SP_ENV_Lib[],MATCH(AC$2,SP_ENV_Lib[#Headers],0),FALSE)),"")</f>
        <v>43845</v>
      </c>
      <c r="AD72" s="74">
        <f>IFERROR(IF(VLOOKUP(CONCATENATE($A72,"_",AD$1),SP_ENV_Lib[],MATCH(AD$2,SP_ENV_Lib[#Headers],0),FALSE)=0,"",VLOOKUP(CONCATENATE($A72,"_",AD$1),SP_ENV_Lib[],MATCH(AD$2,SP_ENV_Lib[#Headers],0),FALSE)),"")</f>
        <v>43874</v>
      </c>
      <c r="AE72" s="74" t="str">
        <f>IFERROR(IF(VLOOKUP(CONCATENATE($A72,"_",AE$1),SP_ENV_Lib[],MATCH(AE$2,SP_ENV_Lib[#Headers],0),FALSE)=0,"",VLOOKUP(CONCATENATE($A72,"_",AE$1),SP_ENV_Lib[],MATCH(AE$2,SP_ENV_Lib[#Headers],0),FALSE)),"")</f>
        <v/>
      </c>
      <c r="AF72" s="172" t="str">
        <f>IFERROR(VLOOKUP(CONCATENATE($A72,"_",AF$1),SP_ENV_Lib[],MATCH(AF$2,SP_ENV_Lib[#Headers],0),FALSE),0)</f>
        <v>Accepted</v>
      </c>
      <c r="AG72" s="74"/>
      <c r="AH72" s="74"/>
      <c r="AI72" s="74"/>
      <c r="AJ72" s="84"/>
    </row>
    <row r="73" spans="1:36" ht="15" x14ac:dyDescent="0.2">
      <c r="A73" s="67" t="s">
        <v>3041</v>
      </c>
      <c r="B73" s="154" t="str">
        <f>LEFT(VLOOKUP($A73,SP_EnvTract_DB[],MATCH(B$2,SP_EnvTract_DB[#Headers],0),FALSE),7)</f>
        <v>R023659</v>
      </c>
      <c r="C73" s="68" t="str">
        <f>VLOOKUP($A73,SP_EnvTract_DB[],MATCH(C$2,SP_EnvTract_DB[#Headers],0),FALSE)</f>
        <v>ENV</v>
      </c>
      <c r="D73" s="156" t="str">
        <f>VLOOKUP($A73,SP_EnvTract_DB[],MATCH(D$2,SP_EnvTract_DB[#Headers],0),FALSE)</f>
        <v>HATTON SHIRLEY;#173</v>
      </c>
      <c r="E73" s="156" t="str">
        <f>VLOOKUP($A73,SP_EnvTract_DB[],MATCH(E$2,SP_EnvTract_DB[#Headers],0),FALSE)</f>
        <v>0 AZALEA DR;#173</v>
      </c>
      <c r="F73" s="69">
        <f>VLOOKUP($A73,SP_EnvTract_DB[],MATCH(F$2,SP_EnvTract_DB[#Headers],0),FALSE)</f>
        <v>0</v>
      </c>
      <c r="G73" s="73">
        <f>VLOOKUP($A73,SP_EnvTract_DB[],MATCH(G$2,SP_EnvTract_DB[#Headers],0),FALSE)</f>
        <v>0</v>
      </c>
      <c r="H73" s="73" t="str">
        <f>VLOOKUP($A73,SP_EnvTract_DB[],MATCH(H$2,SP_EnvTract_DB[#Headers],0),FALSE)</f>
        <v>Melissa DeLeon</v>
      </c>
      <c r="I73" s="69">
        <f>VLOOKUP($A73,SP_EnvTract_DB[],MATCH(I$2,SP_EnvTract_DB[#Headers],0),FALSE)</f>
        <v>0</v>
      </c>
      <c r="J73" s="69">
        <f>VLOOKUP($A73,SP_EnvTract_DB[],MATCH(J$2,SP_EnvTract_DB[#Headers],0),FALSE)</f>
        <v>0</v>
      </c>
      <c r="K73" s="69">
        <f>VLOOKUP($A73,SP_EnvTract_DB[],MATCH(K$2,SP_EnvTract_DB[#Headers],0),FALSE)</f>
        <v>0</v>
      </c>
      <c r="L73" s="69">
        <f>VLOOKUP($A73,SP_EnvTract_DB[],MATCH(L$2,SP_EnvTract_DB[#Headers],0),FALSE)</f>
        <v>0</v>
      </c>
      <c r="M73" s="69">
        <f>VLOOKUP($A73,SP_EnvTract_DB[],MATCH(M$2,SP_EnvTract_DB[#Headers],0),FALSE)</f>
        <v>0</v>
      </c>
      <c r="N73" s="69">
        <f>VLOOKUP($A73,SP_EnvTract_DB[],MATCH(N$2,SP_EnvTract_DB[#Headers],0),FALSE)</f>
        <v>0</v>
      </c>
      <c r="O73" s="74">
        <f>VLOOKUP($A73,SP_EnvTract_DB[],MATCH(O$2,SP_EnvTract_DB[#Headers],0),FALSE)</f>
        <v>0</v>
      </c>
      <c r="P73" s="73">
        <f>VLOOKUP($A73,SP_EnvTract_DB[],MATCH(P$2,SP_EnvTract_DB[#Headers],0),FALSE)</f>
        <v>0</v>
      </c>
      <c r="Q73" s="73">
        <f>VLOOKUP($A73,SP_EnvTract_DB[],MATCH(Q$2,SP_EnvTract_DB[#Headers],0),FALSE)</f>
        <v>0</v>
      </c>
      <c r="R73" s="74">
        <f>VLOOKUP($A73,SP_EnvTract_DB[],MATCH(R$2,SP_EnvTract_DB[#Headers],0),FALSE)</f>
        <v>0</v>
      </c>
      <c r="S73" s="68">
        <f>VLOOKUP($A73,SP_EnvTract_DB[],MATCH(S$2,SP_EnvTract_DB[#Headers],0),FALSE)</f>
        <v>0</v>
      </c>
      <c r="T73" s="68">
        <f>VLOOKUP($A73,SP_EnvTract_DB[],MATCH(T$2,SP_EnvTract_DB[#Headers],0),FALSE)</f>
        <v>0</v>
      </c>
      <c r="U73" s="74">
        <f>VLOOKUP($A73,SP_EnvTract_DB[],MATCH(U$2,SP_EnvTract_DB[#Headers],0),FALSE)</f>
        <v>0</v>
      </c>
      <c r="V73" s="68">
        <f>VLOOKUP($A73,SP_EnvTract_DB[],MATCH(V$2,SP_EnvTract_DB[#Headers],0),FALSE)</f>
        <v>0</v>
      </c>
      <c r="W73" s="68">
        <f>VLOOKUP($A73,SP_EnvTract_DB[],MATCH(W$2,SP_EnvTract_DB[#Headers],0),FALSE)</f>
        <v>0</v>
      </c>
      <c r="X73" s="68">
        <f>VLOOKUP($A73,SP_EnvTract_DB[],MATCH(X$2,SP_EnvTract_DB[#Headers],0),FALSE)</f>
        <v>0</v>
      </c>
      <c r="Y73" s="80">
        <f>VLOOKUP($A73,SP_EnvTract_DB[],MATCH(Y$2,SP_EnvTract_DB[#Headers],0),FALSE)</f>
        <v>0</v>
      </c>
      <c r="Z73" s="81" t="str">
        <f>IFERROR(IF(VLOOKUP(CONCATENATE($A73,"_",Z$1),SP_,MATCH(Z$2,SP_ENV_Lib[#Headers],0),FALSE)=0,"",VLOOKUP(CONCATENATE($A73,"_",Z$1),SP_ENV_Lib[],MATCH(Z$2,SP_ACQ_Lib[#Headers],0),FALSE)),"")</f>
        <v/>
      </c>
      <c r="AA73" s="74"/>
      <c r="AB73" s="74">
        <f>IFERROR(IF(VLOOKUP(CONCATENATE($A73,"_",AB$1),SP_ENV_Lib[],MATCH(AB$2,SP_ENV_Lib[#Headers],0),FALSE)=0,"",VLOOKUP(CONCATENATE($A73,"_",AB$1),SP_ENV_Lib[],MATCH(AB$2,SP_ENV_Lib[#Headers],0),FALSE)),"")</f>
        <v>43874.703831018516</v>
      </c>
      <c r="AC73" s="74">
        <f>IFERROR(IF(VLOOKUP(CONCATENATE($A73,"_",AC$1),SP_ENV_Lib[],MATCH(AC$2,SP_ENV_Lib[#Headers],0),FALSE)=0,"",VLOOKUP(CONCATENATE($A73,"_",AC$1),SP_ENV_Lib[],MATCH(AC$2,SP_ENV_Lib[#Headers],0),FALSE)),"")</f>
        <v>43845</v>
      </c>
      <c r="AD73" s="74">
        <f>IFERROR(IF(VLOOKUP(CONCATENATE($A73,"_",AD$1),SP_ENV_Lib[],MATCH(AD$2,SP_ENV_Lib[#Headers],0),FALSE)=0,"",VLOOKUP(CONCATENATE($A73,"_",AD$1),SP_ENV_Lib[],MATCH(AD$2,SP_ENV_Lib[#Headers],0),FALSE)),"")</f>
        <v>43874</v>
      </c>
      <c r="AE73" s="74" t="str">
        <f>IFERROR(IF(VLOOKUP(CONCATENATE($A73,"_",AE$1),SP_ENV_Lib[],MATCH(AE$2,SP_ENV_Lib[#Headers],0),FALSE)=0,"",VLOOKUP(CONCATENATE($A73,"_",AE$1),SP_ENV_Lib[],MATCH(AE$2,SP_ENV_Lib[#Headers],0),FALSE)),"")</f>
        <v/>
      </c>
      <c r="AF73" s="172" t="str">
        <f>IFERROR(VLOOKUP(CONCATENATE($A73,"_",AF$1),SP_ENV_Lib[],MATCH(AF$2,SP_ENV_Lib[#Headers],0),FALSE),0)</f>
        <v>Accepted</v>
      </c>
      <c r="AG73" s="74"/>
      <c r="AH73" s="74"/>
      <c r="AI73" s="74"/>
      <c r="AJ73" s="84"/>
    </row>
    <row r="74" spans="1:36" ht="15" x14ac:dyDescent="0.2">
      <c r="A74" s="67" t="s">
        <v>3046</v>
      </c>
      <c r="B74" s="154" t="str">
        <f>LEFT(VLOOKUP($A74,SP_EnvTract_DB[],MATCH(B$2,SP_EnvTract_DB[#Headers],0),FALSE),7)</f>
        <v>R023660</v>
      </c>
      <c r="C74" s="68" t="str">
        <f>VLOOKUP($A74,SP_EnvTract_DB[],MATCH(C$2,SP_EnvTract_DB[#Headers],0),FALSE)</f>
        <v>ENV</v>
      </c>
      <c r="D74" s="156" t="str">
        <f>VLOOKUP($A74,SP_EnvTract_DB[],MATCH(D$2,SP_EnvTract_DB[#Headers],0),FALSE)</f>
        <v>HATTON SHIRLEY;#174</v>
      </c>
      <c r="E74" s="156" t="str">
        <f>VLOOKUP($A74,SP_EnvTract_DB[],MATCH(E$2,SP_EnvTract_DB[#Headers],0),FALSE)</f>
        <v>1708 AZALEA DR;#174</v>
      </c>
      <c r="F74" s="69">
        <f>VLOOKUP($A74,SP_EnvTract_DB[],MATCH(F$2,SP_EnvTract_DB[#Headers],0),FALSE)</f>
        <v>0</v>
      </c>
      <c r="G74" s="73">
        <f>VLOOKUP($A74,SP_EnvTract_DB[],MATCH(G$2,SP_EnvTract_DB[#Headers],0),FALSE)</f>
        <v>0</v>
      </c>
      <c r="H74" s="73" t="str">
        <f>VLOOKUP($A74,SP_EnvTract_DB[],MATCH(H$2,SP_EnvTract_DB[#Headers],0),FALSE)</f>
        <v>Melissa DeLeon</v>
      </c>
      <c r="I74" s="69">
        <f>VLOOKUP($A74,SP_EnvTract_DB[],MATCH(I$2,SP_EnvTract_DB[#Headers],0),FALSE)</f>
        <v>0</v>
      </c>
      <c r="J74" s="69">
        <f>VLOOKUP($A74,SP_EnvTract_DB[],MATCH(J$2,SP_EnvTract_DB[#Headers],0),FALSE)</f>
        <v>0</v>
      </c>
      <c r="K74" s="69">
        <f>VLOOKUP($A74,SP_EnvTract_DB[],MATCH(K$2,SP_EnvTract_DB[#Headers],0),FALSE)</f>
        <v>0</v>
      </c>
      <c r="L74" s="69">
        <f>VLOOKUP($A74,SP_EnvTract_DB[],MATCH(L$2,SP_EnvTract_DB[#Headers],0),FALSE)</f>
        <v>0</v>
      </c>
      <c r="M74" s="69">
        <f>VLOOKUP($A74,SP_EnvTract_DB[],MATCH(M$2,SP_EnvTract_DB[#Headers],0),FALSE)</f>
        <v>0</v>
      </c>
      <c r="N74" s="69">
        <f>VLOOKUP($A74,SP_EnvTract_DB[],MATCH(N$2,SP_EnvTract_DB[#Headers],0),FALSE)</f>
        <v>0</v>
      </c>
      <c r="O74" s="74">
        <f>VLOOKUP($A74,SP_EnvTract_DB[],MATCH(O$2,SP_EnvTract_DB[#Headers],0),FALSE)</f>
        <v>0</v>
      </c>
      <c r="P74" s="73">
        <f>VLOOKUP($A74,SP_EnvTract_DB[],MATCH(P$2,SP_EnvTract_DB[#Headers],0),FALSE)</f>
        <v>0</v>
      </c>
      <c r="Q74" s="73">
        <f>VLOOKUP($A74,SP_EnvTract_DB[],MATCH(Q$2,SP_EnvTract_DB[#Headers],0),FALSE)</f>
        <v>0</v>
      </c>
      <c r="R74" s="74">
        <f>VLOOKUP($A74,SP_EnvTract_DB[],MATCH(R$2,SP_EnvTract_DB[#Headers],0),FALSE)</f>
        <v>0</v>
      </c>
      <c r="S74" s="68">
        <f>VLOOKUP($A74,SP_EnvTract_DB[],MATCH(S$2,SP_EnvTract_DB[#Headers],0),FALSE)</f>
        <v>0</v>
      </c>
      <c r="T74" s="68">
        <f>VLOOKUP($A74,SP_EnvTract_DB[],MATCH(T$2,SP_EnvTract_DB[#Headers],0),FALSE)</f>
        <v>0</v>
      </c>
      <c r="U74" s="74">
        <f>VLOOKUP($A74,SP_EnvTract_DB[],MATCH(U$2,SP_EnvTract_DB[#Headers],0),FALSE)</f>
        <v>0</v>
      </c>
      <c r="V74" s="68">
        <f>VLOOKUP($A74,SP_EnvTract_DB[],MATCH(V$2,SP_EnvTract_DB[#Headers],0),FALSE)</f>
        <v>0</v>
      </c>
      <c r="W74" s="68">
        <f>VLOOKUP($A74,SP_EnvTract_DB[],MATCH(W$2,SP_EnvTract_DB[#Headers],0),FALSE)</f>
        <v>0</v>
      </c>
      <c r="X74" s="68">
        <f>VLOOKUP($A74,SP_EnvTract_DB[],MATCH(X$2,SP_EnvTract_DB[#Headers],0),FALSE)</f>
        <v>0</v>
      </c>
      <c r="Y74" s="80">
        <f>VLOOKUP($A74,SP_EnvTract_DB[],MATCH(Y$2,SP_EnvTract_DB[#Headers],0),FALSE)</f>
        <v>0</v>
      </c>
      <c r="Z74" s="81" t="str">
        <f>IFERROR(IF(VLOOKUP(CONCATENATE($A74,"_",Z$1),SP_,MATCH(Z$2,SP_ENV_Lib[#Headers],0),FALSE)=0,"",VLOOKUP(CONCATENATE($A74,"_",Z$1),SP_ENV_Lib[],MATCH(Z$2,SP_ACQ_Lib[#Headers],0),FALSE)),"")</f>
        <v/>
      </c>
      <c r="AA74" s="74"/>
      <c r="AB74" s="74" t="str">
        <f>IFERROR(IF(VLOOKUP(CONCATENATE($A74,"_",AB$1),SP_ENV_Lib[],MATCH(AB$2,SP_ENV_Lib[#Headers],0),FALSE)=0,"",VLOOKUP(CONCATENATE($A74,"_",AB$1),SP_ENV_Lib[],MATCH(AB$2,SP_ENV_Lib[#Headers],0),FALSE)),"")</f>
        <v/>
      </c>
      <c r="AC74" s="74">
        <f>IFERROR(IF(VLOOKUP(CONCATENATE($A74,"_",AC$1),SP_ENV_Lib[],MATCH(AC$2,SP_ENV_Lib[#Headers],0),FALSE)=0,"",VLOOKUP(CONCATENATE($A74,"_",AC$1),SP_ENV_Lib[],MATCH(AC$2,SP_ENV_Lib[#Headers],0),FALSE)),"")</f>
        <v>43845</v>
      </c>
      <c r="AD74" s="74">
        <f>IFERROR(IF(VLOOKUP(CONCATENATE($A74,"_",AD$1),SP_ENV_Lib[],MATCH(AD$2,SP_ENV_Lib[#Headers],0),FALSE)=0,"",VLOOKUP(CONCATENATE($A74,"_",AD$1),SP_ENV_Lib[],MATCH(AD$2,SP_ENV_Lib[#Headers],0),FALSE)),"")</f>
        <v>43874</v>
      </c>
      <c r="AE74" s="74" t="str">
        <f>IFERROR(IF(VLOOKUP(CONCATENATE($A74,"_",AE$1),SP_ENV_Lib[],MATCH(AE$2,SP_ENV_Lib[#Headers],0),FALSE)=0,"",VLOOKUP(CONCATENATE($A74,"_",AE$1),SP_ENV_Lib[],MATCH(AE$2,SP_ENV_Lib[#Headers],0),FALSE)),"")</f>
        <v/>
      </c>
      <c r="AF74" s="172" t="str">
        <f>IFERROR(VLOOKUP(CONCATENATE($A74,"_",AF$1),SP_ENV_Lib[],MATCH(AF$2,SP_ENV_Lib[#Headers],0),FALSE),0)</f>
        <v>Accepted</v>
      </c>
      <c r="AG74" s="74"/>
      <c r="AH74" s="74"/>
      <c r="AI74" s="74"/>
      <c r="AJ74" s="84"/>
    </row>
    <row r="75" spans="1:36" ht="15" x14ac:dyDescent="0.2">
      <c r="A75" s="67" t="s">
        <v>3051</v>
      </c>
      <c r="B75" s="154" t="str">
        <f>LEFT(VLOOKUP($A75,SP_EnvTract_DB[],MATCH(B$2,SP_EnvTract_DB[#Headers],0),FALSE),7)</f>
        <v>R023661</v>
      </c>
      <c r="C75" s="68" t="str">
        <f>VLOOKUP($A75,SP_EnvTract_DB[],MATCH(C$2,SP_EnvTract_DB[#Headers],0),FALSE)</f>
        <v>ENV</v>
      </c>
      <c r="D75" s="156" t="str">
        <f>VLOOKUP($A75,SP_EnvTract_DB[],MATCH(D$2,SP_EnvTract_DB[#Headers],0),FALSE)</f>
        <v>ROBERTSON MINNIE;#175</v>
      </c>
      <c r="E75" s="156" t="str">
        <f>VLOOKUP($A75,SP_EnvTract_DB[],MATCH(E$2,SP_EnvTract_DB[#Headers],0),FALSE)</f>
        <v>1706 AZALEA DR;#175</v>
      </c>
      <c r="F75" s="69">
        <f>VLOOKUP($A75,SP_EnvTract_DB[],MATCH(F$2,SP_EnvTract_DB[#Headers],0),FALSE)</f>
        <v>0</v>
      </c>
      <c r="G75" s="73">
        <f>VLOOKUP($A75,SP_EnvTract_DB[],MATCH(G$2,SP_EnvTract_DB[#Headers],0),FALSE)</f>
        <v>0</v>
      </c>
      <c r="H75" s="73" t="str">
        <f>VLOOKUP($A75,SP_EnvTract_DB[],MATCH(H$2,SP_EnvTract_DB[#Headers],0),FALSE)</f>
        <v>Melissa DeLeon</v>
      </c>
      <c r="I75" s="69">
        <f>VLOOKUP($A75,SP_EnvTract_DB[],MATCH(I$2,SP_EnvTract_DB[#Headers],0),FALSE)</f>
        <v>0</v>
      </c>
      <c r="J75" s="69">
        <f>VLOOKUP($A75,SP_EnvTract_DB[],MATCH(J$2,SP_EnvTract_DB[#Headers],0),FALSE)</f>
        <v>0</v>
      </c>
      <c r="K75" s="69">
        <f>VLOOKUP($A75,SP_EnvTract_DB[],MATCH(K$2,SP_EnvTract_DB[#Headers],0),FALSE)</f>
        <v>0</v>
      </c>
      <c r="L75" s="69">
        <f>VLOOKUP($A75,SP_EnvTract_DB[],MATCH(L$2,SP_EnvTract_DB[#Headers],0),FALSE)</f>
        <v>0</v>
      </c>
      <c r="M75" s="69">
        <f>VLOOKUP($A75,SP_EnvTract_DB[],MATCH(M$2,SP_EnvTract_DB[#Headers],0),FALSE)</f>
        <v>0</v>
      </c>
      <c r="N75" s="69">
        <f>VLOOKUP($A75,SP_EnvTract_DB[],MATCH(N$2,SP_EnvTract_DB[#Headers],0),FALSE)</f>
        <v>0</v>
      </c>
      <c r="O75" s="74">
        <f>VLOOKUP($A75,SP_EnvTract_DB[],MATCH(O$2,SP_EnvTract_DB[#Headers],0),FALSE)</f>
        <v>0</v>
      </c>
      <c r="P75" s="73">
        <f>VLOOKUP($A75,SP_EnvTract_DB[],MATCH(P$2,SP_EnvTract_DB[#Headers],0),FALSE)</f>
        <v>0</v>
      </c>
      <c r="Q75" s="73">
        <f>VLOOKUP($A75,SP_EnvTract_DB[],MATCH(Q$2,SP_EnvTract_DB[#Headers],0),FALSE)</f>
        <v>0</v>
      </c>
      <c r="R75" s="74">
        <f>VLOOKUP($A75,SP_EnvTract_DB[],MATCH(R$2,SP_EnvTract_DB[#Headers],0),FALSE)</f>
        <v>0</v>
      </c>
      <c r="S75" s="68">
        <f>VLOOKUP($A75,SP_EnvTract_DB[],MATCH(S$2,SP_EnvTract_DB[#Headers],0),FALSE)</f>
        <v>0</v>
      </c>
      <c r="T75" s="68">
        <f>VLOOKUP($A75,SP_EnvTract_DB[],MATCH(T$2,SP_EnvTract_DB[#Headers],0),FALSE)</f>
        <v>0</v>
      </c>
      <c r="U75" s="74">
        <f>VLOOKUP($A75,SP_EnvTract_DB[],MATCH(U$2,SP_EnvTract_DB[#Headers],0),FALSE)</f>
        <v>0</v>
      </c>
      <c r="V75" s="68">
        <f>VLOOKUP($A75,SP_EnvTract_DB[],MATCH(V$2,SP_EnvTract_DB[#Headers],0),FALSE)</f>
        <v>0</v>
      </c>
      <c r="W75" s="68">
        <f>VLOOKUP($A75,SP_EnvTract_DB[],MATCH(W$2,SP_EnvTract_DB[#Headers],0),FALSE)</f>
        <v>0</v>
      </c>
      <c r="X75" s="68">
        <f>VLOOKUP($A75,SP_EnvTract_DB[],MATCH(X$2,SP_EnvTract_DB[#Headers],0),FALSE)</f>
        <v>0</v>
      </c>
      <c r="Y75" s="80">
        <f>VLOOKUP($A75,SP_EnvTract_DB[],MATCH(Y$2,SP_EnvTract_DB[#Headers],0),FALSE)</f>
        <v>0</v>
      </c>
      <c r="Z75" s="81" t="str">
        <f>IFERROR(IF(VLOOKUP(CONCATENATE($A75,"_",Z$1),SP_,MATCH(Z$2,SP_ENV_Lib[#Headers],0),FALSE)=0,"",VLOOKUP(CONCATENATE($A75,"_",Z$1),SP_ENV_Lib[],MATCH(Z$2,SP_ACQ_Lib[#Headers],0),FALSE)),"")</f>
        <v/>
      </c>
      <c r="AA75" s="74"/>
      <c r="AB75" s="74">
        <f>IFERROR(IF(VLOOKUP(CONCATENATE($A75,"_",AB$1),SP_ENV_Lib[],MATCH(AB$2,SP_ENV_Lib[#Headers],0),FALSE)=0,"",VLOOKUP(CONCATENATE($A75,"_",AB$1),SP_ENV_Lib[],MATCH(AB$2,SP_ENV_Lib[#Headers],0),FALSE)),"")</f>
        <v>43872.449814814812</v>
      </c>
      <c r="AC75" s="74">
        <f>IFERROR(IF(VLOOKUP(CONCATENATE($A75,"_",AC$1),SP_ENV_Lib[],MATCH(AC$2,SP_ENV_Lib[#Headers],0),FALSE)=0,"",VLOOKUP(CONCATENATE($A75,"_",AC$1),SP_ENV_Lib[],MATCH(AC$2,SP_ENV_Lib[#Headers],0),FALSE)),"")</f>
        <v>43845</v>
      </c>
      <c r="AD75" s="74">
        <f>IFERROR(IF(VLOOKUP(CONCATENATE($A75,"_",AD$1),SP_ENV_Lib[],MATCH(AD$2,SP_ENV_Lib[#Headers],0),FALSE)=0,"",VLOOKUP(CONCATENATE($A75,"_",AD$1),SP_ENV_Lib[],MATCH(AD$2,SP_ENV_Lib[#Headers],0),FALSE)),"")</f>
        <v>43880</v>
      </c>
      <c r="AE75" s="74" t="str">
        <f>IFERROR(IF(VLOOKUP(CONCATENATE($A75,"_",AE$1),SP_ENV_Lib[],MATCH(AE$2,SP_ENV_Lib[#Headers],0),FALSE)=0,"",VLOOKUP(CONCATENATE($A75,"_",AE$1),SP_ENV_Lib[],MATCH(AE$2,SP_ENV_Lib[#Headers],0),FALSE)),"")</f>
        <v/>
      </c>
      <c r="AF75" s="172" t="str">
        <f>IFERROR(VLOOKUP(CONCATENATE($A75,"_",AF$1),SP_ENV_Lib[],MATCH(AF$2,SP_ENV_Lib[#Headers],0),FALSE),0)</f>
        <v>Accepted</v>
      </c>
      <c r="AG75" s="74"/>
      <c r="AH75" s="74"/>
      <c r="AI75" s="74"/>
      <c r="AJ75" s="84"/>
    </row>
    <row r="76" spans="1:36" ht="15" x14ac:dyDescent="0.2">
      <c r="A76" s="67" t="s">
        <v>3056</v>
      </c>
      <c r="B76" s="154" t="str">
        <f>LEFT(VLOOKUP($A76,SP_EnvTract_DB[],MATCH(B$2,SP_EnvTract_DB[#Headers],0),FALSE),7)</f>
        <v>R023662</v>
      </c>
      <c r="C76" s="68" t="str">
        <f>VLOOKUP($A76,SP_EnvTract_DB[],MATCH(C$2,SP_EnvTract_DB[#Headers],0),FALSE)</f>
        <v>ENV</v>
      </c>
      <c r="D76" s="156" t="str">
        <f>VLOOKUP($A76,SP_EnvTract_DB[],MATCH(D$2,SP_EnvTract_DB[#Headers],0),FALSE)</f>
        <v>EPHRAM-NEAL SHIRLEY;#176</v>
      </c>
      <c r="E76" s="156" t="str">
        <f>VLOOKUP($A76,SP_EnvTract_DB[],MATCH(E$2,SP_EnvTract_DB[#Headers],0),FALSE)</f>
        <v>1704 AZALEA DR;#176</v>
      </c>
      <c r="F76" s="69">
        <f>VLOOKUP($A76,SP_EnvTract_DB[],MATCH(F$2,SP_EnvTract_DB[#Headers],0),FALSE)</f>
        <v>0</v>
      </c>
      <c r="G76" s="73">
        <f>VLOOKUP($A76,SP_EnvTract_DB[],MATCH(G$2,SP_EnvTract_DB[#Headers],0),FALSE)</f>
        <v>0</v>
      </c>
      <c r="H76" s="73" t="str">
        <f>VLOOKUP($A76,SP_EnvTract_DB[],MATCH(H$2,SP_EnvTract_DB[#Headers],0),FALSE)</f>
        <v>Melissa DeLeon</v>
      </c>
      <c r="I76" s="69">
        <f>VLOOKUP($A76,SP_EnvTract_DB[],MATCH(I$2,SP_EnvTract_DB[#Headers],0),FALSE)</f>
        <v>0</v>
      </c>
      <c r="J76" s="69">
        <f>VLOOKUP($A76,SP_EnvTract_DB[],MATCH(J$2,SP_EnvTract_DB[#Headers],0),FALSE)</f>
        <v>0</v>
      </c>
      <c r="K76" s="69">
        <f>VLOOKUP($A76,SP_EnvTract_DB[],MATCH(K$2,SP_EnvTract_DB[#Headers],0),FALSE)</f>
        <v>0</v>
      </c>
      <c r="L76" s="69">
        <f>VLOOKUP($A76,SP_EnvTract_DB[],MATCH(L$2,SP_EnvTract_DB[#Headers],0),FALSE)</f>
        <v>0</v>
      </c>
      <c r="M76" s="69">
        <f>VLOOKUP($A76,SP_EnvTract_DB[],MATCH(M$2,SP_EnvTract_DB[#Headers],0),FALSE)</f>
        <v>0</v>
      </c>
      <c r="N76" s="69">
        <f>VLOOKUP($A76,SP_EnvTract_DB[],MATCH(N$2,SP_EnvTract_DB[#Headers],0),FALSE)</f>
        <v>0</v>
      </c>
      <c r="O76" s="74">
        <f>VLOOKUP($A76,SP_EnvTract_DB[],MATCH(O$2,SP_EnvTract_DB[#Headers],0),FALSE)</f>
        <v>0</v>
      </c>
      <c r="P76" s="73">
        <f>VLOOKUP($A76,SP_EnvTract_DB[],MATCH(P$2,SP_EnvTract_DB[#Headers],0),FALSE)</f>
        <v>0</v>
      </c>
      <c r="Q76" s="73">
        <f>VLOOKUP($A76,SP_EnvTract_DB[],MATCH(Q$2,SP_EnvTract_DB[#Headers],0),FALSE)</f>
        <v>0</v>
      </c>
      <c r="R76" s="74">
        <f>VLOOKUP($A76,SP_EnvTract_DB[],MATCH(R$2,SP_EnvTract_DB[#Headers],0),FALSE)</f>
        <v>0</v>
      </c>
      <c r="S76" s="68">
        <f>VLOOKUP($A76,SP_EnvTract_DB[],MATCH(S$2,SP_EnvTract_DB[#Headers],0),FALSE)</f>
        <v>0</v>
      </c>
      <c r="T76" s="68">
        <f>VLOOKUP($A76,SP_EnvTract_DB[],MATCH(T$2,SP_EnvTract_DB[#Headers],0),FALSE)</f>
        <v>0</v>
      </c>
      <c r="U76" s="74">
        <f>VLOOKUP($A76,SP_EnvTract_DB[],MATCH(U$2,SP_EnvTract_DB[#Headers],0),FALSE)</f>
        <v>0</v>
      </c>
      <c r="V76" s="68">
        <f>VLOOKUP($A76,SP_EnvTract_DB[],MATCH(V$2,SP_EnvTract_DB[#Headers],0),FALSE)</f>
        <v>0</v>
      </c>
      <c r="W76" s="68">
        <f>VLOOKUP($A76,SP_EnvTract_DB[],MATCH(W$2,SP_EnvTract_DB[#Headers],0),FALSE)</f>
        <v>0</v>
      </c>
      <c r="X76" s="68">
        <f>VLOOKUP($A76,SP_EnvTract_DB[],MATCH(X$2,SP_EnvTract_DB[#Headers],0),FALSE)</f>
        <v>0</v>
      </c>
      <c r="Y76" s="80">
        <f>VLOOKUP($A76,SP_EnvTract_DB[],MATCH(Y$2,SP_EnvTract_DB[#Headers],0),FALSE)</f>
        <v>0</v>
      </c>
      <c r="Z76" s="81" t="str">
        <f>IFERROR(IF(VLOOKUP(CONCATENATE($A76,"_",Z$1),SP_,MATCH(Z$2,SP_ENV_Lib[#Headers],0),FALSE)=0,"",VLOOKUP(CONCATENATE($A76,"_",Z$1),SP_ENV_Lib[],MATCH(Z$2,SP_ACQ_Lib[#Headers],0),FALSE)),"")</f>
        <v/>
      </c>
      <c r="AA76" s="74"/>
      <c r="AB76" s="74">
        <f>IFERROR(IF(VLOOKUP(CONCATENATE($A76,"_",AB$1),SP_ENV_Lib[],MATCH(AB$2,SP_ENV_Lib[#Headers],0),FALSE)=0,"",VLOOKUP(CONCATENATE($A76,"_",AB$1),SP_ENV_Lib[],MATCH(AB$2,SP_ENV_Lib[#Headers],0),FALSE)),"")</f>
        <v>43875.516979166663</v>
      </c>
      <c r="AC76" s="74">
        <f>IFERROR(IF(VLOOKUP(CONCATENATE($A76,"_",AC$1),SP_ENV_Lib[],MATCH(AC$2,SP_ENV_Lib[#Headers],0),FALSE)=0,"",VLOOKUP(CONCATENATE($A76,"_",AC$1),SP_ENV_Lib[],MATCH(AC$2,SP_ENV_Lib[#Headers],0),FALSE)),"")</f>
        <v>43845</v>
      </c>
      <c r="AD76" s="74">
        <f>IFERROR(IF(VLOOKUP(CONCATENATE($A76,"_",AD$1),SP_ENV_Lib[],MATCH(AD$2,SP_ENV_Lib[#Headers],0),FALSE)=0,"",VLOOKUP(CONCATENATE($A76,"_",AD$1),SP_ENV_Lib[],MATCH(AD$2,SP_ENV_Lib[#Headers],0),FALSE)),"")</f>
        <v>43867</v>
      </c>
      <c r="AE76" s="74" t="str">
        <f>IFERROR(IF(VLOOKUP(CONCATENATE($A76,"_",AE$1),SP_ENV_Lib[],MATCH(AE$2,SP_ENV_Lib[#Headers],0),FALSE)=0,"",VLOOKUP(CONCATENATE($A76,"_",AE$1),SP_ENV_Lib[],MATCH(AE$2,SP_ENV_Lib[#Headers],0),FALSE)),"")</f>
        <v/>
      </c>
      <c r="AF76" s="172" t="str">
        <f>IFERROR(VLOOKUP(CONCATENATE($A76,"_",AF$1),SP_ENV_Lib[],MATCH(AF$2,SP_ENV_Lib[#Headers],0),FALSE),0)</f>
        <v>Accepted</v>
      </c>
      <c r="AG76" s="74"/>
      <c r="AH76" s="74"/>
      <c r="AI76" s="74"/>
      <c r="AJ76" s="84"/>
    </row>
    <row r="77" spans="1:36" ht="15" x14ac:dyDescent="0.2">
      <c r="A77" s="67" t="s">
        <v>3061</v>
      </c>
      <c r="B77" s="154" t="str">
        <f>LEFT(VLOOKUP($A77,SP_EnvTract_DB[],MATCH(B$2,SP_EnvTract_DB[#Headers],0),FALSE),7)</f>
        <v>R023665</v>
      </c>
      <c r="C77" s="68" t="str">
        <f>VLOOKUP($A77,SP_EnvTract_DB[],MATCH(C$2,SP_EnvTract_DB[#Headers],0),FALSE)</f>
        <v>ENV</v>
      </c>
      <c r="D77" s="156" t="str">
        <f>VLOOKUP($A77,SP_EnvTract_DB[],MATCH(D$2,SP_EnvTract_DB[#Headers],0),FALSE)</f>
        <v>MANGUM MACK JR %MANGUM CURTIS;#177</v>
      </c>
      <c r="E77" s="156" t="str">
        <f>VLOOKUP($A77,SP_EnvTract_DB[],MATCH(E$2,SP_EnvTract_DB[#Headers],0),FALSE)</f>
        <v>1511 AZALEA DR;#177</v>
      </c>
      <c r="F77" s="69">
        <f>VLOOKUP($A77,SP_EnvTract_DB[],MATCH(F$2,SP_EnvTract_DB[#Headers],0),FALSE)</f>
        <v>0</v>
      </c>
      <c r="G77" s="73">
        <f>VLOOKUP($A77,SP_EnvTract_DB[],MATCH(G$2,SP_EnvTract_DB[#Headers],0),FALSE)</f>
        <v>0</v>
      </c>
      <c r="H77" s="73" t="str">
        <f>VLOOKUP($A77,SP_EnvTract_DB[],MATCH(H$2,SP_EnvTract_DB[#Headers],0),FALSE)</f>
        <v>Melissa DeLeon</v>
      </c>
      <c r="I77" s="69">
        <f>VLOOKUP($A77,SP_EnvTract_DB[],MATCH(I$2,SP_EnvTract_DB[#Headers],0),FALSE)</f>
        <v>0</v>
      </c>
      <c r="J77" s="69">
        <f>VLOOKUP($A77,SP_EnvTract_DB[],MATCH(J$2,SP_EnvTract_DB[#Headers],0),FALSE)</f>
        <v>0</v>
      </c>
      <c r="K77" s="69">
        <f>VLOOKUP($A77,SP_EnvTract_DB[],MATCH(K$2,SP_EnvTract_DB[#Headers],0),FALSE)</f>
        <v>0</v>
      </c>
      <c r="L77" s="69">
        <f>VLOOKUP($A77,SP_EnvTract_DB[],MATCH(L$2,SP_EnvTract_DB[#Headers],0),FALSE)</f>
        <v>0</v>
      </c>
      <c r="M77" s="69">
        <f>VLOOKUP($A77,SP_EnvTract_DB[],MATCH(M$2,SP_EnvTract_DB[#Headers],0),FALSE)</f>
        <v>0</v>
      </c>
      <c r="N77" s="69">
        <f>VLOOKUP($A77,SP_EnvTract_DB[],MATCH(N$2,SP_EnvTract_DB[#Headers],0),FALSE)</f>
        <v>0</v>
      </c>
      <c r="O77" s="74">
        <f>VLOOKUP($A77,SP_EnvTract_DB[],MATCH(O$2,SP_EnvTract_DB[#Headers],0),FALSE)</f>
        <v>0</v>
      </c>
      <c r="P77" s="73">
        <f>VLOOKUP($A77,SP_EnvTract_DB[],MATCH(P$2,SP_EnvTract_DB[#Headers],0),FALSE)</f>
        <v>0</v>
      </c>
      <c r="Q77" s="73">
        <f>VLOOKUP($A77,SP_EnvTract_DB[],MATCH(Q$2,SP_EnvTract_DB[#Headers],0),FALSE)</f>
        <v>0</v>
      </c>
      <c r="R77" s="74">
        <f>VLOOKUP($A77,SP_EnvTract_DB[],MATCH(R$2,SP_EnvTract_DB[#Headers],0),FALSE)</f>
        <v>0</v>
      </c>
      <c r="S77" s="68">
        <f>VLOOKUP($A77,SP_EnvTract_DB[],MATCH(S$2,SP_EnvTract_DB[#Headers],0),FALSE)</f>
        <v>0</v>
      </c>
      <c r="T77" s="68">
        <f>VLOOKUP($A77,SP_EnvTract_DB[],MATCH(T$2,SP_EnvTract_DB[#Headers],0),FALSE)</f>
        <v>0</v>
      </c>
      <c r="U77" s="74">
        <f>VLOOKUP($A77,SP_EnvTract_DB[],MATCH(U$2,SP_EnvTract_DB[#Headers],0),FALSE)</f>
        <v>0</v>
      </c>
      <c r="V77" s="68">
        <f>VLOOKUP($A77,SP_EnvTract_DB[],MATCH(V$2,SP_EnvTract_DB[#Headers],0),FALSE)</f>
        <v>0</v>
      </c>
      <c r="W77" s="68">
        <f>VLOOKUP($A77,SP_EnvTract_DB[],MATCH(W$2,SP_EnvTract_DB[#Headers],0),FALSE)</f>
        <v>0</v>
      </c>
      <c r="X77" s="68">
        <f>VLOOKUP($A77,SP_EnvTract_DB[],MATCH(X$2,SP_EnvTract_DB[#Headers],0),FALSE)</f>
        <v>0</v>
      </c>
      <c r="Y77" s="80">
        <f>VLOOKUP($A77,SP_EnvTract_DB[],MATCH(Y$2,SP_EnvTract_DB[#Headers],0),FALSE)</f>
        <v>0</v>
      </c>
      <c r="Z77" s="81" t="str">
        <f>IFERROR(IF(VLOOKUP(CONCATENATE($A77,"_",Z$1),SP_,MATCH(Z$2,SP_ENV_Lib[#Headers],0),FALSE)=0,"",VLOOKUP(CONCATENATE($A77,"_",Z$1),SP_ENV_Lib[],MATCH(Z$2,SP_ACQ_Lib[#Headers],0),FALSE)),"")</f>
        <v/>
      </c>
      <c r="AA77" s="74"/>
      <c r="AB77" s="74">
        <f>IFERROR(IF(VLOOKUP(CONCATENATE($A77,"_",AB$1),SP_ENV_Lib[],MATCH(AB$2,SP_ENV_Lib[#Headers],0),FALSE)=0,"",VLOOKUP(CONCATENATE($A77,"_",AB$1),SP_ENV_Lib[],MATCH(AB$2,SP_ENV_Lib[#Headers],0),FALSE)),"")</f>
        <v>43872.449629629627</v>
      </c>
      <c r="AC77" s="74">
        <f>IFERROR(IF(VLOOKUP(CONCATENATE($A77,"_",AC$1),SP_ENV_Lib[],MATCH(AC$2,SP_ENV_Lib[#Headers],0),FALSE)=0,"",VLOOKUP(CONCATENATE($A77,"_",AC$1),SP_ENV_Lib[],MATCH(AC$2,SP_ENV_Lib[#Headers],0),FALSE)),"")</f>
        <v>43845</v>
      </c>
      <c r="AD77" s="74">
        <f>IFERROR(IF(VLOOKUP(CONCATENATE($A77,"_",AD$1),SP_ENV_Lib[],MATCH(AD$2,SP_ENV_Lib[#Headers],0),FALSE)=0,"",VLOOKUP(CONCATENATE($A77,"_",AD$1),SP_ENV_Lib[],MATCH(AD$2,SP_ENV_Lib[#Headers],0),FALSE)),"")</f>
        <v>43867</v>
      </c>
      <c r="AE77" s="74" t="str">
        <f>IFERROR(IF(VLOOKUP(CONCATENATE($A77,"_",AE$1),SP_ENV_Lib[],MATCH(AE$2,SP_ENV_Lib[#Headers],0),FALSE)=0,"",VLOOKUP(CONCATENATE($A77,"_",AE$1),SP_ENV_Lib[],MATCH(AE$2,SP_ENV_Lib[#Headers],0),FALSE)),"")</f>
        <v/>
      </c>
      <c r="AF77" s="172" t="str">
        <f>IFERROR(VLOOKUP(CONCATENATE($A77,"_",AF$1),SP_ENV_Lib[],MATCH(AF$2,SP_ENV_Lib[#Headers],0),FALSE),0)</f>
        <v>Accepted</v>
      </c>
      <c r="AG77" s="74"/>
      <c r="AH77" s="74"/>
      <c r="AI77" s="74"/>
      <c r="AJ77" s="84"/>
    </row>
    <row r="78" spans="1:36" ht="15" x14ac:dyDescent="0.2">
      <c r="A78" s="67" t="s">
        <v>3066</v>
      </c>
      <c r="B78" s="154" t="str">
        <f>LEFT(VLOOKUP($A78,SP_EnvTract_DB[],MATCH(B$2,SP_EnvTract_DB[#Headers],0),FALSE),7)</f>
        <v>R023666</v>
      </c>
      <c r="C78" s="68" t="str">
        <f>VLOOKUP($A78,SP_EnvTract_DB[],MATCH(C$2,SP_EnvTract_DB[#Headers],0),FALSE)</f>
        <v>ENV</v>
      </c>
      <c r="D78" s="156" t="str">
        <f>VLOOKUP($A78,SP_EnvTract_DB[],MATCH(D$2,SP_EnvTract_DB[#Headers],0),FALSE)</f>
        <v>BROWN DOROTHY MAE %MANGUM CURTIS;#178</v>
      </c>
      <c r="E78" s="156" t="str">
        <f>VLOOKUP($A78,SP_EnvTract_DB[],MATCH(E$2,SP_EnvTract_DB[#Headers],0),FALSE)</f>
        <v>0  AZALEA DR;#178</v>
      </c>
      <c r="F78" s="69">
        <f>VLOOKUP($A78,SP_EnvTract_DB[],MATCH(F$2,SP_EnvTract_DB[#Headers],0),FALSE)</f>
        <v>0</v>
      </c>
      <c r="G78" s="73">
        <f>VLOOKUP($A78,SP_EnvTract_DB[],MATCH(G$2,SP_EnvTract_DB[#Headers],0),FALSE)</f>
        <v>0</v>
      </c>
      <c r="H78" s="73" t="str">
        <f>VLOOKUP($A78,SP_EnvTract_DB[],MATCH(H$2,SP_EnvTract_DB[#Headers],0),FALSE)</f>
        <v>Melissa DeLeon</v>
      </c>
      <c r="I78" s="69">
        <f>VLOOKUP($A78,SP_EnvTract_DB[],MATCH(I$2,SP_EnvTract_DB[#Headers],0),FALSE)</f>
        <v>0</v>
      </c>
      <c r="J78" s="69">
        <f>VLOOKUP($A78,SP_EnvTract_DB[],MATCH(J$2,SP_EnvTract_DB[#Headers],0),FALSE)</f>
        <v>0</v>
      </c>
      <c r="K78" s="69">
        <f>VLOOKUP($A78,SP_EnvTract_DB[],MATCH(K$2,SP_EnvTract_DB[#Headers],0),FALSE)</f>
        <v>0</v>
      </c>
      <c r="L78" s="69">
        <f>VLOOKUP($A78,SP_EnvTract_DB[],MATCH(L$2,SP_EnvTract_DB[#Headers],0),FALSE)</f>
        <v>0</v>
      </c>
      <c r="M78" s="69">
        <f>VLOOKUP($A78,SP_EnvTract_DB[],MATCH(M$2,SP_EnvTract_DB[#Headers],0),FALSE)</f>
        <v>0</v>
      </c>
      <c r="N78" s="69">
        <f>VLOOKUP($A78,SP_EnvTract_DB[],MATCH(N$2,SP_EnvTract_DB[#Headers],0),FALSE)</f>
        <v>0</v>
      </c>
      <c r="O78" s="74">
        <f>VLOOKUP($A78,SP_EnvTract_DB[],MATCH(O$2,SP_EnvTract_DB[#Headers],0),FALSE)</f>
        <v>0</v>
      </c>
      <c r="P78" s="73">
        <f>VLOOKUP($A78,SP_EnvTract_DB[],MATCH(P$2,SP_EnvTract_DB[#Headers],0),FALSE)</f>
        <v>0</v>
      </c>
      <c r="Q78" s="73">
        <f>VLOOKUP($A78,SP_EnvTract_DB[],MATCH(Q$2,SP_EnvTract_DB[#Headers],0),FALSE)</f>
        <v>0</v>
      </c>
      <c r="R78" s="74">
        <f>VLOOKUP($A78,SP_EnvTract_DB[],MATCH(R$2,SP_EnvTract_DB[#Headers],0),FALSE)</f>
        <v>0</v>
      </c>
      <c r="S78" s="68">
        <f>VLOOKUP($A78,SP_EnvTract_DB[],MATCH(S$2,SP_EnvTract_DB[#Headers],0),FALSE)</f>
        <v>0</v>
      </c>
      <c r="T78" s="68">
        <f>VLOOKUP($A78,SP_EnvTract_DB[],MATCH(T$2,SP_EnvTract_DB[#Headers],0),FALSE)</f>
        <v>0</v>
      </c>
      <c r="U78" s="74">
        <f>VLOOKUP($A78,SP_EnvTract_DB[],MATCH(U$2,SP_EnvTract_DB[#Headers],0),FALSE)</f>
        <v>0</v>
      </c>
      <c r="V78" s="68">
        <f>VLOOKUP($A78,SP_EnvTract_DB[],MATCH(V$2,SP_EnvTract_DB[#Headers],0),FALSE)</f>
        <v>0</v>
      </c>
      <c r="W78" s="68">
        <f>VLOOKUP($A78,SP_EnvTract_DB[],MATCH(W$2,SP_EnvTract_DB[#Headers],0),FALSE)</f>
        <v>0</v>
      </c>
      <c r="X78" s="68">
        <f>VLOOKUP($A78,SP_EnvTract_DB[],MATCH(X$2,SP_EnvTract_DB[#Headers],0),FALSE)</f>
        <v>0</v>
      </c>
      <c r="Y78" s="80">
        <f>VLOOKUP($A78,SP_EnvTract_DB[],MATCH(Y$2,SP_EnvTract_DB[#Headers],0),FALSE)</f>
        <v>0</v>
      </c>
      <c r="Z78" s="81" t="str">
        <f>IFERROR(IF(VLOOKUP(CONCATENATE($A78,"_",Z$1),SP_,MATCH(Z$2,SP_ENV_Lib[#Headers],0),FALSE)=0,"",VLOOKUP(CONCATENATE($A78,"_",Z$1),SP_ENV_Lib[],MATCH(Z$2,SP_ACQ_Lib[#Headers],0),FALSE)),"")</f>
        <v/>
      </c>
      <c r="AA78" s="74"/>
      <c r="AB78" s="74">
        <f>IFERROR(IF(VLOOKUP(CONCATENATE($A78,"_",AB$1),SP_ENV_Lib[],MATCH(AB$2,SP_ENV_Lib[#Headers],0),FALSE)=0,"",VLOOKUP(CONCATENATE($A78,"_",AB$1),SP_ENV_Lib[],MATCH(AB$2,SP_ENV_Lib[#Headers],0),FALSE)),"")</f>
        <v>43872.449537037035</v>
      </c>
      <c r="AC78" s="74">
        <f>IFERROR(IF(VLOOKUP(CONCATENATE($A78,"_",AC$1),SP_ENV_Lib[],MATCH(AC$2,SP_ENV_Lib[#Headers],0),FALSE)=0,"",VLOOKUP(CONCATENATE($A78,"_",AC$1),SP_ENV_Lib[],MATCH(AC$2,SP_ENV_Lib[#Headers],0),FALSE)),"")</f>
        <v>43845</v>
      </c>
      <c r="AD78" s="74">
        <f>IFERROR(IF(VLOOKUP(CONCATENATE($A78,"_",AD$1),SP_ENV_Lib[],MATCH(AD$2,SP_ENV_Lib[#Headers],0),FALSE)=0,"",VLOOKUP(CONCATENATE($A78,"_",AD$1),SP_ENV_Lib[],MATCH(AD$2,SP_ENV_Lib[#Headers],0),FALSE)),"")</f>
        <v>43867</v>
      </c>
      <c r="AE78" s="74" t="str">
        <f>IFERROR(IF(VLOOKUP(CONCATENATE($A78,"_",AE$1),SP_ENV_Lib[],MATCH(AE$2,SP_ENV_Lib[#Headers],0),FALSE)=0,"",VLOOKUP(CONCATENATE($A78,"_",AE$1),SP_ENV_Lib[],MATCH(AE$2,SP_ENV_Lib[#Headers],0),FALSE)),"")</f>
        <v/>
      </c>
      <c r="AF78" s="172" t="str">
        <f>IFERROR(VLOOKUP(CONCATENATE($A78,"_",AF$1),SP_ENV_Lib[],MATCH(AF$2,SP_ENV_Lib[#Headers],0),FALSE),0)</f>
        <v>Accepted</v>
      </c>
      <c r="AG78" s="74"/>
      <c r="AH78" s="74"/>
      <c r="AI78" s="74"/>
      <c r="AJ78" s="84"/>
    </row>
    <row r="79" spans="1:36" ht="15" x14ac:dyDescent="0.2">
      <c r="A79" s="67" t="s">
        <v>3071</v>
      </c>
      <c r="B79" s="154" t="str">
        <f>LEFT(VLOOKUP($A79,SP_EnvTract_DB[],MATCH(B$2,SP_EnvTract_DB[#Headers],0),FALSE),7)</f>
        <v>R023667</v>
      </c>
      <c r="C79" s="68" t="str">
        <f>VLOOKUP($A79,SP_EnvTract_DB[],MATCH(C$2,SP_EnvTract_DB[#Headers],0),FALSE)</f>
        <v>ENV</v>
      </c>
      <c r="D79" s="156" t="str">
        <f>VLOOKUP($A79,SP_EnvTract_DB[],MATCH(D$2,SP_EnvTract_DB[#Headers],0),FALSE)</f>
        <v>HAYNES WILLIE JR EST;#179</v>
      </c>
      <c r="E79" s="156" t="str">
        <f>VLOOKUP($A79,SP_EnvTract_DB[],MATCH(E$2,SP_EnvTract_DB[#Headers],0),FALSE)</f>
        <v>1523 AZALEA DR;#179</v>
      </c>
      <c r="F79" s="69">
        <f>VLOOKUP($A79,SP_EnvTract_DB[],MATCH(F$2,SP_EnvTract_DB[#Headers],0),FALSE)</f>
        <v>0</v>
      </c>
      <c r="G79" s="73">
        <f>VLOOKUP($A79,SP_EnvTract_DB[],MATCH(G$2,SP_EnvTract_DB[#Headers],0),FALSE)</f>
        <v>0</v>
      </c>
      <c r="H79" s="73" t="str">
        <f>VLOOKUP($A79,SP_EnvTract_DB[],MATCH(H$2,SP_EnvTract_DB[#Headers],0),FALSE)</f>
        <v>Melissa DeLeon</v>
      </c>
      <c r="I79" s="69">
        <f>VLOOKUP($A79,SP_EnvTract_DB[],MATCH(I$2,SP_EnvTract_DB[#Headers],0),FALSE)</f>
        <v>0</v>
      </c>
      <c r="J79" s="69">
        <f>VLOOKUP($A79,SP_EnvTract_DB[],MATCH(J$2,SP_EnvTract_DB[#Headers],0),FALSE)</f>
        <v>0</v>
      </c>
      <c r="K79" s="69">
        <f>VLOOKUP($A79,SP_EnvTract_DB[],MATCH(K$2,SP_EnvTract_DB[#Headers],0),FALSE)</f>
        <v>0</v>
      </c>
      <c r="L79" s="69">
        <f>VLOOKUP($A79,SP_EnvTract_DB[],MATCH(L$2,SP_EnvTract_DB[#Headers],0),FALSE)</f>
        <v>0</v>
      </c>
      <c r="M79" s="69">
        <f>VLOOKUP($A79,SP_EnvTract_DB[],MATCH(M$2,SP_EnvTract_DB[#Headers],0),FALSE)</f>
        <v>0</v>
      </c>
      <c r="N79" s="69">
        <f>VLOOKUP($A79,SP_EnvTract_DB[],MATCH(N$2,SP_EnvTract_DB[#Headers],0),FALSE)</f>
        <v>0</v>
      </c>
      <c r="O79" s="74">
        <f>VLOOKUP($A79,SP_EnvTract_DB[],MATCH(O$2,SP_EnvTract_DB[#Headers],0),FALSE)</f>
        <v>0</v>
      </c>
      <c r="P79" s="73">
        <f>VLOOKUP($A79,SP_EnvTract_DB[],MATCH(P$2,SP_EnvTract_DB[#Headers],0),FALSE)</f>
        <v>0</v>
      </c>
      <c r="Q79" s="73">
        <f>VLOOKUP($A79,SP_EnvTract_DB[],MATCH(Q$2,SP_EnvTract_DB[#Headers],0),FALSE)</f>
        <v>0</v>
      </c>
      <c r="R79" s="74">
        <f>VLOOKUP($A79,SP_EnvTract_DB[],MATCH(R$2,SP_EnvTract_DB[#Headers],0),FALSE)</f>
        <v>0</v>
      </c>
      <c r="S79" s="68">
        <f>VLOOKUP($A79,SP_EnvTract_DB[],MATCH(S$2,SP_EnvTract_DB[#Headers],0),FALSE)</f>
        <v>0</v>
      </c>
      <c r="T79" s="68">
        <f>VLOOKUP($A79,SP_EnvTract_DB[],MATCH(T$2,SP_EnvTract_DB[#Headers],0),FALSE)</f>
        <v>0</v>
      </c>
      <c r="U79" s="74">
        <f>VLOOKUP($A79,SP_EnvTract_DB[],MATCH(U$2,SP_EnvTract_DB[#Headers],0),FALSE)</f>
        <v>0</v>
      </c>
      <c r="V79" s="68">
        <f>VLOOKUP($A79,SP_EnvTract_DB[],MATCH(V$2,SP_EnvTract_DB[#Headers],0),FALSE)</f>
        <v>0</v>
      </c>
      <c r="W79" s="68">
        <f>VLOOKUP($A79,SP_EnvTract_DB[],MATCH(W$2,SP_EnvTract_DB[#Headers],0),FALSE)</f>
        <v>0</v>
      </c>
      <c r="X79" s="68">
        <f>VLOOKUP($A79,SP_EnvTract_DB[],MATCH(X$2,SP_EnvTract_DB[#Headers],0),FALSE)</f>
        <v>0</v>
      </c>
      <c r="Y79" s="80">
        <f>VLOOKUP($A79,SP_EnvTract_DB[],MATCH(Y$2,SP_EnvTract_DB[#Headers],0),FALSE)</f>
        <v>0</v>
      </c>
      <c r="Z79" s="81" t="str">
        <f>IFERROR(IF(VLOOKUP(CONCATENATE($A79,"_",Z$1),SP_,MATCH(Z$2,SP_ENV_Lib[#Headers],0),FALSE)=0,"",VLOOKUP(CONCATENATE($A79,"_",Z$1),SP_ENV_Lib[],MATCH(Z$2,SP_ACQ_Lib[#Headers],0),FALSE)),"")</f>
        <v/>
      </c>
      <c r="AA79" s="74"/>
      <c r="AB79" s="74">
        <f>IFERROR(IF(VLOOKUP(CONCATENATE($A79,"_",AB$1),SP_ENV_Lib[],MATCH(AB$2,SP_ENV_Lib[#Headers],0),FALSE)=0,"",VLOOKUP(CONCATENATE($A79,"_",AB$1),SP_ENV_Lib[],MATCH(AB$2,SP_ENV_Lib[#Headers],0),FALSE)),"")</f>
        <v>43872.449386574073</v>
      </c>
      <c r="AC79" s="74">
        <f>IFERROR(IF(VLOOKUP(CONCATENATE($A79,"_",AC$1),SP_ENV_Lib[],MATCH(AC$2,SP_ENV_Lib[#Headers],0),FALSE)=0,"",VLOOKUP(CONCATENATE($A79,"_",AC$1),SP_ENV_Lib[],MATCH(AC$2,SP_ENV_Lib[#Headers],0),FALSE)),"")</f>
        <v>43845</v>
      </c>
      <c r="AD79" s="74" t="str">
        <f>IFERROR(IF(VLOOKUP(CONCATENATE($A79,"_",AD$1),SP_ENV_Lib[],MATCH(AD$2,SP_ENV_Lib[#Headers],0),FALSE)=0,"",VLOOKUP(CONCATENATE($A79,"_",AD$1),SP_ENV_Lib[],MATCH(AD$2,SP_ENV_Lib[#Headers],0),FALSE)),"")</f>
        <v/>
      </c>
      <c r="AE79" s="74" t="str">
        <f>IFERROR(IF(VLOOKUP(CONCATENATE($A79,"_",AE$1),SP_ENV_Lib[],MATCH(AE$2,SP_ENV_Lib[#Headers],0),FALSE)=0,"",VLOOKUP(CONCATENATE($A79,"_",AE$1),SP_ENV_Lib[],MATCH(AE$2,SP_ENV_Lib[#Headers],0),FALSE)),"")</f>
        <v/>
      </c>
      <c r="AF79" s="172" t="str">
        <f>IFERROR(VLOOKUP(CONCATENATE($A79,"_",AF$1),SP_ENV_Lib[],MATCH(AF$2,SP_ENV_Lib[#Headers],0),FALSE),0)</f>
        <v>Accepted</v>
      </c>
      <c r="AG79" s="74"/>
      <c r="AH79" s="74"/>
      <c r="AI79" s="74"/>
      <c r="AJ79" s="84"/>
    </row>
    <row r="80" spans="1:36" ht="15" x14ac:dyDescent="0.2">
      <c r="A80" s="67" t="s">
        <v>3076</v>
      </c>
      <c r="B80" s="154" t="str">
        <f>LEFT(VLOOKUP($A80,SP_EnvTract_DB[],MATCH(B$2,SP_EnvTract_DB[#Headers],0),FALSE),7)</f>
        <v>R023668</v>
      </c>
      <c r="C80" s="68" t="str">
        <f>VLOOKUP($A80,SP_EnvTract_DB[],MATCH(C$2,SP_EnvTract_DB[#Headers],0),FALSE)</f>
        <v>ENV</v>
      </c>
      <c r="D80" s="156" t="str">
        <f>VLOOKUP($A80,SP_EnvTract_DB[],MATCH(D$2,SP_EnvTract_DB[#Headers],0),FALSE)</f>
        <v>LEE NAOMI;#180</v>
      </c>
      <c r="E80" s="156" t="str">
        <f>VLOOKUP($A80,SP_EnvTract_DB[],MATCH(E$2,SP_EnvTract_DB[#Headers],0),FALSE)</f>
        <v>1617 AZALEA DR;#180</v>
      </c>
      <c r="F80" s="69">
        <f>VLOOKUP($A80,SP_EnvTract_DB[],MATCH(F$2,SP_EnvTract_DB[#Headers],0),FALSE)</f>
        <v>0</v>
      </c>
      <c r="G80" s="73">
        <f>VLOOKUP($A80,SP_EnvTract_DB[],MATCH(G$2,SP_EnvTract_DB[#Headers],0),FALSE)</f>
        <v>0</v>
      </c>
      <c r="H80" s="73" t="str">
        <f>VLOOKUP($A80,SP_EnvTract_DB[],MATCH(H$2,SP_EnvTract_DB[#Headers],0),FALSE)</f>
        <v>Melissa DeLeon</v>
      </c>
      <c r="I80" s="69">
        <f>VLOOKUP($A80,SP_EnvTract_DB[],MATCH(I$2,SP_EnvTract_DB[#Headers],0),FALSE)</f>
        <v>0</v>
      </c>
      <c r="J80" s="69">
        <f>VLOOKUP($A80,SP_EnvTract_DB[],MATCH(J$2,SP_EnvTract_DB[#Headers],0),FALSE)</f>
        <v>0</v>
      </c>
      <c r="K80" s="69">
        <f>VLOOKUP($A80,SP_EnvTract_DB[],MATCH(K$2,SP_EnvTract_DB[#Headers],0),FALSE)</f>
        <v>0</v>
      </c>
      <c r="L80" s="69">
        <f>VLOOKUP($A80,SP_EnvTract_DB[],MATCH(L$2,SP_EnvTract_DB[#Headers],0),FALSE)</f>
        <v>0</v>
      </c>
      <c r="M80" s="69">
        <f>VLOOKUP($A80,SP_EnvTract_DB[],MATCH(M$2,SP_EnvTract_DB[#Headers],0),FALSE)</f>
        <v>0</v>
      </c>
      <c r="N80" s="69">
        <f>VLOOKUP($A80,SP_EnvTract_DB[],MATCH(N$2,SP_EnvTract_DB[#Headers],0),FALSE)</f>
        <v>0</v>
      </c>
      <c r="O80" s="74">
        <f>VLOOKUP($A80,SP_EnvTract_DB[],MATCH(O$2,SP_EnvTract_DB[#Headers],0),FALSE)</f>
        <v>0</v>
      </c>
      <c r="P80" s="73">
        <f>VLOOKUP($A80,SP_EnvTract_DB[],MATCH(P$2,SP_EnvTract_DB[#Headers],0),FALSE)</f>
        <v>0</v>
      </c>
      <c r="Q80" s="73">
        <f>VLOOKUP($A80,SP_EnvTract_DB[],MATCH(Q$2,SP_EnvTract_DB[#Headers],0),FALSE)</f>
        <v>0</v>
      </c>
      <c r="R80" s="74">
        <f>VLOOKUP($A80,SP_EnvTract_DB[],MATCH(R$2,SP_EnvTract_DB[#Headers],0),FALSE)</f>
        <v>0</v>
      </c>
      <c r="S80" s="68">
        <f>VLOOKUP($A80,SP_EnvTract_DB[],MATCH(S$2,SP_EnvTract_DB[#Headers],0),FALSE)</f>
        <v>0</v>
      </c>
      <c r="T80" s="68">
        <f>VLOOKUP($A80,SP_EnvTract_DB[],MATCH(T$2,SP_EnvTract_DB[#Headers],0),FALSE)</f>
        <v>0</v>
      </c>
      <c r="U80" s="74">
        <f>VLOOKUP($A80,SP_EnvTract_DB[],MATCH(U$2,SP_EnvTract_DB[#Headers],0),FALSE)</f>
        <v>0</v>
      </c>
      <c r="V80" s="68">
        <f>VLOOKUP($A80,SP_EnvTract_DB[],MATCH(V$2,SP_EnvTract_DB[#Headers],0),FALSE)</f>
        <v>0</v>
      </c>
      <c r="W80" s="68">
        <f>VLOOKUP($A80,SP_EnvTract_DB[],MATCH(W$2,SP_EnvTract_DB[#Headers],0),FALSE)</f>
        <v>0</v>
      </c>
      <c r="X80" s="68">
        <f>VLOOKUP($A80,SP_EnvTract_DB[],MATCH(X$2,SP_EnvTract_DB[#Headers],0),FALSE)</f>
        <v>0</v>
      </c>
      <c r="Y80" s="80">
        <f>VLOOKUP($A80,SP_EnvTract_DB[],MATCH(Y$2,SP_EnvTract_DB[#Headers],0),FALSE)</f>
        <v>0</v>
      </c>
      <c r="Z80" s="81" t="str">
        <f>IFERROR(IF(VLOOKUP(CONCATENATE($A80,"_",Z$1),SP_,MATCH(Z$2,SP_ENV_Lib[#Headers],0),FALSE)=0,"",VLOOKUP(CONCATENATE($A80,"_",Z$1),SP_ENV_Lib[],MATCH(Z$2,SP_ACQ_Lib[#Headers],0),FALSE)),"")</f>
        <v/>
      </c>
      <c r="AA80" s="74"/>
      <c r="AB80" s="74">
        <f>IFERROR(IF(VLOOKUP(CONCATENATE($A80,"_",AB$1),SP_ENV_Lib[],MATCH(AB$2,SP_ENV_Lib[#Headers],0),FALSE)=0,"",VLOOKUP(CONCATENATE($A80,"_",AB$1),SP_ENV_Lib[],MATCH(AB$2,SP_ENV_Lib[#Headers],0),FALSE)),"")</f>
        <v>43875.540532407409</v>
      </c>
      <c r="AC80" s="74">
        <f>IFERROR(IF(VLOOKUP(CONCATENATE($A80,"_",AC$1),SP_ENV_Lib[],MATCH(AC$2,SP_ENV_Lib[#Headers],0),FALSE)=0,"",VLOOKUP(CONCATENATE($A80,"_",AC$1),SP_ENV_Lib[],MATCH(AC$2,SP_ENV_Lib[#Headers],0),FALSE)),"")</f>
        <v>43845</v>
      </c>
      <c r="AD80" s="74">
        <f>IFERROR(IF(VLOOKUP(CONCATENATE($A80,"_",AD$1),SP_ENV_Lib[],MATCH(AD$2,SP_ENV_Lib[#Headers],0),FALSE)=0,"",VLOOKUP(CONCATENATE($A80,"_",AD$1),SP_ENV_Lib[],MATCH(AD$2,SP_ENV_Lib[#Headers],0),FALSE)),"")</f>
        <v>43871</v>
      </c>
      <c r="AE80" s="74" t="str">
        <f>IFERROR(IF(VLOOKUP(CONCATENATE($A80,"_",AE$1),SP_ENV_Lib[],MATCH(AE$2,SP_ENV_Lib[#Headers],0),FALSE)=0,"",VLOOKUP(CONCATENATE($A80,"_",AE$1),SP_ENV_Lib[],MATCH(AE$2,SP_ENV_Lib[#Headers],0),FALSE)),"")</f>
        <v/>
      </c>
      <c r="AF80" s="172" t="str">
        <f>IFERROR(VLOOKUP(CONCATENATE($A80,"_",AF$1),SP_ENV_Lib[],MATCH(AF$2,SP_ENV_Lib[#Headers],0),FALSE),0)</f>
        <v>Accepted</v>
      </c>
      <c r="AG80" s="74"/>
      <c r="AH80" s="74"/>
      <c r="AI80" s="74"/>
      <c r="AJ80" s="84"/>
    </row>
    <row r="81" spans="1:36" ht="15" x14ac:dyDescent="0.2">
      <c r="A81" s="67" t="s">
        <v>3081</v>
      </c>
      <c r="B81" s="154" t="str">
        <f>LEFT(VLOOKUP($A81,SP_EnvTract_DB[],MATCH(B$2,SP_EnvTract_DB[#Headers],0),FALSE),7)</f>
        <v>R023669</v>
      </c>
      <c r="C81" s="68" t="str">
        <f>VLOOKUP($A81,SP_EnvTract_DB[],MATCH(C$2,SP_EnvTract_DB[#Headers],0),FALSE)</f>
        <v>ENV</v>
      </c>
      <c r="D81" s="156" t="str">
        <f>VLOOKUP($A81,SP_EnvTract_DB[],MATCH(D$2,SP_EnvTract_DB[#Headers],0),FALSE)</f>
        <v>HUNT MATTIE M LEE %LEE MICHAEL;#181</v>
      </c>
      <c r="E81" s="156" t="str">
        <f>VLOOKUP($A81,SP_EnvTract_DB[],MATCH(E$2,SP_EnvTract_DB[#Headers],0),FALSE)</f>
        <v>1619 AZALEA DR;#181</v>
      </c>
      <c r="F81" s="69">
        <f>VLOOKUP($A81,SP_EnvTract_DB[],MATCH(F$2,SP_EnvTract_DB[#Headers],0),FALSE)</f>
        <v>0</v>
      </c>
      <c r="G81" s="73">
        <f>VLOOKUP($A81,SP_EnvTract_DB[],MATCH(G$2,SP_EnvTract_DB[#Headers],0),FALSE)</f>
        <v>0</v>
      </c>
      <c r="H81" s="73" t="str">
        <f>VLOOKUP($A81,SP_EnvTract_DB[],MATCH(H$2,SP_EnvTract_DB[#Headers],0),FALSE)</f>
        <v>Melissa DeLeon</v>
      </c>
      <c r="I81" s="69">
        <f>VLOOKUP($A81,SP_EnvTract_DB[],MATCH(I$2,SP_EnvTract_DB[#Headers],0),FALSE)</f>
        <v>0</v>
      </c>
      <c r="J81" s="69">
        <f>VLOOKUP($A81,SP_EnvTract_DB[],MATCH(J$2,SP_EnvTract_DB[#Headers],0),FALSE)</f>
        <v>0</v>
      </c>
      <c r="K81" s="69">
        <f>VLOOKUP($A81,SP_EnvTract_DB[],MATCH(K$2,SP_EnvTract_DB[#Headers],0),FALSE)</f>
        <v>0</v>
      </c>
      <c r="L81" s="69">
        <f>VLOOKUP($A81,SP_EnvTract_DB[],MATCH(L$2,SP_EnvTract_DB[#Headers],0),FALSE)</f>
        <v>0</v>
      </c>
      <c r="M81" s="69">
        <f>VLOOKUP($A81,SP_EnvTract_DB[],MATCH(M$2,SP_EnvTract_DB[#Headers],0),FALSE)</f>
        <v>0</v>
      </c>
      <c r="N81" s="69">
        <f>VLOOKUP($A81,SP_EnvTract_DB[],MATCH(N$2,SP_EnvTract_DB[#Headers],0),FALSE)</f>
        <v>0</v>
      </c>
      <c r="O81" s="74">
        <f>VLOOKUP($A81,SP_EnvTract_DB[],MATCH(O$2,SP_EnvTract_DB[#Headers],0),FALSE)</f>
        <v>0</v>
      </c>
      <c r="P81" s="73">
        <f>VLOOKUP($A81,SP_EnvTract_DB[],MATCH(P$2,SP_EnvTract_DB[#Headers],0),FALSE)</f>
        <v>0</v>
      </c>
      <c r="Q81" s="73">
        <f>VLOOKUP($A81,SP_EnvTract_DB[],MATCH(Q$2,SP_EnvTract_DB[#Headers],0),FALSE)</f>
        <v>0</v>
      </c>
      <c r="R81" s="74">
        <f>VLOOKUP($A81,SP_EnvTract_DB[],MATCH(R$2,SP_EnvTract_DB[#Headers],0),FALSE)</f>
        <v>0</v>
      </c>
      <c r="S81" s="68">
        <f>VLOOKUP($A81,SP_EnvTract_DB[],MATCH(S$2,SP_EnvTract_DB[#Headers],0),FALSE)</f>
        <v>0</v>
      </c>
      <c r="T81" s="68">
        <f>VLOOKUP($A81,SP_EnvTract_DB[],MATCH(T$2,SP_EnvTract_DB[#Headers],0),FALSE)</f>
        <v>0</v>
      </c>
      <c r="U81" s="74">
        <f>VLOOKUP($A81,SP_EnvTract_DB[],MATCH(U$2,SP_EnvTract_DB[#Headers],0),FALSE)</f>
        <v>0</v>
      </c>
      <c r="V81" s="68">
        <f>VLOOKUP($A81,SP_EnvTract_DB[],MATCH(V$2,SP_EnvTract_DB[#Headers],0),FALSE)</f>
        <v>0</v>
      </c>
      <c r="W81" s="68">
        <f>VLOOKUP($A81,SP_EnvTract_DB[],MATCH(W$2,SP_EnvTract_DB[#Headers],0),FALSE)</f>
        <v>0</v>
      </c>
      <c r="X81" s="68">
        <f>VLOOKUP($A81,SP_EnvTract_DB[],MATCH(X$2,SP_EnvTract_DB[#Headers],0),FALSE)</f>
        <v>0</v>
      </c>
      <c r="Y81" s="80">
        <f>VLOOKUP($A81,SP_EnvTract_DB[],MATCH(Y$2,SP_EnvTract_DB[#Headers],0),FALSE)</f>
        <v>0</v>
      </c>
      <c r="Z81" s="81" t="str">
        <f>IFERROR(IF(VLOOKUP(CONCATENATE($A81,"_",Z$1),SP_,MATCH(Z$2,SP_ENV_Lib[#Headers],0),FALSE)=0,"",VLOOKUP(CONCATENATE($A81,"_",Z$1),SP_ENV_Lib[],MATCH(Z$2,SP_ACQ_Lib[#Headers],0),FALSE)),"")</f>
        <v/>
      </c>
      <c r="AA81" s="74"/>
      <c r="AB81" s="74">
        <f>IFERROR(IF(VLOOKUP(CONCATENATE($A81,"_",AB$1),SP_ENV_Lib[],MATCH(AB$2,SP_ENV_Lib[#Headers],0),FALSE)=0,"",VLOOKUP(CONCATENATE($A81,"_",AB$1),SP_ENV_Lib[],MATCH(AB$2,SP_ENV_Lib[#Headers],0),FALSE)),"")</f>
        <v>43872.449201388888</v>
      </c>
      <c r="AC81" s="74">
        <f>IFERROR(IF(VLOOKUP(CONCATENATE($A81,"_",AC$1),SP_ENV_Lib[],MATCH(AC$2,SP_ENV_Lib[#Headers],0),FALSE)=0,"",VLOOKUP(CONCATENATE($A81,"_",AC$1),SP_ENV_Lib[],MATCH(AC$2,SP_ENV_Lib[#Headers],0),FALSE)),"")</f>
        <v>43845</v>
      </c>
      <c r="AD81" s="74">
        <f>IFERROR(IF(VLOOKUP(CONCATENATE($A81,"_",AD$1),SP_ENV_Lib[],MATCH(AD$2,SP_ENV_Lib[#Headers],0),FALSE)=0,"",VLOOKUP(CONCATENATE($A81,"_",AD$1),SP_ENV_Lib[],MATCH(AD$2,SP_ENV_Lib[#Headers],0),FALSE)),"")</f>
        <v>43860</v>
      </c>
      <c r="AE81" s="74" t="str">
        <f>IFERROR(IF(VLOOKUP(CONCATENATE($A81,"_",AE$1),SP_ENV_Lib[],MATCH(AE$2,SP_ENV_Lib[#Headers],0),FALSE)=0,"",VLOOKUP(CONCATENATE($A81,"_",AE$1),SP_ENV_Lib[],MATCH(AE$2,SP_ENV_Lib[#Headers],0),FALSE)),"")</f>
        <v/>
      </c>
      <c r="AF81" s="172" t="str">
        <f>IFERROR(VLOOKUP(CONCATENATE($A81,"_",AF$1),SP_ENV_Lib[],MATCH(AF$2,SP_ENV_Lib[#Headers],0),FALSE),0)</f>
        <v>Accepted</v>
      </c>
      <c r="AG81" s="74"/>
      <c r="AH81" s="74"/>
      <c r="AI81" s="74"/>
      <c r="AJ81" s="84"/>
    </row>
    <row r="82" spans="1:36" ht="15" x14ac:dyDescent="0.2">
      <c r="A82" s="67" t="s">
        <v>3086</v>
      </c>
      <c r="B82" s="154" t="str">
        <f>LEFT(VLOOKUP($A82,SP_EnvTract_DB[],MATCH(B$2,SP_EnvTract_DB[#Headers],0),FALSE),7)</f>
        <v>R023670</v>
      </c>
      <c r="C82" s="68" t="str">
        <f>VLOOKUP($A82,SP_EnvTract_DB[],MATCH(C$2,SP_EnvTract_DB[#Headers],0),FALSE)</f>
        <v>ENV</v>
      </c>
      <c r="D82" s="156" t="str">
        <f>VLOOKUP($A82,SP_EnvTract_DB[],MATCH(D$2,SP_EnvTract_DB[#Headers],0),FALSE)</f>
        <v>FARR BRIONNA;#182</v>
      </c>
      <c r="E82" s="156" t="str">
        <f>VLOOKUP($A82,SP_EnvTract_DB[],MATCH(E$2,SP_EnvTract_DB[#Headers],0),FALSE)</f>
        <v>1703 AZALEA DR;#182</v>
      </c>
      <c r="F82" s="69">
        <f>VLOOKUP($A82,SP_EnvTract_DB[],MATCH(F$2,SP_EnvTract_DB[#Headers],0),FALSE)</f>
        <v>0</v>
      </c>
      <c r="G82" s="73">
        <f>VLOOKUP($A82,SP_EnvTract_DB[],MATCH(G$2,SP_EnvTract_DB[#Headers],0),FALSE)</f>
        <v>0</v>
      </c>
      <c r="H82" s="73" t="str">
        <f>VLOOKUP($A82,SP_EnvTract_DB[],MATCH(H$2,SP_EnvTract_DB[#Headers],0),FALSE)</f>
        <v>Melissa DeLeon</v>
      </c>
      <c r="I82" s="69">
        <f>VLOOKUP($A82,SP_EnvTract_DB[],MATCH(I$2,SP_EnvTract_DB[#Headers],0),FALSE)</f>
        <v>0</v>
      </c>
      <c r="J82" s="69">
        <f>VLOOKUP($A82,SP_EnvTract_DB[],MATCH(J$2,SP_EnvTract_DB[#Headers],0),FALSE)</f>
        <v>0</v>
      </c>
      <c r="K82" s="69">
        <f>VLOOKUP($A82,SP_EnvTract_DB[],MATCH(K$2,SP_EnvTract_DB[#Headers],0),FALSE)</f>
        <v>0</v>
      </c>
      <c r="L82" s="69">
        <f>VLOOKUP($A82,SP_EnvTract_DB[],MATCH(L$2,SP_EnvTract_DB[#Headers],0),FALSE)</f>
        <v>0</v>
      </c>
      <c r="M82" s="69">
        <f>VLOOKUP($A82,SP_EnvTract_DB[],MATCH(M$2,SP_EnvTract_DB[#Headers],0),FALSE)</f>
        <v>0</v>
      </c>
      <c r="N82" s="69">
        <f>VLOOKUP($A82,SP_EnvTract_DB[],MATCH(N$2,SP_EnvTract_DB[#Headers],0),FALSE)</f>
        <v>0</v>
      </c>
      <c r="O82" s="74">
        <f>VLOOKUP($A82,SP_EnvTract_DB[],MATCH(O$2,SP_EnvTract_DB[#Headers],0),FALSE)</f>
        <v>0</v>
      </c>
      <c r="P82" s="73">
        <f>VLOOKUP($A82,SP_EnvTract_DB[],MATCH(P$2,SP_EnvTract_DB[#Headers],0),FALSE)</f>
        <v>0</v>
      </c>
      <c r="Q82" s="73">
        <f>VLOOKUP($A82,SP_EnvTract_DB[],MATCH(Q$2,SP_EnvTract_DB[#Headers],0),FALSE)</f>
        <v>0</v>
      </c>
      <c r="R82" s="74">
        <f>VLOOKUP($A82,SP_EnvTract_DB[],MATCH(R$2,SP_EnvTract_DB[#Headers],0),FALSE)</f>
        <v>0</v>
      </c>
      <c r="S82" s="68">
        <f>VLOOKUP($A82,SP_EnvTract_DB[],MATCH(S$2,SP_EnvTract_DB[#Headers],0),FALSE)</f>
        <v>0</v>
      </c>
      <c r="T82" s="68">
        <f>VLOOKUP($A82,SP_EnvTract_DB[],MATCH(T$2,SP_EnvTract_DB[#Headers],0),FALSE)</f>
        <v>0</v>
      </c>
      <c r="U82" s="74">
        <f>VLOOKUP($A82,SP_EnvTract_DB[],MATCH(U$2,SP_EnvTract_DB[#Headers],0),FALSE)</f>
        <v>0</v>
      </c>
      <c r="V82" s="68">
        <f>VLOOKUP($A82,SP_EnvTract_DB[],MATCH(V$2,SP_EnvTract_DB[#Headers],0),FALSE)</f>
        <v>0</v>
      </c>
      <c r="W82" s="68">
        <f>VLOOKUP($A82,SP_EnvTract_DB[],MATCH(W$2,SP_EnvTract_DB[#Headers],0),FALSE)</f>
        <v>0</v>
      </c>
      <c r="X82" s="68">
        <f>VLOOKUP($A82,SP_EnvTract_DB[],MATCH(X$2,SP_EnvTract_DB[#Headers],0),FALSE)</f>
        <v>0</v>
      </c>
      <c r="Y82" s="80">
        <f>VLOOKUP($A82,SP_EnvTract_DB[],MATCH(Y$2,SP_EnvTract_DB[#Headers],0),FALSE)</f>
        <v>0</v>
      </c>
      <c r="Z82" s="81" t="str">
        <f>IFERROR(IF(VLOOKUP(CONCATENATE($A82,"_",Z$1),SP_,MATCH(Z$2,SP_ENV_Lib[#Headers],0),FALSE)=0,"",VLOOKUP(CONCATENATE($A82,"_",Z$1),SP_ENV_Lib[],MATCH(Z$2,SP_ACQ_Lib[#Headers],0),FALSE)),"")</f>
        <v/>
      </c>
      <c r="AA82" s="74"/>
      <c r="AB82" s="74">
        <f>IFERROR(IF(VLOOKUP(CONCATENATE($A82,"_",AB$1),SP_ENV_Lib[],MATCH(AB$2,SP_ENV_Lib[#Headers],0),FALSE)=0,"",VLOOKUP(CONCATENATE($A82,"_",AB$1),SP_ENV_Lib[],MATCH(AB$2,SP_ENV_Lib[#Headers],0),FALSE)),"")</f>
        <v>43908.703263888892</v>
      </c>
      <c r="AC82" s="74">
        <f>IFERROR(IF(VLOOKUP(CONCATENATE($A82,"_",AC$1),SP_ENV_Lib[],MATCH(AC$2,SP_ENV_Lib[#Headers],0),FALSE)=0,"",VLOOKUP(CONCATENATE($A82,"_",AC$1),SP_ENV_Lib[],MATCH(AC$2,SP_ENV_Lib[#Headers],0),FALSE)),"")</f>
        <v>43845</v>
      </c>
      <c r="AD82" s="74">
        <f>IFERROR(IF(VLOOKUP(CONCATENATE($A82,"_",AD$1),SP_ENV_Lib[],MATCH(AD$2,SP_ENV_Lib[#Headers],0),FALSE)=0,"",VLOOKUP(CONCATENATE($A82,"_",AD$1),SP_ENV_Lib[],MATCH(AD$2,SP_ENV_Lib[#Headers],0),FALSE)),"")</f>
        <v>43914</v>
      </c>
      <c r="AE82" s="74" t="str">
        <f>IFERROR(IF(VLOOKUP(CONCATENATE($A82,"_",AE$1),SP_ENV_Lib[],MATCH(AE$2,SP_ENV_Lib[#Headers],0),FALSE)=0,"",VLOOKUP(CONCATENATE($A82,"_",AE$1),SP_ENV_Lib[],MATCH(AE$2,SP_ENV_Lib[#Headers],0),FALSE)),"")</f>
        <v/>
      </c>
      <c r="AF82" s="172" t="str">
        <f>IFERROR(VLOOKUP(CONCATENATE($A82,"_",AF$1),SP_ENV_Lib[],MATCH(AF$2,SP_ENV_Lib[#Headers],0),FALSE),0)</f>
        <v>Accepted</v>
      </c>
      <c r="AG82" s="74"/>
      <c r="AH82" s="74"/>
      <c r="AI82" s="74"/>
      <c r="AJ82" s="84"/>
    </row>
    <row r="83" spans="1:36" ht="15" x14ac:dyDescent="0.2">
      <c r="A83" s="67" t="s">
        <v>3091</v>
      </c>
      <c r="B83" s="154" t="str">
        <f>LEFT(VLOOKUP($A83,SP_EnvTract_DB[],MATCH(B$2,SP_EnvTract_DB[#Headers],0),FALSE),7)</f>
        <v>R023671</v>
      </c>
      <c r="C83" s="68" t="str">
        <f>VLOOKUP($A83,SP_EnvTract_DB[],MATCH(C$2,SP_EnvTract_DB[#Headers],0),FALSE)</f>
        <v>ENV</v>
      </c>
      <c r="D83" s="156" t="str">
        <f>VLOOKUP($A83,SP_EnvTract_DB[],MATCH(D$2,SP_EnvTract_DB[#Headers],0),FALSE)</f>
        <v>LOPEZ ELISIA;#183</v>
      </c>
      <c r="E83" s="156" t="str">
        <f>VLOOKUP($A83,SP_EnvTract_DB[],MATCH(E$2,SP_EnvTract_DB[#Headers],0),FALSE)</f>
        <v>1703 AZALEA DR;#183</v>
      </c>
      <c r="F83" s="69">
        <f>VLOOKUP($A83,SP_EnvTract_DB[],MATCH(F$2,SP_EnvTract_DB[#Headers],0),FALSE)</f>
        <v>0</v>
      </c>
      <c r="G83" s="73">
        <f>VLOOKUP($A83,SP_EnvTract_DB[],MATCH(G$2,SP_EnvTract_DB[#Headers],0),FALSE)</f>
        <v>0</v>
      </c>
      <c r="H83" s="73" t="str">
        <f>VLOOKUP($A83,SP_EnvTract_DB[],MATCH(H$2,SP_EnvTract_DB[#Headers],0),FALSE)</f>
        <v>Melissa DeLeon</v>
      </c>
      <c r="I83" s="69">
        <f>VLOOKUP($A83,SP_EnvTract_DB[],MATCH(I$2,SP_EnvTract_DB[#Headers],0),FALSE)</f>
        <v>0</v>
      </c>
      <c r="J83" s="69">
        <f>VLOOKUP($A83,SP_EnvTract_DB[],MATCH(J$2,SP_EnvTract_DB[#Headers],0),FALSE)</f>
        <v>0</v>
      </c>
      <c r="K83" s="69">
        <f>VLOOKUP($A83,SP_EnvTract_DB[],MATCH(K$2,SP_EnvTract_DB[#Headers],0),FALSE)</f>
        <v>0</v>
      </c>
      <c r="L83" s="69">
        <f>VLOOKUP($A83,SP_EnvTract_DB[],MATCH(L$2,SP_EnvTract_DB[#Headers],0),FALSE)</f>
        <v>0</v>
      </c>
      <c r="M83" s="69">
        <f>VLOOKUP($A83,SP_EnvTract_DB[],MATCH(M$2,SP_EnvTract_DB[#Headers],0),FALSE)</f>
        <v>0</v>
      </c>
      <c r="N83" s="69">
        <f>VLOOKUP($A83,SP_EnvTract_DB[],MATCH(N$2,SP_EnvTract_DB[#Headers],0),FALSE)</f>
        <v>0</v>
      </c>
      <c r="O83" s="74">
        <f>VLOOKUP($A83,SP_EnvTract_DB[],MATCH(O$2,SP_EnvTract_DB[#Headers],0),FALSE)</f>
        <v>0</v>
      </c>
      <c r="P83" s="73">
        <f>VLOOKUP($A83,SP_EnvTract_DB[],MATCH(P$2,SP_EnvTract_DB[#Headers],0),FALSE)</f>
        <v>0</v>
      </c>
      <c r="Q83" s="73">
        <f>VLOOKUP($A83,SP_EnvTract_DB[],MATCH(Q$2,SP_EnvTract_DB[#Headers],0),FALSE)</f>
        <v>0</v>
      </c>
      <c r="R83" s="74">
        <f>VLOOKUP($A83,SP_EnvTract_DB[],MATCH(R$2,SP_EnvTract_DB[#Headers],0),FALSE)</f>
        <v>0</v>
      </c>
      <c r="S83" s="68">
        <f>VLOOKUP($A83,SP_EnvTract_DB[],MATCH(S$2,SP_EnvTract_DB[#Headers],0),FALSE)</f>
        <v>0</v>
      </c>
      <c r="T83" s="68">
        <f>VLOOKUP($A83,SP_EnvTract_DB[],MATCH(T$2,SP_EnvTract_DB[#Headers],0),FALSE)</f>
        <v>0</v>
      </c>
      <c r="U83" s="74">
        <f>VLOOKUP($A83,SP_EnvTract_DB[],MATCH(U$2,SP_EnvTract_DB[#Headers],0),FALSE)</f>
        <v>0</v>
      </c>
      <c r="V83" s="68">
        <f>VLOOKUP($A83,SP_EnvTract_DB[],MATCH(V$2,SP_EnvTract_DB[#Headers],0),FALSE)</f>
        <v>0</v>
      </c>
      <c r="W83" s="68">
        <f>VLOOKUP($A83,SP_EnvTract_DB[],MATCH(W$2,SP_EnvTract_DB[#Headers],0),FALSE)</f>
        <v>0</v>
      </c>
      <c r="X83" s="68">
        <f>VLOOKUP($A83,SP_EnvTract_DB[],MATCH(X$2,SP_EnvTract_DB[#Headers],0),FALSE)</f>
        <v>0</v>
      </c>
      <c r="Y83" s="80">
        <f>VLOOKUP($A83,SP_EnvTract_DB[],MATCH(Y$2,SP_EnvTract_DB[#Headers],0),FALSE)</f>
        <v>0</v>
      </c>
      <c r="Z83" s="81" t="str">
        <f>IFERROR(IF(VLOOKUP(CONCATENATE($A83,"_",Z$1),SP_,MATCH(Z$2,SP_ENV_Lib[#Headers],0),FALSE)=0,"",VLOOKUP(CONCATENATE($A83,"_",Z$1),SP_ENV_Lib[],MATCH(Z$2,SP_ACQ_Lib[#Headers],0),FALSE)),"")</f>
        <v/>
      </c>
      <c r="AA83" s="74"/>
      <c r="AB83" s="74">
        <f>IFERROR(IF(VLOOKUP(CONCATENATE($A83,"_",AB$1),SP_ENV_Lib[],MATCH(AB$2,SP_ENV_Lib[#Headers],0),FALSE)=0,"",VLOOKUP(CONCATENATE($A83,"_",AB$1),SP_ENV_Lib[],MATCH(AB$2,SP_ENV_Lib[#Headers],0),FALSE)),"")</f>
        <v>43875.584872685184</v>
      </c>
      <c r="AC83" s="74">
        <f>IFERROR(IF(VLOOKUP(CONCATENATE($A83,"_",AC$1),SP_ENV_Lib[],MATCH(AC$2,SP_ENV_Lib[#Headers],0),FALSE)=0,"",VLOOKUP(CONCATENATE($A83,"_",AC$1),SP_ENV_Lib[],MATCH(AC$2,SP_ENV_Lib[#Headers],0),FALSE)),"")</f>
        <v>43845</v>
      </c>
      <c r="AD83" s="74">
        <f>IFERROR(IF(VLOOKUP(CONCATENATE($A83,"_",AD$1),SP_ENV_Lib[],MATCH(AD$2,SP_ENV_Lib[#Headers],0),FALSE)=0,"",VLOOKUP(CONCATENATE($A83,"_",AD$1),SP_ENV_Lib[],MATCH(AD$2,SP_ENV_Lib[#Headers],0),FALSE)),"")</f>
        <v>43887</v>
      </c>
      <c r="AE83" s="74" t="str">
        <f>IFERROR(IF(VLOOKUP(CONCATENATE($A83,"_",AE$1),SP_ENV_Lib[],MATCH(AE$2,SP_ENV_Lib[#Headers],0),FALSE)=0,"",VLOOKUP(CONCATENATE($A83,"_",AE$1),SP_ENV_Lib[],MATCH(AE$2,SP_ENV_Lib[#Headers],0),FALSE)),"")</f>
        <v/>
      </c>
      <c r="AF83" s="172" t="str">
        <f>IFERROR(VLOOKUP(CONCATENATE($A83,"_",AF$1),SP_ENV_Lib[],MATCH(AF$2,SP_ENV_Lib[#Headers],0),FALSE),0)</f>
        <v>Accepted</v>
      </c>
      <c r="AG83" s="74"/>
      <c r="AH83" s="74"/>
      <c r="AI83" s="74"/>
      <c r="AJ83" s="84"/>
    </row>
    <row r="84" spans="1:36" ht="15" x14ac:dyDescent="0.2">
      <c r="A84" s="67" t="s">
        <v>3096</v>
      </c>
      <c r="B84" s="154" t="str">
        <f>LEFT(VLOOKUP($A84,SP_EnvTract_DB[],MATCH(B$2,SP_EnvTract_DB[#Headers],0),FALSE),7)</f>
        <v>R023672</v>
      </c>
      <c r="C84" s="68" t="str">
        <f>VLOOKUP($A84,SP_EnvTract_DB[],MATCH(C$2,SP_EnvTract_DB[#Headers],0),FALSE)</f>
        <v>ENV</v>
      </c>
      <c r="D84" s="156" t="str">
        <f>VLOOKUP($A84,SP_EnvTract_DB[],MATCH(D$2,SP_EnvTract_DB[#Headers],0),FALSE)</f>
        <v>CLARK BARBARA JEAN;#184</v>
      </c>
      <c r="E84" s="156" t="str">
        <f>VLOOKUP($A84,SP_EnvTract_DB[],MATCH(E$2,SP_EnvTract_DB[#Headers],0),FALSE)</f>
        <v>0 COLUMBINE AVE;#184</v>
      </c>
      <c r="F84" s="69">
        <f>VLOOKUP($A84,SP_EnvTract_DB[],MATCH(F$2,SP_EnvTract_DB[#Headers],0),FALSE)</f>
        <v>0</v>
      </c>
      <c r="G84" s="73">
        <f>VLOOKUP($A84,SP_EnvTract_DB[],MATCH(G$2,SP_EnvTract_DB[#Headers],0),FALSE)</f>
        <v>0</v>
      </c>
      <c r="H84" s="73" t="str">
        <f>VLOOKUP($A84,SP_EnvTract_DB[],MATCH(H$2,SP_EnvTract_DB[#Headers],0),FALSE)</f>
        <v>Melissa DeLeon</v>
      </c>
      <c r="I84" s="69">
        <f>VLOOKUP($A84,SP_EnvTract_DB[],MATCH(I$2,SP_EnvTract_DB[#Headers],0),FALSE)</f>
        <v>0</v>
      </c>
      <c r="J84" s="69">
        <f>VLOOKUP($A84,SP_EnvTract_DB[],MATCH(J$2,SP_EnvTract_DB[#Headers],0),FALSE)</f>
        <v>0</v>
      </c>
      <c r="K84" s="69">
        <f>VLOOKUP($A84,SP_EnvTract_DB[],MATCH(K$2,SP_EnvTract_DB[#Headers],0),FALSE)</f>
        <v>0</v>
      </c>
      <c r="L84" s="69">
        <f>VLOOKUP($A84,SP_EnvTract_DB[],MATCH(L$2,SP_EnvTract_DB[#Headers],0),FALSE)</f>
        <v>0</v>
      </c>
      <c r="M84" s="69">
        <f>VLOOKUP($A84,SP_EnvTract_DB[],MATCH(M$2,SP_EnvTract_DB[#Headers],0),FALSE)</f>
        <v>0</v>
      </c>
      <c r="N84" s="69">
        <f>VLOOKUP($A84,SP_EnvTract_DB[],MATCH(N$2,SP_EnvTract_DB[#Headers],0),FALSE)</f>
        <v>0</v>
      </c>
      <c r="O84" s="74">
        <f>VLOOKUP($A84,SP_EnvTract_DB[],MATCH(O$2,SP_EnvTract_DB[#Headers],0),FALSE)</f>
        <v>0</v>
      </c>
      <c r="P84" s="73">
        <f>VLOOKUP($A84,SP_EnvTract_DB[],MATCH(P$2,SP_EnvTract_DB[#Headers],0),FALSE)</f>
        <v>0</v>
      </c>
      <c r="Q84" s="73">
        <f>VLOOKUP($A84,SP_EnvTract_DB[],MATCH(Q$2,SP_EnvTract_DB[#Headers],0),FALSE)</f>
        <v>0</v>
      </c>
      <c r="R84" s="74">
        <f>VLOOKUP($A84,SP_EnvTract_DB[],MATCH(R$2,SP_EnvTract_DB[#Headers],0),FALSE)</f>
        <v>0</v>
      </c>
      <c r="S84" s="68">
        <f>VLOOKUP($A84,SP_EnvTract_DB[],MATCH(S$2,SP_EnvTract_DB[#Headers],0),FALSE)</f>
        <v>0</v>
      </c>
      <c r="T84" s="68">
        <f>VLOOKUP($A84,SP_EnvTract_DB[],MATCH(T$2,SP_EnvTract_DB[#Headers],0),FALSE)</f>
        <v>0</v>
      </c>
      <c r="U84" s="74">
        <f>VLOOKUP($A84,SP_EnvTract_DB[],MATCH(U$2,SP_EnvTract_DB[#Headers],0),FALSE)</f>
        <v>0</v>
      </c>
      <c r="V84" s="68">
        <f>VLOOKUP($A84,SP_EnvTract_DB[],MATCH(V$2,SP_EnvTract_DB[#Headers],0),FALSE)</f>
        <v>0</v>
      </c>
      <c r="W84" s="68">
        <f>VLOOKUP($A84,SP_EnvTract_DB[],MATCH(W$2,SP_EnvTract_DB[#Headers],0),FALSE)</f>
        <v>0</v>
      </c>
      <c r="X84" s="68">
        <f>VLOOKUP($A84,SP_EnvTract_DB[],MATCH(X$2,SP_EnvTract_DB[#Headers],0),FALSE)</f>
        <v>0</v>
      </c>
      <c r="Y84" s="80">
        <f>VLOOKUP($A84,SP_EnvTract_DB[],MATCH(Y$2,SP_EnvTract_DB[#Headers],0),FALSE)</f>
        <v>0</v>
      </c>
      <c r="Z84" s="81" t="str">
        <f>IFERROR(IF(VLOOKUP(CONCATENATE($A84,"_",Z$1),SP_,MATCH(Z$2,SP_ENV_Lib[#Headers],0),FALSE)=0,"",VLOOKUP(CONCATENATE($A84,"_",Z$1),SP_ENV_Lib[],MATCH(Z$2,SP_ACQ_Lib[#Headers],0),FALSE)),"")</f>
        <v/>
      </c>
      <c r="AA84" s="74"/>
      <c r="AB84" s="74">
        <f>IFERROR(IF(VLOOKUP(CONCATENATE($A84,"_",AB$1),SP_ENV_Lib[],MATCH(AB$2,SP_ENV_Lib[#Headers],0),FALSE)=0,"",VLOOKUP(CONCATENATE($A84,"_",AB$1),SP_ENV_Lib[],MATCH(AB$2,SP_ENV_Lib[#Headers],0),FALSE)),"")</f>
        <v>43872.448877314811</v>
      </c>
      <c r="AC84" s="74">
        <f>IFERROR(IF(VLOOKUP(CONCATENATE($A84,"_",AC$1),SP_ENV_Lib[],MATCH(AC$2,SP_ENV_Lib[#Headers],0),FALSE)=0,"",VLOOKUP(CONCATENATE($A84,"_",AC$1),SP_ENV_Lib[],MATCH(AC$2,SP_ENV_Lib[#Headers],0),FALSE)),"")</f>
        <v>43846</v>
      </c>
      <c r="AD84" s="74">
        <f>IFERROR(IF(VLOOKUP(CONCATENATE($A84,"_",AD$1),SP_ENV_Lib[],MATCH(AD$2,SP_ENV_Lib[#Headers],0),FALSE)=0,"",VLOOKUP(CONCATENATE($A84,"_",AD$1),SP_ENV_Lib[],MATCH(AD$2,SP_ENV_Lib[#Headers],0),FALSE)),"")</f>
        <v>43871</v>
      </c>
      <c r="AE84" s="74" t="str">
        <f>IFERROR(IF(VLOOKUP(CONCATENATE($A84,"_",AE$1),SP_ENV_Lib[],MATCH(AE$2,SP_ENV_Lib[#Headers],0),FALSE)=0,"",VLOOKUP(CONCATENATE($A84,"_",AE$1),SP_ENV_Lib[],MATCH(AE$2,SP_ENV_Lib[#Headers],0),FALSE)),"")</f>
        <v/>
      </c>
      <c r="AF84" s="172" t="str">
        <f>IFERROR(VLOOKUP(CONCATENATE($A84,"_",AF$1),SP_ENV_Lib[],MATCH(AF$2,SP_ENV_Lib[#Headers],0),FALSE),0)</f>
        <v>Accepted</v>
      </c>
      <c r="AG84" s="74"/>
      <c r="AH84" s="74"/>
      <c r="AI84" s="74"/>
      <c r="AJ84" s="84"/>
    </row>
    <row r="85" spans="1:36" ht="15" x14ac:dyDescent="0.2">
      <c r="A85" s="67" t="s">
        <v>3101</v>
      </c>
      <c r="B85" s="154" t="str">
        <f>LEFT(VLOOKUP($A85,SP_EnvTract_DB[],MATCH(B$2,SP_EnvTract_DB[#Headers],0),FALSE),7)</f>
        <v>R023673</v>
      </c>
      <c r="C85" s="68" t="str">
        <f>VLOOKUP($A85,SP_EnvTract_DB[],MATCH(C$2,SP_EnvTract_DB[#Headers],0),FALSE)</f>
        <v>ENV</v>
      </c>
      <c r="D85" s="156" t="str">
        <f>VLOOKUP($A85,SP_EnvTract_DB[],MATCH(D$2,SP_EnvTract_DB[#Headers],0),FALSE)</f>
        <v>BARNES MARY;#185</v>
      </c>
      <c r="E85" s="156" t="str">
        <f>VLOOKUP($A85,SP_EnvTract_DB[],MATCH(E$2,SP_EnvTract_DB[#Headers],0),FALSE)</f>
        <v>1618 COLUMBINE AVE;#185</v>
      </c>
      <c r="F85" s="69">
        <f>VLOOKUP($A85,SP_EnvTract_DB[],MATCH(F$2,SP_EnvTract_DB[#Headers],0),FALSE)</f>
        <v>0</v>
      </c>
      <c r="G85" s="73">
        <f>VLOOKUP($A85,SP_EnvTract_DB[],MATCH(G$2,SP_EnvTract_DB[#Headers],0),FALSE)</f>
        <v>0</v>
      </c>
      <c r="H85" s="73" t="str">
        <f>VLOOKUP($A85,SP_EnvTract_DB[],MATCH(H$2,SP_EnvTract_DB[#Headers],0),FALSE)</f>
        <v>Melissa DeLeon</v>
      </c>
      <c r="I85" s="69">
        <f>VLOOKUP($A85,SP_EnvTract_DB[],MATCH(I$2,SP_EnvTract_DB[#Headers],0),FALSE)</f>
        <v>0</v>
      </c>
      <c r="J85" s="69">
        <f>VLOOKUP($A85,SP_EnvTract_DB[],MATCH(J$2,SP_EnvTract_DB[#Headers],0),FALSE)</f>
        <v>0</v>
      </c>
      <c r="K85" s="69">
        <f>VLOOKUP($A85,SP_EnvTract_DB[],MATCH(K$2,SP_EnvTract_DB[#Headers],0),FALSE)</f>
        <v>0</v>
      </c>
      <c r="L85" s="69">
        <f>VLOOKUP($A85,SP_EnvTract_DB[],MATCH(L$2,SP_EnvTract_DB[#Headers],0),FALSE)</f>
        <v>0</v>
      </c>
      <c r="M85" s="69">
        <f>VLOOKUP($A85,SP_EnvTract_DB[],MATCH(M$2,SP_EnvTract_DB[#Headers],0),FALSE)</f>
        <v>0</v>
      </c>
      <c r="N85" s="69">
        <f>VLOOKUP($A85,SP_EnvTract_DB[],MATCH(N$2,SP_EnvTract_DB[#Headers],0),FALSE)</f>
        <v>0</v>
      </c>
      <c r="O85" s="74">
        <f>VLOOKUP($A85,SP_EnvTract_DB[],MATCH(O$2,SP_EnvTract_DB[#Headers],0),FALSE)</f>
        <v>0</v>
      </c>
      <c r="P85" s="73">
        <f>VLOOKUP($A85,SP_EnvTract_DB[],MATCH(P$2,SP_EnvTract_DB[#Headers],0),FALSE)</f>
        <v>0</v>
      </c>
      <c r="Q85" s="73">
        <f>VLOOKUP($A85,SP_EnvTract_DB[],MATCH(Q$2,SP_EnvTract_DB[#Headers],0),FALSE)</f>
        <v>0</v>
      </c>
      <c r="R85" s="74">
        <f>VLOOKUP($A85,SP_EnvTract_DB[],MATCH(R$2,SP_EnvTract_DB[#Headers],0),FALSE)</f>
        <v>0</v>
      </c>
      <c r="S85" s="68">
        <f>VLOOKUP($A85,SP_EnvTract_DB[],MATCH(S$2,SP_EnvTract_DB[#Headers],0),FALSE)</f>
        <v>0</v>
      </c>
      <c r="T85" s="68">
        <f>VLOOKUP($A85,SP_EnvTract_DB[],MATCH(T$2,SP_EnvTract_DB[#Headers],0),FALSE)</f>
        <v>0</v>
      </c>
      <c r="U85" s="74">
        <f>VLOOKUP($A85,SP_EnvTract_DB[],MATCH(U$2,SP_EnvTract_DB[#Headers],0),FALSE)</f>
        <v>0</v>
      </c>
      <c r="V85" s="68">
        <f>VLOOKUP($A85,SP_EnvTract_DB[],MATCH(V$2,SP_EnvTract_DB[#Headers],0),FALSE)</f>
        <v>0</v>
      </c>
      <c r="W85" s="68">
        <f>VLOOKUP($A85,SP_EnvTract_DB[],MATCH(W$2,SP_EnvTract_DB[#Headers],0),FALSE)</f>
        <v>0</v>
      </c>
      <c r="X85" s="68">
        <f>VLOOKUP($A85,SP_EnvTract_DB[],MATCH(X$2,SP_EnvTract_DB[#Headers],0),FALSE)</f>
        <v>0</v>
      </c>
      <c r="Y85" s="80">
        <f>VLOOKUP($A85,SP_EnvTract_DB[],MATCH(Y$2,SP_EnvTract_DB[#Headers],0),FALSE)</f>
        <v>0</v>
      </c>
      <c r="Z85" s="81" t="str">
        <f>IFERROR(IF(VLOOKUP(CONCATENATE($A85,"_",Z$1),SP_,MATCH(Z$2,SP_ENV_Lib[#Headers],0),FALSE)=0,"",VLOOKUP(CONCATENATE($A85,"_",Z$1),SP_ENV_Lib[],MATCH(Z$2,SP_ACQ_Lib[#Headers],0),FALSE)),"")</f>
        <v/>
      </c>
      <c r="AA85" s="74"/>
      <c r="AB85" s="74">
        <f>IFERROR(IF(VLOOKUP(CONCATENATE($A85,"_",AB$1),SP_ENV_Lib[],MATCH(AB$2,SP_ENV_Lib[#Headers],0),FALSE)=0,"",VLOOKUP(CONCATENATE($A85,"_",AB$1),SP_ENV_Lib[],MATCH(AB$2,SP_ENV_Lib[#Headers],0),FALSE)),"")</f>
        <v>43872.448553240742</v>
      </c>
      <c r="AC85" s="74">
        <f>IFERROR(IF(VLOOKUP(CONCATENATE($A85,"_",AC$1),SP_ENV_Lib[],MATCH(AC$2,SP_ENV_Lib[#Headers],0),FALSE)=0,"",VLOOKUP(CONCATENATE($A85,"_",AC$1),SP_ENV_Lib[],MATCH(AC$2,SP_ENV_Lib[#Headers],0),FALSE)),"")</f>
        <v>43846</v>
      </c>
      <c r="AD85" s="74">
        <f>IFERROR(IF(VLOOKUP(CONCATENATE($A85,"_",AD$1),SP_ENV_Lib[],MATCH(AD$2,SP_ENV_Lib[#Headers],0),FALSE)=0,"",VLOOKUP(CONCATENATE($A85,"_",AD$1),SP_ENV_Lib[],MATCH(AD$2,SP_ENV_Lib[#Headers],0),FALSE)),"")</f>
        <v>43887</v>
      </c>
      <c r="AE85" s="74" t="str">
        <f>IFERROR(IF(VLOOKUP(CONCATENATE($A85,"_",AE$1),SP_ENV_Lib[],MATCH(AE$2,SP_ENV_Lib[#Headers],0),FALSE)=0,"",VLOOKUP(CONCATENATE($A85,"_",AE$1),SP_ENV_Lib[],MATCH(AE$2,SP_ENV_Lib[#Headers],0),FALSE)),"")</f>
        <v/>
      </c>
      <c r="AF85" s="172" t="str">
        <f>IFERROR(VLOOKUP(CONCATENATE($A85,"_",AF$1),SP_ENV_Lib[],MATCH(AF$2,SP_ENV_Lib[#Headers],0),FALSE),0)</f>
        <v>Accepted</v>
      </c>
      <c r="AG85" s="74"/>
      <c r="AH85" s="74"/>
      <c r="AI85" s="74"/>
      <c r="AJ85" s="84"/>
    </row>
    <row r="86" spans="1:36" ht="15" x14ac:dyDescent="0.2">
      <c r="A86" s="67" t="s">
        <v>3106</v>
      </c>
      <c r="B86" s="154" t="str">
        <f>LEFT(VLOOKUP($A86,SP_EnvTract_DB[],MATCH(B$2,SP_EnvTract_DB[#Headers],0),FALSE),7)</f>
        <v>R023674</v>
      </c>
      <c r="C86" s="68" t="str">
        <f>VLOOKUP($A86,SP_EnvTract_DB[],MATCH(C$2,SP_EnvTract_DB[#Headers],0),FALSE)</f>
        <v>ENV</v>
      </c>
      <c r="D86" s="156" t="str">
        <f>VLOOKUP($A86,SP_EnvTract_DB[],MATCH(D$2,SP_EnvTract_DB[#Headers],0),FALSE)</f>
        <v>BUTLER SARAH;#186</v>
      </c>
      <c r="E86" s="156" t="str">
        <f>VLOOKUP($A86,SP_EnvTract_DB[],MATCH(E$2,SP_EnvTract_DB[#Headers],0),FALSE)</f>
        <v>1616 COLUMBINE AVE;#186</v>
      </c>
      <c r="F86" s="69">
        <f>VLOOKUP($A86,SP_EnvTract_DB[],MATCH(F$2,SP_EnvTract_DB[#Headers],0),FALSE)</f>
        <v>0</v>
      </c>
      <c r="G86" s="73">
        <f>VLOOKUP($A86,SP_EnvTract_DB[],MATCH(G$2,SP_EnvTract_DB[#Headers],0),FALSE)</f>
        <v>0</v>
      </c>
      <c r="H86" s="73" t="str">
        <f>VLOOKUP($A86,SP_EnvTract_DB[],MATCH(H$2,SP_EnvTract_DB[#Headers],0),FALSE)</f>
        <v>Melissa DeLeon</v>
      </c>
      <c r="I86" s="69">
        <f>VLOOKUP($A86,SP_EnvTract_DB[],MATCH(I$2,SP_EnvTract_DB[#Headers],0),FALSE)</f>
        <v>0</v>
      </c>
      <c r="J86" s="69">
        <f>VLOOKUP($A86,SP_EnvTract_DB[],MATCH(J$2,SP_EnvTract_DB[#Headers],0),FALSE)</f>
        <v>0</v>
      </c>
      <c r="K86" s="69">
        <f>VLOOKUP($A86,SP_EnvTract_DB[],MATCH(K$2,SP_EnvTract_DB[#Headers],0),FALSE)</f>
        <v>0</v>
      </c>
      <c r="L86" s="69">
        <f>VLOOKUP($A86,SP_EnvTract_DB[],MATCH(L$2,SP_EnvTract_DB[#Headers],0),FALSE)</f>
        <v>0</v>
      </c>
      <c r="M86" s="69">
        <f>VLOOKUP($A86,SP_EnvTract_DB[],MATCH(M$2,SP_EnvTract_DB[#Headers],0),FALSE)</f>
        <v>0</v>
      </c>
      <c r="N86" s="69">
        <f>VLOOKUP($A86,SP_EnvTract_DB[],MATCH(N$2,SP_EnvTract_DB[#Headers],0),FALSE)</f>
        <v>0</v>
      </c>
      <c r="O86" s="74">
        <f>VLOOKUP($A86,SP_EnvTract_DB[],MATCH(O$2,SP_EnvTract_DB[#Headers],0),FALSE)</f>
        <v>0</v>
      </c>
      <c r="P86" s="73">
        <f>VLOOKUP($A86,SP_EnvTract_DB[],MATCH(P$2,SP_EnvTract_DB[#Headers],0),FALSE)</f>
        <v>0</v>
      </c>
      <c r="Q86" s="73">
        <f>VLOOKUP($A86,SP_EnvTract_DB[],MATCH(Q$2,SP_EnvTract_DB[#Headers],0),FALSE)</f>
        <v>0</v>
      </c>
      <c r="R86" s="74">
        <f>VLOOKUP($A86,SP_EnvTract_DB[],MATCH(R$2,SP_EnvTract_DB[#Headers],0),FALSE)</f>
        <v>0</v>
      </c>
      <c r="S86" s="68">
        <f>VLOOKUP($A86,SP_EnvTract_DB[],MATCH(S$2,SP_EnvTract_DB[#Headers],0),FALSE)</f>
        <v>0</v>
      </c>
      <c r="T86" s="68">
        <f>VLOOKUP($A86,SP_EnvTract_DB[],MATCH(T$2,SP_EnvTract_DB[#Headers],0),FALSE)</f>
        <v>0</v>
      </c>
      <c r="U86" s="74">
        <f>VLOOKUP($A86,SP_EnvTract_DB[],MATCH(U$2,SP_EnvTract_DB[#Headers],0),FALSE)</f>
        <v>0</v>
      </c>
      <c r="V86" s="68">
        <f>VLOOKUP($A86,SP_EnvTract_DB[],MATCH(V$2,SP_EnvTract_DB[#Headers],0),FALSE)</f>
        <v>0</v>
      </c>
      <c r="W86" s="68">
        <f>VLOOKUP($A86,SP_EnvTract_DB[],MATCH(W$2,SP_EnvTract_DB[#Headers],0),FALSE)</f>
        <v>0</v>
      </c>
      <c r="X86" s="68">
        <f>VLOOKUP($A86,SP_EnvTract_DB[],MATCH(X$2,SP_EnvTract_DB[#Headers],0),FALSE)</f>
        <v>0</v>
      </c>
      <c r="Y86" s="80">
        <f>VLOOKUP($A86,SP_EnvTract_DB[],MATCH(Y$2,SP_EnvTract_DB[#Headers],0),FALSE)</f>
        <v>0</v>
      </c>
      <c r="Z86" s="81" t="str">
        <f>IFERROR(IF(VLOOKUP(CONCATENATE($A86,"_",Z$1),SP_,MATCH(Z$2,SP_ENV_Lib[#Headers],0),FALSE)=0,"",VLOOKUP(CONCATENATE($A86,"_",Z$1),SP_ENV_Lib[],MATCH(Z$2,SP_ACQ_Lib[#Headers],0),FALSE)),"")</f>
        <v/>
      </c>
      <c r="AA86" s="74"/>
      <c r="AB86" s="74">
        <f>IFERROR(IF(VLOOKUP(CONCATENATE($A86,"_",AB$1),SP_ENV_Lib[],MATCH(AB$2,SP_ENV_Lib[#Headers],0),FALSE)=0,"",VLOOKUP(CONCATENATE($A86,"_",AB$1),SP_ENV_Lib[],MATCH(AB$2,SP_ENV_Lib[#Headers],0),FALSE)),"")</f>
        <v>43872.448310185187</v>
      </c>
      <c r="AC86" s="74">
        <f>IFERROR(IF(VLOOKUP(CONCATENATE($A86,"_",AC$1),SP_ENV_Lib[],MATCH(AC$2,SP_ENV_Lib[#Headers],0),FALSE)=0,"",VLOOKUP(CONCATENATE($A86,"_",AC$1),SP_ENV_Lib[],MATCH(AC$2,SP_ENV_Lib[#Headers],0),FALSE)),"")</f>
        <v>43846</v>
      </c>
      <c r="AD86" s="74">
        <f>IFERROR(IF(VLOOKUP(CONCATENATE($A86,"_",AD$1),SP_ENV_Lib[],MATCH(AD$2,SP_ENV_Lib[#Headers],0),FALSE)=0,"",VLOOKUP(CONCATENATE($A86,"_",AD$1),SP_ENV_Lib[],MATCH(AD$2,SP_ENV_Lib[#Headers],0),FALSE)),"")</f>
        <v>43867</v>
      </c>
      <c r="AE86" s="74" t="str">
        <f>IFERROR(IF(VLOOKUP(CONCATENATE($A86,"_",AE$1),SP_ENV_Lib[],MATCH(AE$2,SP_ENV_Lib[#Headers],0),FALSE)=0,"",VLOOKUP(CONCATENATE($A86,"_",AE$1),SP_ENV_Lib[],MATCH(AE$2,SP_ENV_Lib[#Headers],0),FALSE)),"")</f>
        <v/>
      </c>
      <c r="AF86" s="172" t="str">
        <f>IFERROR(VLOOKUP(CONCATENATE($A86,"_",AF$1),SP_ENV_Lib[],MATCH(AF$2,SP_ENV_Lib[#Headers],0),FALSE),0)</f>
        <v>Accepted</v>
      </c>
      <c r="AG86" s="74"/>
      <c r="AH86" s="74"/>
      <c r="AI86" s="74"/>
      <c r="AJ86" s="84"/>
    </row>
    <row r="87" spans="1:36" ht="15" x14ac:dyDescent="0.2">
      <c r="A87" s="67" t="s">
        <v>3111</v>
      </c>
      <c r="B87" s="154" t="str">
        <f>LEFT(VLOOKUP($A87,SP_EnvTract_DB[],MATCH(B$2,SP_EnvTract_DB[#Headers],0),FALSE),7)</f>
        <v>R023675</v>
      </c>
      <c r="C87" s="68" t="str">
        <f>VLOOKUP($A87,SP_EnvTract_DB[],MATCH(C$2,SP_EnvTract_DB[#Headers],0),FALSE)</f>
        <v>ENV</v>
      </c>
      <c r="D87" s="156" t="str">
        <f>VLOOKUP($A87,SP_EnvTract_DB[],MATCH(D$2,SP_EnvTract_DB[#Headers],0),FALSE)</f>
        <v>BRANCH SHANDRA &amp; NEAL BURNELL;#187</v>
      </c>
      <c r="E87" s="156" t="str">
        <f>VLOOKUP($A87,SP_EnvTract_DB[],MATCH(E$2,SP_EnvTract_DB[#Headers],0),FALSE)</f>
        <v>1610 COLUMBINE AVE;#187</v>
      </c>
      <c r="F87" s="69">
        <f>VLOOKUP($A87,SP_EnvTract_DB[],MATCH(F$2,SP_EnvTract_DB[#Headers],0),FALSE)</f>
        <v>0</v>
      </c>
      <c r="G87" s="73">
        <f>VLOOKUP($A87,SP_EnvTract_DB[],MATCH(G$2,SP_EnvTract_DB[#Headers],0),FALSE)</f>
        <v>0</v>
      </c>
      <c r="H87" s="73" t="str">
        <f>VLOOKUP($A87,SP_EnvTract_DB[],MATCH(H$2,SP_EnvTract_DB[#Headers],0),FALSE)</f>
        <v>Melissa DeLeon</v>
      </c>
      <c r="I87" s="69">
        <f>VLOOKUP($A87,SP_EnvTract_DB[],MATCH(I$2,SP_EnvTract_DB[#Headers],0),FALSE)</f>
        <v>0</v>
      </c>
      <c r="J87" s="69">
        <f>VLOOKUP($A87,SP_EnvTract_DB[],MATCH(J$2,SP_EnvTract_DB[#Headers],0),FALSE)</f>
        <v>0</v>
      </c>
      <c r="K87" s="69">
        <f>VLOOKUP($A87,SP_EnvTract_DB[],MATCH(K$2,SP_EnvTract_DB[#Headers],0),FALSE)</f>
        <v>0</v>
      </c>
      <c r="L87" s="69">
        <f>VLOOKUP($A87,SP_EnvTract_DB[],MATCH(L$2,SP_EnvTract_DB[#Headers],0),FALSE)</f>
        <v>0</v>
      </c>
      <c r="M87" s="69">
        <f>VLOOKUP($A87,SP_EnvTract_DB[],MATCH(M$2,SP_EnvTract_DB[#Headers],0),FALSE)</f>
        <v>0</v>
      </c>
      <c r="N87" s="69">
        <f>VLOOKUP($A87,SP_EnvTract_DB[],MATCH(N$2,SP_EnvTract_DB[#Headers],0),FALSE)</f>
        <v>0</v>
      </c>
      <c r="O87" s="74">
        <f>VLOOKUP($A87,SP_EnvTract_DB[],MATCH(O$2,SP_EnvTract_DB[#Headers],0),FALSE)</f>
        <v>0</v>
      </c>
      <c r="P87" s="73">
        <f>VLOOKUP($A87,SP_EnvTract_DB[],MATCH(P$2,SP_EnvTract_DB[#Headers],0),FALSE)</f>
        <v>0</v>
      </c>
      <c r="Q87" s="73">
        <f>VLOOKUP($A87,SP_EnvTract_DB[],MATCH(Q$2,SP_EnvTract_DB[#Headers],0),FALSE)</f>
        <v>0</v>
      </c>
      <c r="R87" s="74">
        <f>VLOOKUP($A87,SP_EnvTract_DB[],MATCH(R$2,SP_EnvTract_DB[#Headers],0),FALSE)</f>
        <v>0</v>
      </c>
      <c r="S87" s="68">
        <f>VLOOKUP($A87,SP_EnvTract_DB[],MATCH(S$2,SP_EnvTract_DB[#Headers],0),FALSE)</f>
        <v>0</v>
      </c>
      <c r="T87" s="68">
        <f>VLOOKUP($A87,SP_EnvTract_DB[],MATCH(T$2,SP_EnvTract_DB[#Headers],0),FALSE)</f>
        <v>0</v>
      </c>
      <c r="U87" s="74">
        <f>VLOOKUP($A87,SP_EnvTract_DB[],MATCH(U$2,SP_EnvTract_DB[#Headers],0),FALSE)</f>
        <v>0</v>
      </c>
      <c r="V87" s="68">
        <f>VLOOKUP($A87,SP_EnvTract_DB[],MATCH(V$2,SP_EnvTract_DB[#Headers],0),FALSE)</f>
        <v>0</v>
      </c>
      <c r="W87" s="68">
        <f>VLOOKUP($A87,SP_EnvTract_DB[],MATCH(W$2,SP_EnvTract_DB[#Headers],0),FALSE)</f>
        <v>0</v>
      </c>
      <c r="X87" s="68">
        <f>VLOOKUP($A87,SP_EnvTract_DB[],MATCH(X$2,SP_EnvTract_DB[#Headers],0),FALSE)</f>
        <v>0</v>
      </c>
      <c r="Y87" s="80">
        <f>VLOOKUP($A87,SP_EnvTract_DB[],MATCH(Y$2,SP_EnvTract_DB[#Headers],0),FALSE)</f>
        <v>0</v>
      </c>
      <c r="Z87" s="81" t="str">
        <f>IFERROR(IF(VLOOKUP(CONCATENATE($A87,"_",Z$1),SP_,MATCH(Z$2,SP_ENV_Lib[#Headers],0),FALSE)=0,"",VLOOKUP(CONCATENATE($A87,"_",Z$1),SP_ENV_Lib[],MATCH(Z$2,SP_ACQ_Lib[#Headers],0),FALSE)),"")</f>
        <v/>
      </c>
      <c r="AA87" s="74"/>
      <c r="AB87" s="74">
        <f>IFERROR(IF(VLOOKUP(CONCATENATE($A87,"_",AB$1),SP_ENV_Lib[],MATCH(AB$2,SP_ENV_Lib[#Headers],0),FALSE)=0,"",VLOOKUP(CONCATENATE($A87,"_",AB$1),SP_ENV_Lib[],MATCH(AB$2,SP_ENV_Lib[#Headers],0),FALSE)),"")</f>
        <v>43878.500555555554</v>
      </c>
      <c r="AC87" s="74">
        <f>IFERROR(IF(VLOOKUP(CONCATENATE($A87,"_",AC$1),SP_ENV_Lib[],MATCH(AC$2,SP_ENV_Lib[#Headers],0),FALSE)=0,"",VLOOKUP(CONCATENATE($A87,"_",AC$1),SP_ENV_Lib[],MATCH(AC$2,SP_ENV_Lib[#Headers],0),FALSE)),"")</f>
        <v>43846</v>
      </c>
      <c r="AD87" s="74">
        <f>IFERROR(IF(VLOOKUP(CONCATENATE($A87,"_",AD$1),SP_ENV_Lib[],MATCH(AD$2,SP_ENV_Lib[#Headers],0),FALSE)=0,"",VLOOKUP(CONCATENATE($A87,"_",AD$1),SP_ENV_Lib[],MATCH(AD$2,SP_ENV_Lib[#Headers],0),FALSE)),"")</f>
        <v>43899</v>
      </c>
      <c r="AE87" s="74" t="str">
        <f>IFERROR(IF(VLOOKUP(CONCATENATE($A87,"_",AE$1),SP_ENV_Lib[],MATCH(AE$2,SP_ENV_Lib[#Headers],0),FALSE)=0,"",VLOOKUP(CONCATENATE($A87,"_",AE$1),SP_ENV_Lib[],MATCH(AE$2,SP_ENV_Lib[#Headers],0),FALSE)),"")</f>
        <v/>
      </c>
      <c r="AF87" s="172" t="str">
        <f>IFERROR(VLOOKUP(CONCATENATE($A87,"_",AF$1),SP_ENV_Lib[],MATCH(AF$2,SP_ENV_Lib[#Headers],0),FALSE),0)</f>
        <v>Accepted</v>
      </c>
      <c r="AG87" s="74"/>
      <c r="AH87" s="74"/>
      <c r="AI87" s="74"/>
      <c r="AJ87" s="84"/>
    </row>
    <row r="88" spans="1:36" ht="15" x14ac:dyDescent="0.2">
      <c r="A88" s="67" t="s">
        <v>3116</v>
      </c>
      <c r="B88" s="154" t="str">
        <f>LEFT(VLOOKUP($A88,SP_EnvTract_DB[],MATCH(B$2,SP_EnvTract_DB[#Headers],0),FALSE),7)</f>
        <v>R023676</v>
      </c>
      <c r="C88" s="68" t="str">
        <f>VLOOKUP($A88,SP_EnvTract_DB[],MATCH(C$2,SP_EnvTract_DB[#Headers],0),FALSE)</f>
        <v>ENV</v>
      </c>
      <c r="D88" s="156" t="str">
        <f>VLOOKUP($A88,SP_EnvTract_DB[],MATCH(D$2,SP_EnvTract_DB[#Headers],0),FALSE)</f>
        <v>BRANCH SHANDRA &amp; NEAL BURNELL;#188</v>
      </c>
      <c r="E88" s="156" t="str">
        <f>VLOOKUP($A88,SP_EnvTract_DB[],MATCH(E$2,SP_EnvTract_DB[#Headers],0),FALSE)</f>
        <v>1524 COLUMBINE AVE;#188</v>
      </c>
      <c r="F88" s="69">
        <f>VLOOKUP($A88,SP_EnvTract_DB[],MATCH(F$2,SP_EnvTract_DB[#Headers],0),FALSE)</f>
        <v>0</v>
      </c>
      <c r="G88" s="73">
        <f>VLOOKUP($A88,SP_EnvTract_DB[],MATCH(G$2,SP_EnvTract_DB[#Headers],0),FALSE)</f>
        <v>0</v>
      </c>
      <c r="H88" s="73" t="str">
        <f>VLOOKUP($A88,SP_EnvTract_DB[],MATCH(H$2,SP_EnvTract_DB[#Headers],0),FALSE)</f>
        <v>Melissa DeLeon</v>
      </c>
      <c r="I88" s="69">
        <f>VLOOKUP($A88,SP_EnvTract_DB[],MATCH(I$2,SP_EnvTract_DB[#Headers],0),FALSE)</f>
        <v>0</v>
      </c>
      <c r="J88" s="69">
        <f>VLOOKUP($A88,SP_EnvTract_DB[],MATCH(J$2,SP_EnvTract_DB[#Headers],0),FALSE)</f>
        <v>0</v>
      </c>
      <c r="K88" s="69">
        <f>VLOOKUP($A88,SP_EnvTract_DB[],MATCH(K$2,SP_EnvTract_DB[#Headers],0),FALSE)</f>
        <v>0</v>
      </c>
      <c r="L88" s="69">
        <f>VLOOKUP($A88,SP_EnvTract_DB[],MATCH(L$2,SP_EnvTract_DB[#Headers],0),FALSE)</f>
        <v>0</v>
      </c>
      <c r="M88" s="69">
        <f>VLOOKUP($A88,SP_EnvTract_DB[],MATCH(M$2,SP_EnvTract_DB[#Headers],0),FALSE)</f>
        <v>0</v>
      </c>
      <c r="N88" s="69">
        <f>VLOOKUP($A88,SP_EnvTract_DB[],MATCH(N$2,SP_EnvTract_DB[#Headers],0),FALSE)</f>
        <v>0</v>
      </c>
      <c r="O88" s="74">
        <f>VLOOKUP($A88,SP_EnvTract_DB[],MATCH(O$2,SP_EnvTract_DB[#Headers],0),FALSE)</f>
        <v>0</v>
      </c>
      <c r="P88" s="73">
        <f>VLOOKUP($A88,SP_EnvTract_DB[],MATCH(P$2,SP_EnvTract_DB[#Headers],0),FALSE)</f>
        <v>0</v>
      </c>
      <c r="Q88" s="73">
        <f>VLOOKUP($A88,SP_EnvTract_DB[],MATCH(Q$2,SP_EnvTract_DB[#Headers],0),FALSE)</f>
        <v>0</v>
      </c>
      <c r="R88" s="74">
        <f>VLOOKUP($A88,SP_EnvTract_DB[],MATCH(R$2,SP_EnvTract_DB[#Headers],0),FALSE)</f>
        <v>0</v>
      </c>
      <c r="S88" s="68">
        <f>VLOOKUP($A88,SP_EnvTract_DB[],MATCH(S$2,SP_EnvTract_DB[#Headers],0),FALSE)</f>
        <v>0</v>
      </c>
      <c r="T88" s="68">
        <f>VLOOKUP($A88,SP_EnvTract_DB[],MATCH(T$2,SP_EnvTract_DB[#Headers],0),FALSE)</f>
        <v>0</v>
      </c>
      <c r="U88" s="74">
        <f>VLOOKUP($A88,SP_EnvTract_DB[],MATCH(U$2,SP_EnvTract_DB[#Headers],0),FALSE)</f>
        <v>0</v>
      </c>
      <c r="V88" s="68">
        <f>VLOOKUP($A88,SP_EnvTract_DB[],MATCH(V$2,SP_EnvTract_DB[#Headers],0),FALSE)</f>
        <v>0</v>
      </c>
      <c r="W88" s="68">
        <f>VLOOKUP($A88,SP_EnvTract_DB[],MATCH(W$2,SP_EnvTract_DB[#Headers],0),FALSE)</f>
        <v>0</v>
      </c>
      <c r="X88" s="68">
        <f>VLOOKUP($A88,SP_EnvTract_DB[],MATCH(X$2,SP_EnvTract_DB[#Headers],0),FALSE)</f>
        <v>0</v>
      </c>
      <c r="Y88" s="80">
        <f>VLOOKUP($A88,SP_EnvTract_DB[],MATCH(Y$2,SP_EnvTract_DB[#Headers],0),FALSE)</f>
        <v>0</v>
      </c>
      <c r="Z88" s="81" t="str">
        <f>IFERROR(IF(VLOOKUP(CONCATENATE($A88,"_",Z$1),SP_,MATCH(Z$2,SP_ENV_Lib[#Headers],0),FALSE)=0,"",VLOOKUP(CONCATENATE($A88,"_",Z$1),SP_ENV_Lib[],MATCH(Z$2,SP_ACQ_Lib[#Headers],0),FALSE)),"")</f>
        <v/>
      </c>
      <c r="AA88" s="74"/>
      <c r="AB88" s="74">
        <f>IFERROR(IF(VLOOKUP(CONCATENATE($A88,"_",AB$1),SP_ENV_Lib[],MATCH(AB$2,SP_ENV_Lib[#Headers],0),FALSE)=0,"",VLOOKUP(CONCATENATE($A88,"_",AB$1),SP_ENV_Lib[],MATCH(AB$2,SP_ENV_Lib[#Headers],0),FALSE)),"")</f>
        <v>43872.447141203702</v>
      </c>
      <c r="AC88" s="74">
        <f>IFERROR(IF(VLOOKUP(CONCATENATE($A88,"_",AC$1),SP_ENV_Lib[],MATCH(AC$2,SP_ENV_Lib[#Headers],0),FALSE)=0,"",VLOOKUP(CONCATENATE($A88,"_",AC$1),SP_ENV_Lib[],MATCH(AC$2,SP_ENV_Lib[#Headers],0),FALSE)),"")</f>
        <v>43846</v>
      </c>
      <c r="AD88" s="74">
        <f>IFERROR(IF(VLOOKUP(CONCATENATE($A88,"_",AD$1),SP_ENV_Lib[],MATCH(AD$2,SP_ENV_Lib[#Headers],0),FALSE)=0,"",VLOOKUP(CONCATENATE($A88,"_",AD$1),SP_ENV_Lib[],MATCH(AD$2,SP_ENV_Lib[#Headers],0),FALSE)),"")</f>
        <v>43899</v>
      </c>
      <c r="AE88" s="74" t="str">
        <f>IFERROR(IF(VLOOKUP(CONCATENATE($A88,"_",AE$1),SP_ENV_Lib[],MATCH(AE$2,SP_ENV_Lib[#Headers],0),FALSE)=0,"",VLOOKUP(CONCATENATE($A88,"_",AE$1),SP_ENV_Lib[],MATCH(AE$2,SP_ENV_Lib[#Headers],0),FALSE)),"")</f>
        <v/>
      </c>
      <c r="AF88" s="172" t="str">
        <f>IFERROR(VLOOKUP(CONCATENATE($A88,"_",AF$1),SP_ENV_Lib[],MATCH(AF$2,SP_ENV_Lib[#Headers],0),FALSE),0)</f>
        <v>Accepted</v>
      </c>
      <c r="AG88" s="74"/>
      <c r="AH88" s="74"/>
      <c r="AI88" s="74"/>
      <c r="AJ88" s="84"/>
    </row>
    <row r="89" spans="1:36" ht="15" x14ac:dyDescent="0.2">
      <c r="A89" s="67" t="s">
        <v>3121</v>
      </c>
      <c r="B89" s="154" t="str">
        <f>LEFT(VLOOKUP($A89,SP_EnvTract_DB[],MATCH(B$2,SP_EnvTract_DB[#Headers],0),FALSE),7)</f>
        <v>R023678</v>
      </c>
      <c r="C89" s="68" t="str">
        <f>VLOOKUP($A89,SP_EnvTract_DB[],MATCH(C$2,SP_EnvTract_DB[#Headers],0),FALSE)</f>
        <v>ENV</v>
      </c>
      <c r="D89" s="156" t="str">
        <f>VLOOKUP($A89,SP_EnvTract_DB[],MATCH(D$2,SP_EnvTract_DB[#Headers],0),FALSE)</f>
        <v>NEAL BURNELL;#189</v>
      </c>
      <c r="E89" s="156" t="str">
        <f>VLOOKUP($A89,SP_EnvTract_DB[],MATCH(E$2,SP_EnvTract_DB[#Headers],0),FALSE)</f>
        <v>1522 COLUMBINE AVE;#189</v>
      </c>
      <c r="F89" s="69">
        <f>VLOOKUP($A89,SP_EnvTract_DB[],MATCH(F$2,SP_EnvTract_DB[#Headers],0),FALSE)</f>
        <v>0</v>
      </c>
      <c r="G89" s="73">
        <f>VLOOKUP($A89,SP_EnvTract_DB[],MATCH(G$2,SP_EnvTract_DB[#Headers],0),FALSE)</f>
        <v>0</v>
      </c>
      <c r="H89" s="73" t="str">
        <f>VLOOKUP($A89,SP_EnvTract_DB[],MATCH(H$2,SP_EnvTract_DB[#Headers],0),FALSE)</f>
        <v>Melissa DeLeon</v>
      </c>
      <c r="I89" s="69">
        <f>VLOOKUP($A89,SP_EnvTract_DB[],MATCH(I$2,SP_EnvTract_DB[#Headers],0),FALSE)</f>
        <v>0</v>
      </c>
      <c r="J89" s="69">
        <f>VLOOKUP($A89,SP_EnvTract_DB[],MATCH(J$2,SP_EnvTract_DB[#Headers],0),FALSE)</f>
        <v>0</v>
      </c>
      <c r="K89" s="69">
        <f>VLOOKUP($A89,SP_EnvTract_DB[],MATCH(K$2,SP_EnvTract_DB[#Headers],0),FALSE)</f>
        <v>0</v>
      </c>
      <c r="L89" s="69">
        <f>VLOOKUP($A89,SP_EnvTract_DB[],MATCH(L$2,SP_EnvTract_DB[#Headers],0),FALSE)</f>
        <v>0</v>
      </c>
      <c r="M89" s="69">
        <f>VLOOKUP($A89,SP_EnvTract_DB[],MATCH(M$2,SP_EnvTract_DB[#Headers],0),FALSE)</f>
        <v>0</v>
      </c>
      <c r="N89" s="69">
        <f>VLOOKUP($A89,SP_EnvTract_DB[],MATCH(N$2,SP_EnvTract_DB[#Headers],0),FALSE)</f>
        <v>0</v>
      </c>
      <c r="O89" s="74">
        <f>VLOOKUP($A89,SP_EnvTract_DB[],MATCH(O$2,SP_EnvTract_DB[#Headers],0),FALSE)</f>
        <v>0</v>
      </c>
      <c r="P89" s="73">
        <f>VLOOKUP($A89,SP_EnvTract_DB[],MATCH(P$2,SP_EnvTract_DB[#Headers],0),FALSE)</f>
        <v>0</v>
      </c>
      <c r="Q89" s="73">
        <f>VLOOKUP($A89,SP_EnvTract_DB[],MATCH(Q$2,SP_EnvTract_DB[#Headers],0),FALSE)</f>
        <v>0</v>
      </c>
      <c r="R89" s="74">
        <f>VLOOKUP($A89,SP_EnvTract_DB[],MATCH(R$2,SP_EnvTract_DB[#Headers],0),FALSE)</f>
        <v>0</v>
      </c>
      <c r="S89" s="68">
        <f>VLOOKUP($A89,SP_EnvTract_DB[],MATCH(S$2,SP_EnvTract_DB[#Headers],0),FALSE)</f>
        <v>0</v>
      </c>
      <c r="T89" s="68">
        <f>VLOOKUP($A89,SP_EnvTract_DB[],MATCH(T$2,SP_EnvTract_DB[#Headers],0),FALSE)</f>
        <v>0</v>
      </c>
      <c r="U89" s="74">
        <f>VLOOKUP($A89,SP_EnvTract_DB[],MATCH(U$2,SP_EnvTract_DB[#Headers],0),FALSE)</f>
        <v>0</v>
      </c>
      <c r="V89" s="68">
        <f>VLOOKUP($A89,SP_EnvTract_DB[],MATCH(V$2,SP_EnvTract_DB[#Headers],0),FALSE)</f>
        <v>0</v>
      </c>
      <c r="W89" s="68">
        <f>VLOOKUP($A89,SP_EnvTract_DB[],MATCH(W$2,SP_EnvTract_DB[#Headers],0),FALSE)</f>
        <v>0</v>
      </c>
      <c r="X89" s="68">
        <f>VLOOKUP($A89,SP_EnvTract_DB[],MATCH(X$2,SP_EnvTract_DB[#Headers],0),FALSE)</f>
        <v>0</v>
      </c>
      <c r="Y89" s="80">
        <f>VLOOKUP($A89,SP_EnvTract_DB[],MATCH(Y$2,SP_EnvTract_DB[#Headers],0),FALSE)</f>
        <v>0</v>
      </c>
      <c r="Z89" s="81" t="str">
        <f>IFERROR(IF(VLOOKUP(CONCATENATE($A89,"_",Z$1),SP_,MATCH(Z$2,SP_ENV_Lib[#Headers],0),FALSE)=0,"",VLOOKUP(CONCATENATE($A89,"_",Z$1),SP_ENV_Lib[],MATCH(Z$2,SP_ACQ_Lib[#Headers],0),FALSE)),"")</f>
        <v/>
      </c>
      <c r="AA89" s="74"/>
      <c r="AB89" s="74">
        <f>IFERROR(IF(VLOOKUP(CONCATENATE($A89,"_",AB$1),SP_ENV_Lib[],MATCH(AB$2,SP_ENV_Lib[#Headers],0),FALSE)=0,"",VLOOKUP(CONCATENATE($A89,"_",AB$1),SP_ENV_Lib[],MATCH(AB$2,SP_ENV_Lib[#Headers],0),FALSE)),"")</f>
        <v>43872.447013888886</v>
      </c>
      <c r="AC89" s="74">
        <f>IFERROR(IF(VLOOKUP(CONCATENATE($A89,"_",AC$1),SP_ENV_Lib[],MATCH(AC$2,SP_ENV_Lib[#Headers],0),FALSE)=0,"",VLOOKUP(CONCATENATE($A89,"_",AC$1),SP_ENV_Lib[],MATCH(AC$2,SP_ENV_Lib[#Headers],0),FALSE)),"")</f>
        <v>43846</v>
      </c>
      <c r="AD89" s="74">
        <f>IFERROR(IF(VLOOKUP(CONCATENATE($A89,"_",AD$1),SP_ENV_Lib[],MATCH(AD$2,SP_ENV_Lib[#Headers],0),FALSE)=0,"",VLOOKUP(CONCATENATE($A89,"_",AD$1),SP_ENV_Lib[],MATCH(AD$2,SP_ENV_Lib[#Headers],0),FALSE)),"")</f>
        <v>43899</v>
      </c>
      <c r="AE89" s="74" t="str">
        <f>IFERROR(IF(VLOOKUP(CONCATENATE($A89,"_",AE$1),SP_ENV_Lib[],MATCH(AE$2,SP_ENV_Lib[#Headers],0),FALSE)=0,"",VLOOKUP(CONCATENATE($A89,"_",AE$1),SP_ENV_Lib[],MATCH(AE$2,SP_ENV_Lib[#Headers],0),FALSE)),"")</f>
        <v/>
      </c>
      <c r="AF89" s="172" t="str">
        <f>IFERROR(VLOOKUP(CONCATENATE($A89,"_",AF$1),SP_ENV_Lib[],MATCH(AF$2,SP_ENV_Lib[#Headers],0),FALSE),0)</f>
        <v>Accepted</v>
      </c>
      <c r="AG89" s="74"/>
      <c r="AH89" s="74"/>
      <c r="AI89" s="74"/>
      <c r="AJ89" s="84"/>
    </row>
    <row r="90" spans="1:36" ht="15" x14ac:dyDescent="0.2">
      <c r="A90" s="67" t="s">
        <v>3126</v>
      </c>
      <c r="B90" s="154" t="str">
        <f>LEFT(VLOOKUP($A90,SP_EnvTract_DB[],MATCH(B$2,SP_EnvTract_DB[#Headers],0),FALSE),7)</f>
        <v>R023680</v>
      </c>
      <c r="C90" s="68" t="str">
        <f>VLOOKUP($A90,SP_EnvTract_DB[],MATCH(C$2,SP_EnvTract_DB[#Headers],0),FALSE)</f>
        <v>ENV</v>
      </c>
      <c r="D90" s="156" t="str">
        <f>VLOOKUP($A90,SP_EnvTract_DB[],MATCH(D$2,SP_EnvTract_DB[#Headers],0),FALSE)</f>
        <v>PULLARD CLASSIE;#190</v>
      </c>
      <c r="E90" s="156" t="str">
        <f>VLOOKUP($A90,SP_EnvTract_DB[],MATCH(E$2,SP_EnvTract_DB[#Headers],0),FALSE)</f>
        <v>0  COLUMBINE AVE;#190</v>
      </c>
      <c r="F90" s="69">
        <f>VLOOKUP($A90,SP_EnvTract_DB[],MATCH(F$2,SP_EnvTract_DB[#Headers],0),FALSE)</f>
        <v>0</v>
      </c>
      <c r="G90" s="73">
        <f>VLOOKUP($A90,SP_EnvTract_DB[],MATCH(G$2,SP_EnvTract_DB[#Headers],0),FALSE)</f>
        <v>0</v>
      </c>
      <c r="H90" s="73" t="str">
        <f>VLOOKUP($A90,SP_EnvTract_DB[],MATCH(H$2,SP_EnvTract_DB[#Headers],0),FALSE)</f>
        <v>Stateside</v>
      </c>
      <c r="I90" s="69">
        <f>VLOOKUP($A90,SP_EnvTract_DB[],MATCH(I$2,SP_EnvTract_DB[#Headers],0),FALSE)</f>
        <v>0</v>
      </c>
      <c r="J90" s="69">
        <f>VLOOKUP($A90,SP_EnvTract_DB[],MATCH(J$2,SP_EnvTract_DB[#Headers],0),FALSE)</f>
        <v>0</v>
      </c>
      <c r="K90" s="69">
        <f>VLOOKUP($A90,SP_EnvTract_DB[],MATCH(K$2,SP_EnvTract_DB[#Headers],0),FALSE)</f>
        <v>0</v>
      </c>
      <c r="L90" s="69">
        <f>VLOOKUP($A90,SP_EnvTract_DB[],MATCH(L$2,SP_EnvTract_DB[#Headers],0),FALSE)</f>
        <v>0</v>
      </c>
      <c r="M90" s="69">
        <f>VLOOKUP($A90,SP_EnvTract_DB[],MATCH(M$2,SP_EnvTract_DB[#Headers],0),FALSE)</f>
        <v>0</v>
      </c>
      <c r="N90" s="69">
        <f>VLOOKUP($A90,SP_EnvTract_DB[],MATCH(N$2,SP_EnvTract_DB[#Headers],0),FALSE)</f>
        <v>0</v>
      </c>
      <c r="O90" s="74">
        <f>VLOOKUP($A90,SP_EnvTract_DB[],MATCH(O$2,SP_EnvTract_DB[#Headers],0),FALSE)</f>
        <v>0</v>
      </c>
      <c r="P90" s="73">
        <f>VLOOKUP($A90,SP_EnvTract_DB[],MATCH(P$2,SP_EnvTract_DB[#Headers],0),FALSE)</f>
        <v>0</v>
      </c>
      <c r="Q90" s="73">
        <f>VLOOKUP($A90,SP_EnvTract_DB[],MATCH(Q$2,SP_EnvTract_DB[#Headers],0),FALSE)</f>
        <v>0</v>
      </c>
      <c r="R90" s="74">
        <f>VLOOKUP($A90,SP_EnvTract_DB[],MATCH(R$2,SP_EnvTract_DB[#Headers],0),FALSE)</f>
        <v>0</v>
      </c>
      <c r="S90" s="68">
        <f>VLOOKUP($A90,SP_EnvTract_DB[],MATCH(S$2,SP_EnvTract_DB[#Headers],0),FALSE)</f>
        <v>0</v>
      </c>
      <c r="T90" s="68">
        <f>VLOOKUP($A90,SP_EnvTract_DB[],MATCH(T$2,SP_EnvTract_DB[#Headers],0),FALSE)</f>
        <v>0</v>
      </c>
      <c r="U90" s="74">
        <f>VLOOKUP($A90,SP_EnvTract_DB[],MATCH(U$2,SP_EnvTract_DB[#Headers],0),FALSE)</f>
        <v>0</v>
      </c>
      <c r="V90" s="68">
        <f>VLOOKUP($A90,SP_EnvTract_DB[],MATCH(V$2,SP_EnvTract_DB[#Headers],0),FALSE)</f>
        <v>0</v>
      </c>
      <c r="W90" s="68">
        <f>VLOOKUP($A90,SP_EnvTract_DB[],MATCH(W$2,SP_EnvTract_DB[#Headers],0),FALSE)</f>
        <v>0</v>
      </c>
      <c r="X90" s="68">
        <f>VLOOKUP($A90,SP_EnvTract_DB[],MATCH(X$2,SP_EnvTract_DB[#Headers],0),FALSE)</f>
        <v>0</v>
      </c>
      <c r="Y90" s="80">
        <f>VLOOKUP($A90,SP_EnvTract_DB[],MATCH(Y$2,SP_EnvTract_DB[#Headers],0),FALSE)</f>
        <v>0</v>
      </c>
      <c r="Z90" s="81" t="str">
        <f>IFERROR(IF(VLOOKUP(CONCATENATE($A90,"_",Z$1),SP_,MATCH(Z$2,SP_ENV_Lib[#Headers],0),FALSE)=0,"",VLOOKUP(CONCATENATE($A90,"_",Z$1),SP_ENV_Lib[],MATCH(Z$2,SP_ACQ_Lib[#Headers],0),FALSE)),"")</f>
        <v/>
      </c>
      <c r="AA90" s="74"/>
      <c r="AB90" s="74" t="str">
        <f>IFERROR(IF(VLOOKUP(CONCATENATE($A90,"_",AB$1),SP_ENV_Lib[],MATCH(AB$2,SP_ENV_Lib[#Headers],0),FALSE)=0,"",VLOOKUP(CONCATENATE($A90,"_",AB$1),SP_ENV_Lib[],MATCH(AB$2,SP_ENV_Lib[#Headers],0),FALSE)),"")</f>
        <v/>
      </c>
      <c r="AC90" s="74">
        <f>IFERROR(IF(VLOOKUP(CONCATENATE($A90,"_",AC$1),SP_ENV_Lib[],MATCH(AC$2,SP_ENV_Lib[#Headers],0),FALSE)=0,"",VLOOKUP(CONCATENATE($A90,"_",AC$1),SP_ENV_Lib[],MATCH(AC$2,SP_ENV_Lib[#Headers],0),FALSE)),"")</f>
        <v>43845</v>
      </c>
      <c r="AD90" s="74" t="str">
        <f>IFERROR(IF(VLOOKUP(CONCATENATE($A90,"_",AD$1),SP_ENV_Lib[],MATCH(AD$2,SP_ENV_Lib[#Headers],0),FALSE)=0,"",VLOOKUP(CONCATENATE($A90,"_",AD$1),SP_ENV_Lib[],MATCH(AD$2,SP_ENV_Lib[#Headers],0),FALSE)),"")</f>
        <v/>
      </c>
      <c r="AE90" s="74" t="str">
        <f>IFERROR(IF(VLOOKUP(CONCATENATE($A90,"_",AE$1),SP_ENV_Lib[],MATCH(AE$2,SP_ENV_Lib[#Headers],0),FALSE)=0,"",VLOOKUP(CONCATENATE($A90,"_",AE$1),SP_ENV_Lib[],MATCH(AE$2,SP_ENV_Lib[#Headers],0),FALSE)),"")</f>
        <v/>
      </c>
      <c r="AF90" s="172" t="str">
        <f>IFERROR(VLOOKUP(CONCATENATE($A90,"_",AF$1),SP_ENV_Lib[],MATCH(AF$2,SP_ENV_Lib[#Headers],0),FALSE),0)</f>
        <v>Accepted</v>
      </c>
      <c r="AG90" s="74"/>
      <c r="AH90" s="74"/>
      <c r="AI90" s="74"/>
      <c r="AJ90" s="84"/>
    </row>
    <row r="91" spans="1:36" ht="15" x14ac:dyDescent="0.2">
      <c r="A91" s="67" t="s">
        <v>3131</v>
      </c>
      <c r="B91" s="154" t="str">
        <f>LEFT(VLOOKUP($A91,SP_EnvTract_DB[],MATCH(B$2,SP_EnvTract_DB[#Headers],0),FALSE),7)</f>
        <v>R023681</v>
      </c>
      <c r="C91" s="68" t="str">
        <f>VLOOKUP($A91,SP_EnvTract_DB[],MATCH(C$2,SP_EnvTract_DB[#Headers],0),FALSE)</f>
        <v>ENV</v>
      </c>
      <c r="D91" s="156" t="str">
        <f>VLOOKUP($A91,SP_EnvTract_DB[],MATCH(D$2,SP_EnvTract_DB[#Headers],0),FALSE)</f>
        <v>PULLARD CLASSIE;#191</v>
      </c>
      <c r="E91" s="156" t="str">
        <f>VLOOKUP($A91,SP_EnvTract_DB[],MATCH(E$2,SP_EnvTract_DB[#Headers],0),FALSE)</f>
        <v>0 COLUMBINE AVE;#191</v>
      </c>
      <c r="F91" s="69">
        <f>VLOOKUP($A91,SP_EnvTract_DB[],MATCH(F$2,SP_EnvTract_DB[#Headers],0),FALSE)</f>
        <v>0</v>
      </c>
      <c r="G91" s="73">
        <f>VLOOKUP($A91,SP_EnvTract_DB[],MATCH(G$2,SP_EnvTract_DB[#Headers],0),FALSE)</f>
        <v>0</v>
      </c>
      <c r="H91" s="73" t="str">
        <f>VLOOKUP($A91,SP_EnvTract_DB[],MATCH(H$2,SP_EnvTract_DB[#Headers],0),FALSE)</f>
        <v>Stateside</v>
      </c>
      <c r="I91" s="69">
        <f>VLOOKUP($A91,SP_EnvTract_DB[],MATCH(I$2,SP_EnvTract_DB[#Headers],0),FALSE)</f>
        <v>0</v>
      </c>
      <c r="J91" s="69">
        <f>VLOOKUP($A91,SP_EnvTract_DB[],MATCH(J$2,SP_EnvTract_DB[#Headers],0),FALSE)</f>
        <v>0</v>
      </c>
      <c r="K91" s="69">
        <f>VLOOKUP($A91,SP_EnvTract_DB[],MATCH(K$2,SP_EnvTract_DB[#Headers],0),FALSE)</f>
        <v>0</v>
      </c>
      <c r="L91" s="69">
        <f>VLOOKUP($A91,SP_EnvTract_DB[],MATCH(L$2,SP_EnvTract_DB[#Headers],0),FALSE)</f>
        <v>0</v>
      </c>
      <c r="M91" s="69">
        <f>VLOOKUP($A91,SP_EnvTract_DB[],MATCH(M$2,SP_EnvTract_DB[#Headers],0),FALSE)</f>
        <v>0</v>
      </c>
      <c r="N91" s="69">
        <f>VLOOKUP($A91,SP_EnvTract_DB[],MATCH(N$2,SP_EnvTract_DB[#Headers],0),FALSE)</f>
        <v>0</v>
      </c>
      <c r="O91" s="74">
        <f>VLOOKUP($A91,SP_EnvTract_DB[],MATCH(O$2,SP_EnvTract_DB[#Headers],0),FALSE)</f>
        <v>0</v>
      </c>
      <c r="P91" s="73">
        <f>VLOOKUP($A91,SP_EnvTract_DB[],MATCH(P$2,SP_EnvTract_DB[#Headers],0),FALSE)</f>
        <v>0</v>
      </c>
      <c r="Q91" s="73">
        <f>VLOOKUP($A91,SP_EnvTract_DB[],MATCH(Q$2,SP_EnvTract_DB[#Headers],0),FALSE)</f>
        <v>0</v>
      </c>
      <c r="R91" s="74">
        <f>VLOOKUP($A91,SP_EnvTract_DB[],MATCH(R$2,SP_EnvTract_DB[#Headers],0),FALSE)</f>
        <v>0</v>
      </c>
      <c r="S91" s="68">
        <f>VLOOKUP($A91,SP_EnvTract_DB[],MATCH(S$2,SP_EnvTract_DB[#Headers],0),FALSE)</f>
        <v>0</v>
      </c>
      <c r="T91" s="68">
        <f>VLOOKUP($A91,SP_EnvTract_DB[],MATCH(T$2,SP_EnvTract_DB[#Headers],0),FALSE)</f>
        <v>0</v>
      </c>
      <c r="U91" s="74">
        <f>VLOOKUP($A91,SP_EnvTract_DB[],MATCH(U$2,SP_EnvTract_DB[#Headers],0),FALSE)</f>
        <v>0</v>
      </c>
      <c r="V91" s="68">
        <f>VLOOKUP($A91,SP_EnvTract_DB[],MATCH(V$2,SP_EnvTract_DB[#Headers],0),FALSE)</f>
        <v>0</v>
      </c>
      <c r="W91" s="68">
        <f>VLOOKUP($A91,SP_EnvTract_DB[],MATCH(W$2,SP_EnvTract_DB[#Headers],0),FALSE)</f>
        <v>0</v>
      </c>
      <c r="X91" s="68">
        <f>VLOOKUP($A91,SP_EnvTract_DB[],MATCH(X$2,SP_EnvTract_DB[#Headers],0),FALSE)</f>
        <v>0</v>
      </c>
      <c r="Y91" s="80">
        <f>VLOOKUP($A91,SP_EnvTract_DB[],MATCH(Y$2,SP_EnvTract_DB[#Headers],0),FALSE)</f>
        <v>0</v>
      </c>
      <c r="Z91" s="81" t="str">
        <f>IFERROR(IF(VLOOKUP(CONCATENATE($A91,"_",Z$1),SP_,MATCH(Z$2,SP_ENV_Lib[#Headers],0),FALSE)=0,"",VLOOKUP(CONCATENATE($A91,"_",Z$1),SP_ENV_Lib[],MATCH(Z$2,SP_ACQ_Lib[#Headers],0),FALSE)),"")</f>
        <v/>
      </c>
      <c r="AA91" s="74"/>
      <c r="AB91" s="74" t="str">
        <f>IFERROR(IF(VLOOKUP(CONCATENATE($A91,"_",AB$1),SP_ENV_Lib[],MATCH(AB$2,SP_ENV_Lib[#Headers],0),FALSE)=0,"",VLOOKUP(CONCATENATE($A91,"_",AB$1),SP_ENV_Lib[],MATCH(AB$2,SP_ENV_Lib[#Headers],0),FALSE)),"")</f>
        <v/>
      </c>
      <c r="AC91" s="74">
        <f>IFERROR(IF(VLOOKUP(CONCATENATE($A91,"_",AC$1),SP_ENV_Lib[],MATCH(AC$2,SP_ENV_Lib[#Headers],0),FALSE)=0,"",VLOOKUP(CONCATENATE($A91,"_",AC$1),SP_ENV_Lib[],MATCH(AC$2,SP_ENV_Lib[#Headers],0),FALSE)),"")</f>
        <v>43846</v>
      </c>
      <c r="AD91" s="74" t="str">
        <f>IFERROR(IF(VLOOKUP(CONCATENATE($A91,"_",AD$1),SP_ENV_Lib[],MATCH(AD$2,SP_ENV_Lib[#Headers],0),FALSE)=0,"",VLOOKUP(CONCATENATE($A91,"_",AD$1),SP_ENV_Lib[],MATCH(AD$2,SP_ENV_Lib[#Headers],0),FALSE)),"")</f>
        <v/>
      </c>
      <c r="AE91" s="74" t="str">
        <f>IFERROR(IF(VLOOKUP(CONCATENATE($A91,"_",AE$1),SP_ENV_Lib[],MATCH(AE$2,SP_ENV_Lib[#Headers],0),FALSE)=0,"",VLOOKUP(CONCATENATE($A91,"_",AE$1),SP_ENV_Lib[],MATCH(AE$2,SP_ENV_Lib[#Headers],0),FALSE)),"")</f>
        <v/>
      </c>
      <c r="AF91" s="172" t="str">
        <f>IFERROR(VLOOKUP(CONCATENATE($A91,"_",AF$1),SP_ENV_Lib[],MATCH(AF$2,SP_ENV_Lib[#Headers],0),FALSE),0)</f>
        <v>Accepted</v>
      </c>
      <c r="AG91" s="74"/>
      <c r="AH91" s="74"/>
      <c r="AI91" s="74"/>
      <c r="AJ91" s="84"/>
    </row>
    <row r="92" spans="1:36" ht="15" x14ac:dyDescent="0.2">
      <c r="A92" s="67" t="s">
        <v>3136</v>
      </c>
      <c r="B92" s="154" t="str">
        <f>LEFT(VLOOKUP($A92,SP_EnvTract_DB[],MATCH(B$2,SP_EnvTract_DB[#Headers],0),FALSE),7)</f>
        <v>R023682</v>
      </c>
      <c r="C92" s="68" t="str">
        <f>VLOOKUP($A92,SP_EnvTract_DB[],MATCH(C$2,SP_EnvTract_DB[#Headers],0),FALSE)</f>
        <v>ENV</v>
      </c>
      <c r="D92" s="156" t="str">
        <f>VLOOKUP($A92,SP_EnvTract_DB[],MATCH(D$2,SP_EnvTract_DB[#Headers],0),FALSE)</f>
        <v>JOHNSON JAYMES K &amp; MASON CATHEY F;#192</v>
      </c>
      <c r="E92" s="156" t="str">
        <f>VLOOKUP($A92,SP_EnvTract_DB[],MATCH(E$2,SP_EnvTract_DB[#Headers],0),FALSE)</f>
        <v>0 COLUMBINE AVE;#192</v>
      </c>
      <c r="F92" s="69">
        <f>VLOOKUP($A92,SP_EnvTract_DB[],MATCH(F$2,SP_EnvTract_DB[#Headers],0),FALSE)</f>
        <v>0</v>
      </c>
      <c r="G92" s="73">
        <f>VLOOKUP($A92,SP_EnvTract_DB[],MATCH(G$2,SP_EnvTract_DB[#Headers],0),FALSE)</f>
        <v>0</v>
      </c>
      <c r="H92" s="73" t="str">
        <f>VLOOKUP($A92,SP_EnvTract_DB[],MATCH(H$2,SP_EnvTract_DB[#Headers],0),FALSE)</f>
        <v>Stateside</v>
      </c>
      <c r="I92" s="69">
        <f>VLOOKUP($A92,SP_EnvTract_DB[],MATCH(I$2,SP_EnvTract_DB[#Headers],0),FALSE)</f>
        <v>0</v>
      </c>
      <c r="J92" s="69">
        <f>VLOOKUP($A92,SP_EnvTract_DB[],MATCH(J$2,SP_EnvTract_DB[#Headers],0),FALSE)</f>
        <v>0</v>
      </c>
      <c r="K92" s="69">
        <f>VLOOKUP($A92,SP_EnvTract_DB[],MATCH(K$2,SP_EnvTract_DB[#Headers],0),FALSE)</f>
        <v>0</v>
      </c>
      <c r="L92" s="69">
        <f>VLOOKUP($A92,SP_EnvTract_DB[],MATCH(L$2,SP_EnvTract_DB[#Headers],0),FALSE)</f>
        <v>0</v>
      </c>
      <c r="M92" s="69">
        <f>VLOOKUP($A92,SP_EnvTract_DB[],MATCH(M$2,SP_EnvTract_DB[#Headers],0),FALSE)</f>
        <v>0</v>
      </c>
      <c r="N92" s="69">
        <f>VLOOKUP($A92,SP_EnvTract_DB[],MATCH(N$2,SP_EnvTract_DB[#Headers],0),FALSE)</f>
        <v>0</v>
      </c>
      <c r="O92" s="74">
        <f>VLOOKUP($A92,SP_EnvTract_DB[],MATCH(O$2,SP_EnvTract_DB[#Headers],0),FALSE)</f>
        <v>0</v>
      </c>
      <c r="P92" s="73">
        <f>VLOOKUP($A92,SP_EnvTract_DB[],MATCH(P$2,SP_EnvTract_DB[#Headers],0),FALSE)</f>
        <v>0</v>
      </c>
      <c r="Q92" s="73">
        <f>VLOOKUP($A92,SP_EnvTract_DB[],MATCH(Q$2,SP_EnvTract_DB[#Headers],0),FALSE)</f>
        <v>0</v>
      </c>
      <c r="R92" s="74">
        <f>VLOOKUP($A92,SP_EnvTract_DB[],MATCH(R$2,SP_EnvTract_DB[#Headers],0),FALSE)</f>
        <v>0</v>
      </c>
      <c r="S92" s="68">
        <f>VLOOKUP($A92,SP_EnvTract_DB[],MATCH(S$2,SP_EnvTract_DB[#Headers],0),FALSE)</f>
        <v>0</v>
      </c>
      <c r="T92" s="68">
        <f>VLOOKUP($A92,SP_EnvTract_DB[],MATCH(T$2,SP_EnvTract_DB[#Headers],0),FALSE)</f>
        <v>0</v>
      </c>
      <c r="U92" s="74">
        <f>VLOOKUP($A92,SP_EnvTract_DB[],MATCH(U$2,SP_EnvTract_DB[#Headers],0),FALSE)</f>
        <v>0</v>
      </c>
      <c r="V92" s="68">
        <f>VLOOKUP($A92,SP_EnvTract_DB[],MATCH(V$2,SP_EnvTract_DB[#Headers],0),FALSE)</f>
        <v>0</v>
      </c>
      <c r="W92" s="68">
        <f>VLOOKUP($A92,SP_EnvTract_DB[],MATCH(W$2,SP_EnvTract_DB[#Headers],0),FALSE)</f>
        <v>0</v>
      </c>
      <c r="X92" s="68">
        <f>VLOOKUP($A92,SP_EnvTract_DB[],MATCH(X$2,SP_EnvTract_DB[#Headers],0),FALSE)</f>
        <v>0</v>
      </c>
      <c r="Y92" s="80">
        <f>VLOOKUP($A92,SP_EnvTract_DB[],MATCH(Y$2,SP_EnvTract_DB[#Headers],0),FALSE)</f>
        <v>0</v>
      </c>
      <c r="Z92" s="81" t="str">
        <f>IFERROR(IF(VLOOKUP(CONCATENATE($A92,"_",Z$1),SP_,MATCH(Z$2,SP_ENV_Lib[#Headers],0),FALSE)=0,"",VLOOKUP(CONCATENATE($A92,"_",Z$1),SP_ENV_Lib[],MATCH(Z$2,SP_ACQ_Lib[#Headers],0),FALSE)),"")</f>
        <v/>
      </c>
      <c r="AA92" s="74"/>
      <c r="AB92" s="74">
        <f>IFERROR(IF(VLOOKUP(CONCATENATE($A92,"_",AB$1),SP_ENV_Lib[],MATCH(AB$2,SP_ENV_Lib[#Headers],0),FALSE)=0,"",VLOOKUP(CONCATENATE($A92,"_",AB$1),SP_ENV_Lib[],MATCH(AB$2,SP_ENV_Lib[#Headers],0),FALSE)),"")</f>
        <v>43872.446342592593</v>
      </c>
      <c r="AC92" s="74">
        <f>IFERROR(IF(VLOOKUP(CONCATENATE($A92,"_",AC$1),SP_ENV_Lib[],MATCH(AC$2,SP_ENV_Lib[#Headers],0),FALSE)=0,"",VLOOKUP(CONCATENATE($A92,"_",AC$1),SP_ENV_Lib[],MATCH(AC$2,SP_ENV_Lib[#Headers],0),FALSE)),"")</f>
        <v>43846</v>
      </c>
      <c r="AD92" s="74" t="str">
        <f>IFERROR(IF(VLOOKUP(CONCATENATE($A92,"_",AD$1),SP_ENV_Lib[],MATCH(AD$2,SP_ENV_Lib[#Headers],0),FALSE)=0,"",VLOOKUP(CONCATENATE($A92,"_",AD$1),SP_ENV_Lib[],MATCH(AD$2,SP_ENV_Lib[#Headers],0),FALSE)),"")</f>
        <v/>
      </c>
      <c r="AE92" s="74" t="str">
        <f>IFERROR(IF(VLOOKUP(CONCATENATE($A92,"_",AE$1),SP_ENV_Lib[],MATCH(AE$2,SP_ENV_Lib[#Headers],0),FALSE)=0,"",VLOOKUP(CONCATENATE($A92,"_",AE$1),SP_ENV_Lib[],MATCH(AE$2,SP_ENV_Lib[#Headers],0),FALSE)),"")</f>
        <v/>
      </c>
      <c r="AF92" s="172" t="str">
        <f>IFERROR(VLOOKUP(CONCATENATE($A92,"_",AF$1),SP_ENV_Lib[],MATCH(AF$2,SP_ENV_Lib[#Headers],0),FALSE),0)</f>
        <v>Accepted</v>
      </c>
      <c r="AG92" s="74"/>
      <c r="AH92" s="74"/>
      <c r="AI92" s="74"/>
      <c r="AJ92" s="84"/>
    </row>
    <row r="93" spans="1:36" ht="15" x14ac:dyDescent="0.2">
      <c r="A93" s="67" t="s">
        <v>3141</v>
      </c>
      <c r="B93" s="154" t="str">
        <f>LEFT(VLOOKUP($A93,SP_EnvTract_DB[],MATCH(B$2,SP_EnvTract_DB[#Headers],0),FALSE),7)</f>
        <v>R023683</v>
      </c>
      <c r="C93" s="68" t="str">
        <f>VLOOKUP($A93,SP_EnvTract_DB[],MATCH(C$2,SP_EnvTract_DB[#Headers],0),FALSE)</f>
        <v>ENV</v>
      </c>
      <c r="D93" s="156" t="str">
        <f>VLOOKUP($A93,SP_EnvTract_DB[],MATCH(D$2,SP_EnvTract_DB[#Headers],0),FALSE)</f>
        <v>JOHNSON JAYMES K &amp; MASON CATHY;#193</v>
      </c>
      <c r="E93" s="156" t="str">
        <f>VLOOKUP($A93,SP_EnvTract_DB[],MATCH(E$2,SP_EnvTract_DB[#Headers],0),FALSE)</f>
        <v>128 OUTLAR;#193</v>
      </c>
      <c r="F93" s="69">
        <f>VLOOKUP($A93,SP_EnvTract_DB[],MATCH(F$2,SP_EnvTract_DB[#Headers],0),FALSE)</f>
        <v>0</v>
      </c>
      <c r="G93" s="73">
        <f>VLOOKUP($A93,SP_EnvTract_DB[],MATCH(G$2,SP_EnvTract_DB[#Headers],0),FALSE)</f>
        <v>0</v>
      </c>
      <c r="H93" s="73" t="str">
        <f>VLOOKUP($A93,SP_EnvTract_DB[],MATCH(H$2,SP_EnvTract_DB[#Headers],0),FALSE)</f>
        <v>Stateside</v>
      </c>
      <c r="I93" s="69">
        <f>VLOOKUP($A93,SP_EnvTract_DB[],MATCH(I$2,SP_EnvTract_DB[#Headers],0),FALSE)</f>
        <v>0</v>
      </c>
      <c r="J93" s="69">
        <f>VLOOKUP($A93,SP_EnvTract_DB[],MATCH(J$2,SP_EnvTract_DB[#Headers],0),FALSE)</f>
        <v>0</v>
      </c>
      <c r="K93" s="69">
        <f>VLOOKUP($A93,SP_EnvTract_DB[],MATCH(K$2,SP_EnvTract_DB[#Headers],0),FALSE)</f>
        <v>0</v>
      </c>
      <c r="L93" s="69">
        <f>VLOOKUP($A93,SP_EnvTract_DB[],MATCH(L$2,SP_EnvTract_DB[#Headers],0),FALSE)</f>
        <v>0</v>
      </c>
      <c r="M93" s="69">
        <f>VLOOKUP($A93,SP_EnvTract_DB[],MATCH(M$2,SP_EnvTract_DB[#Headers],0),FALSE)</f>
        <v>0</v>
      </c>
      <c r="N93" s="69">
        <f>VLOOKUP($A93,SP_EnvTract_DB[],MATCH(N$2,SP_EnvTract_DB[#Headers],0),FALSE)</f>
        <v>0</v>
      </c>
      <c r="O93" s="74">
        <f>VLOOKUP($A93,SP_EnvTract_DB[],MATCH(O$2,SP_EnvTract_DB[#Headers],0),FALSE)</f>
        <v>0</v>
      </c>
      <c r="P93" s="73">
        <f>VLOOKUP($A93,SP_EnvTract_DB[],MATCH(P$2,SP_EnvTract_DB[#Headers],0),FALSE)</f>
        <v>0</v>
      </c>
      <c r="Q93" s="73">
        <f>VLOOKUP($A93,SP_EnvTract_DB[],MATCH(Q$2,SP_EnvTract_DB[#Headers],0),FALSE)</f>
        <v>0</v>
      </c>
      <c r="R93" s="74">
        <f>VLOOKUP($A93,SP_EnvTract_DB[],MATCH(R$2,SP_EnvTract_DB[#Headers],0),FALSE)</f>
        <v>0</v>
      </c>
      <c r="S93" s="68">
        <f>VLOOKUP($A93,SP_EnvTract_DB[],MATCH(S$2,SP_EnvTract_DB[#Headers],0),FALSE)</f>
        <v>0</v>
      </c>
      <c r="T93" s="68">
        <f>VLOOKUP($A93,SP_EnvTract_DB[],MATCH(T$2,SP_EnvTract_DB[#Headers],0),FALSE)</f>
        <v>0</v>
      </c>
      <c r="U93" s="74">
        <f>VLOOKUP($A93,SP_EnvTract_DB[],MATCH(U$2,SP_EnvTract_DB[#Headers],0),FALSE)</f>
        <v>0</v>
      </c>
      <c r="V93" s="68">
        <f>VLOOKUP($A93,SP_EnvTract_DB[],MATCH(V$2,SP_EnvTract_DB[#Headers],0),FALSE)</f>
        <v>0</v>
      </c>
      <c r="W93" s="68">
        <f>VLOOKUP($A93,SP_EnvTract_DB[],MATCH(W$2,SP_EnvTract_DB[#Headers],0),FALSE)</f>
        <v>0</v>
      </c>
      <c r="X93" s="68">
        <f>VLOOKUP($A93,SP_EnvTract_DB[],MATCH(X$2,SP_EnvTract_DB[#Headers],0),FALSE)</f>
        <v>0</v>
      </c>
      <c r="Y93" s="80">
        <f>VLOOKUP($A93,SP_EnvTract_DB[],MATCH(Y$2,SP_EnvTract_DB[#Headers],0),FALSE)</f>
        <v>0</v>
      </c>
      <c r="Z93" s="81" t="str">
        <f>IFERROR(IF(VLOOKUP(CONCATENATE($A93,"_",Z$1),SP_,MATCH(Z$2,SP_ENV_Lib[#Headers],0),FALSE)=0,"",VLOOKUP(CONCATENATE($A93,"_",Z$1),SP_ENV_Lib[],MATCH(Z$2,SP_ACQ_Lib[#Headers],0),FALSE)),"")</f>
        <v/>
      </c>
      <c r="AA93" s="74"/>
      <c r="AB93" s="74">
        <f>IFERROR(IF(VLOOKUP(CONCATENATE($A93,"_",AB$1),SP_ENV_Lib[],MATCH(AB$2,SP_ENV_Lib[#Headers],0),FALSE)=0,"",VLOOKUP(CONCATENATE($A93,"_",AB$1),SP_ENV_Lib[],MATCH(AB$2,SP_ENV_Lib[#Headers],0),FALSE)),"")</f>
        <v>43872.446770833332</v>
      </c>
      <c r="AC93" s="74">
        <f>IFERROR(IF(VLOOKUP(CONCATENATE($A93,"_",AC$1),SP_ENV_Lib[],MATCH(AC$2,SP_ENV_Lib[#Headers],0),FALSE)=0,"",VLOOKUP(CONCATENATE($A93,"_",AC$1),SP_ENV_Lib[],MATCH(AC$2,SP_ENV_Lib[#Headers],0),FALSE)),"")</f>
        <v>43846</v>
      </c>
      <c r="AD93" s="74" t="str">
        <f>IFERROR(IF(VLOOKUP(CONCATENATE($A93,"_",AD$1),SP_ENV_Lib[],MATCH(AD$2,SP_ENV_Lib[#Headers],0),FALSE)=0,"",VLOOKUP(CONCATENATE($A93,"_",AD$1),SP_ENV_Lib[],MATCH(AD$2,SP_ENV_Lib[#Headers],0),FALSE)),"")</f>
        <v/>
      </c>
      <c r="AE93" s="74" t="str">
        <f>IFERROR(IF(VLOOKUP(CONCATENATE($A93,"_",AE$1),SP_ENV_Lib[],MATCH(AE$2,SP_ENV_Lib[#Headers],0),FALSE)=0,"",VLOOKUP(CONCATENATE($A93,"_",AE$1),SP_ENV_Lib[],MATCH(AE$2,SP_ENV_Lib[#Headers],0),FALSE)),"")</f>
        <v/>
      </c>
      <c r="AF93" s="172" t="str">
        <f>IFERROR(VLOOKUP(CONCATENATE($A93,"_",AF$1),SP_ENV_Lib[],MATCH(AF$2,SP_ENV_Lib[#Headers],0),FALSE),0)</f>
        <v>Accepted</v>
      </c>
      <c r="AG93" s="74"/>
      <c r="AH93" s="74"/>
      <c r="AI93" s="74"/>
      <c r="AJ93" s="84"/>
    </row>
    <row r="94" spans="1:36" ht="15" x14ac:dyDescent="0.2">
      <c r="A94" s="67" t="s">
        <v>3146</v>
      </c>
      <c r="B94" s="154" t="str">
        <f>LEFT(VLOOKUP($A94,SP_EnvTract_DB[],MATCH(B$2,SP_EnvTract_DB[#Headers],0),FALSE),7)</f>
        <v>R023685</v>
      </c>
      <c r="C94" s="68" t="str">
        <f>VLOOKUP($A94,SP_EnvTract_DB[],MATCH(C$2,SP_EnvTract_DB[#Headers],0),FALSE)</f>
        <v>ENV</v>
      </c>
      <c r="D94" s="156" t="str">
        <f>VLOOKUP($A94,SP_EnvTract_DB[],MATCH(D$2,SP_EnvTract_DB[#Headers],0),FALSE)</f>
        <v>JACKSON JOSEPHINE EST %PAUL BILLYE;#194</v>
      </c>
      <c r="E94" s="156" t="str">
        <f>VLOOKUP($A94,SP_EnvTract_DB[],MATCH(E$2,SP_EnvTract_DB[#Headers],0),FALSE)</f>
        <v>1615 COLUMBINE AVE;#194</v>
      </c>
      <c r="F94" s="69">
        <f>VLOOKUP($A94,SP_EnvTract_DB[],MATCH(F$2,SP_EnvTract_DB[#Headers],0),FALSE)</f>
        <v>0</v>
      </c>
      <c r="G94" s="73">
        <f>VLOOKUP($A94,SP_EnvTract_DB[],MATCH(G$2,SP_EnvTract_DB[#Headers],0),FALSE)</f>
        <v>0</v>
      </c>
      <c r="H94" s="73" t="str">
        <f>VLOOKUP($A94,SP_EnvTract_DB[],MATCH(H$2,SP_EnvTract_DB[#Headers],0),FALSE)</f>
        <v>Melissa DeLeon</v>
      </c>
      <c r="I94" s="69">
        <f>VLOOKUP($A94,SP_EnvTract_DB[],MATCH(I$2,SP_EnvTract_DB[#Headers],0),FALSE)</f>
        <v>0</v>
      </c>
      <c r="J94" s="69">
        <f>VLOOKUP($A94,SP_EnvTract_DB[],MATCH(J$2,SP_EnvTract_DB[#Headers],0),FALSE)</f>
        <v>0</v>
      </c>
      <c r="K94" s="69">
        <f>VLOOKUP($A94,SP_EnvTract_DB[],MATCH(K$2,SP_EnvTract_DB[#Headers],0),FALSE)</f>
        <v>0</v>
      </c>
      <c r="L94" s="69">
        <f>VLOOKUP($A94,SP_EnvTract_DB[],MATCH(L$2,SP_EnvTract_DB[#Headers],0),FALSE)</f>
        <v>0</v>
      </c>
      <c r="M94" s="69">
        <f>VLOOKUP($A94,SP_EnvTract_DB[],MATCH(M$2,SP_EnvTract_DB[#Headers],0),FALSE)</f>
        <v>0</v>
      </c>
      <c r="N94" s="69">
        <f>VLOOKUP($A94,SP_EnvTract_DB[],MATCH(N$2,SP_EnvTract_DB[#Headers],0),FALSE)</f>
        <v>0</v>
      </c>
      <c r="O94" s="74">
        <f>VLOOKUP($A94,SP_EnvTract_DB[],MATCH(O$2,SP_EnvTract_DB[#Headers],0),FALSE)</f>
        <v>0</v>
      </c>
      <c r="P94" s="73">
        <f>VLOOKUP($A94,SP_EnvTract_DB[],MATCH(P$2,SP_EnvTract_DB[#Headers],0),FALSE)</f>
        <v>0</v>
      </c>
      <c r="Q94" s="73">
        <f>VLOOKUP($A94,SP_EnvTract_DB[],MATCH(Q$2,SP_EnvTract_DB[#Headers],0),FALSE)</f>
        <v>0</v>
      </c>
      <c r="R94" s="74">
        <f>VLOOKUP($A94,SP_EnvTract_DB[],MATCH(R$2,SP_EnvTract_DB[#Headers],0),FALSE)</f>
        <v>0</v>
      </c>
      <c r="S94" s="68">
        <f>VLOOKUP($A94,SP_EnvTract_DB[],MATCH(S$2,SP_EnvTract_DB[#Headers],0),FALSE)</f>
        <v>0</v>
      </c>
      <c r="T94" s="68">
        <f>VLOOKUP($A94,SP_EnvTract_DB[],MATCH(T$2,SP_EnvTract_DB[#Headers],0),FALSE)</f>
        <v>0</v>
      </c>
      <c r="U94" s="74">
        <f>VLOOKUP($A94,SP_EnvTract_DB[],MATCH(U$2,SP_EnvTract_DB[#Headers],0),FALSE)</f>
        <v>0</v>
      </c>
      <c r="V94" s="68">
        <f>VLOOKUP($A94,SP_EnvTract_DB[],MATCH(V$2,SP_EnvTract_DB[#Headers],0),FALSE)</f>
        <v>0</v>
      </c>
      <c r="W94" s="68">
        <f>VLOOKUP($A94,SP_EnvTract_DB[],MATCH(W$2,SP_EnvTract_DB[#Headers],0),FALSE)</f>
        <v>0</v>
      </c>
      <c r="X94" s="68">
        <f>VLOOKUP($A94,SP_EnvTract_DB[],MATCH(X$2,SP_EnvTract_DB[#Headers],0),FALSE)</f>
        <v>0</v>
      </c>
      <c r="Y94" s="80">
        <f>VLOOKUP($A94,SP_EnvTract_DB[],MATCH(Y$2,SP_EnvTract_DB[#Headers],0),FALSE)</f>
        <v>0</v>
      </c>
      <c r="Z94" s="81" t="str">
        <f>IFERROR(IF(VLOOKUP(CONCATENATE($A94,"_",Z$1),SP_,MATCH(Z$2,SP_ENV_Lib[#Headers],0),FALSE)=0,"",VLOOKUP(CONCATENATE($A94,"_",Z$1),SP_ENV_Lib[],MATCH(Z$2,SP_ACQ_Lib[#Headers],0),FALSE)),"")</f>
        <v/>
      </c>
      <c r="AA94" s="74"/>
      <c r="AB94" s="74">
        <f>IFERROR(IF(VLOOKUP(CONCATENATE($A94,"_",AB$1),SP_ENV_Lib[],MATCH(AB$2,SP_ENV_Lib[#Headers],0),FALSE)=0,"",VLOOKUP(CONCATENATE($A94,"_",AB$1),SP_ENV_Lib[],MATCH(AB$2,SP_ENV_Lib[#Headers],0),FALSE)),"")</f>
        <v>43875.643576388888</v>
      </c>
      <c r="AC94" s="74">
        <f>IFERROR(IF(VLOOKUP(CONCATENATE($A94,"_",AC$1),SP_ENV_Lib[],MATCH(AC$2,SP_ENV_Lib[#Headers],0),FALSE)=0,"",VLOOKUP(CONCATENATE($A94,"_",AC$1),SP_ENV_Lib[],MATCH(AC$2,SP_ENV_Lib[#Headers],0),FALSE)),"")</f>
        <v>43846</v>
      </c>
      <c r="AD94" s="74">
        <f>IFERROR(IF(VLOOKUP(CONCATENATE($A94,"_",AD$1),SP_ENV_Lib[],MATCH(AD$2,SP_ENV_Lib[#Headers],0),FALSE)=0,"",VLOOKUP(CONCATENATE($A94,"_",AD$1),SP_ENV_Lib[],MATCH(AD$2,SP_ENV_Lib[#Headers],0),FALSE)),"")</f>
        <v>43872</v>
      </c>
      <c r="AE94" s="74" t="str">
        <f>IFERROR(IF(VLOOKUP(CONCATENATE($A94,"_",AE$1),SP_ENV_Lib[],MATCH(AE$2,SP_ENV_Lib[#Headers],0),FALSE)=0,"",VLOOKUP(CONCATENATE($A94,"_",AE$1),SP_ENV_Lib[],MATCH(AE$2,SP_ENV_Lib[#Headers],0),FALSE)),"")</f>
        <v/>
      </c>
      <c r="AF94" s="172" t="str">
        <f>IFERROR(VLOOKUP(CONCATENATE($A94,"_",AF$1),SP_ENV_Lib[],MATCH(AF$2,SP_ENV_Lib[#Headers],0),FALSE),0)</f>
        <v>Accepted</v>
      </c>
      <c r="AG94" s="74"/>
      <c r="AH94" s="74"/>
      <c r="AI94" s="74"/>
      <c r="AJ94" s="84"/>
    </row>
    <row r="95" spans="1:36" ht="15" x14ac:dyDescent="0.2">
      <c r="A95" s="67" t="s">
        <v>3151</v>
      </c>
      <c r="B95" s="154" t="str">
        <f>LEFT(VLOOKUP($A95,SP_EnvTract_DB[],MATCH(B$2,SP_EnvTract_DB[#Headers],0),FALSE),7)</f>
        <v>R023686</v>
      </c>
      <c r="C95" s="68" t="str">
        <f>VLOOKUP($A95,SP_EnvTract_DB[],MATCH(C$2,SP_EnvTract_DB[#Headers],0),FALSE)</f>
        <v>ENV</v>
      </c>
      <c r="D95" s="156" t="str">
        <f>VLOOKUP($A95,SP_EnvTract_DB[],MATCH(D$2,SP_EnvTract_DB[#Headers],0),FALSE)</f>
        <v>ALLEN TROY;#195</v>
      </c>
      <c r="E95" s="156" t="str">
        <f>VLOOKUP($A95,SP_EnvTract_DB[],MATCH(E$2,SP_EnvTract_DB[#Headers],0),FALSE)</f>
        <v>1607 COLUMBINE AVE;#195</v>
      </c>
      <c r="F95" s="69">
        <f>VLOOKUP($A95,SP_EnvTract_DB[],MATCH(F$2,SP_EnvTract_DB[#Headers],0),FALSE)</f>
        <v>0</v>
      </c>
      <c r="G95" s="73">
        <f>VLOOKUP($A95,SP_EnvTract_DB[],MATCH(G$2,SP_EnvTract_DB[#Headers],0),FALSE)</f>
        <v>0</v>
      </c>
      <c r="H95" s="73" t="str">
        <f>VLOOKUP($A95,SP_EnvTract_DB[],MATCH(H$2,SP_EnvTract_DB[#Headers],0),FALSE)</f>
        <v>Melissa DeLeon</v>
      </c>
      <c r="I95" s="69">
        <f>VLOOKUP($A95,SP_EnvTract_DB[],MATCH(I$2,SP_EnvTract_DB[#Headers],0),FALSE)</f>
        <v>0</v>
      </c>
      <c r="J95" s="69">
        <f>VLOOKUP($A95,SP_EnvTract_DB[],MATCH(J$2,SP_EnvTract_DB[#Headers],0),FALSE)</f>
        <v>0</v>
      </c>
      <c r="K95" s="69">
        <f>VLOOKUP($A95,SP_EnvTract_DB[],MATCH(K$2,SP_EnvTract_DB[#Headers],0),FALSE)</f>
        <v>0</v>
      </c>
      <c r="L95" s="69">
        <f>VLOOKUP($A95,SP_EnvTract_DB[],MATCH(L$2,SP_EnvTract_DB[#Headers],0),FALSE)</f>
        <v>0</v>
      </c>
      <c r="M95" s="69">
        <f>VLOOKUP($A95,SP_EnvTract_DB[],MATCH(M$2,SP_EnvTract_DB[#Headers],0),FALSE)</f>
        <v>0</v>
      </c>
      <c r="N95" s="69">
        <f>VLOOKUP($A95,SP_EnvTract_DB[],MATCH(N$2,SP_EnvTract_DB[#Headers],0),FALSE)</f>
        <v>0</v>
      </c>
      <c r="O95" s="74">
        <f>VLOOKUP($A95,SP_EnvTract_DB[],MATCH(O$2,SP_EnvTract_DB[#Headers],0),FALSE)</f>
        <v>0</v>
      </c>
      <c r="P95" s="73">
        <f>VLOOKUP($A95,SP_EnvTract_DB[],MATCH(P$2,SP_EnvTract_DB[#Headers],0),FALSE)</f>
        <v>0</v>
      </c>
      <c r="Q95" s="73">
        <f>VLOOKUP($A95,SP_EnvTract_DB[],MATCH(Q$2,SP_EnvTract_DB[#Headers],0),FALSE)</f>
        <v>0</v>
      </c>
      <c r="R95" s="74">
        <f>VLOOKUP($A95,SP_EnvTract_DB[],MATCH(R$2,SP_EnvTract_DB[#Headers],0),FALSE)</f>
        <v>0</v>
      </c>
      <c r="S95" s="68">
        <f>VLOOKUP($A95,SP_EnvTract_DB[],MATCH(S$2,SP_EnvTract_DB[#Headers],0),FALSE)</f>
        <v>0</v>
      </c>
      <c r="T95" s="68">
        <f>VLOOKUP($A95,SP_EnvTract_DB[],MATCH(T$2,SP_EnvTract_DB[#Headers],0),FALSE)</f>
        <v>0</v>
      </c>
      <c r="U95" s="74">
        <f>VLOOKUP($A95,SP_EnvTract_DB[],MATCH(U$2,SP_EnvTract_DB[#Headers],0),FALSE)</f>
        <v>0</v>
      </c>
      <c r="V95" s="68">
        <f>VLOOKUP($A95,SP_EnvTract_DB[],MATCH(V$2,SP_EnvTract_DB[#Headers],0),FALSE)</f>
        <v>0</v>
      </c>
      <c r="W95" s="68">
        <f>VLOOKUP($A95,SP_EnvTract_DB[],MATCH(W$2,SP_EnvTract_DB[#Headers],0),FALSE)</f>
        <v>0</v>
      </c>
      <c r="X95" s="68">
        <f>VLOOKUP($A95,SP_EnvTract_DB[],MATCH(X$2,SP_EnvTract_DB[#Headers],0),FALSE)</f>
        <v>0</v>
      </c>
      <c r="Y95" s="80">
        <f>VLOOKUP($A95,SP_EnvTract_DB[],MATCH(Y$2,SP_EnvTract_DB[#Headers],0),FALSE)</f>
        <v>0</v>
      </c>
      <c r="Z95" s="81" t="str">
        <f>IFERROR(IF(VLOOKUP(CONCATENATE($A95,"_",Z$1),SP_,MATCH(Z$2,SP_ENV_Lib[#Headers],0),FALSE)=0,"",VLOOKUP(CONCATENATE($A95,"_",Z$1),SP_ENV_Lib[],MATCH(Z$2,SP_ACQ_Lib[#Headers],0),FALSE)),"")</f>
        <v/>
      </c>
      <c r="AA95" s="74"/>
      <c r="AB95" s="74">
        <f>IFERROR(IF(VLOOKUP(CONCATENATE($A95,"_",AB$1),SP_ENV_Lib[],MATCH(AB$2,SP_ENV_Lib[#Headers],0),FALSE)=0,"",VLOOKUP(CONCATENATE($A95,"_",AB$1),SP_ENV_Lib[],MATCH(AB$2,SP_ENV_Lib[#Headers],0),FALSE)),"")</f>
        <v>43875.648020833331</v>
      </c>
      <c r="AC95" s="74">
        <f>IFERROR(IF(VLOOKUP(CONCATENATE($A95,"_",AC$1),SP_ENV_Lib[],MATCH(AC$2,SP_ENV_Lib[#Headers],0),FALSE)=0,"",VLOOKUP(CONCATENATE($A95,"_",AC$1),SP_ENV_Lib[],MATCH(AC$2,SP_ENV_Lib[#Headers],0),FALSE)),"")</f>
        <v>43846</v>
      </c>
      <c r="AD95" s="74">
        <f>IFERROR(IF(VLOOKUP(CONCATENATE($A95,"_",AD$1),SP_ENV_Lib[],MATCH(AD$2,SP_ENV_Lib[#Headers],0),FALSE)=0,"",VLOOKUP(CONCATENATE($A95,"_",AD$1),SP_ENV_Lib[],MATCH(AD$2,SP_ENV_Lib[#Headers],0),FALSE)),"")</f>
        <v>43867</v>
      </c>
      <c r="AE95" s="74" t="str">
        <f>IFERROR(IF(VLOOKUP(CONCATENATE($A95,"_",AE$1),SP_ENV_Lib[],MATCH(AE$2,SP_ENV_Lib[#Headers],0),FALSE)=0,"",VLOOKUP(CONCATENATE($A95,"_",AE$1),SP_ENV_Lib[],MATCH(AE$2,SP_ENV_Lib[#Headers],0),FALSE)),"")</f>
        <v/>
      </c>
      <c r="AF95" s="172" t="str">
        <f>IFERROR(VLOOKUP(CONCATENATE($A95,"_",AF$1),SP_ENV_Lib[],MATCH(AF$2,SP_ENV_Lib[#Headers],0),FALSE),0)</f>
        <v>Accepted</v>
      </c>
      <c r="AG95" s="74"/>
      <c r="AH95" s="74"/>
      <c r="AI95" s="74"/>
      <c r="AJ95" s="84"/>
    </row>
    <row r="96" spans="1:36" ht="15" x14ac:dyDescent="0.2">
      <c r="A96" s="67" t="s">
        <v>2700</v>
      </c>
      <c r="B96" s="154" t="str">
        <f>LEFT(VLOOKUP($A96,SP_EnvTract_DB[],MATCH(B$2,SP_EnvTract_DB[#Headers],0),FALSE),7)</f>
        <v>R023687</v>
      </c>
      <c r="C96" s="68" t="str">
        <f>VLOOKUP($A96,SP_EnvTract_DB[],MATCH(C$2,SP_EnvTract_DB[#Headers],0),FALSE)</f>
        <v>ENV</v>
      </c>
      <c r="D96" s="156" t="str">
        <f>VLOOKUP($A96,SP_EnvTract_DB[],MATCH(D$2,SP_EnvTract_DB[#Headers],0),FALSE)</f>
        <v>ALLEN WILLAM/WHARTON RECOVERY TEAM;#196</v>
      </c>
      <c r="E96" s="156" t="str">
        <f>VLOOKUP($A96,SP_EnvTract_DB[],MATCH(E$2,SP_EnvTract_DB[#Headers],0),FALSE)</f>
        <v>1607 COLUMBINE AVE;#196</v>
      </c>
      <c r="F96" s="69">
        <f>VLOOKUP($A96,SP_EnvTract_DB[],MATCH(F$2,SP_EnvTract_DB[#Headers],0),FALSE)</f>
        <v>0</v>
      </c>
      <c r="G96" s="73">
        <f>VLOOKUP($A96,SP_EnvTract_DB[],MATCH(G$2,SP_EnvTract_DB[#Headers],0),FALSE)</f>
        <v>0</v>
      </c>
      <c r="H96" s="73" t="str">
        <f>VLOOKUP($A96,SP_EnvTract_DB[],MATCH(H$2,SP_EnvTract_DB[#Headers],0),FALSE)</f>
        <v>Melissa DeLeon</v>
      </c>
      <c r="I96" s="69">
        <f>VLOOKUP($A96,SP_EnvTract_DB[],MATCH(I$2,SP_EnvTract_DB[#Headers],0),FALSE)</f>
        <v>0</v>
      </c>
      <c r="J96" s="69">
        <f>VLOOKUP($A96,SP_EnvTract_DB[],MATCH(J$2,SP_EnvTract_DB[#Headers],0),FALSE)</f>
        <v>0</v>
      </c>
      <c r="K96" s="69">
        <f>VLOOKUP($A96,SP_EnvTract_DB[],MATCH(K$2,SP_EnvTract_DB[#Headers],0),FALSE)</f>
        <v>0</v>
      </c>
      <c r="L96" s="69">
        <f>VLOOKUP($A96,SP_EnvTract_DB[],MATCH(L$2,SP_EnvTract_DB[#Headers],0),FALSE)</f>
        <v>0</v>
      </c>
      <c r="M96" s="69">
        <f>VLOOKUP($A96,SP_EnvTract_DB[],MATCH(M$2,SP_EnvTract_DB[#Headers],0),FALSE)</f>
        <v>0</v>
      </c>
      <c r="N96" s="69">
        <f>VLOOKUP($A96,SP_EnvTract_DB[],MATCH(N$2,SP_EnvTract_DB[#Headers],0),FALSE)</f>
        <v>0</v>
      </c>
      <c r="O96" s="74">
        <f>VLOOKUP($A96,SP_EnvTract_DB[],MATCH(O$2,SP_EnvTract_DB[#Headers],0),FALSE)</f>
        <v>0</v>
      </c>
      <c r="P96" s="73">
        <f>VLOOKUP($A96,SP_EnvTract_DB[],MATCH(P$2,SP_EnvTract_DB[#Headers],0),FALSE)</f>
        <v>0</v>
      </c>
      <c r="Q96" s="73">
        <f>VLOOKUP($A96,SP_EnvTract_DB[],MATCH(Q$2,SP_EnvTract_DB[#Headers],0),FALSE)</f>
        <v>0</v>
      </c>
      <c r="R96" s="74">
        <f>VLOOKUP($A96,SP_EnvTract_DB[],MATCH(R$2,SP_EnvTract_DB[#Headers],0),FALSE)</f>
        <v>0</v>
      </c>
      <c r="S96" s="68">
        <f>VLOOKUP($A96,SP_EnvTract_DB[],MATCH(S$2,SP_EnvTract_DB[#Headers],0),FALSE)</f>
        <v>0</v>
      </c>
      <c r="T96" s="68">
        <f>VLOOKUP($A96,SP_EnvTract_DB[],MATCH(T$2,SP_EnvTract_DB[#Headers],0),FALSE)</f>
        <v>0</v>
      </c>
      <c r="U96" s="74">
        <f>VLOOKUP($A96,SP_EnvTract_DB[],MATCH(U$2,SP_EnvTract_DB[#Headers],0),FALSE)</f>
        <v>0</v>
      </c>
      <c r="V96" s="68">
        <f>VLOOKUP($A96,SP_EnvTract_DB[],MATCH(V$2,SP_EnvTract_DB[#Headers],0),FALSE)</f>
        <v>0</v>
      </c>
      <c r="W96" s="68">
        <f>VLOOKUP($A96,SP_EnvTract_DB[],MATCH(W$2,SP_EnvTract_DB[#Headers],0),FALSE)</f>
        <v>0</v>
      </c>
      <c r="X96" s="68">
        <f>VLOOKUP($A96,SP_EnvTract_DB[],MATCH(X$2,SP_EnvTract_DB[#Headers],0),FALSE)</f>
        <v>0</v>
      </c>
      <c r="Y96" s="80">
        <f>VLOOKUP($A96,SP_EnvTract_DB[],MATCH(Y$2,SP_EnvTract_DB[#Headers],0),FALSE)</f>
        <v>0</v>
      </c>
      <c r="Z96" s="81" t="str">
        <f>IFERROR(IF(VLOOKUP(CONCATENATE($A96,"_",Z$1),SP_,MATCH(Z$2,SP_ENV_Lib[#Headers],0),FALSE)=0,"",VLOOKUP(CONCATENATE($A96,"_",Z$1),SP_ENV_Lib[],MATCH(Z$2,SP_ACQ_Lib[#Headers],0),FALSE)),"")</f>
        <v/>
      </c>
      <c r="AA96" s="74"/>
      <c r="AB96" s="74">
        <f>IFERROR(IF(VLOOKUP(CONCATENATE($A96,"_",AB$1),SP_ENV_Lib[],MATCH(AB$2,SP_ENV_Lib[#Headers],0),FALSE)=0,"",VLOOKUP(CONCATENATE($A96,"_",AB$1),SP_ENV_Lib[],MATCH(AB$2,SP_ENV_Lib[#Headers],0),FALSE)),"")</f>
        <v>43871.721099537041</v>
      </c>
      <c r="AC96" s="74">
        <f>IFERROR(IF(VLOOKUP(CONCATENATE($A96,"_",AC$1),SP_ENV_Lib[],MATCH(AC$2,SP_ENV_Lib[#Headers],0),FALSE)=0,"",VLOOKUP(CONCATENATE($A96,"_",AC$1),SP_ENV_Lib[],MATCH(AC$2,SP_ENV_Lib[#Headers],0),FALSE)),"")</f>
        <v>43846</v>
      </c>
      <c r="AD96" s="74">
        <f>IFERROR(IF(VLOOKUP(CONCATENATE($A96,"_",AD$1),SP_ENV_Lib[],MATCH(AD$2,SP_ENV_Lib[#Headers],0),FALSE)=0,"",VLOOKUP(CONCATENATE($A96,"_",AD$1),SP_ENV_Lib[],MATCH(AD$2,SP_ENV_Lib[#Headers],0),FALSE)),"")</f>
        <v>43867</v>
      </c>
      <c r="AE96" s="74" t="str">
        <f>IFERROR(IF(VLOOKUP(CONCATENATE($A96,"_",AE$1),SP_ENV_Lib[],MATCH(AE$2,SP_ENV_Lib[#Headers],0),FALSE)=0,"",VLOOKUP(CONCATENATE($A96,"_",AE$1),SP_ENV_Lib[],MATCH(AE$2,SP_ENV_Lib[#Headers],0),FALSE)),"")</f>
        <v/>
      </c>
      <c r="AF96" s="172" t="str">
        <f>IFERROR(VLOOKUP(CONCATENATE($A96,"_",AF$1),SP_ENV_Lib[],MATCH(AF$2,SP_ENV_Lib[#Headers],0),FALSE),0)</f>
        <v>Accepted</v>
      </c>
      <c r="AG96" s="74"/>
      <c r="AH96" s="74"/>
      <c r="AI96" s="74"/>
      <c r="AJ96" s="84"/>
    </row>
    <row r="97" spans="1:36" ht="15" x14ac:dyDescent="0.2">
      <c r="A97" s="67" t="s">
        <v>2702</v>
      </c>
      <c r="B97" s="154" t="str">
        <f>LEFT(VLOOKUP($A97,SP_EnvTract_DB[],MATCH(B$2,SP_EnvTract_DB[#Headers],0),FALSE),7)</f>
        <v>R023688</v>
      </c>
      <c r="C97" s="68" t="str">
        <f>VLOOKUP($A97,SP_EnvTract_DB[],MATCH(C$2,SP_EnvTract_DB[#Headers],0),FALSE)</f>
        <v>ENV</v>
      </c>
      <c r="D97" s="156" t="str">
        <f>VLOOKUP($A97,SP_EnvTract_DB[],MATCH(D$2,SP_EnvTract_DB[#Headers],0),FALSE)</f>
        <v>PHILLIPS ROBERT L ETUX EARLEAN;#197</v>
      </c>
      <c r="E97" s="156" t="str">
        <f>VLOOKUP($A97,SP_EnvTract_DB[],MATCH(E$2,SP_EnvTract_DB[#Headers],0),FALSE)</f>
        <v>1603 COLUMBINE AVE;#197</v>
      </c>
      <c r="F97" s="69">
        <f>VLOOKUP($A97,SP_EnvTract_DB[],MATCH(F$2,SP_EnvTract_DB[#Headers],0),FALSE)</f>
        <v>0</v>
      </c>
      <c r="G97" s="73">
        <f>VLOOKUP($A97,SP_EnvTract_DB[],MATCH(G$2,SP_EnvTract_DB[#Headers],0),FALSE)</f>
        <v>0</v>
      </c>
      <c r="H97" s="73" t="str">
        <f>VLOOKUP($A97,SP_EnvTract_DB[],MATCH(H$2,SP_EnvTract_DB[#Headers],0),FALSE)</f>
        <v>Melissa DeLeon</v>
      </c>
      <c r="I97" s="69">
        <f>VLOOKUP($A97,SP_EnvTract_DB[],MATCH(I$2,SP_EnvTract_DB[#Headers],0),FALSE)</f>
        <v>0</v>
      </c>
      <c r="J97" s="69">
        <f>VLOOKUP($A97,SP_EnvTract_DB[],MATCH(J$2,SP_EnvTract_DB[#Headers],0),FALSE)</f>
        <v>0</v>
      </c>
      <c r="K97" s="69">
        <f>VLOOKUP($A97,SP_EnvTract_DB[],MATCH(K$2,SP_EnvTract_DB[#Headers],0),FALSE)</f>
        <v>0</v>
      </c>
      <c r="L97" s="69">
        <f>VLOOKUP($A97,SP_EnvTract_DB[],MATCH(L$2,SP_EnvTract_DB[#Headers],0),FALSE)</f>
        <v>0</v>
      </c>
      <c r="M97" s="69">
        <f>VLOOKUP($A97,SP_EnvTract_DB[],MATCH(M$2,SP_EnvTract_DB[#Headers],0),FALSE)</f>
        <v>0</v>
      </c>
      <c r="N97" s="69">
        <f>VLOOKUP($A97,SP_EnvTract_DB[],MATCH(N$2,SP_EnvTract_DB[#Headers],0),FALSE)</f>
        <v>0</v>
      </c>
      <c r="O97" s="74">
        <f>VLOOKUP($A97,SP_EnvTract_DB[],MATCH(O$2,SP_EnvTract_DB[#Headers],0),FALSE)</f>
        <v>0</v>
      </c>
      <c r="P97" s="73">
        <f>VLOOKUP($A97,SP_EnvTract_DB[],MATCH(P$2,SP_EnvTract_DB[#Headers],0),FALSE)</f>
        <v>0</v>
      </c>
      <c r="Q97" s="73">
        <f>VLOOKUP($A97,SP_EnvTract_DB[],MATCH(Q$2,SP_EnvTract_DB[#Headers],0),FALSE)</f>
        <v>0</v>
      </c>
      <c r="R97" s="74">
        <f>VLOOKUP($A97,SP_EnvTract_DB[],MATCH(R$2,SP_EnvTract_DB[#Headers],0),FALSE)</f>
        <v>0</v>
      </c>
      <c r="S97" s="68">
        <f>VLOOKUP($A97,SP_EnvTract_DB[],MATCH(S$2,SP_EnvTract_DB[#Headers],0),FALSE)</f>
        <v>0</v>
      </c>
      <c r="T97" s="68">
        <f>VLOOKUP($A97,SP_EnvTract_DB[],MATCH(T$2,SP_EnvTract_DB[#Headers],0),FALSE)</f>
        <v>0</v>
      </c>
      <c r="U97" s="74">
        <f>VLOOKUP($A97,SP_EnvTract_DB[],MATCH(U$2,SP_EnvTract_DB[#Headers],0),FALSE)</f>
        <v>0</v>
      </c>
      <c r="V97" s="68">
        <f>VLOOKUP($A97,SP_EnvTract_DB[],MATCH(V$2,SP_EnvTract_DB[#Headers],0),FALSE)</f>
        <v>0</v>
      </c>
      <c r="W97" s="68">
        <f>VLOOKUP($A97,SP_EnvTract_DB[],MATCH(W$2,SP_EnvTract_DB[#Headers],0),FALSE)</f>
        <v>0</v>
      </c>
      <c r="X97" s="68">
        <f>VLOOKUP($A97,SP_EnvTract_DB[],MATCH(X$2,SP_EnvTract_DB[#Headers],0),FALSE)</f>
        <v>0</v>
      </c>
      <c r="Y97" s="80">
        <f>VLOOKUP($A97,SP_EnvTract_DB[],MATCH(Y$2,SP_EnvTract_DB[#Headers],0),FALSE)</f>
        <v>0</v>
      </c>
      <c r="Z97" s="81" t="str">
        <f>IFERROR(IF(VLOOKUP(CONCATENATE($A97,"_",Z$1),SP_,MATCH(Z$2,SP_ENV_Lib[#Headers],0),FALSE)=0,"",VLOOKUP(CONCATENATE($A97,"_",Z$1),SP_ENV_Lib[],MATCH(Z$2,SP_ACQ_Lib[#Headers],0),FALSE)),"")</f>
        <v/>
      </c>
      <c r="AA97" s="74"/>
      <c r="AB97" s="74">
        <f>IFERROR(IF(VLOOKUP(CONCATENATE($A97,"_",AB$1),SP_ENV_Lib[],MATCH(AB$2,SP_ENV_Lib[#Headers],0),FALSE)=0,"",VLOOKUP(CONCATENATE($A97,"_",AB$1),SP_ENV_Lib[],MATCH(AB$2,SP_ENV_Lib[#Headers],0),FALSE)),"")</f>
        <v>43875.65556712963</v>
      </c>
      <c r="AC97" s="74">
        <f>IFERROR(IF(VLOOKUP(CONCATENATE($A97,"_",AC$1),SP_ENV_Lib[],MATCH(AC$2,SP_ENV_Lib[#Headers],0),FALSE)=0,"",VLOOKUP(CONCATENATE($A97,"_",AC$1),SP_ENV_Lib[],MATCH(AC$2,SP_ENV_Lib[#Headers],0),FALSE)),"")</f>
        <v>43846</v>
      </c>
      <c r="AD97" s="74">
        <f>IFERROR(IF(VLOOKUP(CONCATENATE($A97,"_",AD$1),SP_ENV_Lib[],MATCH(AD$2,SP_ENV_Lib[#Headers],0),FALSE)=0,"",VLOOKUP(CONCATENATE($A97,"_",AD$1),SP_ENV_Lib[],MATCH(AD$2,SP_ENV_Lib[#Headers],0),FALSE)),"")</f>
        <v>43872</v>
      </c>
      <c r="AE97" s="74" t="str">
        <f>IFERROR(IF(VLOOKUP(CONCATENATE($A97,"_",AE$1),SP_ENV_Lib[],MATCH(AE$2,SP_ENV_Lib[#Headers],0),FALSE)=0,"",VLOOKUP(CONCATENATE($A97,"_",AE$1),SP_ENV_Lib[],MATCH(AE$2,SP_ENV_Lib[#Headers],0),FALSE)),"")</f>
        <v/>
      </c>
      <c r="AF97" s="172" t="str">
        <f>IFERROR(VLOOKUP(CONCATENATE($A97,"_",AF$1),SP_ENV_Lib[],MATCH(AF$2,SP_ENV_Lib[#Headers],0),FALSE),0)</f>
        <v>Accepted</v>
      </c>
      <c r="AG97" s="74"/>
      <c r="AH97" s="74"/>
      <c r="AI97" s="74"/>
      <c r="AJ97" s="84"/>
    </row>
    <row r="98" spans="1:36" ht="15" x14ac:dyDescent="0.2">
      <c r="A98" s="67" t="s">
        <v>2704</v>
      </c>
      <c r="B98" s="154" t="str">
        <f>LEFT(VLOOKUP($A98,SP_EnvTract_DB[],MATCH(B$2,SP_EnvTract_DB[#Headers],0),FALSE),7)</f>
        <v>R023689</v>
      </c>
      <c r="C98" s="68" t="str">
        <f>VLOOKUP($A98,SP_EnvTract_DB[],MATCH(C$2,SP_EnvTract_DB[#Headers],0),FALSE)</f>
        <v>ENV</v>
      </c>
      <c r="D98" s="156" t="str">
        <f>VLOOKUP($A98,SP_EnvTract_DB[],MATCH(D$2,SP_EnvTract_DB[#Headers],0),FALSE)</f>
        <v>THOMPSON JOE;#198</v>
      </c>
      <c r="E98" s="156" t="str">
        <f>VLOOKUP($A98,SP_EnvTract_DB[],MATCH(E$2,SP_EnvTract_DB[#Headers],0),FALSE)</f>
        <v>1523 COLUMBINE AVE;#198</v>
      </c>
      <c r="F98" s="69">
        <f>VLOOKUP($A98,SP_EnvTract_DB[],MATCH(F$2,SP_EnvTract_DB[#Headers],0),FALSE)</f>
        <v>0</v>
      </c>
      <c r="G98" s="73">
        <f>VLOOKUP($A98,SP_EnvTract_DB[],MATCH(G$2,SP_EnvTract_DB[#Headers],0),FALSE)</f>
        <v>0</v>
      </c>
      <c r="H98" s="73" t="str">
        <f>VLOOKUP($A98,SP_EnvTract_DB[],MATCH(H$2,SP_EnvTract_DB[#Headers],0),FALSE)</f>
        <v>Melissa DeLeon</v>
      </c>
      <c r="I98" s="69">
        <f>VLOOKUP($A98,SP_EnvTract_DB[],MATCH(I$2,SP_EnvTract_DB[#Headers],0),FALSE)</f>
        <v>0</v>
      </c>
      <c r="J98" s="69">
        <f>VLOOKUP($A98,SP_EnvTract_DB[],MATCH(J$2,SP_EnvTract_DB[#Headers],0),FALSE)</f>
        <v>0</v>
      </c>
      <c r="K98" s="69">
        <f>VLOOKUP($A98,SP_EnvTract_DB[],MATCH(K$2,SP_EnvTract_DB[#Headers],0),FALSE)</f>
        <v>0</v>
      </c>
      <c r="L98" s="69">
        <f>VLOOKUP($A98,SP_EnvTract_DB[],MATCH(L$2,SP_EnvTract_DB[#Headers],0),FALSE)</f>
        <v>0</v>
      </c>
      <c r="M98" s="69">
        <f>VLOOKUP($A98,SP_EnvTract_DB[],MATCH(M$2,SP_EnvTract_DB[#Headers],0),FALSE)</f>
        <v>0</v>
      </c>
      <c r="N98" s="69">
        <f>VLOOKUP($A98,SP_EnvTract_DB[],MATCH(N$2,SP_EnvTract_DB[#Headers],0),FALSE)</f>
        <v>0</v>
      </c>
      <c r="O98" s="74">
        <f>VLOOKUP($A98,SP_EnvTract_DB[],MATCH(O$2,SP_EnvTract_DB[#Headers],0),FALSE)</f>
        <v>0</v>
      </c>
      <c r="P98" s="73">
        <f>VLOOKUP($A98,SP_EnvTract_DB[],MATCH(P$2,SP_EnvTract_DB[#Headers],0),FALSE)</f>
        <v>0</v>
      </c>
      <c r="Q98" s="73">
        <f>VLOOKUP($A98,SP_EnvTract_DB[],MATCH(Q$2,SP_EnvTract_DB[#Headers],0),FALSE)</f>
        <v>0</v>
      </c>
      <c r="R98" s="74">
        <f>VLOOKUP($A98,SP_EnvTract_DB[],MATCH(R$2,SP_EnvTract_DB[#Headers],0),FALSE)</f>
        <v>0</v>
      </c>
      <c r="S98" s="68">
        <f>VLOOKUP($A98,SP_EnvTract_DB[],MATCH(S$2,SP_EnvTract_DB[#Headers],0),FALSE)</f>
        <v>0</v>
      </c>
      <c r="T98" s="68">
        <f>VLOOKUP($A98,SP_EnvTract_DB[],MATCH(T$2,SP_EnvTract_DB[#Headers],0),FALSE)</f>
        <v>0</v>
      </c>
      <c r="U98" s="74">
        <f>VLOOKUP($A98,SP_EnvTract_DB[],MATCH(U$2,SP_EnvTract_DB[#Headers],0),FALSE)</f>
        <v>0</v>
      </c>
      <c r="V98" s="68">
        <f>VLOOKUP($A98,SP_EnvTract_DB[],MATCH(V$2,SP_EnvTract_DB[#Headers],0),FALSE)</f>
        <v>0</v>
      </c>
      <c r="W98" s="68">
        <f>VLOOKUP($A98,SP_EnvTract_DB[],MATCH(W$2,SP_EnvTract_DB[#Headers],0),FALSE)</f>
        <v>0</v>
      </c>
      <c r="X98" s="68">
        <f>VLOOKUP($A98,SP_EnvTract_DB[],MATCH(X$2,SP_EnvTract_DB[#Headers],0),FALSE)</f>
        <v>0</v>
      </c>
      <c r="Y98" s="80">
        <f>VLOOKUP($A98,SP_EnvTract_DB[],MATCH(Y$2,SP_EnvTract_DB[#Headers],0),FALSE)</f>
        <v>0</v>
      </c>
      <c r="Z98" s="81" t="str">
        <f>IFERROR(IF(VLOOKUP(CONCATENATE($A98,"_",Z$1),SP_,MATCH(Z$2,SP_ENV_Lib[#Headers],0),FALSE)=0,"",VLOOKUP(CONCATENATE($A98,"_",Z$1),SP_ENV_Lib[],MATCH(Z$2,SP_ACQ_Lib[#Headers],0),FALSE)),"")</f>
        <v/>
      </c>
      <c r="AA98" s="74"/>
      <c r="AB98" s="74" t="str">
        <f>IFERROR(IF(VLOOKUP(CONCATENATE($A98,"_",AB$1),SP_ENV_Lib[],MATCH(AB$2,SP_ENV_Lib[#Headers],0),FALSE)=0,"",VLOOKUP(CONCATENATE($A98,"_",AB$1),SP_ENV_Lib[],MATCH(AB$2,SP_ENV_Lib[#Headers],0),FALSE)),"")</f>
        <v/>
      </c>
      <c r="AC98" s="74">
        <f>IFERROR(IF(VLOOKUP(CONCATENATE($A98,"_",AC$1),SP_ENV_Lib[],MATCH(AC$2,SP_ENV_Lib[#Headers],0),FALSE)=0,"",VLOOKUP(CONCATENATE($A98,"_",AC$1),SP_ENV_Lib[],MATCH(AC$2,SP_ENV_Lib[#Headers],0),FALSE)),"")</f>
        <v>43846</v>
      </c>
      <c r="AD98" s="74" t="str">
        <f>IFERROR(IF(VLOOKUP(CONCATENATE($A98,"_",AD$1),SP_ENV_Lib[],MATCH(AD$2,SP_ENV_Lib[#Headers],0),FALSE)=0,"",VLOOKUP(CONCATENATE($A98,"_",AD$1),SP_ENV_Lib[],MATCH(AD$2,SP_ENV_Lib[#Headers],0),FALSE)),"")</f>
        <v/>
      </c>
      <c r="AE98" s="74" t="str">
        <f>IFERROR(IF(VLOOKUP(CONCATENATE($A98,"_",AE$1),SP_ENV_Lib[],MATCH(AE$2,SP_ENV_Lib[#Headers],0),FALSE)=0,"",VLOOKUP(CONCATENATE($A98,"_",AE$1),SP_ENV_Lib[],MATCH(AE$2,SP_ENV_Lib[#Headers],0),FALSE)),"")</f>
        <v/>
      </c>
      <c r="AF98" s="172" t="str">
        <f>IFERROR(VLOOKUP(CONCATENATE($A98,"_",AF$1),SP_ENV_Lib[],MATCH(AF$2,SP_ENV_Lib[#Headers],0),FALSE),0)</f>
        <v>Accepted</v>
      </c>
      <c r="AG98" s="74"/>
      <c r="AH98" s="74"/>
      <c r="AI98" s="74"/>
      <c r="AJ98" s="84"/>
    </row>
    <row r="99" spans="1:36" ht="15" x14ac:dyDescent="0.2">
      <c r="A99" s="67" t="s">
        <v>2708</v>
      </c>
      <c r="B99" s="154" t="str">
        <f>LEFT(VLOOKUP($A99,SP_EnvTract_DB[],MATCH(B$2,SP_EnvTract_DB[#Headers],0),FALSE),7)</f>
        <v>R023690</v>
      </c>
      <c r="C99" s="68" t="str">
        <f>VLOOKUP($A99,SP_EnvTract_DB[],MATCH(C$2,SP_EnvTract_DB[#Headers],0),FALSE)</f>
        <v>ENV</v>
      </c>
      <c r="D99" s="156" t="str">
        <f>VLOOKUP($A99,SP_EnvTract_DB[],MATCH(D$2,SP_EnvTract_DB[#Headers],0),FALSE)</f>
        <v>ALLEN TROY;#199</v>
      </c>
      <c r="E99" s="156" t="str">
        <f>VLOOKUP($A99,SP_EnvTract_DB[],MATCH(E$2,SP_EnvTract_DB[#Headers],0),FALSE)</f>
        <v>1517 COLUMBINE AVE;#199</v>
      </c>
      <c r="F99" s="69">
        <f>VLOOKUP($A99,SP_EnvTract_DB[],MATCH(F$2,SP_EnvTract_DB[#Headers],0),FALSE)</f>
        <v>0</v>
      </c>
      <c r="G99" s="73">
        <f>VLOOKUP($A99,SP_EnvTract_DB[],MATCH(G$2,SP_EnvTract_DB[#Headers],0),FALSE)</f>
        <v>0</v>
      </c>
      <c r="H99" s="73" t="str">
        <f>VLOOKUP($A99,SP_EnvTract_DB[],MATCH(H$2,SP_EnvTract_DB[#Headers],0),FALSE)</f>
        <v>Melissa DeLeon</v>
      </c>
      <c r="I99" s="69">
        <f>VLOOKUP($A99,SP_EnvTract_DB[],MATCH(I$2,SP_EnvTract_DB[#Headers],0),FALSE)</f>
        <v>0</v>
      </c>
      <c r="J99" s="69">
        <f>VLOOKUP($A99,SP_EnvTract_DB[],MATCH(J$2,SP_EnvTract_DB[#Headers],0),FALSE)</f>
        <v>0</v>
      </c>
      <c r="K99" s="69">
        <f>VLOOKUP($A99,SP_EnvTract_DB[],MATCH(K$2,SP_EnvTract_DB[#Headers],0),FALSE)</f>
        <v>0</v>
      </c>
      <c r="L99" s="69">
        <f>VLOOKUP($A99,SP_EnvTract_DB[],MATCH(L$2,SP_EnvTract_DB[#Headers],0),FALSE)</f>
        <v>0</v>
      </c>
      <c r="M99" s="69">
        <f>VLOOKUP($A99,SP_EnvTract_DB[],MATCH(M$2,SP_EnvTract_DB[#Headers],0),FALSE)</f>
        <v>0</v>
      </c>
      <c r="N99" s="69">
        <f>VLOOKUP($A99,SP_EnvTract_DB[],MATCH(N$2,SP_EnvTract_DB[#Headers],0),FALSE)</f>
        <v>0</v>
      </c>
      <c r="O99" s="74">
        <f>VLOOKUP($A99,SP_EnvTract_DB[],MATCH(O$2,SP_EnvTract_DB[#Headers],0),FALSE)</f>
        <v>0</v>
      </c>
      <c r="P99" s="73">
        <f>VLOOKUP($A99,SP_EnvTract_DB[],MATCH(P$2,SP_EnvTract_DB[#Headers],0),FALSE)</f>
        <v>0</v>
      </c>
      <c r="Q99" s="73">
        <f>VLOOKUP($A99,SP_EnvTract_DB[],MATCH(Q$2,SP_EnvTract_DB[#Headers],0),FALSE)</f>
        <v>0</v>
      </c>
      <c r="R99" s="74">
        <f>VLOOKUP($A99,SP_EnvTract_DB[],MATCH(R$2,SP_EnvTract_DB[#Headers],0),FALSE)</f>
        <v>0</v>
      </c>
      <c r="S99" s="68">
        <f>VLOOKUP($A99,SP_EnvTract_DB[],MATCH(S$2,SP_EnvTract_DB[#Headers],0),FALSE)</f>
        <v>0</v>
      </c>
      <c r="T99" s="68">
        <f>VLOOKUP($A99,SP_EnvTract_DB[],MATCH(T$2,SP_EnvTract_DB[#Headers],0),FALSE)</f>
        <v>0</v>
      </c>
      <c r="U99" s="74">
        <f>VLOOKUP($A99,SP_EnvTract_DB[],MATCH(U$2,SP_EnvTract_DB[#Headers],0),FALSE)</f>
        <v>0</v>
      </c>
      <c r="V99" s="68">
        <f>VLOOKUP($A99,SP_EnvTract_DB[],MATCH(V$2,SP_EnvTract_DB[#Headers],0),FALSE)</f>
        <v>0</v>
      </c>
      <c r="W99" s="68">
        <f>VLOOKUP($A99,SP_EnvTract_DB[],MATCH(W$2,SP_EnvTract_DB[#Headers],0),FALSE)</f>
        <v>0</v>
      </c>
      <c r="X99" s="68">
        <f>VLOOKUP($A99,SP_EnvTract_DB[],MATCH(X$2,SP_EnvTract_DB[#Headers],0),FALSE)</f>
        <v>0</v>
      </c>
      <c r="Y99" s="80">
        <f>VLOOKUP($A99,SP_EnvTract_DB[],MATCH(Y$2,SP_EnvTract_DB[#Headers],0),FALSE)</f>
        <v>0</v>
      </c>
      <c r="Z99" s="81" t="str">
        <f>IFERROR(IF(VLOOKUP(CONCATENATE($A99,"_",Z$1),SP_,MATCH(Z$2,SP_ENV_Lib[#Headers],0),FALSE)=0,"",VLOOKUP(CONCATENATE($A99,"_",Z$1),SP_ENV_Lib[],MATCH(Z$2,SP_ACQ_Lib[#Headers],0),FALSE)),"")</f>
        <v/>
      </c>
      <c r="AA99" s="74"/>
      <c r="AB99" s="74">
        <f>IFERROR(IF(VLOOKUP(CONCATENATE($A99,"_",AB$1),SP_ENV_Lib[],MATCH(AB$2,SP_ENV_Lib[#Headers],0),FALSE)=0,"",VLOOKUP(CONCATENATE($A99,"_",AB$1),SP_ENV_Lib[],MATCH(AB$2,SP_ENV_Lib[#Headers],0),FALSE)),"")</f>
        <v>43871.728321759256</v>
      </c>
      <c r="AC99" s="74">
        <f>IFERROR(IF(VLOOKUP(CONCATENATE($A99,"_",AC$1),SP_ENV_Lib[],MATCH(AC$2,SP_ENV_Lib[#Headers],0),FALSE)=0,"",VLOOKUP(CONCATENATE($A99,"_",AC$1),SP_ENV_Lib[],MATCH(AC$2,SP_ENV_Lib[#Headers],0),FALSE)),"")</f>
        <v>43846</v>
      </c>
      <c r="AD99" s="74">
        <f>IFERROR(IF(VLOOKUP(CONCATENATE($A99,"_",AD$1),SP_ENV_Lib[],MATCH(AD$2,SP_ENV_Lib[#Headers],0),FALSE)=0,"",VLOOKUP(CONCATENATE($A99,"_",AD$1),SP_ENV_Lib[],MATCH(AD$2,SP_ENV_Lib[#Headers],0),FALSE)),"")</f>
        <v>43871</v>
      </c>
      <c r="AE99" s="74" t="str">
        <f>IFERROR(IF(VLOOKUP(CONCATENATE($A99,"_",AE$1),SP_ENV_Lib[],MATCH(AE$2,SP_ENV_Lib[#Headers],0),FALSE)=0,"",VLOOKUP(CONCATENATE($A99,"_",AE$1),SP_ENV_Lib[],MATCH(AE$2,SP_ENV_Lib[#Headers],0),FALSE)),"")</f>
        <v/>
      </c>
      <c r="AF99" s="172" t="str">
        <f>IFERROR(VLOOKUP(CONCATENATE($A99,"_",AF$1),SP_ENV_Lib[],MATCH(AF$2,SP_ENV_Lib[#Headers],0),FALSE),0)</f>
        <v>Accepted</v>
      </c>
      <c r="AG99" s="74"/>
      <c r="AH99" s="74"/>
      <c r="AI99" s="74"/>
      <c r="AJ99" s="84"/>
    </row>
    <row r="100" spans="1:36" ht="15" x14ac:dyDescent="0.2">
      <c r="A100" s="67" t="s">
        <v>2709</v>
      </c>
      <c r="B100" s="154" t="str">
        <f>LEFT(VLOOKUP($A100,SP_EnvTract_DB[],MATCH(B$2,SP_EnvTract_DB[#Headers],0),FALSE),7)</f>
        <v>R023691</v>
      </c>
      <c r="C100" s="68" t="str">
        <f>VLOOKUP($A100,SP_EnvTract_DB[],MATCH(C$2,SP_EnvTract_DB[#Headers],0),FALSE)</f>
        <v>ENV</v>
      </c>
      <c r="D100" s="156" t="str">
        <f>VLOOKUP($A100,SP_EnvTract_DB[],MATCH(D$2,SP_EnvTract_DB[#Headers],0),FALSE)</f>
        <v>ALLEN TROY;#200</v>
      </c>
      <c r="E100" s="156" t="str">
        <f>VLOOKUP($A100,SP_EnvTract_DB[],MATCH(E$2,SP_EnvTract_DB[#Headers],0),FALSE)</f>
        <v>1511 COLUMBINE AVE;#200</v>
      </c>
      <c r="F100" s="69">
        <f>VLOOKUP($A100,SP_EnvTract_DB[],MATCH(F$2,SP_EnvTract_DB[#Headers],0),FALSE)</f>
        <v>0</v>
      </c>
      <c r="G100" s="73">
        <f>VLOOKUP($A100,SP_EnvTract_DB[],MATCH(G$2,SP_EnvTract_DB[#Headers],0),FALSE)</f>
        <v>0</v>
      </c>
      <c r="H100" s="73" t="str">
        <f>VLOOKUP($A100,SP_EnvTract_DB[],MATCH(H$2,SP_EnvTract_DB[#Headers],0),FALSE)</f>
        <v>Melissa DeLeon</v>
      </c>
      <c r="I100" s="69">
        <f>VLOOKUP($A100,SP_EnvTract_DB[],MATCH(I$2,SP_EnvTract_DB[#Headers],0),FALSE)</f>
        <v>0</v>
      </c>
      <c r="J100" s="69">
        <f>VLOOKUP($A100,SP_EnvTract_DB[],MATCH(J$2,SP_EnvTract_DB[#Headers],0),FALSE)</f>
        <v>0</v>
      </c>
      <c r="K100" s="69">
        <f>VLOOKUP($A100,SP_EnvTract_DB[],MATCH(K$2,SP_EnvTract_DB[#Headers],0),FALSE)</f>
        <v>0</v>
      </c>
      <c r="L100" s="69">
        <f>VLOOKUP($A100,SP_EnvTract_DB[],MATCH(L$2,SP_EnvTract_DB[#Headers],0),FALSE)</f>
        <v>0</v>
      </c>
      <c r="M100" s="69">
        <f>VLOOKUP($A100,SP_EnvTract_DB[],MATCH(M$2,SP_EnvTract_DB[#Headers],0),FALSE)</f>
        <v>0</v>
      </c>
      <c r="N100" s="69">
        <f>VLOOKUP($A100,SP_EnvTract_DB[],MATCH(N$2,SP_EnvTract_DB[#Headers],0),FALSE)</f>
        <v>0</v>
      </c>
      <c r="O100" s="74">
        <f>VLOOKUP($A100,SP_EnvTract_DB[],MATCH(O$2,SP_EnvTract_DB[#Headers],0),FALSE)</f>
        <v>0</v>
      </c>
      <c r="P100" s="73">
        <f>VLOOKUP($A100,SP_EnvTract_DB[],MATCH(P$2,SP_EnvTract_DB[#Headers],0),FALSE)</f>
        <v>0</v>
      </c>
      <c r="Q100" s="73">
        <f>VLOOKUP($A100,SP_EnvTract_DB[],MATCH(Q$2,SP_EnvTract_DB[#Headers],0),FALSE)</f>
        <v>0</v>
      </c>
      <c r="R100" s="74">
        <f>VLOOKUP($A100,SP_EnvTract_DB[],MATCH(R$2,SP_EnvTract_DB[#Headers],0),FALSE)</f>
        <v>0</v>
      </c>
      <c r="S100" s="68">
        <f>VLOOKUP($A100,SP_EnvTract_DB[],MATCH(S$2,SP_EnvTract_DB[#Headers],0),FALSE)</f>
        <v>0</v>
      </c>
      <c r="T100" s="68">
        <f>VLOOKUP($A100,SP_EnvTract_DB[],MATCH(T$2,SP_EnvTract_DB[#Headers],0),FALSE)</f>
        <v>0</v>
      </c>
      <c r="U100" s="74">
        <f>VLOOKUP($A100,SP_EnvTract_DB[],MATCH(U$2,SP_EnvTract_DB[#Headers],0),FALSE)</f>
        <v>0</v>
      </c>
      <c r="V100" s="68">
        <f>VLOOKUP($A100,SP_EnvTract_DB[],MATCH(V$2,SP_EnvTract_DB[#Headers],0),FALSE)</f>
        <v>0</v>
      </c>
      <c r="W100" s="68">
        <f>VLOOKUP($A100,SP_EnvTract_DB[],MATCH(W$2,SP_EnvTract_DB[#Headers],0),FALSE)</f>
        <v>0</v>
      </c>
      <c r="X100" s="68">
        <f>VLOOKUP($A100,SP_EnvTract_DB[],MATCH(X$2,SP_EnvTract_DB[#Headers],0),FALSE)</f>
        <v>0</v>
      </c>
      <c r="Y100" s="80">
        <f>VLOOKUP($A100,SP_EnvTract_DB[],MATCH(Y$2,SP_EnvTract_DB[#Headers],0),FALSE)</f>
        <v>0</v>
      </c>
      <c r="Z100" s="81" t="str">
        <f>IFERROR(IF(VLOOKUP(CONCATENATE($A100,"_",Z$1),SP_,MATCH(Z$2,SP_ENV_Lib[#Headers],0),FALSE)=0,"",VLOOKUP(CONCATENATE($A100,"_",Z$1),SP_ENV_Lib[],MATCH(Z$2,SP_ACQ_Lib[#Headers],0),FALSE)),"")</f>
        <v/>
      </c>
      <c r="AA100" s="74"/>
      <c r="AB100" s="74">
        <f>IFERROR(IF(VLOOKUP(CONCATENATE($A100,"_",AB$1),SP_ENV_Lib[],MATCH(AB$2,SP_ENV_Lib[#Headers],0),FALSE)=0,"",VLOOKUP(CONCATENATE($A100,"_",AB$1),SP_ENV_Lib[],MATCH(AB$2,SP_ENV_Lib[#Headers],0),FALSE)),"")</f>
        <v>43871.728842592594</v>
      </c>
      <c r="AC100" s="74">
        <f>IFERROR(IF(VLOOKUP(CONCATENATE($A100,"_",AC$1),SP_ENV_Lib[],MATCH(AC$2,SP_ENV_Lib[#Headers],0),FALSE)=0,"",VLOOKUP(CONCATENATE($A100,"_",AC$1),SP_ENV_Lib[],MATCH(AC$2,SP_ENV_Lib[#Headers],0),FALSE)),"")</f>
        <v>43846</v>
      </c>
      <c r="AD100" s="74">
        <f>IFERROR(IF(VLOOKUP(CONCATENATE($A100,"_",AD$1),SP_ENV_Lib[],MATCH(AD$2,SP_ENV_Lib[#Headers],0),FALSE)=0,"",VLOOKUP(CONCATENATE($A100,"_",AD$1),SP_ENV_Lib[],MATCH(AD$2,SP_ENV_Lib[#Headers],0),FALSE)),"")</f>
        <v>43871</v>
      </c>
      <c r="AE100" s="74" t="str">
        <f>IFERROR(IF(VLOOKUP(CONCATENATE($A100,"_",AE$1),SP_ENV_Lib[],MATCH(AE$2,SP_ENV_Lib[#Headers],0),FALSE)=0,"",VLOOKUP(CONCATENATE($A100,"_",AE$1),SP_ENV_Lib[],MATCH(AE$2,SP_ENV_Lib[#Headers],0),FALSE)),"")</f>
        <v/>
      </c>
      <c r="AF100" s="172" t="str">
        <f>IFERROR(VLOOKUP(CONCATENATE($A100,"_",AF$1),SP_ENV_Lib[],MATCH(AF$2,SP_ENV_Lib[#Headers],0),FALSE),0)</f>
        <v>Accepted</v>
      </c>
      <c r="AG100" s="74"/>
      <c r="AH100" s="74"/>
      <c r="AI100" s="74"/>
      <c r="AJ100" s="84"/>
    </row>
    <row r="101" spans="1:36" ht="15" x14ac:dyDescent="0.2">
      <c r="A101" s="67" t="s">
        <v>2710</v>
      </c>
      <c r="B101" s="154" t="str">
        <f>LEFT(VLOOKUP($A101,SP_EnvTract_DB[],MATCH(B$2,SP_EnvTract_DB[#Headers],0),FALSE),7)</f>
        <v>R023692</v>
      </c>
      <c r="C101" s="68" t="str">
        <f>VLOOKUP($A101,SP_EnvTract_DB[],MATCH(C$2,SP_EnvTract_DB[#Headers],0),FALSE)</f>
        <v>ENV</v>
      </c>
      <c r="D101" s="156" t="str">
        <f>VLOOKUP($A101,SP_EnvTract_DB[],MATCH(D$2,SP_EnvTract_DB[#Headers],0),FALSE)</f>
        <v>DAVIS REGINALD D;#201</v>
      </c>
      <c r="E101" s="156" t="str">
        <f>VLOOKUP($A101,SP_EnvTract_DB[],MATCH(E$2,SP_EnvTract_DB[#Headers],0),FALSE)</f>
        <v>1509 COLUMBINE AVE;#201</v>
      </c>
      <c r="F101" s="69">
        <f>VLOOKUP($A101,SP_EnvTract_DB[],MATCH(F$2,SP_EnvTract_DB[#Headers],0),FALSE)</f>
        <v>0</v>
      </c>
      <c r="G101" s="73">
        <f>VLOOKUP($A101,SP_EnvTract_DB[],MATCH(G$2,SP_EnvTract_DB[#Headers],0),FALSE)</f>
        <v>0</v>
      </c>
      <c r="H101" s="73" t="str">
        <f>VLOOKUP($A101,SP_EnvTract_DB[],MATCH(H$2,SP_EnvTract_DB[#Headers],0),FALSE)</f>
        <v>Stateside</v>
      </c>
      <c r="I101" s="69">
        <f>VLOOKUP($A101,SP_EnvTract_DB[],MATCH(I$2,SP_EnvTract_DB[#Headers],0),FALSE)</f>
        <v>0</v>
      </c>
      <c r="J101" s="69">
        <f>VLOOKUP($A101,SP_EnvTract_DB[],MATCH(J$2,SP_EnvTract_DB[#Headers],0),FALSE)</f>
        <v>0</v>
      </c>
      <c r="K101" s="69">
        <f>VLOOKUP($A101,SP_EnvTract_DB[],MATCH(K$2,SP_EnvTract_DB[#Headers],0),FALSE)</f>
        <v>0</v>
      </c>
      <c r="L101" s="69">
        <f>VLOOKUP($A101,SP_EnvTract_DB[],MATCH(L$2,SP_EnvTract_DB[#Headers],0),FALSE)</f>
        <v>0</v>
      </c>
      <c r="M101" s="69">
        <f>VLOOKUP($A101,SP_EnvTract_DB[],MATCH(M$2,SP_EnvTract_DB[#Headers],0),FALSE)</f>
        <v>0</v>
      </c>
      <c r="N101" s="69">
        <f>VLOOKUP($A101,SP_EnvTract_DB[],MATCH(N$2,SP_EnvTract_DB[#Headers],0),FALSE)</f>
        <v>0</v>
      </c>
      <c r="O101" s="74">
        <f>VLOOKUP($A101,SP_EnvTract_DB[],MATCH(O$2,SP_EnvTract_DB[#Headers],0),FALSE)</f>
        <v>0</v>
      </c>
      <c r="P101" s="73">
        <f>VLOOKUP($A101,SP_EnvTract_DB[],MATCH(P$2,SP_EnvTract_DB[#Headers],0),FALSE)</f>
        <v>0</v>
      </c>
      <c r="Q101" s="73">
        <f>VLOOKUP($A101,SP_EnvTract_DB[],MATCH(Q$2,SP_EnvTract_DB[#Headers],0),FALSE)</f>
        <v>0</v>
      </c>
      <c r="R101" s="74">
        <f>VLOOKUP($A101,SP_EnvTract_DB[],MATCH(R$2,SP_EnvTract_DB[#Headers],0),FALSE)</f>
        <v>0</v>
      </c>
      <c r="S101" s="68">
        <f>VLOOKUP($A101,SP_EnvTract_DB[],MATCH(S$2,SP_EnvTract_DB[#Headers],0),FALSE)</f>
        <v>0</v>
      </c>
      <c r="T101" s="68">
        <f>VLOOKUP($A101,SP_EnvTract_DB[],MATCH(T$2,SP_EnvTract_DB[#Headers],0),FALSE)</f>
        <v>0</v>
      </c>
      <c r="U101" s="74">
        <f>VLOOKUP($A101,SP_EnvTract_DB[],MATCH(U$2,SP_EnvTract_DB[#Headers],0),FALSE)</f>
        <v>0</v>
      </c>
      <c r="V101" s="68">
        <f>VLOOKUP($A101,SP_EnvTract_DB[],MATCH(V$2,SP_EnvTract_DB[#Headers],0),FALSE)</f>
        <v>0</v>
      </c>
      <c r="W101" s="68">
        <f>VLOOKUP($A101,SP_EnvTract_DB[],MATCH(W$2,SP_EnvTract_DB[#Headers],0),FALSE)</f>
        <v>0</v>
      </c>
      <c r="X101" s="68">
        <f>VLOOKUP($A101,SP_EnvTract_DB[],MATCH(X$2,SP_EnvTract_DB[#Headers],0),FALSE)</f>
        <v>0</v>
      </c>
      <c r="Y101" s="80">
        <f>VLOOKUP($A101,SP_EnvTract_DB[],MATCH(Y$2,SP_EnvTract_DB[#Headers],0),FALSE)</f>
        <v>0</v>
      </c>
      <c r="Z101" s="81" t="str">
        <f>IFERROR(IF(VLOOKUP(CONCATENATE($A101,"_",Z$1),SP_,MATCH(Z$2,SP_ENV_Lib[#Headers],0),FALSE)=0,"",VLOOKUP(CONCATENATE($A101,"_",Z$1),SP_ENV_Lib[],MATCH(Z$2,SP_ACQ_Lib[#Headers],0),FALSE)),"")</f>
        <v/>
      </c>
      <c r="AA101" s="74"/>
      <c r="AB101" s="74" t="str">
        <f>IFERROR(IF(VLOOKUP(CONCATENATE($A101,"_",AB$1),SP_ENV_Lib[],MATCH(AB$2,SP_ENV_Lib[#Headers],0),FALSE)=0,"",VLOOKUP(CONCATENATE($A101,"_",AB$1),SP_ENV_Lib[],MATCH(AB$2,SP_ENV_Lib[#Headers],0),FALSE)),"")</f>
        <v/>
      </c>
      <c r="AC101" s="74">
        <f>IFERROR(IF(VLOOKUP(CONCATENATE($A101,"_",AC$1),SP_ENV_Lib[],MATCH(AC$2,SP_ENV_Lib[#Headers],0),FALSE)=0,"",VLOOKUP(CONCATENATE($A101,"_",AC$1),SP_ENV_Lib[],MATCH(AC$2,SP_ENV_Lib[#Headers],0),FALSE)),"")</f>
        <v>43846</v>
      </c>
      <c r="AD101" s="74">
        <f>IFERROR(IF(VLOOKUP(CONCATENATE($A101,"_",AD$1),SP_ENV_Lib[],MATCH(AD$2,SP_ENV_Lib[#Headers],0),FALSE)=0,"",VLOOKUP(CONCATENATE($A101,"_",AD$1),SP_ENV_Lib[],MATCH(AD$2,SP_ENV_Lib[#Headers],0),FALSE)),"")</f>
        <v>43871</v>
      </c>
      <c r="AE101" s="74" t="str">
        <f>IFERROR(IF(VLOOKUP(CONCATENATE($A101,"_",AE$1),SP_ENV_Lib[],MATCH(AE$2,SP_ENV_Lib[#Headers],0),FALSE)=0,"",VLOOKUP(CONCATENATE($A101,"_",AE$1),SP_ENV_Lib[],MATCH(AE$2,SP_ENV_Lib[#Headers],0),FALSE)),"")</f>
        <v/>
      </c>
      <c r="AF101" s="172" t="str">
        <f>IFERROR(VLOOKUP(CONCATENATE($A101,"_",AF$1),SP_ENV_Lib[],MATCH(AF$2,SP_ENV_Lib[#Headers],0),FALSE),0)</f>
        <v>Accepted</v>
      </c>
      <c r="AG101" s="74"/>
      <c r="AH101" s="74"/>
      <c r="AI101" s="74"/>
      <c r="AJ101" s="84"/>
    </row>
    <row r="102" spans="1:36" ht="15" x14ac:dyDescent="0.2">
      <c r="A102" s="67" t="s">
        <v>2711</v>
      </c>
      <c r="B102" s="154" t="str">
        <f>LEFT(VLOOKUP($A102,SP_EnvTract_DB[],MATCH(B$2,SP_EnvTract_DB[#Headers],0),FALSE),7)</f>
        <v>R023693</v>
      </c>
      <c r="C102" s="68" t="str">
        <f>VLOOKUP($A102,SP_EnvTract_DB[],MATCH(C$2,SP_EnvTract_DB[#Headers],0),FALSE)</f>
        <v>ENV</v>
      </c>
      <c r="D102" s="156" t="str">
        <f>VLOOKUP($A102,SP_EnvTract_DB[],MATCH(D$2,SP_EnvTract_DB[#Headers],0),FALSE)</f>
        <v>MASON JOHN M;#202</v>
      </c>
      <c r="E102" s="156" t="str">
        <f>VLOOKUP($A102,SP_EnvTract_DB[],MATCH(E$2,SP_EnvTract_DB[#Headers],0),FALSE)</f>
        <v>0  COLUMBINE AVE;#202</v>
      </c>
      <c r="F102" s="69">
        <f>VLOOKUP($A102,SP_EnvTract_DB[],MATCH(F$2,SP_EnvTract_DB[#Headers],0),FALSE)</f>
        <v>0</v>
      </c>
      <c r="G102" s="73">
        <f>VLOOKUP($A102,SP_EnvTract_DB[],MATCH(G$2,SP_EnvTract_DB[#Headers],0),FALSE)</f>
        <v>0</v>
      </c>
      <c r="H102" s="73" t="str">
        <f>VLOOKUP($A102,SP_EnvTract_DB[],MATCH(H$2,SP_EnvTract_DB[#Headers],0),FALSE)</f>
        <v>Melissa DeLeon</v>
      </c>
      <c r="I102" s="69">
        <f>VLOOKUP($A102,SP_EnvTract_DB[],MATCH(I$2,SP_EnvTract_DB[#Headers],0),FALSE)</f>
        <v>0</v>
      </c>
      <c r="J102" s="69">
        <f>VLOOKUP($A102,SP_EnvTract_DB[],MATCH(J$2,SP_EnvTract_DB[#Headers],0),FALSE)</f>
        <v>0</v>
      </c>
      <c r="K102" s="69">
        <f>VLOOKUP($A102,SP_EnvTract_DB[],MATCH(K$2,SP_EnvTract_DB[#Headers],0),FALSE)</f>
        <v>0</v>
      </c>
      <c r="L102" s="69">
        <f>VLOOKUP($A102,SP_EnvTract_DB[],MATCH(L$2,SP_EnvTract_DB[#Headers],0),FALSE)</f>
        <v>0</v>
      </c>
      <c r="M102" s="69">
        <f>VLOOKUP($A102,SP_EnvTract_DB[],MATCH(M$2,SP_EnvTract_DB[#Headers],0),FALSE)</f>
        <v>0</v>
      </c>
      <c r="N102" s="69">
        <f>VLOOKUP($A102,SP_EnvTract_DB[],MATCH(N$2,SP_EnvTract_DB[#Headers],0),FALSE)</f>
        <v>0</v>
      </c>
      <c r="O102" s="74">
        <f>VLOOKUP($A102,SP_EnvTract_DB[],MATCH(O$2,SP_EnvTract_DB[#Headers],0),FALSE)</f>
        <v>0</v>
      </c>
      <c r="P102" s="73">
        <f>VLOOKUP($A102,SP_EnvTract_DB[],MATCH(P$2,SP_EnvTract_DB[#Headers],0),FALSE)</f>
        <v>0</v>
      </c>
      <c r="Q102" s="73">
        <f>VLOOKUP($A102,SP_EnvTract_DB[],MATCH(Q$2,SP_EnvTract_DB[#Headers],0),FALSE)</f>
        <v>0</v>
      </c>
      <c r="R102" s="74">
        <f>VLOOKUP($A102,SP_EnvTract_DB[],MATCH(R$2,SP_EnvTract_DB[#Headers],0),FALSE)</f>
        <v>0</v>
      </c>
      <c r="S102" s="68">
        <f>VLOOKUP($A102,SP_EnvTract_DB[],MATCH(S$2,SP_EnvTract_DB[#Headers],0),FALSE)</f>
        <v>0</v>
      </c>
      <c r="T102" s="68">
        <f>VLOOKUP($A102,SP_EnvTract_DB[],MATCH(T$2,SP_EnvTract_DB[#Headers],0),FALSE)</f>
        <v>0</v>
      </c>
      <c r="U102" s="74">
        <f>VLOOKUP($A102,SP_EnvTract_DB[],MATCH(U$2,SP_EnvTract_DB[#Headers],0),FALSE)</f>
        <v>0</v>
      </c>
      <c r="V102" s="68">
        <f>VLOOKUP($A102,SP_EnvTract_DB[],MATCH(V$2,SP_EnvTract_DB[#Headers],0),FALSE)</f>
        <v>0</v>
      </c>
      <c r="W102" s="68">
        <f>VLOOKUP($A102,SP_EnvTract_DB[],MATCH(W$2,SP_EnvTract_DB[#Headers],0),FALSE)</f>
        <v>0</v>
      </c>
      <c r="X102" s="68">
        <f>VLOOKUP($A102,SP_EnvTract_DB[],MATCH(X$2,SP_EnvTract_DB[#Headers],0),FALSE)</f>
        <v>0</v>
      </c>
      <c r="Y102" s="80">
        <f>VLOOKUP($A102,SP_EnvTract_DB[],MATCH(Y$2,SP_EnvTract_DB[#Headers],0),FALSE)</f>
        <v>0</v>
      </c>
      <c r="Z102" s="81" t="str">
        <f>IFERROR(IF(VLOOKUP(CONCATENATE($A102,"_",Z$1),SP_,MATCH(Z$2,SP_ENV_Lib[#Headers],0),FALSE)=0,"",VLOOKUP(CONCATENATE($A102,"_",Z$1),SP_ENV_Lib[],MATCH(Z$2,SP_ACQ_Lib[#Headers],0),FALSE)),"")</f>
        <v/>
      </c>
      <c r="AA102" s="74"/>
      <c r="AB102" s="74">
        <f>IFERROR(IF(VLOOKUP(CONCATENATE($A102,"_",AB$1),SP_ENV_Lib[],MATCH(AB$2,SP_ENV_Lib[#Headers],0),FALSE)=0,"",VLOOKUP(CONCATENATE($A102,"_",AB$1),SP_ENV_Lib[],MATCH(AB$2,SP_ENV_Lib[#Headers],0),FALSE)),"")</f>
        <v>43875.661041666666</v>
      </c>
      <c r="AC102" s="74" t="str">
        <f>IFERROR(IF(VLOOKUP(CONCATENATE($A102,"_",AC$1),SP_ENV_Lib[],MATCH(AC$2,SP_ENV_Lib[#Headers],0),FALSE)=0,"",VLOOKUP(CONCATENATE($A102,"_",AC$1),SP_ENV_Lib[],MATCH(AC$2,SP_ENV_Lib[#Headers],0),FALSE)),"")</f>
        <v/>
      </c>
      <c r="AD102" s="74" t="str">
        <f>IFERROR(IF(VLOOKUP(CONCATENATE($A102,"_",AD$1),SP_ENV_Lib[],MATCH(AD$2,SP_ENV_Lib[#Headers],0),FALSE)=0,"",VLOOKUP(CONCATENATE($A102,"_",AD$1),SP_ENV_Lib[],MATCH(AD$2,SP_ENV_Lib[#Headers],0),FALSE)),"")</f>
        <v/>
      </c>
      <c r="AE102" s="74" t="str">
        <f>IFERROR(IF(VLOOKUP(CONCATENATE($A102,"_",AE$1),SP_ENV_Lib[],MATCH(AE$2,SP_ENV_Lib[#Headers],0),FALSE)=0,"",VLOOKUP(CONCATENATE($A102,"_",AE$1),SP_ENV_Lib[],MATCH(AE$2,SP_ENV_Lib[#Headers],0),FALSE)),"")</f>
        <v/>
      </c>
      <c r="AF102" s="172" t="str">
        <f>IFERROR(VLOOKUP(CONCATENATE($A102,"_",AF$1),SP_ENV_Lib[],MATCH(AF$2,SP_ENV_Lib[#Headers],0),FALSE),0)</f>
        <v>Accepted</v>
      </c>
      <c r="AG102" s="74"/>
      <c r="AH102" s="74"/>
      <c r="AI102" s="74"/>
      <c r="AJ102" s="84"/>
    </row>
    <row r="103" spans="1:36" ht="15" x14ac:dyDescent="0.2">
      <c r="A103" s="67" t="s">
        <v>2712</v>
      </c>
      <c r="B103" s="154" t="str">
        <f>LEFT(VLOOKUP($A103,SP_EnvTract_DB[],MATCH(B$2,SP_EnvTract_DB[#Headers],0),FALSE),7)</f>
        <v>R025782</v>
      </c>
      <c r="C103" s="68" t="str">
        <f>VLOOKUP($A103,SP_EnvTract_DB[],MATCH(C$2,SP_EnvTract_DB[#Headers],0),FALSE)</f>
        <v>ENV</v>
      </c>
      <c r="D103" s="156" t="str">
        <f>VLOOKUP($A103,SP_EnvTract_DB[],MATCH(D$2,SP_EnvTract_DB[#Headers],0),FALSE)</f>
        <v>DUNCAN ALFRED &amp; WF;#203</v>
      </c>
      <c r="E103" s="156" t="str">
        <f>VLOOKUP($A103,SP_EnvTract_DB[],MATCH(E$2,SP_EnvTract_DB[#Headers],0),FALSE)</f>
        <v>0 W MILAM;#203</v>
      </c>
      <c r="F103" s="69">
        <f>VLOOKUP($A103,SP_EnvTract_DB[],MATCH(F$2,SP_EnvTract_DB[#Headers],0),FALSE)</f>
        <v>0</v>
      </c>
      <c r="G103" s="73">
        <f>VLOOKUP($A103,SP_EnvTract_DB[],MATCH(G$2,SP_EnvTract_DB[#Headers],0),FALSE)</f>
        <v>0</v>
      </c>
      <c r="H103" s="73" t="str">
        <f>VLOOKUP($A103,SP_EnvTract_DB[],MATCH(H$2,SP_EnvTract_DB[#Headers],0),FALSE)</f>
        <v>Melissa DeLeon</v>
      </c>
      <c r="I103" s="69">
        <f>VLOOKUP($A103,SP_EnvTract_DB[],MATCH(I$2,SP_EnvTract_DB[#Headers],0),FALSE)</f>
        <v>0</v>
      </c>
      <c r="J103" s="69">
        <f>VLOOKUP($A103,SP_EnvTract_DB[],MATCH(J$2,SP_EnvTract_DB[#Headers],0),FALSE)</f>
        <v>0</v>
      </c>
      <c r="K103" s="69">
        <f>VLOOKUP($A103,SP_EnvTract_DB[],MATCH(K$2,SP_EnvTract_DB[#Headers],0),FALSE)</f>
        <v>0</v>
      </c>
      <c r="L103" s="69">
        <f>VLOOKUP($A103,SP_EnvTract_DB[],MATCH(L$2,SP_EnvTract_DB[#Headers],0),FALSE)</f>
        <v>0</v>
      </c>
      <c r="M103" s="69">
        <f>VLOOKUP($A103,SP_EnvTract_DB[],MATCH(M$2,SP_EnvTract_DB[#Headers],0),FALSE)</f>
        <v>0</v>
      </c>
      <c r="N103" s="69">
        <f>VLOOKUP($A103,SP_EnvTract_DB[],MATCH(N$2,SP_EnvTract_DB[#Headers],0),FALSE)</f>
        <v>0</v>
      </c>
      <c r="O103" s="74">
        <f>VLOOKUP($A103,SP_EnvTract_DB[],MATCH(O$2,SP_EnvTract_DB[#Headers],0),FALSE)</f>
        <v>0</v>
      </c>
      <c r="P103" s="73">
        <f>VLOOKUP($A103,SP_EnvTract_DB[],MATCH(P$2,SP_EnvTract_DB[#Headers],0),FALSE)</f>
        <v>0</v>
      </c>
      <c r="Q103" s="73">
        <f>VLOOKUP($A103,SP_EnvTract_DB[],MATCH(Q$2,SP_EnvTract_DB[#Headers],0),FALSE)</f>
        <v>0</v>
      </c>
      <c r="R103" s="74">
        <f>VLOOKUP($A103,SP_EnvTract_DB[],MATCH(R$2,SP_EnvTract_DB[#Headers],0),FALSE)</f>
        <v>0</v>
      </c>
      <c r="S103" s="68">
        <f>VLOOKUP($A103,SP_EnvTract_DB[],MATCH(S$2,SP_EnvTract_DB[#Headers],0),FALSE)</f>
        <v>0</v>
      </c>
      <c r="T103" s="68">
        <f>VLOOKUP($A103,SP_EnvTract_DB[],MATCH(T$2,SP_EnvTract_DB[#Headers],0),FALSE)</f>
        <v>0</v>
      </c>
      <c r="U103" s="74">
        <f>VLOOKUP($A103,SP_EnvTract_DB[],MATCH(U$2,SP_EnvTract_DB[#Headers],0),FALSE)</f>
        <v>0</v>
      </c>
      <c r="V103" s="68">
        <f>VLOOKUP($A103,SP_EnvTract_DB[],MATCH(V$2,SP_EnvTract_DB[#Headers],0),FALSE)</f>
        <v>0</v>
      </c>
      <c r="W103" s="68">
        <f>VLOOKUP($A103,SP_EnvTract_DB[],MATCH(W$2,SP_EnvTract_DB[#Headers],0),FALSE)</f>
        <v>0</v>
      </c>
      <c r="X103" s="68">
        <f>VLOOKUP($A103,SP_EnvTract_DB[],MATCH(X$2,SP_EnvTract_DB[#Headers],0),FALSE)</f>
        <v>0</v>
      </c>
      <c r="Y103" s="80">
        <f>VLOOKUP($A103,SP_EnvTract_DB[],MATCH(Y$2,SP_EnvTract_DB[#Headers],0),FALSE)</f>
        <v>0</v>
      </c>
      <c r="Z103" s="81" t="str">
        <f>IFERROR(IF(VLOOKUP(CONCATENATE($A103,"_",Z$1),SP_,MATCH(Z$2,SP_ENV_Lib[#Headers],0),FALSE)=0,"",VLOOKUP(CONCATENATE($A103,"_",Z$1),SP_ENV_Lib[],MATCH(Z$2,SP_ACQ_Lib[#Headers],0),FALSE)),"")</f>
        <v/>
      </c>
      <c r="AA103" s="74"/>
      <c r="AB103" s="74">
        <f>IFERROR(IF(VLOOKUP(CONCATENATE($A103,"_",AB$1),SP_ENV_Lib[],MATCH(AB$2,SP_ENV_Lib[#Headers],0),FALSE)=0,"",VLOOKUP(CONCATENATE($A103,"_",AB$1),SP_ENV_Lib[],MATCH(AB$2,SP_ENV_Lib[#Headers],0),FALSE)),"")</f>
        <v>43871.72997685185</v>
      </c>
      <c r="AC103" s="74">
        <f>IFERROR(IF(VLOOKUP(CONCATENATE($A103,"_",AC$1),SP_ENV_Lib[],MATCH(AC$2,SP_ENV_Lib[#Headers],0),FALSE)=0,"",VLOOKUP(CONCATENATE($A103,"_",AC$1),SP_ENV_Lib[],MATCH(AC$2,SP_ENV_Lib[#Headers],0),FALSE)),"")</f>
        <v>43846</v>
      </c>
      <c r="AD103" s="74">
        <f>IFERROR(IF(VLOOKUP(CONCATENATE($A103,"_",AD$1),SP_ENV_Lib[],MATCH(AD$2,SP_ENV_Lib[#Headers],0),FALSE)=0,"",VLOOKUP(CONCATENATE($A103,"_",AD$1),SP_ENV_Lib[],MATCH(AD$2,SP_ENV_Lib[#Headers],0),FALSE)),"")</f>
        <v>43871</v>
      </c>
      <c r="AE103" s="74" t="str">
        <f>IFERROR(IF(VLOOKUP(CONCATENATE($A103,"_",AE$1),SP_ENV_Lib[],MATCH(AE$2,SP_ENV_Lib[#Headers],0),FALSE)=0,"",VLOOKUP(CONCATENATE($A103,"_",AE$1),SP_ENV_Lib[],MATCH(AE$2,SP_ENV_Lib[#Headers],0),FALSE)),"")</f>
        <v/>
      </c>
      <c r="AF103" s="172" t="str">
        <f>IFERROR(VLOOKUP(CONCATENATE($A103,"_",AF$1),SP_ENV_Lib[],MATCH(AF$2,SP_ENV_Lib[#Headers],0),FALSE),0)</f>
        <v>Accepted</v>
      </c>
      <c r="AG103" s="74"/>
      <c r="AH103" s="74"/>
      <c r="AI103" s="74"/>
      <c r="AJ103" s="84"/>
    </row>
    <row r="104" spans="1:36" ht="15" x14ac:dyDescent="0.2">
      <c r="A104" s="67" t="s">
        <v>2713</v>
      </c>
      <c r="B104" s="154" t="str">
        <f>LEFT(VLOOKUP($A104,SP_EnvTract_DB[],MATCH(B$2,SP_EnvTract_DB[#Headers],0),FALSE),7)</f>
        <v>R025796</v>
      </c>
      <c r="C104" s="68" t="str">
        <f>VLOOKUP($A104,SP_EnvTract_DB[],MATCH(C$2,SP_EnvTract_DB[#Headers],0),FALSE)</f>
        <v>ENV</v>
      </c>
      <c r="D104" s="156" t="str">
        <f>VLOOKUP($A104,SP_EnvTract_DB[],MATCH(D$2,SP_EnvTract_DB[#Headers],0),FALSE)</f>
        <v>JACKSON FREDA;#204</v>
      </c>
      <c r="E104" s="156" t="str">
        <f>VLOOKUP($A104,SP_EnvTract_DB[],MATCH(E$2,SP_EnvTract_DB[#Headers],0),FALSE)</f>
        <v>1622 W MILAM;#204</v>
      </c>
      <c r="F104" s="69">
        <f>VLOOKUP($A104,SP_EnvTract_DB[],MATCH(F$2,SP_EnvTract_DB[#Headers],0),FALSE)</f>
        <v>0</v>
      </c>
      <c r="G104" s="73">
        <f>VLOOKUP($A104,SP_EnvTract_DB[],MATCH(G$2,SP_EnvTract_DB[#Headers],0),FALSE)</f>
        <v>0</v>
      </c>
      <c r="H104" s="73" t="str">
        <f>VLOOKUP($A104,SP_EnvTract_DB[],MATCH(H$2,SP_EnvTract_DB[#Headers],0),FALSE)</f>
        <v>Melissa DeLeon</v>
      </c>
      <c r="I104" s="69">
        <f>VLOOKUP($A104,SP_EnvTract_DB[],MATCH(I$2,SP_EnvTract_DB[#Headers],0),FALSE)</f>
        <v>0</v>
      </c>
      <c r="J104" s="69">
        <f>VLOOKUP($A104,SP_EnvTract_DB[],MATCH(J$2,SP_EnvTract_DB[#Headers],0),FALSE)</f>
        <v>0</v>
      </c>
      <c r="K104" s="69">
        <f>VLOOKUP($A104,SP_EnvTract_DB[],MATCH(K$2,SP_EnvTract_DB[#Headers],0),FALSE)</f>
        <v>0</v>
      </c>
      <c r="L104" s="69">
        <f>VLOOKUP($A104,SP_EnvTract_DB[],MATCH(L$2,SP_EnvTract_DB[#Headers],0),FALSE)</f>
        <v>0</v>
      </c>
      <c r="M104" s="69">
        <f>VLOOKUP($A104,SP_EnvTract_DB[],MATCH(M$2,SP_EnvTract_DB[#Headers],0),FALSE)</f>
        <v>0</v>
      </c>
      <c r="N104" s="69">
        <f>VLOOKUP($A104,SP_EnvTract_DB[],MATCH(N$2,SP_EnvTract_DB[#Headers],0),FALSE)</f>
        <v>0</v>
      </c>
      <c r="O104" s="74">
        <f>VLOOKUP($A104,SP_EnvTract_DB[],MATCH(O$2,SP_EnvTract_DB[#Headers],0),FALSE)</f>
        <v>0</v>
      </c>
      <c r="P104" s="73">
        <f>VLOOKUP($A104,SP_EnvTract_DB[],MATCH(P$2,SP_EnvTract_DB[#Headers],0),FALSE)</f>
        <v>0</v>
      </c>
      <c r="Q104" s="73">
        <f>VLOOKUP($A104,SP_EnvTract_DB[],MATCH(Q$2,SP_EnvTract_DB[#Headers],0),FALSE)</f>
        <v>0</v>
      </c>
      <c r="R104" s="74">
        <f>VLOOKUP($A104,SP_EnvTract_DB[],MATCH(R$2,SP_EnvTract_DB[#Headers],0),FALSE)</f>
        <v>0</v>
      </c>
      <c r="S104" s="68">
        <f>VLOOKUP($A104,SP_EnvTract_DB[],MATCH(S$2,SP_EnvTract_DB[#Headers],0),FALSE)</f>
        <v>0</v>
      </c>
      <c r="T104" s="68">
        <f>VLOOKUP($A104,SP_EnvTract_DB[],MATCH(T$2,SP_EnvTract_DB[#Headers],0),FALSE)</f>
        <v>0</v>
      </c>
      <c r="U104" s="74">
        <f>VLOOKUP($A104,SP_EnvTract_DB[],MATCH(U$2,SP_EnvTract_DB[#Headers],0),FALSE)</f>
        <v>0</v>
      </c>
      <c r="V104" s="68">
        <f>VLOOKUP($A104,SP_EnvTract_DB[],MATCH(V$2,SP_EnvTract_DB[#Headers],0),FALSE)</f>
        <v>0</v>
      </c>
      <c r="W104" s="68">
        <f>VLOOKUP($A104,SP_EnvTract_DB[],MATCH(W$2,SP_EnvTract_DB[#Headers],0),FALSE)</f>
        <v>0</v>
      </c>
      <c r="X104" s="68">
        <f>VLOOKUP($A104,SP_EnvTract_DB[],MATCH(X$2,SP_EnvTract_DB[#Headers],0),FALSE)</f>
        <v>0</v>
      </c>
      <c r="Y104" s="80">
        <f>VLOOKUP($A104,SP_EnvTract_DB[],MATCH(Y$2,SP_EnvTract_DB[#Headers],0),FALSE)</f>
        <v>0</v>
      </c>
      <c r="Z104" s="81" t="str">
        <f>IFERROR(IF(VLOOKUP(CONCATENATE($A104,"_",Z$1),SP_,MATCH(Z$2,SP_ENV_Lib[#Headers],0),FALSE)=0,"",VLOOKUP(CONCATENATE($A104,"_",Z$1),SP_ENV_Lib[],MATCH(Z$2,SP_ACQ_Lib[#Headers],0),FALSE)),"")</f>
        <v/>
      </c>
      <c r="AA104" s="74"/>
      <c r="AB104" s="74" t="str">
        <f>IFERROR(IF(VLOOKUP(CONCATENATE($A104,"_",AB$1),SP_ENV_Lib[],MATCH(AB$2,SP_ENV_Lib[#Headers],0),FALSE)=0,"",VLOOKUP(CONCATENATE($A104,"_",AB$1),SP_ENV_Lib[],MATCH(AB$2,SP_ENV_Lib[#Headers],0),FALSE)),"")</f>
        <v/>
      </c>
      <c r="AC104" s="74">
        <f>IFERROR(IF(VLOOKUP(CONCATENATE($A104,"_",AC$1),SP_ENV_Lib[],MATCH(AC$2,SP_ENV_Lib[#Headers],0),FALSE)=0,"",VLOOKUP(CONCATENATE($A104,"_",AC$1),SP_ENV_Lib[],MATCH(AC$2,SP_ENV_Lib[#Headers],0),FALSE)),"")</f>
        <v>43846</v>
      </c>
      <c r="AD104" s="74" t="str">
        <f>IFERROR(IF(VLOOKUP(CONCATENATE($A104,"_",AD$1),SP_ENV_Lib[],MATCH(AD$2,SP_ENV_Lib[#Headers],0),FALSE)=0,"",VLOOKUP(CONCATENATE($A104,"_",AD$1),SP_ENV_Lib[],MATCH(AD$2,SP_ENV_Lib[#Headers],0),FALSE)),"")</f>
        <v/>
      </c>
      <c r="AE104" s="74" t="str">
        <f>IFERROR(IF(VLOOKUP(CONCATENATE($A104,"_",AE$1),SP_ENV_Lib[],MATCH(AE$2,SP_ENV_Lib[#Headers],0),FALSE)=0,"",VLOOKUP(CONCATENATE($A104,"_",AE$1),SP_ENV_Lib[],MATCH(AE$2,SP_ENV_Lib[#Headers],0),FALSE)),"")</f>
        <v/>
      </c>
      <c r="AF104" s="172" t="str">
        <f>IFERROR(VLOOKUP(CONCATENATE($A104,"_",AF$1),SP_ENV_Lib[],MATCH(AF$2,SP_ENV_Lib[#Headers],0),FALSE),0)</f>
        <v>Accepted</v>
      </c>
      <c r="AG104" s="74"/>
      <c r="AH104" s="74"/>
      <c r="AI104" s="74"/>
      <c r="AJ104" s="84"/>
    </row>
    <row r="105" spans="1:36" ht="15" x14ac:dyDescent="0.2">
      <c r="A105" s="67" t="s">
        <v>2714</v>
      </c>
      <c r="B105" s="154" t="str">
        <f>LEFT(VLOOKUP($A105,SP_EnvTract_DB[],MATCH(B$2,SP_EnvTract_DB[#Headers],0),FALSE),7)</f>
        <v>R025797</v>
      </c>
      <c r="C105" s="68" t="str">
        <f>VLOOKUP($A105,SP_EnvTract_DB[],MATCH(C$2,SP_EnvTract_DB[#Headers],0),FALSE)</f>
        <v>ENV</v>
      </c>
      <c r="D105" s="156" t="str">
        <f>VLOOKUP($A105,SP_EnvTract_DB[],MATCH(D$2,SP_EnvTract_DB[#Headers],0),FALSE)</f>
        <v>HEARD TONY &amp; FLOYD VIOLA;#205</v>
      </c>
      <c r="E105" s="156" t="str">
        <f>VLOOKUP($A105,SP_EnvTract_DB[],MATCH(E$2,SP_EnvTract_DB[#Headers],0),FALSE)</f>
        <v>1700 W MILAM;#205</v>
      </c>
      <c r="F105" s="69">
        <f>VLOOKUP($A105,SP_EnvTract_DB[],MATCH(F$2,SP_EnvTract_DB[#Headers],0),FALSE)</f>
        <v>0</v>
      </c>
      <c r="G105" s="73">
        <f>VLOOKUP($A105,SP_EnvTract_DB[],MATCH(G$2,SP_EnvTract_DB[#Headers],0),FALSE)</f>
        <v>0</v>
      </c>
      <c r="H105" s="73" t="str">
        <f>VLOOKUP($A105,SP_EnvTract_DB[],MATCH(H$2,SP_EnvTract_DB[#Headers],0),FALSE)</f>
        <v>Melissa DeLeon</v>
      </c>
      <c r="I105" s="69">
        <f>VLOOKUP($A105,SP_EnvTract_DB[],MATCH(I$2,SP_EnvTract_DB[#Headers],0),FALSE)</f>
        <v>0</v>
      </c>
      <c r="J105" s="69">
        <f>VLOOKUP($A105,SP_EnvTract_DB[],MATCH(J$2,SP_EnvTract_DB[#Headers],0),FALSE)</f>
        <v>0</v>
      </c>
      <c r="K105" s="69">
        <f>VLOOKUP($A105,SP_EnvTract_DB[],MATCH(K$2,SP_EnvTract_DB[#Headers],0),FALSE)</f>
        <v>0</v>
      </c>
      <c r="L105" s="69">
        <f>VLOOKUP($A105,SP_EnvTract_DB[],MATCH(L$2,SP_EnvTract_DB[#Headers],0),FALSE)</f>
        <v>0</v>
      </c>
      <c r="M105" s="69">
        <f>VLOOKUP($A105,SP_EnvTract_DB[],MATCH(M$2,SP_EnvTract_DB[#Headers],0),FALSE)</f>
        <v>0</v>
      </c>
      <c r="N105" s="69">
        <f>VLOOKUP($A105,SP_EnvTract_DB[],MATCH(N$2,SP_EnvTract_DB[#Headers],0),FALSE)</f>
        <v>0</v>
      </c>
      <c r="O105" s="74">
        <f>VLOOKUP($A105,SP_EnvTract_DB[],MATCH(O$2,SP_EnvTract_DB[#Headers],0),FALSE)</f>
        <v>0</v>
      </c>
      <c r="P105" s="73">
        <f>VLOOKUP($A105,SP_EnvTract_DB[],MATCH(P$2,SP_EnvTract_DB[#Headers],0),FALSE)</f>
        <v>0</v>
      </c>
      <c r="Q105" s="73">
        <f>VLOOKUP($A105,SP_EnvTract_DB[],MATCH(Q$2,SP_EnvTract_DB[#Headers],0),FALSE)</f>
        <v>0</v>
      </c>
      <c r="R105" s="74">
        <f>VLOOKUP($A105,SP_EnvTract_DB[],MATCH(R$2,SP_EnvTract_DB[#Headers],0),FALSE)</f>
        <v>0</v>
      </c>
      <c r="S105" s="68">
        <f>VLOOKUP($A105,SP_EnvTract_DB[],MATCH(S$2,SP_EnvTract_DB[#Headers],0),FALSE)</f>
        <v>0</v>
      </c>
      <c r="T105" s="68">
        <f>VLOOKUP($A105,SP_EnvTract_DB[],MATCH(T$2,SP_EnvTract_DB[#Headers],0),FALSE)</f>
        <v>0</v>
      </c>
      <c r="U105" s="74">
        <f>VLOOKUP($A105,SP_EnvTract_DB[],MATCH(U$2,SP_EnvTract_DB[#Headers],0),FALSE)</f>
        <v>0</v>
      </c>
      <c r="V105" s="68">
        <f>VLOOKUP($A105,SP_EnvTract_DB[],MATCH(V$2,SP_EnvTract_DB[#Headers],0),FALSE)</f>
        <v>0</v>
      </c>
      <c r="W105" s="68">
        <f>VLOOKUP($A105,SP_EnvTract_DB[],MATCH(W$2,SP_EnvTract_DB[#Headers],0),FALSE)</f>
        <v>0</v>
      </c>
      <c r="X105" s="68">
        <f>VLOOKUP($A105,SP_EnvTract_DB[],MATCH(X$2,SP_EnvTract_DB[#Headers],0),FALSE)</f>
        <v>0</v>
      </c>
      <c r="Y105" s="80">
        <f>VLOOKUP($A105,SP_EnvTract_DB[],MATCH(Y$2,SP_EnvTract_DB[#Headers],0),FALSE)</f>
        <v>0</v>
      </c>
      <c r="Z105" s="81" t="str">
        <f>IFERROR(IF(VLOOKUP(CONCATENATE($A105,"_",Z$1),SP_,MATCH(Z$2,SP_ENV_Lib[#Headers],0),FALSE)=0,"",VLOOKUP(CONCATENATE($A105,"_",Z$1),SP_ENV_Lib[],MATCH(Z$2,SP_ACQ_Lib[#Headers],0),FALSE)),"")</f>
        <v/>
      </c>
      <c r="AA105" s="74"/>
      <c r="AB105" s="74">
        <f>IFERROR(IF(VLOOKUP(CONCATENATE($A105,"_",AB$1),SP_ENV_Lib[],MATCH(AB$2,SP_ENV_Lib[#Headers],0),FALSE)=0,"",VLOOKUP(CONCATENATE($A105,"_",AB$1),SP_ENV_Lib[],MATCH(AB$2,SP_ENV_Lib[#Headers],0),FALSE)),"")</f>
        <v>43892.659039351849</v>
      </c>
      <c r="AC105" s="74">
        <f>IFERROR(IF(VLOOKUP(CONCATENATE($A105,"_",AC$1),SP_ENV_Lib[],MATCH(AC$2,SP_ENV_Lib[#Headers],0),FALSE)=0,"",VLOOKUP(CONCATENATE($A105,"_",AC$1),SP_ENV_Lib[],MATCH(AC$2,SP_ENV_Lib[#Headers],0),FALSE)),"")</f>
        <v>43846</v>
      </c>
      <c r="AD105" s="74">
        <f>IFERROR(IF(VLOOKUP(CONCATENATE($A105,"_",AD$1),SP_ENV_Lib[],MATCH(AD$2,SP_ENV_Lib[#Headers],0),FALSE)=0,"",VLOOKUP(CONCATENATE($A105,"_",AD$1),SP_ENV_Lib[],MATCH(AD$2,SP_ENV_Lib[#Headers],0),FALSE)),"")</f>
        <v>43900</v>
      </c>
      <c r="AE105" s="74" t="str">
        <f>IFERROR(IF(VLOOKUP(CONCATENATE($A105,"_",AE$1),SP_ENV_Lib[],MATCH(AE$2,SP_ENV_Lib[#Headers],0),FALSE)=0,"",VLOOKUP(CONCATENATE($A105,"_",AE$1),SP_ENV_Lib[],MATCH(AE$2,SP_ENV_Lib[#Headers],0),FALSE)),"")</f>
        <v/>
      </c>
      <c r="AF105" s="172" t="str">
        <f>IFERROR(VLOOKUP(CONCATENATE($A105,"_",AF$1),SP_ENV_Lib[],MATCH(AF$2,SP_ENV_Lib[#Headers],0),FALSE),0)</f>
        <v>Accepted</v>
      </c>
      <c r="AG105" s="74"/>
      <c r="AH105" s="74"/>
      <c r="AI105" s="74"/>
      <c r="AJ105" s="84"/>
    </row>
    <row r="106" spans="1:36" ht="15" x14ac:dyDescent="0.2">
      <c r="A106" s="67" t="s">
        <v>2715</v>
      </c>
      <c r="B106" s="154" t="str">
        <f>LEFT(VLOOKUP($A106,SP_EnvTract_DB[],MATCH(B$2,SP_EnvTract_DB[#Headers],0),FALSE),7)</f>
        <v>R025798</v>
      </c>
      <c r="C106" s="68" t="str">
        <f>VLOOKUP($A106,SP_EnvTract_DB[],MATCH(C$2,SP_EnvTract_DB[#Headers],0),FALSE)</f>
        <v>ENV</v>
      </c>
      <c r="D106" s="156" t="str">
        <f>VLOOKUP($A106,SP_EnvTract_DB[],MATCH(D$2,SP_EnvTract_DB[#Headers],0),FALSE)</f>
        <v>MCGREW ROBERT L;#206</v>
      </c>
      <c r="E106" s="156" t="str">
        <f>VLOOKUP($A106,SP_EnvTract_DB[],MATCH(E$2,SP_EnvTract_DB[#Headers],0),FALSE)</f>
        <v>1702 W MILAM;#206</v>
      </c>
      <c r="F106" s="69">
        <f>VLOOKUP($A106,SP_EnvTract_DB[],MATCH(F$2,SP_EnvTract_DB[#Headers],0),FALSE)</f>
        <v>0</v>
      </c>
      <c r="G106" s="73">
        <f>VLOOKUP($A106,SP_EnvTract_DB[],MATCH(G$2,SP_EnvTract_DB[#Headers],0),FALSE)</f>
        <v>0</v>
      </c>
      <c r="H106" s="73" t="str">
        <f>VLOOKUP($A106,SP_EnvTract_DB[],MATCH(H$2,SP_EnvTract_DB[#Headers],0),FALSE)</f>
        <v>Melissa DeLeon</v>
      </c>
      <c r="I106" s="69">
        <f>VLOOKUP($A106,SP_EnvTract_DB[],MATCH(I$2,SP_EnvTract_DB[#Headers],0),FALSE)</f>
        <v>0</v>
      </c>
      <c r="J106" s="69">
        <f>VLOOKUP($A106,SP_EnvTract_DB[],MATCH(J$2,SP_EnvTract_DB[#Headers],0),FALSE)</f>
        <v>0</v>
      </c>
      <c r="K106" s="69">
        <f>VLOOKUP($A106,SP_EnvTract_DB[],MATCH(K$2,SP_EnvTract_DB[#Headers],0),FALSE)</f>
        <v>0</v>
      </c>
      <c r="L106" s="69">
        <f>VLOOKUP($A106,SP_EnvTract_DB[],MATCH(L$2,SP_EnvTract_DB[#Headers],0),FALSE)</f>
        <v>0</v>
      </c>
      <c r="M106" s="69">
        <f>VLOOKUP($A106,SP_EnvTract_DB[],MATCH(M$2,SP_EnvTract_DB[#Headers],0),FALSE)</f>
        <v>0</v>
      </c>
      <c r="N106" s="69">
        <f>VLOOKUP($A106,SP_EnvTract_DB[],MATCH(N$2,SP_EnvTract_DB[#Headers],0),FALSE)</f>
        <v>0</v>
      </c>
      <c r="O106" s="74">
        <f>VLOOKUP($A106,SP_EnvTract_DB[],MATCH(O$2,SP_EnvTract_DB[#Headers],0),FALSE)</f>
        <v>0</v>
      </c>
      <c r="P106" s="73">
        <f>VLOOKUP($A106,SP_EnvTract_DB[],MATCH(P$2,SP_EnvTract_DB[#Headers],0),FALSE)</f>
        <v>0</v>
      </c>
      <c r="Q106" s="73">
        <f>VLOOKUP($A106,SP_EnvTract_DB[],MATCH(Q$2,SP_EnvTract_DB[#Headers],0),FALSE)</f>
        <v>0</v>
      </c>
      <c r="R106" s="74">
        <f>VLOOKUP($A106,SP_EnvTract_DB[],MATCH(R$2,SP_EnvTract_DB[#Headers],0),FALSE)</f>
        <v>0</v>
      </c>
      <c r="S106" s="68">
        <f>VLOOKUP($A106,SP_EnvTract_DB[],MATCH(S$2,SP_EnvTract_DB[#Headers],0),FALSE)</f>
        <v>0</v>
      </c>
      <c r="T106" s="68">
        <f>VLOOKUP($A106,SP_EnvTract_DB[],MATCH(T$2,SP_EnvTract_DB[#Headers],0),FALSE)</f>
        <v>0</v>
      </c>
      <c r="U106" s="74">
        <f>VLOOKUP($A106,SP_EnvTract_DB[],MATCH(U$2,SP_EnvTract_DB[#Headers],0),FALSE)</f>
        <v>0</v>
      </c>
      <c r="V106" s="68">
        <f>VLOOKUP($A106,SP_EnvTract_DB[],MATCH(V$2,SP_EnvTract_DB[#Headers],0),FALSE)</f>
        <v>0</v>
      </c>
      <c r="W106" s="68">
        <f>VLOOKUP($A106,SP_EnvTract_DB[],MATCH(W$2,SP_EnvTract_DB[#Headers],0),FALSE)</f>
        <v>0</v>
      </c>
      <c r="X106" s="68">
        <f>VLOOKUP($A106,SP_EnvTract_DB[],MATCH(X$2,SP_EnvTract_DB[#Headers],0),FALSE)</f>
        <v>0</v>
      </c>
      <c r="Y106" s="80">
        <f>VLOOKUP($A106,SP_EnvTract_DB[],MATCH(Y$2,SP_EnvTract_DB[#Headers],0),FALSE)</f>
        <v>0</v>
      </c>
      <c r="Z106" s="81" t="str">
        <f>IFERROR(IF(VLOOKUP(CONCATENATE($A106,"_",Z$1),SP_,MATCH(Z$2,SP_ENV_Lib[#Headers],0),FALSE)=0,"",VLOOKUP(CONCATENATE($A106,"_",Z$1),SP_ENV_Lib[],MATCH(Z$2,SP_ACQ_Lib[#Headers],0),FALSE)),"")</f>
        <v/>
      </c>
      <c r="AA106" s="74"/>
      <c r="AB106" s="74">
        <f>IFERROR(IF(VLOOKUP(CONCATENATE($A106,"_",AB$1),SP_ENV_Lib[],MATCH(AB$2,SP_ENV_Lib[#Headers],0),FALSE)=0,"",VLOOKUP(CONCATENATE($A106,"_",AB$1),SP_ENV_Lib[],MATCH(AB$2,SP_ENV_Lib[#Headers],0),FALSE)),"")</f>
        <v>43934.675868055558</v>
      </c>
      <c r="AC106" s="74">
        <f>IFERROR(IF(VLOOKUP(CONCATENATE($A106,"_",AC$1),SP_ENV_Lib[],MATCH(AC$2,SP_ENV_Lib[#Headers],0),FALSE)=0,"",VLOOKUP(CONCATENATE($A106,"_",AC$1),SP_ENV_Lib[],MATCH(AC$2,SP_ENV_Lib[#Headers],0),FALSE)),"")</f>
        <v>43846</v>
      </c>
      <c r="AD106" s="74">
        <f>IFERROR(IF(VLOOKUP(CONCATENATE($A106,"_",AD$1),SP_ENV_Lib[],MATCH(AD$2,SP_ENV_Lib[#Headers],0),FALSE)=0,"",VLOOKUP(CONCATENATE($A106,"_",AD$1),SP_ENV_Lib[],MATCH(AD$2,SP_ENV_Lib[#Headers],0),FALSE)),"")</f>
        <v>43943</v>
      </c>
      <c r="AE106" s="74" t="str">
        <f>IFERROR(IF(VLOOKUP(CONCATENATE($A106,"_",AE$1),SP_ENV_Lib[],MATCH(AE$2,SP_ENV_Lib[#Headers],0),FALSE)=0,"",VLOOKUP(CONCATENATE($A106,"_",AE$1),SP_ENV_Lib[],MATCH(AE$2,SP_ENV_Lib[#Headers],0),FALSE)),"")</f>
        <v/>
      </c>
      <c r="AF106" s="172" t="str">
        <f>IFERROR(VLOOKUP(CONCATENATE($A106,"_",AF$1),SP_ENV_Lib[],MATCH(AF$2,SP_ENV_Lib[#Headers],0),FALSE),0)</f>
        <v>Accepted</v>
      </c>
      <c r="AG106" s="74"/>
      <c r="AH106" s="74"/>
      <c r="AI106" s="74"/>
      <c r="AJ106" s="84"/>
    </row>
    <row r="107" spans="1:36" ht="15" x14ac:dyDescent="0.2">
      <c r="A107" s="67" t="s">
        <v>2716</v>
      </c>
      <c r="B107" s="154" t="str">
        <f>LEFT(VLOOKUP($A107,SP_EnvTract_DB[],MATCH(B$2,SP_EnvTract_DB[#Headers],0),FALSE),7)</f>
        <v>R026594</v>
      </c>
      <c r="C107" s="68" t="str">
        <f>VLOOKUP($A107,SP_EnvTract_DB[],MATCH(C$2,SP_EnvTract_DB[#Headers],0),FALSE)</f>
        <v>ENV</v>
      </c>
      <c r="D107" s="156" t="str">
        <f>VLOOKUP($A107,SP_EnvTract_DB[],MATCH(D$2,SP_EnvTract_DB[#Headers],0),FALSE)</f>
        <v>BRM3 INTERESTS LP;#207</v>
      </c>
      <c r="E107" s="156" t="str">
        <f>VLOOKUP($A107,SP_EnvTract_DB[],MATCH(E$2,SP_EnvTract_DB[#Headers],0),FALSE)</f>
        <v>0 S EAST AVE;#207</v>
      </c>
      <c r="F107" s="69">
        <f>VLOOKUP($A107,SP_EnvTract_DB[],MATCH(F$2,SP_EnvTract_DB[#Headers],0),FALSE)</f>
        <v>0</v>
      </c>
      <c r="G107" s="73">
        <f>VLOOKUP($A107,SP_EnvTract_DB[],MATCH(G$2,SP_EnvTract_DB[#Headers],0),FALSE)</f>
        <v>0</v>
      </c>
      <c r="H107" s="73" t="str">
        <f>VLOOKUP($A107,SP_EnvTract_DB[],MATCH(H$2,SP_EnvTract_DB[#Headers],0),FALSE)</f>
        <v>Melissa DeLeon</v>
      </c>
      <c r="I107" s="69">
        <f>VLOOKUP($A107,SP_EnvTract_DB[],MATCH(I$2,SP_EnvTract_DB[#Headers],0),FALSE)</f>
        <v>0</v>
      </c>
      <c r="J107" s="69">
        <f>VLOOKUP($A107,SP_EnvTract_DB[],MATCH(J$2,SP_EnvTract_DB[#Headers],0),FALSE)</f>
        <v>0</v>
      </c>
      <c r="K107" s="69">
        <f>VLOOKUP($A107,SP_EnvTract_DB[],MATCH(K$2,SP_EnvTract_DB[#Headers],0),FALSE)</f>
        <v>0</v>
      </c>
      <c r="L107" s="69">
        <f>VLOOKUP($A107,SP_EnvTract_DB[],MATCH(L$2,SP_EnvTract_DB[#Headers],0),FALSE)</f>
        <v>0</v>
      </c>
      <c r="M107" s="69">
        <f>VLOOKUP($A107,SP_EnvTract_DB[],MATCH(M$2,SP_EnvTract_DB[#Headers],0),FALSE)</f>
        <v>0</v>
      </c>
      <c r="N107" s="69">
        <f>VLOOKUP($A107,SP_EnvTract_DB[],MATCH(N$2,SP_EnvTract_DB[#Headers],0),FALSE)</f>
        <v>0</v>
      </c>
      <c r="O107" s="74">
        <f>VLOOKUP($A107,SP_EnvTract_DB[],MATCH(O$2,SP_EnvTract_DB[#Headers],0),FALSE)</f>
        <v>0</v>
      </c>
      <c r="P107" s="73">
        <f>VLOOKUP($A107,SP_EnvTract_DB[],MATCH(P$2,SP_EnvTract_DB[#Headers],0),FALSE)</f>
        <v>0</v>
      </c>
      <c r="Q107" s="73">
        <f>VLOOKUP($A107,SP_EnvTract_DB[],MATCH(Q$2,SP_EnvTract_DB[#Headers],0),FALSE)</f>
        <v>0</v>
      </c>
      <c r="R107" s="74">
        <f>VLOOKUP($A107,SP_EnvTract_DB[],MATCH(R$2,SP_EnvTract_DB[#Headers],0),FALSE)</f>
        <v>0</v>
      </c>
      <c r="S107" s="68">
        <f>VLOOKUP($A107,SP_EnvTract_DB[],MATCH(S$2,SP_EnvTract_DB[#Headers],0),FALSE)</f>
        <v>0</v>
      </c>
      <c r="T107" s="68">
        <f>VLOOKUP($A107,SP_EnvTract_DB[],MATCH(T$2,SP_EnvTract_DB[#Headers],0),FALSE)</f>
        <v>0</v>
      </c>
      <c r="U107" s="74">
        <f>VLOOKUP($A107,SP_EnvTract_DB[],MATCH(U$2,SP_EnvTract_DB[#Headers],0),FALSE)</f>
        <v>0</v>
      </c>
      <c r="V107" s="68">
        <f>VLOOKUP($A107,SP_EnvTract_DB[],MATCH(V$2,SP_EnvTract_DB[#Headers],0),FALSE)</f>
        <v>0</v>
      </c>
      <c r="W107" s="68">
        <f>VLOOKUP($A107,SP_EnvTract_DB[],MATCH(W$2,SP_EnvTract_DB[#Headers],0),FALSE)</f>
        <v>0</v>
      </c>
      <c r="X107" s="68">
        <f>VLOOKUP($A107,SP_EnvTract_DB[],MATCH(X$2,SP_EnvTract_DB[#Headers],0),FALSE)</f>
        <v>0</v>
      </c>
      <c r="Y107" s="80">
        <f>VLOOKUP($A107,SP_EnvTract_DB[],MATCH(Y$2,SP_EnvTract_DB[#Headers],0),FALSE)</f>
        <v>0</v>
      </c>
      <c r="Z107" s="81" t="str">
        <f>IFERROR(IF(VLOOKUP(CONCATENATE($A107,"_",Z$1),SP_,MATCH(Z$2,SP_ENV_Lib[#Headers],0),FALSE)=0,"",VLOOKUP(CONCATENATE($A107,"_",Z$1),SP_ENV_Lib[],MATCH(Z$2,SP_ACQ_Lib[#Headers],0),FALSE)),"")</f>
        <v/>
      </c>
      <c r="AA107" s="74"/>
      <c r="AB107" s="74">
        <f>IFERROR(IF(VLOOKUP(CONCATENATE($A107,"_",AB$1),SP_ENV_Lib[],MATCH(AB$2,SP_ENV_Lib[#Headers],0),FALSE)=0,"",VLOOKUP(CONCATENATE($A107,"_",AB$1),SP_ENV_Lib[],MATCH(AB$2,SP_ENV_Lib[#Headers],0),FALSE)),"")</f>
        <v>43878.466817129629</v>
      </c>
      <c r="AC107" s="74">
        <f>IFERROR(IF(VLOOKUP(CONCATENATE($A107,"_",AC$1),SP_ENV_Lib[],MATCH(AC$2,SP_ENV_Lib[#Headers],0),FALSE)=0,"",VLOOKUP(CONCATENATE($A107,"_",AC$1),SP_ENV_Lib[],MATCH(AC$2,SP_ENV_Lib[#Headers],0),FALSE)),"")</f>
        <v>43846</v>
      </c>
      <c r="AD107" s="74" t="str">
        <f>IFERROR(IF(VLOOKUP(CONCATENATE($A107,"_",AD$1),SP_ENV_Lib[],MATCH(AD$2,SP_ENV_Lib[#Headers],0),FALSE)=0,"",VLOOKUP(CONCATENATE($A107,"_",AD$1),SP_ENV_Lib[],MATCH(AD$2,SP_ENV_Lib[#Headers],0),FALSE)),"")</f>
        <v/>
      </c>
      <c r="AE107" s="74" t="str">
        <f>IFERROR(IF(VLOOKUP(CONCATENATE($A107,"_",AE$1),SP_ENV_Lib[],MATCH(AE$2,SP_ENV_Lib[#Headers],0),FALSE)=0,"",VLOOKUP(CONCATENATE($A107,"_",AE$1),SP_ENV_Lib[],MATCH(AE$2,SP_ENV_Lib[#Headers],0),FALSE)),"")</f>
        <v/>
      </c>
      <c r="AF107" s="172" t="str">
        <f>IFERROR(VLOOKUP(CONCATENATE($A107,"_",AF$1),SP_ENV_Lib[],MATCH(AF$2,SP_ENV_Lib[#Headers],0),FALSE),0)</f>
        <v>Accepted</v>
      </c>
      <c r="AG107" s="74"/>
      <c r="AH107" s="74"/>
      <c r="AI107" s="74"/>
      <c r="AJ107" s="84"/>
    </row>
    <row r="108" spans="1:36" ht="15" x14ac:dyDescent="0.2">
      <c r="A108" s="67" t="s">
        <v>2717</v>
      </c>
      <c r="B108" s="154" t="str">
        <f>LEFT(VLOOKUP($A108,SP_EnvTract_DB[],MATCH(B$2,SP_EnvTract_DB[#Headers],0),FALSE),7)</f>
        <v>R026595</v>
      </c>
      <c r="C108" s="68" t="str">
        <f>VLOOKUP($A108,SP_EnvTract_DB[],MATCH(C$2,SP_EnvTract_DB[#Headers],0),FALSE)</f>
        <v>ENV</v>
      </c>
      <c r="D108" s="156" t="str">
        <f>VLOOKUP($A108,SP_EnvTract_DB[],MATCH(D$2,SP_EnvTract_DB[#Headers],0),FALSE)</f>
        <v>HERNANDEZ ALFREDO M;#208</v>
      </c>
      <c r="E108" s="156" t="str">
        <f>VLOOKUP($A108,SP_EnvTract_DB[],MATCH(E$2,SP_EnvTract_DB[#Headers],0),FALSE)</f>
        <v>320 S EAST AVE;#208</v>
      </c>
      <c r="F108" s="69">
        <f>VLOOKUP($A108,SP_EnvTract_DB[],MATCH(F$2,SP_EnvTract_DB[#Headers],0),FALSE)</f>
        <v>0</v>
      </c>
      <c r="G108" s="73">
        <f>VLOOKUP($A108,SP_EnvTract_DB[],MATCH(G$2,SP_EnvTract_DB[#Headers],0),FALSE)</f>
        <v>0</v>
      </c>
      <c r="H108" s="73" t="str">
        <f>VLOOKUP($A108,SP_EnvTract_DB[],MATCH(H$2,SP_EnvTract_DB[#Headers],0),FALSE)</f>
        <v>Lily Khan</v>
      </c>
      <c r="I108" s="69">
        <f>VLOOKUP($A108,SP_EnvTract_DB[],MATCH(I$2,SP_EnvTract_DB[#Headers],0),FALSE)</f>
        <v>0</v>
      </c>
      <c r="J108" s="69">
        <f>VLOOKUP($A108,SP_EnvTract_DB[],MATCH(J$2,SP_EnvTract_DB[#Headers],0),FALSE)</f>
        <v>0</v>
      </c>
      <c r="K108" s="69">
        <f>VLOOKUP($A108,SP_EnvTract_DB[],MATCH(K$2,SP_EnvTract_DB[#Headers],0),FALSE)</f>
        <v>0</v>
      </c>
      <c r="L108" s="69">
        <f>VLOOKUP($A108,SP_EnvTract_DB[],MATCH(L$2,SP_EnvTract_DB[#Headers],0),FALSE)</f>
        <v>0</v>
      </c>
      <c r="M108" s="69">
        <f>VLOOKUP($A108,SP_EnvTract_DB[],MATCH(M$2,SP_EnvTract_DB[#Headers],0),FALSE)</f>
        <v>0</v>
      </c>
      <c r="N108" s="69">
        <f>VLOOKUP($A108,SP_EnvTract_DB[],MATCH(N$2,SP_EnvTract_DB[#Headers],0),FALSE)</f>
        <v>0</v>
      </c>
      <c r="O108" s="74">
        <f>VLOOKUP($A108,SP_EnvTract_DB[],MATCH(O$2,SP_EnvTract_DB[#Headers],0),FALSE)</f>
        <v>0</v>
      </c>
      <c r="P108" s="73">
        <f>VLOOKUP($A108,SP_EnvTract_DB[],MATCH(P$2,SP_EnvTract_DB[#Headers],0),FALSE)</f>
        <v>0</v>
      </c>
      <c r="Q108" s="73">
        <f>VLOOKUP($A108,SP_EnvTract_DB[],MATCH(Q$2,SP_EnvTract_DB[#Headers],0),FALSE)</f>
        <v>0</v>
      </c>
      <c r="R108" s="74">
        <f>VLOOKUP($A108,SP_EnvTract_DB[],MATCH(R$2,SP_EnvTract_DB[#Headers],0),FALSE)</f>
        <v>0</v>
      </c>
      <c r="S108" s="68">
        <f>VLOOKUP($A108,SP_EnvTract_DB[],MATCH(S$2,SP_EnvTract_DB[#Headers],0),FALSE)</f>
        <v>0</v>
      </c>
      <c r="T108" s="68">
        <f>VLOOKUP($A108,SP_EnvTract_DB[],MATCH(T$2,SP_EnvTract_DB[#Headers],0),FALSE)</f>
        <v>0</v>
      </c>
      <c r="U108" s="74">
        <f>VLOOKUP($A108,SP_EnvTract_DB[],MATCH(U$2,SP_EnvTract_DB[#Headers],0),FALSE)</f>
        <v>0</v>
      </c>
      <c r="V108" s="68">
        <f>VLOOKUP($A108,SP_EnvTract_DB[],MATCH(V$2,SP_EnvTract_DB[#Headers],0),FALSE)</f>
        <v>0</v>
      </c>
      <c r="W108" s="68">
        <f>VLOOKUP($A108,SP_EnvTract_DB[],MATCH(W$2,SP_EnvTract_DB[#Headers],0),FALSE)</f>
        <v>0</v>
      </c>
      <c r="X108" s="68">
        <f>VLOOKUP($A108,SP_EnvTract_DB[],MATCH(X$2,SP_EnvTract_DB[#Headers],0),FALSE)</f>
        <v>0</v>
      </c>
      <c r="Y108" s="80">
        <f>VLOOKUP($A108,SP_EnvTract_DB[],MATCH(Y$2,SP_EnvTract_DB[#Headers],0),FALSE)</f>
        <v>0</v>
      </c>
      <c r="Z108" s="81" t="str">
        <f>IFERROR(IF(VLOOKUP(CONCATENATE($A108,"_",Z$1),SP_,MATCH(Z$2,SP_ENV_Lib[#Headers],0),FALSE)=0,"",VLOOKUP(CONCATENATE($A108,"_",Z$1),SP_ENV_Lib[],MATCH(Z$2,SP_ACQ_Lib[#Headers],0),FALSE)),"")</f>
        <v/>
      </c>
      <c r="AA108" s="74"/>
      <c r="AB108" s="74">
        <f>IFERROR(IF(VLOOKUP(CONCATENATE($A108,"_",AB$1),SP_ENV_Lib[],MATCH(AB$2,SP_ENV_Lib[#Headers],0),FALSE)=0,"",VLOOKUP(CONCATENATE($A108,"_",AB$1),SP_ENV_Lib[],MATCH(AB$2,SP_ENV_Lib[#Headers],0),FALSE)),"")</f>
        <v>43893.506851851853</v>
      </c>
      <c r="AC108" s="74">
        <f>IFERROR(IF(VLOOKUP(CONCATENATE($A108,"_",AC$1),SP_ENV_Lib[],MATCH(AC$2,SP_ENV_Lib[#Headers],0),FALSE)=0,"",VLOOKUP(CONCATENATE($A108,"_",AC$1),SP_ENV_Lib[],MATCH(AC$2,SP_ENV_Lib[#Headers],0),FALSE)),"")</f>
        <v>43874</v>
      </c>
      <c r="AD108" s="74">
        <f>IFERROR(IF(VLOOKUP(CONCATENATE($A108,"_",AD$1),SP_ENV_Lib[],MATCH(AD$2,SP_ENV_Lib[#Headers],0),FALSE)=0,"",VLOOKUP(CONCATENATE($A108,"_",AD$1),SP_ENV_Lib[],MATCH(AD$2,SP_ENV_Lib[#Headers],0),FALSE)),"")</f>
        <v>43920</v>
      </c>
      <c r="AE108" s="74" t="str">
        <f>IFERROR(IF(VLOOKUP(CONCATENATE($A108,"_",AE$1),SP_ENV_Lib[],MATCH(AE$2,SP_ENV_Lib[#Headers],0),FALSE)=0,"",VLOOKUP(CONCATENATE($A108,"_",AE$1),SP_ENV_Lib[],MATCH(AE$2,SP_ENV_Lib[#Headers],0),FALSE)),"")</f>
        <v/>
      </c>
      <c r="AF108" s="172" t="str">
        <f>IFERROR(VLOOKUP(CONCATENATE($A108,"_",AF$1),SP_ENV_Lib[],MATCH(AF$2,SP_ENV_Lib[#Headers],0),FALSE),0)</f>
        <v>Accepted</v>
      </c>
      <c r="AG108" s="74"/>
      <c r="AH108" s="74"/>
      <c r="AI108" s="74"/>
      <c r="AJ108" s="84"/>
    </row>
    <row r="109" spans="1:36" ht="15" x14ac:dyDescent="0.2">
      <c r="A109" s="67" t="s">
        <v>2718</v>
      </c>
      <c r="B109" s="154" t="str">
        <f>LEFT(VLOOKUP($A109,SP_EnvTract_DB[],MATCH(B$2,SP_EnvTract_DB[#Headers],0),FALSE),7)</f>
        <v>R026599</v>
      </c>
      <c r="C109" s="68" t="str">
        <f>VLOOKUP($A109,SP_EnvTract_DB[],MATCH(C$2,SP_EnvTract_DB[#Headers],0),FALSE)</f>
        <v>ENV</v>
      </c>
      <c r="D109" s="156" t="str">
        <f>VLOOKUP($A109,SP_EnvTract_DB[],MATCH(D$2,SP_EnvTract_DB[#Headers],0),FALSE)</f>
        <v>FELLHAUER DAVID E MOST REV BISHOP OF DIOCESE OF VICTORIA;#212</v>
      </c>
      <c r="E109" s="156" t="str">
        <f>VLOOKUP($A109,SP_EnvTract_DB[],MATCH(E$2,SP_EnvTract_DB[#Headers],0),FALSE)</f>
        <v>0 S EAST AVE;#212</v>
      </c>
      <c r="F109" s="69">
        <f>VLOOKUP($A109,SP_EnvTract_DB[],MATCH(F$2,SP_EnvTract_DB[#Headers],0),FALSE)</f>
        <v>0</v>
      </c>
      <c r="G109" s="73">
        <f>VLOOKUP($A109,SP_EnvTract_DB[],MATCH(G$2,SP_EnvTract_DB[#Headers],0),FALSE)</f>
        <v>0</v>
      </c>
      <c r="H109" s="73" t="str">
        <f>VLOOKUP($A109,SP_EnvTract_DB[],MATCH(H$2,SP_EnvTract_DB[#Headers],0),FALSE)</f>
        <v>Melissa DeLeon</v>
      </c>
      <c r="I109" s="69">
        <f>VLOOKUP($A109,SP_EnvTract_DB[],MATCH(I$2,SP_EnvTract_DB[#Headers],0),FALSE)</f>
        <v>0</v>
      </c>
      <c r="J109" s="69">
        <f>VLOOKUP($A109,SP_EnvTract_DB[],MATCH(J$2,SP_EnvTract_DB[#Headers],0),FALSE)</f>
        <v>0</v>
      </c>
      <c r="K109" s="69">
        <f>VLOOKUP($A109,SP_EnvTract_DB[],MATCH(K$2,SP_EnvTract_DB[#Headers],0),FALSE)</f>
        <v>0</v>
      </c>
      <c r="L109" s="69">
        <f>VLOOKUP($A109,SP_EnvTract_DB[],MATCH(L$2,SP_EnvTract_DB[#Headers],0),FALSE)</f>
        <v>0</v>
      </c>
      <c r="M109" s="69">
        <f>VLOOKUP($A109,SP_EnvTract_DB[],MATCH(M$2,SP_EnvTract_DB[#Headers],0),FALSE)</f>
        <v>0</v>
      </c>
      <c r="N109" s="69">
        <f>VLOOKUP($A109,SP_EnvTract_DB[],MATCH(N$2,SP_EnvTract_DB[#Headers],0),FALSE)</f>
        <v>0</v>
      </c>
      <c r="O109" s="74">
        <f>VLOOKUP($A109,SP_EnvTract_DB[],MATCH(O$2,SP_EnvTract_DB[#Headers],0),FALSE)</f>
        <v>0</v>
      </c>
      <c r="P109" s="73">
        <f>VLOOKUP($A109,SP_EnvTract_DB[],MATCH(P$2,SP_EnvTract_DB[#Headers],0),FALSE)</f>
        <v>0</v>
      </c>
      <c r="Q109" s="73">
        <f>VLOOKUP($A109,SP_EnvTract_DB[],MATCH(Q$2,SP_EnvTract_DB[#Headers],0),FALSE)</f>
        <v>0</v>
      </c>
      <c r="R109" s="74">
        <f>VLOOKUP($A109,SP_EnvTract_DB[],MATCH(R$2,SP_EnvTract_DB[#Headers],0),FALSE)</f>
        <v>0</v>
      </c>
      <c r="S109" s="68">
        <f>VLOOKUP($A109,SP_EnvTract_DB[],MATCH(S$2,SP_EnvTract_DB[#Headers],0),FALSE)</f>
        <v>0</v>
      </c>
      <c r="T109" s="68">
        <f>VLOOKUP($A109,SP_EnvTract_DB[],MATCH(T$2,SP_EnvTract_DB[#Headers],0),FALSE)</f>
        <v>0</v>
      </c>
      <c r="U109" s="74">
        <f>VLOOKUP($A109,SP_EnvTract_DB[],MATCH(U$2,SP_EnvTract_DB[#Headers],0),FALSE)</f>
        <v>0</v>
      </c>
      <c r="V109" s="68">
        <f>VLOOKUP($A109,SP_EnvTract_DB[],MATCH(V$2,SP_EnvTract_DB[#Headers],0),FALSE)</f>
        <v>0</v>
      </c>
      <c r="W109" s="68">
        <f>VLOOKUP($A109,SP_EnvTract_DB[],MATCH(W$2,SP_EnvTract_DB[#Headers],0),FALSE)</f>
        <v>0</v>
      </c>
      <c r="X109" s="68">
        <f>VLOOKUP($A109,SP_EnvTract_DB[],MATCH(X$2,SP_EnvTract_DB[#Headers],0),FALSE)</f>
        <v>0</v>
      </c>
      <c r="Y109" s="80">
        <f>VLOOKUP($A109,SP_EnvTract_DB[],MATCH(Y$2,SP_EnvTract_DB[#Headers],0),FALSE)</f>
        <v>0</v>
      </c>
      <c r="Z109" s="81" t="str">
        <f>IFERROR(IF(VLOOKUP(CONCATENATE($A109,"_",Z$1),SP_,MATCH(Z$2,SP_ENV_Lib[#Headers],0),FALSE)=0,"",VLOOKUP(CONCATENATE($A109,"_",Z$1),SP_ENV_Lib[],MATCH(Z$2,SP_ACQ_Lib[#Headers],0),FALSE)),"")</f>
        <v/>
      </c>
      <c r="AA109" s="74"/>
      <c r="AB109" s="74">
        <f>IFERROR(IF(VLOOKUP(CONCATENATE($A109,"_",AB$1),SP_ENV_Lib[],MATCH(AB$2,SP_ENV_Lib[#Headers],0),FALSE)=0,"",VLOOKUP(CONCATENATE($A109,"_",AB$1),SP_ENV_Lib[],MATCH(AB$2,SP_ENV_Lib[#Headers],0),FALSE)),"")</f>
        <v>43871.726550925923</v>
      </c>
      <c r="AC109" s="74">
        <f>IFERROR(IF(VLOOKUP(CONCATENATE($A109,"_",AC$1),SP_ENV_Lib[],MATCH(AC$2,SP_ENV_Lib[#Headers],0),FALSE)=0,"",VLOOKUP(CONCATENATE($A109,"_",AC$1),SP_ENV_Lib[],MATCH(AC$2,SP_ENV_Lib[#Headers],0),FALSE)),"")</f>
        <v>43846</v>
      </c>
      <c r="AD109" s="74">
        <f>IFERROR(IF(VLOOKUP(CONCATENATE($A109,"_",AD$1),SP_ENV_Lib[],MATCH(AD$2,SP_ENV_Lib[#Headers],0),FALSE)=0,"",VLOOKUP(CONCATENATE($A109,"_",AD$1),SP_ENV_Lib[],MATCH(AD$2,SP_ENV_Lib[#Headers],0),FALSE)),"")</f>
        <v>43860</v>
      </c>
      <c r="AE109" s="74" t="str">
        <f>IFERROR(IF(VLOOKUP(CONCATENATE($A109,"_",AE$1),SP_ENV_Lib[],MATCH(AE$2,SP_ENV_Lib[#Headers],0),FALSE)=0,"",VLOOKUP(CONCATENATE($A109,"_",AE$1),SP_ENV_Lib[],MATCH(AE$2,SP_ENV_Lib[#Headers],0),FALSE)),"")</f>
        <v/>
      </c>
      <c r="AF109" s="172" t="str">
        <f>IFERROR(VLOOKUP(CONCATENATE($A109,"_",AF$1),SP_ENV_Lib[],MATCH(AF$2,SP_ENV_Lib[#Headers],0),FALSE),0)</f>
        <v>Accepted</v>
      </c>
      <c r="AG109" s="74"/>
      <c r="AH109" s="74"/>
      <c r="AI109" s="74"/>
      <c r="AJ109" s="84"/>
    </row>
    <row r="110" spans="1:36" ht="15" x14ac:dyDescent="0.2">
      <c r="A110" s="67" t="s">
        <v>3214</v>
      </c>
      <c r="B110" s="154" t="str">
        <f>LEFT(VLOOKUP($A110,SP_EnvTract_DB[],MATCH(B$2,SP_EnvTract_DB[#Headers],0),FALSE),7)</f>
        <v>R026609</v>
      </c>
      <c r="C110" s="68" t="str">
        <f>VLOOKUP($A110,SP_EnvTract_DB[],MATCH(C$2,SP_EnvTract_DB[#Headers],0),FALSE)</f>
        <v>ENV</v>
      </c>
      <c r="D110" s="156" t="str">
        <f>VLOOKUP($A110,SP_EnvTract_DB[],MATCH(D$2,SP_EnvTract_DB[#Headers],0),FALSE)</f>
        <v>CANO VICENTE P;#216</v>
      </c>
      <c r="E110" s="156" t="str">
        <f>VLOOKUP($A110,SP_EnvTract_DB[],MATCH(E$2,SP_EnvTract_DB[#Headers],0),FALSE)</f>
        <v>305 BLACK;#216</v>
      </c>
      <c r="F110" s="69">
        <f>VLOOKUP($A110,SP_EnvTract_DB[],MATCH(F$2,SP_EnvTract_DB[#Headers],0),FALSE)</f>
        <v>0</v>
      </c>
      <c r="G110" s="73">
        <f>VLOOKUP($A110,SP_EnvTract_DB[],MATCH(G$2,SP_EnvTract_DB[#Headers],0),FALSE)</f>
        <v>0</v>
      </c>
      <c r="H110" s="73" t="str">
        <f>VLOOKUP($A110,SP_EnvTract_DB[],MATCH(H$2,SP_EnvTract_DB[#Headers],0),FALSE)</f>
        <v>Stateside</v>
      </c>
      <c r="I110" s="69">
        <f>VLOOKUP($A110,SP_EnvTract_DB[],MATCH(I$2,SP_EnvTract_DB[#Headers],0),FALSE)</f>
        <v>0</v>
      </c>
      <c r="J110" s="69">
        <f>VLOOKUP($A110,SP_EnvTract_DB[],MATCH(J$2,SP_EnvTract_DB[#Headers],0),FALSE)</f>
        <v>0</v>
      </c>
      <c r="K110" s="69">
        <f>VLOOKUP($A110,SP_EnvTract_DB[],MATCH(K$2,SP_EnvTract_DB[#Headers],0),FALSE)</f>
        <v>0</v>
      </c>
      <c r="L110" s="69">
        <f>VLOOKUP($A110,SP_EnvTract_DB[],MATCH(L$2,SP_EnvTract_DB[#Headers],0),FALSE)</f>
        <v>0</v>
      </c>
      <c r="M110" s="69">
        <f>VLOOKUP($A110,SP_EnvTract_DB[],MATCH(M$2,SP_EnvTract_DB[#Headers],0),FALSE)</f>
        <v>0</v>
      </c>
      <c r="N110" s="69">
        <f>VLOOKUP($A110,SP_EnvTract_DB[],MATCH(N$2,SP_EnvTract_DB[#Headers],0),FALSE)</f>
        <v>0</v>
      </c>
      <c r="O110" s="74">
        <f>VLOOKUP($A110,SP_EnvTract_DB[],MATCH(O$2,SP_EnvTract_DB[#Headers],0),FALSE)</f>
        <v>0</v>
      </c>
      <c r="P110" s="73">
        <f>VLOOKUP($A110,SP_EnvTract_DB[],MATCH(P$2,SP_EnvTract_DB[#Headers],0),FALSE)</f>
        <v>0</v>
      </c>
      <c r="Q110" s="73">
        <f>VLOOKUP($A110,SP_EnvTract_DB[],MATCH(Q$2,SP_EnvTract_DB[#Headers],0),FALSE)</f>
        <v>0</v>
      </c>
      <c r="R110" s="74">
        <f>VLOOKUP($A110,SP_EnvTract_DB[],MATCH(R$2,SP_EnvTract_DB[#Headers],0),FALSE)</f>
        <v>0</v>
      </c>
      <c r="S110" s="68">
        <f>VLOOKUP($A110,SP_EnvTract_DB[],MATCH(S$2,SP_EnvTract_DB[#Headers],0),FALSE)</f>
        <v>0</v>
      </c>
      <c r="T110" s="68">
        <f>VLOOKUP($A110,SP_EnvTract_DB[],MATCH(T$2,SP_EnvTract_DB[#Headers],0),FALSE)</f>
        <v>0</v>
      </c>
      <c r="U110" s="74">
        <f>VLOOKUP($A110,SP_EnvTract_DB[],MATCH(U$2,SP_EnvTract_DB[#Headers],0),FALSE)</f>
        <v>0</v>
      </c>
      <c r="V110" s="68">
        <f>VLOOKUP($A110,SP_EnvTract_DB[],MATCH(V$2,SP_EnvTract_DB[#Headers],0),FALSE)</f>
        <v>0</v>
      </c>
      <c r="W110" s="68">
        <f>VLOOKUP($A110,SP_EnvTract_DB[],MATCH(W$2,SP_EnvTract_DB[#Headers],0),FALSE)</f>
        <v>0</v>
      </c>
      <c r="X110" s="68">
        <f>VLOOKUP($A110,SP_EnvTract_DB[],MATCH(X$2,SP_EnvTract_DB[#Headers],0),FALSE)</f>
        <v>0</v>
      </c>
      <c r="Y110" s="80">
        <f>VLOOKUP($A110,SP_EnvTract_DB[],MATCH(Y$2,SP_EnvTract_DB[#Headers],0),FALSE)</f>
        <v>0</v>
      </c>
      <c r="Z110" s="81" t="str">
        <f>IFERROR(IF(VLOOKUP(CONCATENATE($A110,"_",Z$1),SP_,MATCH(Z$2,SP_ENV_Lib[#Headers],0),FALSE)=0,"",VLOOKUP(CONCATENATE($A110,"_",Z$1),SP_ENV_Lib[],MATCH(Z$2,SP_ACQ_Lib[#Headers],0),FALSE)),"")</f>
        <v/>
      </c>
      <c r="AA110" s="74"/>
      <c r="AB110" s="74">
        <f>IFERROR(IF(VLOOKUP(CONCATENATE($A110,"_",AB$1),SP_ENV_Lib[],MATCH(AB$2,SP_ENV_Lib[#Headers],0),FALSE)=0,"",VLOOKUP(CONCATENATE($A110,"_",AB$1),SP_ENV_Lib[],MATCH(AB$2,SP_ENV_Lib[#Headers],0),FALSE)),"")</f>
        <v>43873.383449074077</v>
      </c>
      <c r="AC110" s="74">
        <f>IFERROR(IF(VLOOKUP(CONCATENATE($A110,"_",AC$1),SP_ENV_Lib[],MATCH(AC$2,SP_ENV_Lib[#Headers],0),FALSE)=0,"",VLOOKUP(CONCATENATE($A110,"_",AC$1),SP_ENV_Lib[],MATCH(AC$2,SP_ENV_Lib[#Headers],0),FALSE)),"")</f>
        <v>43850</v>
      </c>
      <c r="AD110" s="74">
        <f>IFERROR(IF(VLOOKUP(CONCATENATE($A110,"_",AD$1),SP_ENV_Lib[],MATCH(AD$2,SP_ENV_Lib[#Headers],0),FALSE)=0,"",VLOOKUP(CONCATENATE($A110,"_",AD$1),SP_ENV_Lib[],MATCH(AD$2,SP_ENV_Lib[#Headers],0),FALSE)),"")</f>
        <v>43906</v>
      </c>
      <c r="AE110" s="74" t="str">
        <f>IFERROR(IF(VLOOKUP(CONCATENATE($A110,"_",AE$1),SP_ENV_Lib[],MATCH(AE$2,SP_ENV_Lib[#Headers],0),FALSE)=0,"",VLOOKUP(CONCATENATE($A110,"_",AE$1),SP_ENV_Lib[],MATCH(AE$2,SP_ENV_Lib[#Headers],0),FALSE)),"")</f>
        <v/>
      </c>
      <c r="AF110" s="172" t="str">
        <f>IFERROR(VLOOKUP(CONCATENATE($A110,"_",AF$1),SP_ENV_Lib[],MATCH(AF$2,SP_ENV_Lib[#Headers],0),FALSE),0)</f>
        <v>Accepted</v>
      </c>
      <c r="AG110" s="74"/>
      <c r="AH110" s="74"/>
      <c r="AI110" s="74"/>
      <c r="AJ110" s="84"/>
    </row>
    <row r="111" spans="1:36" ht="15" x14ac:dyDescent="0.2">
      <c r="A111" s="67" t="s">
        <v>3222</v>
      </c>
      <c r="B111" s="154" t="str">
        <f>LEFT(VLOOKUP($A111,SP_EnvTract_DB[],MATCH(B$2,SP_EnvTract_DB[#Headers],0),FALSE),7)</f>
        <v>R026763</v>
      </c>
      <c r="C111" s="68" t="str">
        <f>VLOOKUP($A111,SP_EnvTract_DB[],MATCH(C$2,SP_EnvTract_DB[#Headers],0),FALSE)</f>
        <v>ENV</v>
      </c>
      <c r="D111" s="156" t="str">
        <f>VLOOKUP($A111,SP_EnvTract_DB[],MATCH(D$2,SP_EnvTract_DB[#Headers],0),FALSE)</f>
        <v>DONJUAN ERASMO R ETUX LUCIA;#220</v>
      </c>
      <c r="E111" s="156" t="str">
        <f>VLOOKUP($A111,SP_EnvTract_DB[],MATCH(E$2,SP_EnvTract_DB[#Headers],0),FALSE)</f>
        <v>517 BRIETLING LN;#220</v>
      </c>
      <c r="F111" s="69">
        <f>VLOOKUP($A111,SP_EnvTract_DB[],MATCH(F$2,SP_EnvTract_DB[#Headers],0),FALSE)</f>
        <v>0</v>
      </c>
      <c r="G111" s="73">
        <f>VLOOKUP($A111,SP_EnvTract_DB[],MATCH(G$2,SP_EnvTract_DB[#Headers],0),FALSE)</f>
        <v>0</v>
      </c>
      <c r="H111" s="73" t="str">
        <f>VLOOKUP($A111,SP_EnvTract_DB[],MATCH(H$2,SP_EnvTract_DB[#Headers],0),FALSE)</f>
        <v>Melissa DeLeon</v>
      </c>
      <c r="I111" s="69">
        <f>VLOOKUP($A111,SP_EnvTract_DB[],MATCH(I$2,SP_EnvTract_DB[#Headers],0),FALSE)</f>
        <v>0</v>
      </c>
      <c r="J111" s="69">
        <f>VLOOKUP($A111,SP_EnvTract_DB[],MATCH(J$2,SP_EnvTract_DB[#Headers],0),FALSE)</f>
        <v>0</v>
      </c>
      <c r="K111" s="69">
        <f>VLOOKUP($A111,SP_EnvTract_DB[],MATCH(K$2,SP_EnvTract_DB[#Headers],0),FALSE)</f>
        <v>0</v>
      </c>
      <c r="L111" s="69">
        <f>VLOOKUP($A111,SP_EnvTract_DB[],MATCH(L$2,SP_EnvTract_DB[#Headers],0),FALSE)</f>
        <v>0</v>
      </c>
      <c r="M111" s="69">
        <f>VLOOKUP($A111,SP_EnvTract_DB[],MATCH(M$2,SP_EnvTract_DB[#Headers],0),FALSE)</f>
        <v>0</v>
      </c>
      <c r="N111" s="69">
        <f>VLOOKUP($A111,SP_EnvTract_DB[],MATCH(N$2,SP_EnvTract_DB[#Headers],0),FALSE)</f>
        <v>0</v>
      </c>
      <c r="O111" s="74">
        <f>VLOOKUP($A111,SP_EnvTract_DB[],MATCH(O$2,SP_EnvTract_DB[#Headers],0),FALSE)</f>
        <v>0</v>
      </c>
      <c r="P111" s="73">
        <f>VLOOKUP($A111,SP_EnvTract_DB[],MATCH(P$2,SP_EnvTract_DB[#Headers],0),FALSE)</f>
        <v>0</v>
      </c>
      <c r="Q111" s="73">
        <f>VLOOKUP($A111,SP_EnvTract_DB[],MATCH(Q$2,SP_EnvTract_DB[#Headers],0),FALSE)</f>
        <v>0</v>
      </c>
      <c r="R111" s="74">
        <f>VLOOKUP($A111,SP_EnvTract_DB[],MATCH(R$2,SP_EnvTract_DB[#Headers],0),FALSE)</f>
        <v>0</v>
      </c>
      <c r="S111" s="68">
        <f>VLOOKUP($A111,SP_EnvTract_DB[],MATCH(S$2,SP_EnvTract_DB[#Headers],0),FALSE)</f>
        <v>0</v>
      </c>
      <c r="T111" s="68">
        <f>VLOOKUP($A111,SP_EnvTract_DB[],MATCH(T$2,SP_EnvTract_DB[#Headers],0),FALSE)</f>
        <v>0</v>
      </c>
      <c r="U111" s="74">
        <f>VLOOKUP($A111,SP_EnvTract_DB[],MATCH(U$2,SP_EnvTract_DB[#Headers],0),FALSE)</f>
        <v>0</v>
      </c>
      <c r="V111" s="68">
        <f>VLOOKUP($A111,SP_EnvTract_DB[],MATCH(V$2,SP_EnvTract_DB[#Headers],0),FALSE)</f>
        <v>0</v>
      </c>
      <c r="W111" s="68">
        <f>VLOOKUP($A111,SP_EnvTract_DB[],MATCH(W$2,SP_EnvTract_DB[#Headers],0),FALSE)</f>
        <v>0</v>
      </c>
      <c r="X111" s="68">
        <f>VLOOKUP($A111,SP_EnvTract_DB[],MATCH(X$2,SP_EnvTract_DB[#Headers],0),FALSE)</f>
        <v>0</v>
      </c>
      <c r="Y111" s="80">
        <f>VLOOKUP($A111,SP_EnvTract_DB[],MATCH(Y$2,SP_EnvTract_DB[#Headers],0),FALSE)</f>
        <v>0</v>
      </c>
      <c r="Z111" s="81" t="str">
        <f>IFERROR(IF(VLOOKUP(CONCATENATE($A111,"_",Z$1),SP_,MATCH(Z$2,SP_ENV_Lib[#Headers],0),FALSE)=0,"",VLOOKUP(CONCATENATE($A111,"_",Z$1),SP_ENV_Lib[],MATCH(Z$2,SP_ACQ_Lib[#Headers],0),FALSE)),"")</f>
        <v/>
      </c>
      <c r="AA111" s="74"/>
      <c r="AB111" s="74">
        <f>IFERROR(IF(VLOOKUP(CONCATENATE($A111,"_",AB$1),SP_ENV_Lib[],MATCH(AB$2,SP_ENV_Lib[#Headers],0),FALSE)=0,"",VLOOKUP(CONCATENATE($A111,"_",AB$1),SP_ENV_Lib[],MATCH(AB$2,SP_ENV_Lib[#Headers],0),FALSE)),"")</f>
        <v>43924.726840277777</v>
      </c>
      <c r="AC111" s="74">
        <f>IFERROR(IF(VLOOKUP(CONCATENATE($A111,"_",AC$1),SP_ENV_Lib[],MATCH(AC$2,SP_ENV_Lib[#Headers],0),FALSE)=0,"",VLOOKUP(CONCATENATE($A111,"_",AC$1),SP_ENV_Lib[],MATCH(AC$2,SP_ENV_Lib[#Headers],0),FALSE)),"")</f>
        <v>43850</v>
      </c>
      <c r="AD111" s="74">
        <f>IFERROR(IF(VLOOKUP(CONCATENATE($A111,"_",AD$1),SP_ENV_Lib[],MATCH(AD$2,SP_ENV_Lib[#Headers],0),FALSE)=0,"",VLOOKUP(CONCATENATE($A111,"_",AD$1),SP_ENV_Lib[],MATCH(AD$2,SP_ENV_Lib[#Headers],0),FALSE)),"")</f>
        <v>43949</v>
      </c>
      <c r="AE111" s="74" t="str">
        <f>IFERROR(IF(VLOOKUP(CONCATENATE($A111,"_",AE$1),SP_ENV_Lib[],MATCH(AE$2,SP_ENV_Lib[#Headers],0),FALSE)=0,"",VLOOKUP(CONCATENATE($A111,"_",AE$1),SP_ENV_Lib[],MATCH(AE$2,SP_ENV_Lib[#Headers],0),FALSE)),"")</f>
        <v/>
      </c>
      <c r="AF111" s="172" t="str">
        <f>IFERROR(VLOOKUP(CONCATENATE($A111,"_",AF$1),SP_ENV_Lib[],MATCH(AF$2,SP_ENV_Lib[#Headers],0),FALSE),0)</f>
        <v>Accepted</v>
      </c>
      <c r="AG111" s="74"/>
      <c r="AH111" s="74"/>
      <c r="AI111" s="74"/>
      <c r="AJ111" s="84"/>
    </row>
    <row r="112" spans="1:36" ht="15" x14ac:dyDescent="0.2">
      <c r="A112" s="67" t="s">
        <v>3227</v>
      </c>
      <c r="B112" s="154" t="str">
        <f>LEFT(VLOOKUP($A112,SP_EnvTract_DB[],MATCH(B$2,SP_EnvTract_DB[#Headers],0),FALSE),7)</f>
        <v>R026764</v>
      </c>
      <c r="C112" s="68" t="str">
        <f>VLOOKUP($A112,SP_EnvTract_DB[],MATCH(C$2,SP_EnvTract_DB[#Headers],0),FALSE)</f>
        <v>ENV</v>
      </c>
      <c r="D112" s="156" t="str">
        <f>VLOOKUP($A112,SP_EnvTract_DB[],MATCH(D$2,SP_EnvTract_DB[#Headers],0),FALSE)</f>
        <v>GALVAN PABLO AND GALVAN ORELIA;#221</v>
      </c>
      <c r="E112" s="156" t="str">
        <f>VLOOKUP($A112,SP_EnvTract_DB[],MATCH(E$2,SP_EnvTract_DB[#Headers],0),FALSE)</f>
        <v>523 BRIETLING LN;#221</v>
      </c>
      <c r="F112" s="69">
        <f>VLOOKUP($A112,SP_EnvTract_DB[],MATCH(F$2,SP_EnvTract_DB[#Headers],0),FALSE)</f>
        <v>0</v>
      </c>
      <c r="G112" s="73">
        <f>VLOOKUP($A112,SP_EnvTract_DB[],MATCH(G$2,SP_EnvTract_DB[#Headers],0),FALSE)</f>
        <v>0</v>
      </c>
      <c r="H112" s="73" t="str">
        <f>VLOOKUP($A112,SP_EnvTract_DB[],MATCH(H$2,SP_EnvTract_DB[#Headers],0),FALSE)</f>
        <v>Melissa DeLeon</v>
      </c>
      <c r="I112" s="69">
        <f>VLOOKUP($A112,SP_EnvTract_DB[],MATCH(I$2,SP_EnvTract_DB[#Headers],0),FALSE)</f>
        <v>0</v>
      </c>
      <c r="J112" s="69">
        <f>VLOOKUP($A112,SP_EnvTract_DB[],MATCH(J$2,SP_EnvTract_DB[#Headers],0),FALSE)</f>
        <v>0</v>
      </c>
      <c r="K112" s="69">
        <f>VLOOKUP($A112,SP_EnvTract_DB[],MATCH(K$2,SP_EnvTract_DB[#Headers],0),FALSE)</f>
        <v>0</v>
      </c>
      <c r="L112" s="69">
        <f>VLOOKUP($A112,SP_EnvTract_DB[],MATCH(L$2,SP_EnvTract_DB[#Headers],0),FALSE)</f>
        <v>0</v>
      </c>
      <c r="M112" s="69">
        <f>VLOOKUP($A112,SP_EnvTract_DB[],MATCH(M$2,SP_EnvTract_DB[#Headers],0),FALSE)</f>
        <v>0</v>
      </c>
      <c r="N112" s="69">
        <f>VLOOKUP($A112,SP_EnvTract_DB[],MATCH(N$2,SP_EnvTract_DB[#Headers],0),FALSE)</f>
        <v>0</v>
      </c>
      <c r="O112" s="74">
        <f>VLOOKUP($A112,SP_EnvTract_DB[],MATCH(O$2,SP_EnvTract_DB[#Headers],0),FALSE)</f>
        <v>0</v>
      </c>
      <c r="P112" s="73">
        <f>VLOOKUP($A112,SP_EnvTract_DB[],MATCH(P$2,SP_EnvTract_DB[#Headers],0),FALSE)</f>
        <v>0</v>
      </c>
      <c r="Q112" s="73">
        <f>VLOOKUP($A112,SP_EnvTract_DB[],MATCH(Q$2,SP_EnvTract_DB[#Headers],0),FALSE)</f>
        <v>0</v>
      </c>
      <c r="R112" s="74">
        <f>VLOOKUP($A112,SP_EnvTract_DB[],MATCH(R$2,SP_EnvTract_DB[#Headers],0),FALSE)</f>
        <v>0</v>
      </c>
      <c r="S112" s="68">
        <f>VLOOKUP($A112,SP_EnvTract_DB[],MATCH(S$2,SP_EnvTract_DB[#Headers],0),FALSE)</f>
        <v>0</v>
      </c>
      <c r="T112" s="68">
        <f>VLOOKUP($A112,SP_EnvTract_DB[],MATCH(T$2,SP_EnvTract_DB[#Headers],0),FALSE)</f>
        <v>0</v>
      </c>
      <c r="U112" s="74">
        <f>VLOOKUP($A112,SP_EnvTract_DB[],MATCH(U$2,SP_EnvTract_DB[#Headers],0),FALSE)</f>
        <v>0</v>
      </c>
      <c r="V112" s="68">
        <f>VLOOKUP($A112,SP_EnvTract_DB[],MATCH(V$2,SP_EnvTract_DB[#Headers],0),FALSE)</f>
        <v>0</v>
      </c>
      <c r="W112" s="68">
        <f>VLOOKUP($A112,SP_EnvTract_DB[],MATCH(W$2,SP_EnvTract_DB[#Headers],0),FALSE)</f>
        <v>0</v>
      </c>
      <c r="X112" s="68">
        <f>VLOOKUP($A112,SP_EnvTract_DB[],MATCH(X$2,SP_EnvTract_DB[#Headers],0),FALSE)</f>
        <v>0</v>
      </c>
      <c r="Y112" s="80">
        <f>VLOOKUP($A112,SP_EnvTract_DB[],MATCH(Y$2,SP_EnvTract_DB[#Headers],0),FALSE)</f>
        <v>0</v>
      </c>
      <c r="Z112" s="81" t="str">
        <f>IFERROR(IF(VLOOKUP(CONCATENATE($A112,"_",Z$1),SP_,MATCH(Z$2,SP_ENV_Lib[#Headers],0),FALSE)=0,"",VLOOKUP(CONCATENATE($A112,"_",Z$1),SP_ENV_Lib[],MATCH(Z$2,SP_ACQ_Lib[#Headers],0),FALSE)),"")</f>
        <v/>
      </c>
      <c r="AA112" s="74"/>
      <c r="AB112" s="74">
        <f>IFERROR(IF(VLOOKUP(CONCATENATE($A112,"_",AB$1),SP_ENV_Lib[],MATCH(AB$2,SP_ENV_Lib[#Headers],0),FALSE)=0,"",VLOOKUP(CONCATENATE($A112,"_",AB$1),SP_ENV_Lib[],MATCH(AB$2,SP_ENV_Lib[#Headers],0),FALSE)),"")</f>
        <v>43964.728576388887</v>
      </c>
      <c r="AC112" s="74">
        <f>IFERROR(IF(VLOOKUP(CONCATENATE($A112,"_",AC$1),SP_ENV_Lib[],MATCH(AC$2,SP_ENV_Lib[#Headers],0),FALSE)=0,"",VLOOKUP(CONCATENATE($A112,"_",AC$1),SP_ENV_Lib[],MATCH(AC$2,SP_ENV_Lib[#Headers],0),FALSE)),"")</f>
        <v>43850</v>
      </c>
      <c r="AD112" s="74">
        <f>IFERROR(IF(VLOOKUP(CONCATENATE($A112,"_",AD$1),SP_ENV_Lib[],MATCH(AD$2,SP_ENV_Lib[#Headers],0),FALSE)=0,"",VLOOKUP(CONCATENATE($A112,"_",AD$1),SP_ENV_Lib[],MATCH(AD$2,SP_ENV_Lib[#Headers],0),FALSE)),"")</f>
        <v>43977</v>
      </c>
      <c r="AE112" s="74" t="str">
        <f>IFERROR(IF(VLOOKUP(CONCATENATE($A112,"_",AE$1),SP_ENV_Lib[],MATCH(AE$2,SP_ENV_Lib[#Headers],0),FALSE)=0,"",VLOOKUP(CONCATENATE($A112,"_",AE$1),SP_ENV_Lib[],MATCH(AE$2,SP_ENV_Lib[#Headers],0),FALSE)),"")</f>
        <v/>
      </c>
      <c r="AF112" s="172" t="str">
        <f>IFERROR(VLOOKUP(CONCATENATE($A112,"_",AF$1),SP_ENV_Lib[],MATCH(AF$2,SP_ENV_Lib[#Headers],0),FALSE),0)</f>
        <v>Accepted</v>
      </c>
      <c r="AG112" s="74"/>
      <c r="AH112" s="74"/>
      <c r="AI112" s="74"/>
      <c r="AJ112" s="84"/>
    </row>
    <row r="113" spans="1:36" ht="15" x14ac:dyDescent="0.2">
      <c r="A113" s="67" t="s">
        <v>3232</v>
      </c>
      <c r="B113" s="154" t="str">
        <f>LEFT(VLOOKUP($A113,SP_EnvTract_DB[],MATCH(B$2,SP_EnvTract_DB[#Headers],0),FALSE),7)</f>
        <v>R026767</v>
      </c>
      <c r="C113" s="68" t="str">
        <f>VLOOKUP($A113,SP_EnvTract_DB[],MATCH(C$2,SP_EnvTract_DB[#Headers],0),FALSE)</f>
        <v>ENV</v>
      </c>
      <c r="D113" s="156" t="str">
        <f>VLOOKUP($A113,SP_EnvTract_DB[],MATCH(D$2,SP_EnvTract_DB[#Headers],0),FALSE)</f>
        <v>HEARD ELISABETH J &amp; HEARD MELVIN A;#222</v>
      </c>
      <c r="E113" s="156" t="str">
        <f>VLOOKUP($A113,SP_EnvTract_DB[],MATCH(E$2,SP_EnvTract_DB[#Headers],0),FALSE)</f>
        <v>0 BLACK;#222</v>
      </c>
      <c r="F113" s="69">
        <f>VLOOKUP($A113,SP_EnvTract_DB[],MATCH(F$2,SP_EnvTract_DB[#Headers],0),FALSE)</f>
        <v>0</v>
      </c>
      <c r="G113" s="73">
        <f>VLOOKUP($A113,SP_EnvTract_DB[],MATCH(G$2,SP_EnvTract_DB[#Headers],0),FALSE)</f>
        <v>0</v>
      </c>
      <c r="H113" s="73" t="str">
        <f>VLOOKUP($A113,SP_EnvTract_DB[],MATCH(H$2,SP_EnvTract_DB[#Headers],0),FALSE)</f>
        <v>Suzy Romoser-Broadway</v>
      </c>
      <c r="I113" s="69">
        <f>VLOOKUP($A113,SP_EnvTract_DB[],MATCH(I$2,SP_EnvTract_DB[#Headers],0),FALSE)</f>
        <v>0</v>
      </c>
      <c r="J113" s="69">
        <f>VLOOKUP($A113,SP_EnvTract_DB[],MATCH(J$2,SP_EnvTract_DB[#Headers],0),FALSE)</f>
        <v>0</v>
      </c>
      <c r="K113" s="69">
        <f>VLOOKUP($A113,SP_EnvTract_DB[],MATCH(K$2,SP_EnvTract_DB[#Headers],0),FALSE)</f>
        <v>0</v>
      </c>
      <c r="L113" s="69">
        <f>VLOOKUP($A113,SP_EnvTract_DB[],MATCH(L$2,SP_EnvTract_DB[#Headers],0),FALSE)</f>
        <v>0</v>
      </c>
      <c r="M113" s="69">
        <f>VLOOKUP($A113,SP_EnvTract_DB[],MATCH(M$2,SP_EnvTract_DB[#Headers],0),FALSE)</f>
        <v>0</v>
      </c>
      <c r="N113" s="69">
        <f>VLOOKUP($A113,SP_EnvTract_DB[],MATCH(N$2,SP_EnvTract_DB[#Headers],0),FALSE)</f>
        <v>0</v>
      </c>
      <c r="O113" s="74">
        <f>VLOOKUP($A113,SP_EnvTract_DB[],MATCH(O$2,SP_EnvTract_DB[#Headers],0),FALSE)</f>
        <v>0</v>
      </c>
      <c r="P113" s="73">
        <f>VLOOKUP($A113,SP_EnvTract_DB[],MATCH(P$2,SP_EnvTract_DB[#Headers],0),FALSE)</f>
        <v>0</v>
      </c>
      <c r="Q113" s="73">
        <f>VLOOKUP($A113,SP_EnvTract_DB[],MATCH(Q$2,SP_EnvTract_DB[#Headers],0),FALSE)</f>
        <v>0</v>
      </c>
      <c r="R113" s="74">
        <f>VLOOKUP($A113,SP_EnvTract_DB[],MATCH(R$2,SP_EnvTract_DB[#Headers],0),FALSE)</f>
        <v>0</v>
      </c>
      <c r="S113" s="68">
        <f>VLOOKUP($A113,SP_EnvTract_DB[],MATCH(S$2,SP_EnvTract_DB[#Headers],0),FALSE)</f>
        <v>0</v>
      </c>
      <c r="T113" s="68">
        <f>VLOOKUP($A113,SP_EnvTract_DB[],MATCH(T$2,SP_EnvTract_DB[#Headers],0),FALSE)</f>
        <v>0</v>
      </c>
      <c r="U113" s="74">
        <f>VLOOKUP($A113,SP_EnvTract_DB[],MATCH(U$2,SP_EnvTract_DB[#Headers],0),FALSE)</f>
        <v>0</v>
      </c>
      <c r="V113" s="68">
        <f>VLOOKUP($A113,SP_EnvTract_DB[],MATCH(V$2,SP_EnvTract_DB[#Headers],0),FALSE)</f>
        <v>0</v>
      </c>
      <c r="W113" s="68">
        <f>VLOOKUP($A113,SP_EnvTract_DB[],MATCH(W$2,SP_EnvTract_DB[#Headers],0),FALSE)</f>
        <v>0</v>
      </c>
      <c r="X113" s="68">
        <f>VLOOKUP($A113,SP_EnvTract_DB[],MATCH(X$2,SP_EnvTract_DB[#Headers],0),FALSE)</f>
        <v>0</v>
      </c>
      <c r="Y113" s="80">
        <f>VLOOKUP($A113,SP_EnvTract_DB[],MATCH(Y$2,SP_EnvTract_DB[#Headers],0),FALSE)</f>
        <v>0</v>
      </c>
      <c r="Z113" s="81" t="str">
        <f>IFERROR(IF(VLOOKUP(CONCATENATE($A113,"_",Z$1),SP_,MATCH(Z$2,SP_ENV_Lib[#Headers],0),FALSE)=0,"",VLOOKUP(CONCATENATE($A113,"_",Z$1),SP_ENV_Lib[],MATCH(Z$2,SP_ACQ_Lib[#Headers],0),FALSE)),"")</f>
        <v/>
      </c>
      <c r="AA113" s="74"/>
      <c r="AB113" s="74">
        <f>IFERROR(IF(VLOOKUP(CONCATENATE($A113,"_",AB$1),SP_ENV_Lib[],MATCH(AB$2,SP_ENV_Lib[#Headers],0),FALSE)=0,"",VLOOKUP(CONCATENATE($A113,"_",AB$1),SP_ENV_Lib[],MATCH(AB$2,SP_ENV_Lib[#Headers],0),FALSE)),"")</f>
        <v>43895.440462962964</v>
      </c>
      <c r="AC113" s="74" t="str">
        <f>IFERROR(IF(VLOOKUP(CONCATENATE($A113,"_",AC$1),SP_ENV_Lib[],MATCH(AC$2,SP_ENV_Lib[#Headers],0),FALSE)=0,"",VLOOKUP(CONCATENATE($A113,"_",AC$1),SP_ENV_Lib[],MATCH(AC$2,SP_ENV_Lib[#Headers],0),FALSE)),"")</f>
        <v/>
      </c>
      <c r="AD113" s="74">
        <f>IFERROR(IF(VLOOKUP(CONCATENATE($A113,"_",AD$1),SP_ENV_Lib[],MATCH(AD$2,SP_ENV_Lib[#Headers],0),FALSE)=0,"",VLOOKUP(CONCATENATE($A113,"_",AD$1),SP_ENV_Lib[],MATCH(AD$2,SP_ENV_Lib[#Headers],0),FALSE)),"")</f>
        <v>43887</v>
      </c>
      <c r="AE113" s="74" t="str">
        <f>IFERROR(IF(VLOOKUP(CONCATENATE($A113,"_",AE$1),SP_ENV_Lib[],MATCH(AE$2,SP_ENV_Lib[#Headers],0),FALSE)=0,"",VLOOKUP(CONCATENATE($A113,"_",AE$1),SP_ENV_Lib[],MATCH(AE$2,SP_ENV_Lib[#Headers],0),FALSE)),"")</f>
        <v/>
      </c>
      <c r="AF113" s="172" t="str">
        <f>IFERROR(VLOOKUP(CONCATENATE($A113,"_",AF$1),SP_ENV_Lib[],MATCH(AF$2,SP_ENV_Lib[#Headers],0),FALSE),0)</f>
        <v>Accepted</v>
      </c>
      <c r="AG113" s="74"/>
      <c r="AH113" s="74"/>
      <c r="AI113" s="74"/>
      <c r="AJ113" s="84"/>
    </row>
    <row r="114" spans="1:36" ht="15" x14ac:dyDescent="0.2">
      <c r="A114" s="67" t="s">
        <v>3237</v>
      </c>
      <c r="B114" s="154" t="str">
        <f>LEFT(VLOOKUP($A114,SP_EnvTract_DB[],MATCH(B$2,SP_EnvTract_DB[#Headers],0),FALSE),7)</f>
        <v>R026770</v>
      </c>
      <c r="C114" s="68" t="str">
        <f>VLOOKUP($A114,SP_EnvTract_DB[],MATCH(C$2,SP_EnvTract_DB[#Headers],0),FALSE)</f>
        <v>ENV</v>
      </c>
      <c r="D114" s="156" t="str">
        <f>VLOOKUP($A114,SP_EnvTract_DB[],MATCH(D$2,SP_EnvTract_DB[#Headers],0),FALSE)</f>
        <v>PULIDO JUSTO MRS;#223</v>
      </c>
      <c r="E114" s="156" t="str">
        <f>VLOOKUP($A114,SP_EnvTract_DB[],MATCH(E$2,SP_EnvTract_DB[#Headers],0),FALSE)</f>
        <v>0 BLACK;#223</v>
      </c>
      <c r="F114" s="69">
        <f>VLOOKUP($A114,SP_EnvTract_DB[],MATCH(F$2,SP_EnvTract_DB[#Headers],0),FALSE)</f>
        <v>0</v>
      </c>
      <c r="G114" s="73">
        <f>VLOOKUP($A114,SP_EnvTract_DB[],MATCH(G$2,SP_EnvTract_DB[#Headers],0),FALSE)</f>
        <v>0</v>
      </c>
      <c r="H114" s="73" t="str">
        <f>VLOOKUP($A114,SP_EnvTract_DB[],MATCH(H$2,SP_EnvTract_DB[#Headers],0),FALSE)</f>
        <v>Melissa DeLeon</v>
      </c>
      <c r="I114" s="69">
        <f>VLOOKUP($A114,SP_EnvTract_DB[],MATCH(I$2,SP_EnvTract_DB[#Headers],0),FALSE)</f>
        <v>0</v>
      </c>
      <c r="J114" s="69">
        <f>VLOOKUP($A114,SP_EnvTract_DB[],MATCH(J$2,SP_EnvTract_DB[#Headers],0),FALSE)</f>
        <v>0</v>
      </c>
      <c r="K114" s="69">
        <f>VLOOKUP($A114,SP_EnvTract_DB[],MATCH(K$2,SP_EnvTract_DB[#Headers],0),FALSE)</f>
        <v>0</v>
      </c>
      <c r="L114" s="69">
        <f>VLOOKUP($A114,SP_EnvTract_DB[],MATCH(L$2,SP_EnvTract_DB[#Headers],0),FALSE)</f>
        <v>0</v>
      </c>
      <c r="M114" s="69">
        <f>VLOOKUP($A114,SP_EnvTract_DB[],MATCH(M$2,SP_EnvTract_DB[#Headers],0),FALSE)</f>
        <v>0</v>
      </c>
      <c r="N114" s="69">
        <f>VLOOKUP($A114,SP_EnvTract_DB[],MATCH(N$2,SP_EnvTract_DB[#Headers],0),FALSE)</f>
        <v>0</v>
      </c>
      <c r="O114" s="74">
        <f>VLOOKUP($A114,SP_EnvTract_DB[],MATCH(O$2,SP_EnvTract_DB[#Headers],0),FALSE)</f>
        <v>0</v>
      </c>
      <c r="P114" s="73">
        <f>VLOOKUP($A114,SP_EnvTract_DB[],MATCH(P$2,SP_EnvTract_DB[#Headers],0),FALSE)</f>
        <v>0</v>
      </c>
      <c r="Q114" s="73">
        <f>VLOOKUP($A114,SP_EnvTract_DB[],MATCH(Q$2,SP_EnvTract_DB[#Headers],0),FALSE)</f>
        <v>0</v>
      </c>
      <c r="R114" s="74">
        <f>VLOOKUP($A114,SP_EnvTract_DB[],MATCH(R$2,SP_EnvTract_DB[#Headers],0),FALSE)</f>
        <v>0</v>
      </c>
      <c r="S114" s="68">
        <f>VLOOKUP($A114,SP_EnvTract_DB[],MATCH(S$2,SP_EnvTract_DB[#Headers],0),FALSE)</f>
        <v>0</v>
      </c>
      <c r="T114" s="68">
        <f>VLOOKUP($A114,SP_EnvTract_DB[],MATCH(T$2,SP_EnvTract_DB[#Headers],0),FALSE)</f>
        <v>0</v>
      </c>
      <c r="U114" s="74">
        <f>VLOOKUP($A114,SP_EnvTract_DB[],MATCH(U$2,SP_EnvTract_DB[#Headers],0),FALSE)</f>
        <v>0</v>
      </c>
      <c r="V114" s="68">
        <f>VLOOKUP($A114,SP_EnvTract_DB[],MATCH(V$2,SP_EnvTract_DB[#Headers],0),FALSE)</f>
        <v>0</v>
      </c>
      <c r="W114" s="68">
        <f>VLOOKUP($A114,SP_EnvTract_DB[],MATCH(W$2,SP_EnvTract_DB[#Headers],0),FALSE)</f>
        <v>0</v>
      </c>
      <c r="X114" s="68">
        <f>VLOOKUP($A114,SP_EnvTract_DB[],MATCH(X$2,SP_EnvTract_DB[#Headers],0),FALSE)</f>
        <v>0</v>
      </c>
      <c r="Y114" s="80">
        <f>VLOOKUP($A114,SP_EnvTract_DB[],MATCH(Y$2,SP_EnvTract_DB[#Headers],0),FALSE)</f>
        <v>0</v>
      </c>
      <c r="Z114" s="81" t="str">
        <f>IFERROR(IF(VLOOKUP(CONCATENATE($A114,"_",Z$1),SP_,MATCH(Z$2,SP_ENV_Lib[#Headers],0),FALSE)=0,"",VLOOKUP(CONCATENATE($A114,"_",Z$1),SP_ENV_Lib[],MATCH(Z$2,SP_ACQ_Lib[#Headers],0),FALSE)),"")</f>
        <v/>
      </c>
      <c r="AA114" s="74"/>
      <c r="AB114" s="74">
        <f>IFERROR(IF(VLOOKUP(CONCATENATE($A114,"_",AB$1),SP_ENV_Lib[],MATCH(AB$2,SP_ENV_Lib[#Headers],0),FALSE)=0,"",VLOOKUP(CONCATENATE($A114,"_",AB$1),SP_ENV_Lib[],MATCH(AB$2,SP_ENV_Lib[#Headers],0),FALSE)),"")</f>
        <v>43924.733391203707</v>
      </c>
      <c r="AC114" s="74" t="str">
        <f>IFERROR(IF(VLOOKUP(CONCATENATE($A114,"_",AC$1),SP_ENV_Lib[],MATCH(AC$2,SP_ENV_Lib[#Headers],0),FALSE)=0,"",VLOOKUP(CONCATENATE($A114,"_",AC$1),SP_ENV_Lib[],MATCH(AC$2,SP_ENV_Lib[#Headers],0),FALSE)),"")</f>
        <v/>
      </c>
      <c r="AD114" s="74" t="str">
        <f>IFERROR(IF(VLOOKUP(CONCATENATE($A114,"_",AD$1),SP_ENV_Lib[],MATCH(AD$2,SP_ENV_Lib[#Headers],0),FALSE)=0,"",VLOOKUP(CONCATENATE($A114,"_",AD$1),SP_ENV_Lib[],MATCH(AD$2,SP_ENV_Lib[#Headers],0),FALSE)),"")</f>
        <v/>
      </c>
      <c r="AE114" s="74" t="str">
        <f>IFERROR(IF(VLOOKUP(CONCATENATE($A114,"_",AE$1),SP_ENV_Lib[],MATCH(AE$2,SP_ENV_Lib[#Headers],0),FALSE)=0,"",VLOOKUP(CONCATENATE($A114,"_",AE$1),SP_ENV_Lib[],MATCH(AE$2,SP_ENV_Lib[#Headers],0),FALSE)),"")</f>
        <v/>
      </c>
      <c r="AF114" s="172">
        <f>IFERROR(VLOOKUP(CONCATENATE($A114,"_",AF$1),SP_ENV_Lib[],MATCH(AF$2,SP_ENV_Lib[#Headers],0),FALSE),0)</f>
        <v>0</v>
      </c>
      <c r="AG114" s="74"/>
      <c r="AH114" s="74"/>
      <c r="AI114" s="74"/>
      <c r="AJ114" s="84"/>
    </row>
    <row r="115" spans="1:36" ht="15" x14ac:dyDescent="0.2">
      <c r="A115" s="67" t="s">
        <v>3255</v>
      </c>
      <c r="B115" s="154" t="str">
        <f>LEFT(VLOOKUP($A115,SP_EnvTract_DB[],MATCH(B$2,SP_EnvTract_DB[#Headers],0),FALSE),7)</f>
        <v>R026968</v>
      </c>
      <c r="C115" s="68" t="str">
        <f>VLOOKUP($A115,SP_EnvTract_DB[],MATCH(C$2,SP_EnvTract_DB[#Headers],0),FALSE)</f>
        <v>PH2</v>
      </c>
      <c r="D115" s="156" t="str">
        <f>VLOOKUP($A115,SP_EnvTract_DB[],MATCH(D$2,SP_EnvTract_DB[#Headers],0),FALSE)</f>
        <v>MILLER MELISSA &amp; GILBERT GARY;#237</v>
      </c>
      <c r="E115" s="156" t="str">
        <f>VLOOKUP($A115,SP_EnvTract_DB[],MATCH(E$2,SP_EnvTract_DB[#Headers],0),FALSE)</f>
        <v>2715 N CR 166;#237</v>
      </c>
      <c r="F115" s="69">
        <f>VLOOKUP($A115,SP_EnvTract_DB[],MATCH(F$2,SP_EnvTract_DB[#Headers],0),FALSE)</f>
        <v>0</v>
      </c>
      <c r="G115" s="73">
        <f>VLOOKUP($A115,SP_EnvTract_DB[],MATCH(G$2,SP_EnvTract_DB[#Headers],0),FALSE)</f>
        <v>0</v>
      </c>
      <c r="H115" s="73" t="str">
        <f>VLOOKUP($A115,SP_EnvTract_DB[],MATCH(H$2,SP_EnvTract_DB[#Headers],0),FALSE)</f>
        <v>Suzy Romoser-Broadway</v>
      </c>
      <c r="I115" s="69">
        <f>VLOOKUP($A115,SP_EnvTract_DB[],MATCH(I$2,SP_EnvTract_DB[#Headers],0),FALSE)</f>
        <v>0</v>
      </c>
      <c r="J115" s="69">
        <f>VLOOKUP($A115,SP_EnvTract_DB[],MATCH(J$2,SP_EnvTract_DB[#Headers],0),FALSE)</f>
        <v>0</v>
      </c>
      <c r="K115" s="69">
        <f>VLOOKUP($A115,SP_EnvTract_DB[],MATCH(K$2,SP_EnvTract_DB[#Headers],0),FALSE)</f>
        <v>0</v>
      </c>
      <c r="L115" s="69">
        <f>VLOOKUP($A115,SP_EnvTract_DB[],MATCH(L$2,SP_EnvTract_DB[#Headers],0),FALSE)</f>
        <v>0</v>
      </c>
      <c r="M115" s="69">
        <f>VLOOKUP($A115,SP_EnvTract_DB[],MATCH(M$2,SP_EnvTract_DB[#Headers],0),FALSE)</f>
        <v>0</v>
      </c>
      <c r="N115" s="69">
        <f>VLOOKUP($A115,SP_EnvTract_DB[],MATCH(N$2,SP_EnvTract_DB[#Headers],0),FALSE)</f>
        <v>0</v>
      </c>
      <c r="O115" s="74">
        <f>VLOOKUP($A115,SP_EnvTract_DB[],MATCH(O$2,SP_EnvTract_DB[#Headers],0),FALSE)</f>
        <v>0</v>
      </c>
      <c r="P115" s="73">
        <f>VLOOKUP($A115,SP_EnvTract_DB[],MATCH(P$2,SP_EnvTract_DB[#Headers],0),FALSE)</f>
        <v>0</v>
      </c>
      <c r="Q115" s="73">
        <f>VLOOKUP($A115,SP_EnvTract_DB[],MATCH(Q$2,SP_EnvTract_DB[#Headers],0),FALSE)</f>
        <v>0</v>
      </c>
      <c r="R115" s="74">
        <f>VLOOKUP($A115,SP_EnvTract_DB[],MATCH(R$2,SP_EnvTract_DB[#Headers],0),FALSE)</f>
        <v>0</v>
      </c>
      <c r="S115" s="68">
        <f>VLOOKUP($A115,SP_EnvTract_DB[],MATCH(S$2,SP_EnvTract_DB[#Headers],0),FALSE)</f>
        <v>0</v>
      </c>
      <c r="T115" s="68">
        <f>VLOOKUP($A115,SP_EnvTract_DB[],MATCH(T$2,SP_EnvTract_DB[#Headers],0),FALSE)</f>
        <v>0</v>
      </c>
      <c r="U115" s="74">
        <f>VLOOKUP($A115,SP_EnvTract_DB[],MATCH(U$2,SP_EnvTract_DB[#Headers],0),FALSE)</f>
        <v>0</v>
      </c>
      <c r="V115" s="68">
        <f>VLOOKUP($A115,SP_EnvTract_DB[],MATCH(V$2,SP_EnvTract_DB[#Headers],0),FALSE)</f>
        <v>0</v>
      </c>
      <c r="W115" s="68">
        <f>VLOOKUP($A115,SP_EnvTract_DB[],MATCH(W$2,SP_EnvTract_DB[#Headers],0),FALSE)</f>
        <v>0</v>
      </c>
      <c r="X115" s="68">
        <f>VLOOKUP($A115,SP_EnvTract_DB[],MATCH(X$2,SP_EnvTract_DB[#Headers],0),FALSE)</f>
        <v>0</v>
      </c>
      <c r="Y115" s="80">
        <f>VLOOKUP($A115,SP_EnvTract_DB[],MATCH(Y$2,SP_EnvTract_DB[#Headers],0),FALSE)</f>
        <v>0</v>
      </c>
      <c r="Z115" s="81" t="str">
        <f>IFERROR(IF(VLOOKUP(CONCATENATE($A115,"_",Z$1),SP_,MATCH(Z$2,SP_ENV_Lib[#Headers],0),FALSE)=0,"",VLOOKUP(CONCATENATE($A115,"_",Z$1),SP_ENV_Lib[],MATCH(Z$2,SP_ACQ_Lib[#Headers],0),FALSE)),"")</f>
        <v/>
      </c>
      <c r="AA115" s="74"/>
      <c r="AB115" s="74" t="str">
        <f>IFERROR(IF(VLOOKUP(CONCATENATE($A115,"_",AB$1),SP_ENV_Lib[],MATCH(AB$2,SP_ENV_Lib[#Headers],0),FALSE)=0,"",VLOOKUP(CONCATENATE($A115,"_",AB$1),SP_ENV_Lib[],MATCH(AB$2,SP_ENV_Lib[#Headers],0),FALSE)),"")</f>
        <v/>
      </c>
      <c r="AC115" s="74" t="str">
        <f>IFERROR(IF(VLOOKUP(CONCATENATE($A115,"_",AC$1),SP_ENV_Lib[],MATCH(AC$2,SP_ENV_Lib[#Headers],0),FALSE)=0,"",VLOOKUP(CONCATENATE($A115,"_",AC$1),SP_ENV_Lib[],MATCH(AC$2,SP_ENV_Lib[#Headers],0),FALSE)),"")</f>
        <v/>
      </c>
      <c r="AD115" s="74" t="str">
        <f>IFERROR(IF(VLOOKUP(CONCATENATE($A115,"_",AD$1),SP_ENV_Lib[],MATCH(AD$2,SP_ENV_Lib[#Headers],0),FALSE)=0,"",VLOOKUP(CONCATENATE($A115,"_",AD$1),SP_ENV_Lib[],MATCH(AD$2,SP_ENV_Lib[#Headers],0),FALSE)),"")</f>
        <v/>
      </c>
      <c r="AE115" s="74" t="str">
        <f>IFERROR(IF(VLOOKUP(CONCATENATE($A115,"_",AE$1),SP_ENV_Lib[],MATCH(AE$2,SP_ENV_Lib[#Headers],0),FALSE)=0,"",VLOOKUP(CONCATENATE($A115,"_",AE$1),SP_ENV_Lib[],MATCH(AE$2,SP_ENV_Lib[#Headers],0),FALSE)),"")</f>
        <v/>
      </c>
      <c r="AF115" s="172">
        <f>IFERROR(VLOOKUP(CONCATENATE($A115,"_",AF$1),SP_ENV_Lib[],MATCH(AF$2,SP_ENV_Lib[#Headers],0),FALSE),0)</f>
        <v>0</v>
      </c>
      <c r="AG115" s="74"/>
      <c r="AH115" s="74"/>
      <c r="AI115" s="74"/>
      <c r="AJ115" s="84"/>
    </row>
    <row r="116" spans="1:36" ht="15" x14ac:dyDescent="0.2">
      <c r="A116" s="67" t="s">
        <v>3261</v>
      </c>
      <c r="B116" s="154" t="str">
        <f>LEFT(VLOOKUP($A116,SP_EnvTract_DB[],MATCH(B$2,SP_EnvTract_DB[#Headers],0),FALSE),7)</f>
        <v>R027671</v>
      </c>
      <c r="C116" s="68" t="str">
        <f>VLOOKUP($A116,SP_EnvTract_DB[],MATCH(C$2,SP_EnvTract_DB[#Headers],0),FALSE)</f>
        <v>ENV</v>
      </c>
      <c r="D116" s="156" t="str">
        <f>VLOOKUP($A116,SP_EnvTract_DB[],MATCH(D$2,SP_EnvTract_DB[#Headers],0),FALSE)</f>
        <v>CLINT &amp; MICHELLE KOEHLER;#68</v>
      </c>
      <c r="E116" s="156" t="str">
        <f>VLOOKUP($A116,SP_EnvTract_DB[],MATCH(E$2,SP_EnvTract_DB[#Headers],0),FALSE)</f>
        <v>CR 241;#68</v>
      </c>
      <c r="F116" s="69">
        <f>VLOOKUP($A116,SP_EnvTract_DB[],MATCH(F$2,SP_EnvTract_DB[#Headers],0),FALSE)</f>
        <v>0</v>
      </c>
      <c r="G116" s="73">
        <f>VLOOKUP($A116,SP_EnvTract_DB[],MATCH(G$2,SP_EnvTract_DB[#Headers],0),FALSE)</f>
        <v>0</v>
      </c>
      <c r="H116" s="73">
        <f>VLOOKUP($A116,SP_EnvTract_DB[],MATCH(H$2,SP_EnvTract_DB[#Headers],0),FALSE)</f>
        <v>0</v>
      </c>
      <c r="I116" s="69">
        <f>VLOOKUP($A116,SP_EnvTract_DB[],MATCH(I$2,SP_EnvTract_DB[#Headers],0),FALSE)</f>
        <v>0</v>
      </c>
      <c r="J116" s="69">
        <f>VLOOKUP($A116,SP_EnvTract_DB[],MATCH(J$2,SP_EnvTract_DB[#Headers],0),FALSE)</f>
        <v>0</v>
      </c>
      <c r="K116" s="69">
        <f>VLOOKUP($A116,SP_EnvTract_DB[],MATCH(K$2,SP_EnvTract_DB[#Headers],0),FALSE)</f>
        <v>0</v>
      </c>
      <c r="L116" s="69">
        <f>VLOOKUP($A116,SP_EnvTract_DB[],MATCH(L$2,SP_EnvTract_DB[#Headers],0),FALSE)</f>
        <v>0</v>
      </c>
      <c r="M116" s="69">
        <f>VLOOKUP($A116,SP_EnvTract_DB[],MATCH(M$2,SP_EnvTract_DB[#Headers],0),FALSE)</f>
        <v>0</v>
      </c>
      <c r="N116" s="69">
        <f>VLOOKUP($A116,SP_EnvTract_DB[],MATCH(N$2,SP_EnvTract_DB[#Headers],0),FALSE)</f>
        <v>0</v>
      </c>
      <c r="O116" s="74">
        <f>VLOOKUP($A116,SP_EnvTract_DB[],MATCH(O$2,SP_EnvTract_DB[#Headers],0),FALSE)</f>
        <v>0</v>
      </c>
      <c r="P116" s="73">
        <f>VLOOKUP($A116,SP_EnvTract_DB[],MATCH(P$2,SP_EnvTract_DB[#Headers],0),FALSE)</f>
        <v>0</v>
      </c>
      <c r="Q116" s="73">
        <f>VLOOKUP($A116,SP_EnvTract_DB[],MATCH(Q$2,SP_EnvTract_DB[#Headers],0),FALSE)</f>
        <v>0</v>
      </c>
      <c r="R116" s="74">
        <f>VLOOKUP($A116,SP_EnvTract_DB[],MATCH(R$2,SP_EnvTract_DB[#Headers],0),FALSE)</f>
        <v>0</v>
      </c>
      <c r="S116" s="68">
        <f>VLOOKUP($A116,SP_EnvTract_DB[],MATCH(S$2,SP_EnvTract_DB[#Headers],0),FALSE)</f>
        <v>0</v>
      </c>
      <c r="T116" s="68">
        <f>VLOOKUP($A116,SP_EnvTract_DB[],MATCH(T$2,SP_EnvTract_DB[#Headers],0),FALSE)</f>
        <v>0</v>
      </c>
      <c r="U116" s="74">
        <f>VLOOKUP($A116,SP_EnvTract_DB[],MATCH(U$2,SP_EnvTract_DB[#Headers],0),FALSE)</f>
        <v>0</v>
      </c>
      <c r="V116" s="68">
        <f>VLOOKUP($A116,SP_EnvTract_DB[],MATCH(V$2,SP_EnvTract_DB[#Headers],0),FALSE)</f>
        <v>0</v>
      </c>
      <c r="W116" s="68">
        <f>VLOOKUP($A116,SP_EnvTract_DB[],MATCH(W$2,SP_EnvTract_DB[#Headers],0),FALSE)</f>
        <v>0</v>
      </c>
      <c r="X116" s="68">
        <f>VLOOKUP($A116,SP_EnvTract_DB[],MATCH(X$2,SP_EnvTract_DB[#Headers],0),FALSE)</f>
        <v>0</v>
      </c>
      <c r="Y116" s="80">
        <f>VLOOKUP($A116,SP_EnvTract_DB[],MATCH(Y$2,SP_EnvTract_DB[#Headers],0),FALSE)</f>
        <v>0</v>
      </c>
      <c r="Z116" s="81" t="str">
        <f>IFERROR(IF(VLOOKUP(CONCATENATE($A116,"_",Z$1),SP_,MATCH(Z$2,SP_ENV_Lib[#Headers],0),FALSE)=0,"",VLOOKUP(CONCATENATE($A116,"_",Z$1),SP_ENV_Lib[],MATCH(Z$2,SP_ACQ_Lib[#Headers],0),FALSE)),"")</f>
        <v/>
      </c>
      <c r="AA116" s="74"/>
      <c r="AB116" s="74">
        <f>IFERROR(IF(VLOOKUP(CONCATENATE($A116,"_",AB$1),SP_ENV_Lib[],MATCH(AB$2,SP_ENV_Lib[#Headers],0),FALSE)=0,"",VLOOKUP(CONCATENATE($A116,"_",AB$1),SP_ENV_Lib[],MATCH(AB$2,SP_ENV_Lib[#Headers],0),FALSE)),"")</f>
        <v>43895.563969907409</v>
      </c>
      <c r="AC116" s="74">
        <f>IFERROR(IF(VLOOKUP(CONCATENATE($A116,"_",AC$1),SP_ENV_Lib[],MATCH(AC$2,SP_ENV_Lib[#Headers],0),FALSE)=0,"",VLOOKUP(CONCATENATE($A116,"_",AC$1),SP_ENV_Lib[],MATCH(AC$2,SP_ENV_Lib[#Headers],0),FALSE)),"")</f>
        <v>43850</v>
      </c>
      <c r="AD116" s="74">
        <f>IFERROR(IF(VLOOKUP(CONCATENATE($A116,"_",AD$1),SP_ENV_Lib[],MATCH(AD$2,SP_ENV_Lib[#Headers],0),FALSE)=0,"",VLOOKUP(CONCATENATE($A116,"_",AD$1),SP_ENV_Lib[],MATCH(AD$2,SP_ENV_Lib[#Headers],0),FALSE)),"")</f>
        <v>43935</v>
      </c>
      <c r="AE116" s="74" t="str">
        <f>IFERROR(IF(VLOOKUP(CONCATENATE($A116,"_",AE$1),SP_ENV_Lib[],MATCH(AE$2,SP_ENV_Lib[#Headers],0),FALSE)=0,"",VLOOKUP(CONCATENATE($A116,"_",AE$1),SP_ENV_Lib[],MATCH(AE$2,SP_ENV_Lib[#Headers],0),FALSE)),"")</f>
        <v/>
      </c>
      <c r="AF116" s="172" t="str">
        <f>IFERROR(VLOOKUP(CONCATENATE($A116,"_",AF$1),SP_ENV_Lib[],MATCH(AF$2,SP_ENV_Lib[#Headers],0),FALSE),0)</f>
        <v>Accepted</v>
      </c>
      <c r="AG116" s="74"/>
      <c r="AH116" s="74"/>
      <c r="AI116" s="74"/>
      <c r="AJ116" s="84"/>
    </row>
    <row r="117" spans="1:36" ht="15" x14ac:dyDescent="0.2">
      <c r="A117" s="67" t="s">
        <v>31</v>
      </c>
      <c r="B117" s="154" t="str">
        <f>LEFT(VLOOKUP($A117,SP_EnvTract_DB[],MATCH(B$2,SP_EnvTract_DB[#Headers],0),FALSE),7)</f>
        <v>R031206</v>
      </c>
      <c r="C117" s="68" t="str">
        <f>VLOOKUP($A117,SP_EnvTract_DB[],MATCH(C$2,SP_EnvTract_DB[#Headers],0),FALSE)</f>
        <v>ENV</v>
      </c>
      <c r="D117" s="156" t="str">
        <f>VLOOKUP($A117,SP_EnvTract_DB[],MATCH(D$2,SP_EnvTract_DB[#Headers],0),FALSE)</f>
        <v>NEAL BURNELL;#242</v>
      </c>
      <c r="E117" s="156" t="str">
        <f>VLOOKUP($A117,SP_EnvTract_DB[],MATCH(E$2,SP_EnvTract_DB[#Headers],0),FALSE)</f>
        <v>108 S OUTLAR;#242</v>
      </c>
      <c r="F117" s="69">
        <f>VLOOKUP($A117,SP_EnvTract_DB[],MATCH(F$2,SP_EnvTract_DB[#Headers],0),FALSE)</f>
        <v>0</v>
      </c>
      <c r="G117" s="73">
        <f>VLOOKUP($A117,SP_EnvTract_DB[],MATCH(G$2,SP_EnvTract_DB[#Headers],0),FALSE)</f>
        <v>0</v>
      </c>
      <c r="H117" s="73" t="str">
        <f>VLOOKUP($A117,SP_EnvTract_DB[],MATCH(H$2,SP_EnvTract_DB[#Headers],0),FALSE)</f>
        <v>Suzy &amp; Melissa</v>
      </c>
      <c r="I117" s="69">
        <f>VLOOKUP($A117,SP_EnvTract_DB[],MATCH(I$2,SP_EnvTract_DB[#Headers],0),FALSE)</f>
        <v>0</v>
      </c>
      <c r="J117" s="69">
        <f>VLOOKUP($A117,SP_EnvTract_DB[],MATCH(J$2,SP_EnvTract_DB[#Headers],0),FALSE)</f>
        <v>0</v>
      </c>
      <c r="K117" s="69">
        <f>VLOOKUP($A117,SP_EnvTract_DB[],MATCH(K$2,SP_EnvTract_DB[#Headers],0),FALSE)</f>
        <v>0</v>
      </c>
      <c r="L117" s="69">
        <f>VLOOKUP($A117,SP_EnvTract_DB[],MATCH(L$2,SP_EnvTract_DB[#Headers],0),FALSE)</f>
        <v>0</v>
      </c>
      <c r="M117" s="69">
        <f>VLOOKUP($A117,SP_EnvTract_DB[],MATCH(M$2,SP_EnvTract_DB[#Headers],0),FALSE)</f>
        <v>0</v>
      </c>
      <c r="N117" s="69">
        <f>VLOOKUP($A117,SP_EnvTract_DB[],MATCH(N$2,SP_EnvTract_DB[#Headers],0),FALSE)</f>
        <v>0</v>
      </c>
      <c r="O117" s="74">
        <f>VLOOKUP($A117,SP_EnvTract_DB[],MATCH(O$2,SP_EnvTract_DB[#Headers],0),FALSE)</f>
        <v>0</v>
      </c>
      <c r="P117" s="73">
        <f>VLOOKUP($A117,SP_EnvTract_DB[],MATCH(P$2,SP_EnvTract_DB[#Headers],0),FALSE)</f>
        <v>0</v>
      </c>
      <c r="Q117" s="73">
        <f>VLOOKUP($A117,SP_EnvTract_DB[],MATCH(Q$2,SP_EnvTract_DB[#Headers],0),FALSE)</f>
        <v>0</v>
      </c>
      <c r="R117" s="74">
        <f>VLOOKUP($A117,SP_EnvTract_DB[],MATCH(R$2,SP_EnvTract_DB[#Headers],0),FALSE)</f>
        <v>0</v>
      </c>
      <c r="S117" s="68">
        <f>VLOOKUP($A117,SP_EnvTract_DB[],MATCH(S$2,SP_EnvTract_DB[#Headers],0),FALSE)</f>
        <v>0</v>
      </c>
      <c r="T117" s="68">
        <f>VLOOKUP($A117,SP_EnvTract_DB[],MATCH(T$2,SP_EnvTract_DB[#Headers],0),FALSE)</f>
        <v>0</v>
      </c>
      <c r="U117" s="74">
        <f>VLOOKUP($A117,SP_EnvTract_DB[],MATCH(U$2,SP_EnvTract_DB[#Headers],0),FALSE)</f>
        <v>0</v>
      </c>
      <c r="V117" s="68">
        <f>VLOOKUP($A117,SP_EnvTract_DB[],MATCH(V$2,SP_EnvTract_DB[#Headers],0),FALSE)</f>
        <v>0</v>
      </c>
      <c r="W117" s="68">
        <f>VLOOKUP($A117,SP_EnvTract_DB[],MATCH(W$2,SP_EnvTract_DB[#Headers],0),FALSE)</f>
        <v>0</v>
      </c>
      <c r="X117" s="68">
        <f>VLOOKUP($A117,SP_EnvTract_DB[],MATCH(X$2,SP_EnvTract_DB[#Headers],0),FALSE)</f>
        <v>0</v>
      </c>
      <c r="Y117" s="80">
        <f>VLOOKUP($A117,SP_EnvTract_DB[],MATCH(Y$2,SP_EnvTract_DB[#Headers],0),FALSE)</f>
        <v>0</v>
      </c>
      <c r="Z117" s="81" t="str">
        <f>IFERROR(IF(VLOOKUP(CONCATENATE($A117,"_",Z$1),SP_,MATCH(Z$2,SP_ENV_Lib[#Headers],0),FALSE)=0,"",VLOOKUP(CONCATENATE($A117,"_",Z$1),SP_ENV_Lib[],MATCH(Z$2,SP_ACQ_Lib[#Headers],0),FALSE)),"")</f>
        <v/>
      </c>
      <c r="AA117" s="74"/>
      <c r="AB117" s="74">
        <f>IFERROR(IF(VLOOKUP(CONCATENATE($A117,"_",AB$1),SP_ENV_Lib[],MATCH(AB$2,SP_ENV_Lib[#Headers],0),FALSE)=0,"",VLOOKUP(CONCATENATE($A117,"_",AB$1),SP_ENV_Lib[],MATCH(AB$2,SP_ENV_Lib[#Headers],0),FALSE)),"")</f>
        <v>43917.6328587963</v>
      </c>
      <c r="AC117" s="74">
        <f>IFERROR(IF(VLOOKUP(CONCATENATE($A117,"_",AC$1),SP_ENV_Lib[],MATCH(AC$2,SP_ENV_Lib[#Headers],0),FALSE)=0,"",VLOOKUP(CONCATENATE($A117,"_",AC$1),SP_ENV_Lib[],MATCH(AC$2,SP_ENV_Lib[#Headers],0),FALSE)),"")</f>
        <v>43850</v>
      </c>
      <c r="AD117" s="74">
        <f>IFERROR(IF(VLOOKUP(CONCATENATE($A117,"_",AD$1),SP_ENV_Lib[],MATCH(AD$2,SP_ENV_Lib[#Headers],0),FALSE)=0,"",VLOOKUP(CONCATENATE($A117,"_",AD$1),SP_ENV_Lib[],MATCH(AD$2,SP_ENV_Lib[#Headers],0),FALSE)),"")</f>
        <v>43899</v>
      </c>
      <c r="AE117" s="74" t="str">
        <f>IFERROR(IF(VLOOKUP(CONCATENATE($A117,"_",AE$1),SP_ENV_Lib[],MATCH(AE$2,SP_ENV_Lib[#Headers],0),FALSE)=0,"",VLOOKUP(CONCATENATE($A117,"_",AE$1),SP_ENV_Lib[],MATCH(AE$2,SP_ENV_Lib[#Headers],0),FALSE)),"")</f>
        <v/>
      </c>
      <c r="AF117" s="172" t="str">
        <f>IFERROR(VLOOKUP(CONCATENATE($A117,"_",AF$1),SP_ENV_Lib[],MATCH(AF$2,SP_ENV_Lib[#Headers],0),FALSE),0)</f>
        <v>Accepted</v>
      </c>
      <c r="AG117" s="74"/>
      <c r="AH117" s="74"/>
      <c r="AI117" s="74"/>
      <c r="AJ117" s="84"/>
    </row>
    <row r="118" spans="1:36" ht="15" x14ac:dyDescent="0.2">
      <c r="A118" s="67" t="s">
        <v>32</v>
      </c>
      <c r="B118" s="154" t="str">
        <f>LEFT(VLOOKUP($A118,SP_EnvTract_DB[],MATCH(B$2,SP_EnvTract_DB[#Headers],0),FALSE),7)</f>
        <v>R031207</v>
      </c>
      <c r="C118" s="68" t="str">
        <f>VLOOKUP($A118,SP_EnvTract_DB[],MATCH(C$2,SP_EnvTract_DB[#Headers],0),FALSE)</f>
        <v>ENV</v>
      </c>
      <c r="D118" s="156" t="str">
        <f>VLOOKUP($A118,SP_EnvTract_DB[],MATCH(D$2,SP_EnvTract_DB[#Headers],0),FALSE)</f>
        <v>JOHNSON JAYMES K &amp; MASON CATHEY F;#243</v>
      </c>
      <c r="E118" s="156" t="str">
        <f>VLOOKUP($A118,SP_EnvTract_DB[],MATCH(E$2,SP_EnvTract_DB[#Headers],0),FALSE)</f>
        <v>116 S OUTLAR;#243</v>
      </c>
      <c r="F118" s="69">
        <f>VLOOKUP($A118,SP_EnvTract_DB[],MATCH(F$2,SP_EnvTract_DB[#Headers],0),FALSE)</f>
        <v>0</v>
      </c>
      <c r="G118" s="73">
        <f>VLOOKUP($A118,SP_EnvTract_DB[],MATCH(G$2,SP_EnvTract_DB[#Headers],0),FALSE)</f>
        <v>0</v>
      </c>
      <c r="H118" s="73" t="str">
        <f>VLOOKUP($A118,SP_EnvTract_DB[],MATCH(H$2,SP_EnvTract_DB[#Headers],0),FALSE)</f>
        <v>Stateside</v>
      </c>
      <c r="I118" s="69">
        <f>VLOOKUP($A118,SP_EnvTract_DB[],MATCH(I$2,SP_EnvTract_DB[#Headers],0),FALSE)</f>
        <v>0</v>
      </c>
      <c r="J118" s="69">
        <f>VLOOKUP($A118,SP_EnvTract_DB[],MATCH(J$2,SP_EnvTract_DB[#Headers],0),FALSE)</f>
        <v>0</v>
      </c>
      <c r="K118" s="69">
        <f>VLOOKUP($A118,SP_EnvTract_DB[],MATCH(K$2,SP_EnvTract_DB[#Headers],0),FALSE)</f>
        <v>0</v>
      </c>
      <c r="L118" s="69">
        <f>VLOOKUP($A118,SP_EnvTract_DB[],MATCH(L$2,SP_EnvTract_DB[#Headers],0),FALSE)</f>
        <v>0</v>
      </c>
      <c r="M118" s="69">
        <f>VLOOKUP($A118,SP_EnvTract_DB[],MATCH(M$2,SP_EnvTract_DB[#Headers],0),FALSE)</f>
        <v>0</v>
      </c>
      <c r="N118" s="69">
        <f>VLOOKUP($A118,SP_EnvTract_DB[],MATCH(N$2,SP_EnvTract_DB[#Headers],0),FALSE)</f>
        <v>0</v>
      </c>
      <c r="O118" s="74">
        <f>VLOOKUP($A118,SP_EnvTract_DB[],MATCH(O$2,SP_EnvTract_DB[#Headers],0),FALSE)</f>
        <v>0</v>
      </c>
      <c r="P118" s="73">
        <f>VLOOKUP($A118,SP_EnvTract_DB[],MATCH(P$2,SP_EnvTract_DB[#Headers],0),FALSE)</f>
        <v>0</v>
      </c>
      <c r="Q118" s="73">
        <f>VLOOKUP($A118,SP_EnvTract_DB[],MATCH(Q$2,SP_EnvTract_DB[#Headers],0),FALSE)</f>
        <v>0</v>
      </c>
      <c r="R118" s="74">
        <f>VLOOKUP($A118,SP_EnvTract_DB[],MATCH(R$2,SP_EnvTract_DB[#Headers],0),FALSE)</f>
        <v>0</v>
      </c>
      <c r="S118" s="68">
        <f>VLOOKUP($A118,SP_EnvTract_DB[],MATCH(S$2,SP_EnvTract_DB[#Headers],0),FALSE)</f>
        <v>0</v>
      </c>
      <c r="T118" s="68">
        <f>VLOOKUP($A118,SP_EnvTract_DB[],MATCH(T$2,SP_EnvTract_DB[#Headers],0),FALSE)</f>
        <v>0</v>
      </c>
      <c r="U118" s="74">
        <f>VLOOKUP($A118,SP_EnvTract_DB[],MATCH(U$2,SP_EnvTract_DB[#Headers],0),FALSE)</f>
        <v>0</v>
      </c>
      <c r="V118" s="68">
        <f>VLOOKUP($A118,SP_EnvTract_DB[],MATCH(V$2,SP_EnvTract_DB[#Headers],0),FALSE)</f>
        <v>0</v>
      </c>
      <c r="W118" s="68">
        <f>VLOOKUP($A118,SP_EnvTract_DB[],MATCH(W$2,SP_EnvTract_DB[#Headers],0),FALSE)</f>
        <v>0</v>
      </c>
      <c r="X118" s="68">
        <f>VLOOKUP($A118,SP_EnvTract_DB[],MATCH(X$2,SP_EnvTract_DB[#Headers],0),FALSE)</f>
        <v>0</v>
      </c>
      <c r="Y118" s="80">
        <f>VLOOKUP($A118,SP_EnvTract_DB[],MATCH(Y$2,SP_EnvTract_DB[#Headers],0),FALSE)</f>
        <v>0</v>
      </c>
      <c r="Z118" s="81" t="str">
        <f>IFERROR(IF(VLOOKUP(CONCATENATE($A118,"_",Z$1),SP_,MATCH(Z$2,SP_ENV_Lib[#Headers],0),FALSE)=0,"",VLOOKUP(CONCATENATE($A118,"_",Z$1),SP_ENV_Lib[],MATCH(Z$2,SP_ACQ_Lib[#Headers],0),FALSE)),"")</f>
        <v/>
      </c>
      <c r="AA118" s="74"/>
      <c r="AB118" s="74">
        <f>IFERROR(IF(VLOOKUP(CONCATENATE($A118,"_",AB$1),SP_ENV_Lib[],MATCH(AB$2,SP_ENV_Lib[#Headers],0),FALSE)=0,"",VLOOKUP(CONCATENATE($A118,"_",AB$1),SP_ENV_Lib[],MATCH(AB$2,SP_ENV_Lib[#Headers],0),FALSE)),"")</f>
        <v>43917.632256944446</v>
      </c>
      <c r="AC118" s="74">
        <f>IFERROR(IF(VLOOKUP(CONCATENATE($A118,"_",AC$1),SP_ENV_Lib[],MATCH(AC$2,SP_ENV_Lib[#Headers],0),FALSE)=0,"",VLOOKUP(CONCATENATE($A118,"_",AC$1),SP_ENV_Lib[],MATCH(AC$2,SP_ENV_Lib[#Headers],0),FALSE)),"")</f>
        <v>43850</v>
      </c>
      <c r="AD118" s="74" t="str">
        <f>IFERROR(IF(VLOOKUP(CONCATENATE($A118,"_",AD$1),SP_ENV_Lib[],MATCH(AD$2,SP_ENV_Lib[#Headers],0),FALSE)=0,"",VLOOKUP(CONCATENATE($A118,"_",AD$1),SP_ENV_Lib[],MATCH(AD$2,SP_ENV_Lib[#Headers],0),FALSE)),"")</f>
        <v/>
      </c>
      <c r="AE118" s="74" t="str">
        <f>IFERROR(IF(VLOOKUP(CONCATENATE($A118,"_",AE$1),SP_ENV_Lib[],MATCH(AE$2,SP_ENV_Lib[#Headers],0),FALSE)=0,"",VLOOKUP(CONCATENATE($A118,"_",AE$1),SP_ENV_Lib[],MATCH(AE$2,SP_ENV_Lib[#Headers],0),FALSE)),"")</f>
        <v/>
      </c>
      <c r="AF118" s="172" t="str">
        <f>IFERROR(VLOOKUP(CONCATENATE($A118,"_",AF$1),SP_ENV_Lib[],MATCH(AF$2,SP_ENV_Lib[#Headers],0),FALSE),0)</f>
        <v>Accepted</v>
      </c>
      <c r="AG118" s="74"/>
      <c r="AH118" s="74"/>
      <c r="AI118" s="74"/>
      <c r="AJ118" s="84"/>
    </row>
    <row r="119" spans="1:36" ht="15" x14ac:dyDescent="0.2">
      <c r="A119" s="67" t="s">
        <v>41</v>
      </c>
      <c r="B119" s="154" t="str">
        <f>LEFT(VLOOKUP($A119,SP_EnvTract_DB[],MATCH(B$2,SP_EnvTract_DB[#Headers],0),FALSE),7)</f>
        <v>R032159</v>
      </c>
      <c r="C119" s="68" t="str">
        <f>VLOOKUP($A119,SP_EnvTract_DB[],MATCH(C$2,SP_EnvTract_DB[#Headers],0),FALSE)</f>
        <v>ENV</v>
      </c>
      <c r="D119" s="156" t="str">
        <f>VLOOKUP($A119,SP_EnvTract_DB[],MATCH(D$2,SP_EnvTract_DB[#Headers],0),FALSE)</f>
        <v>BOEDEKER KELLY G;#252</v>
      </c>
      <c r="E119" s="156" t="str">
        <f>VLOOKUP($A119,SP_EnvTract_DB[],MATCH(E$2,SP_EnvTract_DB[#Headers],0),FALSE)</f>
        <v>414 CR 144;#252</v>
      </c>
      <c r="F119" s="69">
        <f>VLOOKUP($A119,SP_EnvTract_DB[],MATCH(F$2,SP_EnvTract_DB[#Headers],0),FALSE)</f>
        <v>0</v>
      </c>
      <c r="G119" s="73">
        <f>VLOOKUP($A119,SP_EnvTract_DB[],MATCH(G$2,SP_EnvTract_DB[#Headers],0),FALSE)</f>
        <v>0</v>
      </c>
      <c r="H119" s="73" t="str">
        <f>VLOOKUP($A119,SP_EnvTract_DB[],MATCH(H$2,SP_EnvTract_DB[#Headers],0),FALSE)</f>
        <v>Melissa DeLeon</v>
      </c>
      <c r="I119" s="69">
        <f>VLOOKUP($A119,SP_EnvTract_DB[],MATCH(I$2,SP_EnvTract_DB[#Headers],0),FALSE)</f>
        <v>0</v>
      </c>
      <c r="J119" s="69">
        <f>VLOOKUP($A119,SP_EnvTract_DB[],MATCH(J$2,SP_EnvTract_DB[#Headers],0),FALSE)</f>
        <v>0</v>
      </c>
      <c r="K119" s="69">
        <f>VLOOKUP($A119,SP_EnvTract_DB[],MATCH(K$2,SP_EnvTract_DB[#Headers],0),FALSE)</f>
        <v>0</v>
      </c>
      <c r="L119" s="69">
        <f>VLOOKUP($A119,SP_EnvTract_DB[],MATCH(L$2,SP_EnvTract_DB[#Headers],0),FALSE)</f>
        <v>0</v>
      </c>
      <c r="M119" s="69">
        <f>VLOOKUP($A119,SP_EnvTract_DB[],MATCH(M$2,SP_EnvTract_DB[#Headers],0),FALSE)</f>
        <v>0</v>
      </c>
      <c r="N119" s="69">
        <f>VLOOKUP($A119,SP_EnvTract_DB[],MATCH(N$2,SP_EnvTract_DB[#Headers],0),FALSE)</f>
        <v>0</v>
      </c>
      <c r="O119" s="74">
        <f>VLOOKUP($A119,SP_EnvTract_DB[],MATCH(O$2,SP_EnvTract_DB[#Headers],0),FALSE)</f>
        <v>0</v>
      </c>
      <c r="P119" s="73">
        <f>VLOOKUP($A119,SP_EnvTract_DB[],MATCH(P$2,SP_EnvTract_DB[#Headers],0),FALSE)</f>
        <v>0</v>
      </c>
      <c r="Q119" s="73">
        <f>VLOOKUP($A119,SP_EnvTract_DB[],MATCH(Q$2,SP_EnvTract_DB[#Headers],0),FALSE)</f>
        <v>0</v>
      </c>
      <c r="R119" s="74">
        <f>VLOOKUP($A119,SP_EnvTract_DB[],MATCH(R$2,SP_EnvTract_DB[#Headers],0),FALSE)</f>
        <v>0</v>
      </c>
      <c r="S119" s="68">
        <f>VLOOKUP($A119,SP_EnvTract_DB[],MATCH(S$2,SP_EnvTract_DB[#Headers],0),FALSE)</f>
        <v>0</v>
      </c>
      <c r="T119" s="68">
        <f>VLOOKUP($A119,SP_EnvTract_DB[],MATCH(T$2,SP_EnvTract_DB[#Headers],0),FALSE)</f>
        <v>0</v>
      </c>
      <c r="U119" s="74">
        <f>VLOOKUP($A119,SP_EnvTract_DB[],MATCH(U$2,SP_EnvTract_DB[#Headers],0),FALSE)</f>
        <v>0</v>
      </c>
      <c r="V119" s="68">
        <f>VLOOKUP($A119,SP_EnvTract_DB[],MATCH(V$2,SP_EnvTract_DB[#Headers],0),FALSE)</f>
        <v>0</v>
      </c>
      <c r="W119" s="68">
        <f>VLOOKUP($A119,SP_EnvTract_DB[],MATCH(W$2,SP_EnvTract_DB[#Headers],0),FALSE)</f>
        <v>0</v>
      </c>
      <c r="X119" s="68">
        <f>VLOOKUP($A119,SP_EnvTract_DB[],MATCH(X$2,SP_EnvTract_DB[#Headers],0),FALSE)</f>
        <v>0</v>
      </c>
      <c r="Y119" s="80">
        <f>VLOOKUP($A119,SP_EnvTract_DB[],MATCH(Y$2,SP_EnvTract_DB[#Headers],0),FALSE)</f>
        <v>0</v>
      </c>
      <c r="Z119" s="81" t="str">
        <f>IFERROR(IF(VLOOKUP(CONCATENATE($A119,"_",Z$1),SP_,MATCH(Z$2,SP_ENV_Lib[#Headers],0),FALSE)=0,"",VLOOKUP(CONCATENATE($A119,"_",Z$1),SP_ENV_Lib[],MATCH(Z$2,SP_ACQ_Lib[#Headers],0),FALSE)),"")</f>
        <v/>
      </c>
      <c r="AA119" s="74"/>
      <c r="AB119" s="74">
        <f>IFERROR(IF(VLOOKUP(CONCATENATE($A119,"_",AB$1),SP_ENV_Lib[],MATCH(AB$2,SP_ENV_Lib[#Headers],0),FALSE)=0,"",VLOOKUP(CONCATENATE($A119,"_",AB$1),SP_ENV_Lib[],MATCH(AB$2,SP_ENV_Lib[#Headers],0),FALSE)),"")</f>
        <v>43966.750810185185</v>
      </c>
      <c r="AC119" s="74">
        <f>IFERROR(IF(VLOOKUP(CONCATENATE($A119,"_",AC$1),SP_ENV_Lib[],MATCH(AC$2,SP_ENV_Lib[#Headers],0),FALSE)=0,"",VLOOKUP(CONCATENATE($A119,"_",AC$1),SP_ENV_Lib[],MATCH(AC$2,SP_ENV_Lib[#Headers],0),FALSE)),"")</f>
        <v>43850</v>
      </c>
      <c r="AD119" s="74" t="str">
        <f>IFERROR(IF(VLOOKUP(CONCATENATE($A119,"_",AD$1),SP_ENV_Lib[],MATCH(AD$2,SP_ENV_Lib[#Headers],0),FALSE)=0,"",VLOOKUP(CONCATENATE($A119,"_",AD$1),SP_ENV_Lib[],MATCH(AD$2,SP_ENV_Lib[#Headers],0),FALSE)),"")</f>
        <v/>
      </c>
      <c r="AE119" s="74" t="str">
        <f>IFERROR(IF(VLOOKUP(CONCATENATE($A119,"_",AE$1),SP_ENV_Lib[],MATCH(AE$2,SP_ENV_Lib[#Headers],0),FALSE)=0,"",VLOOKUP(CONCATENATE($A119,"_",AE$1),SP_ENV_Lib[],MATCH(AE$2,SP_ENV_Lib[#Headers],0),FALSE)),"")</f>
        <v/>
      </c>
      <c r="AF119" s="172" t="str">
        <f>IFERROR(VLOOKUP(CONCATENATE($A119,"_",AF$1),SP_ENV_Lib[],MATCH(AF$2,SP_ENV_Lib[#Headers],0),FALSE),0)</f>
        <v>Accepted</v>
      </c>
      <c r="AG119" s="74"/>
      <c r="AH119" s="74"/>
      <c r="AI119" s="74"/>
      <c r="AJ119" s="84"/>
    </row>
    <row r="120" spans="1:36" ht="15" x14ac:dyDescent="0.2">
      <c r="A120" s="67" t="s">
        <v>141</v>
      </c>
      <c r="B120" s="154" t="str">
        <f>LEFT(VLOOKUP($A120,SP_EnvTract_DB[],MATCH(B$2,SP_EnvTract_DB[#Headers],0),FALSE),7)</f>
        <v>R050632</v>
      </c>
      <c r="C120" s="68" t="str">
        <f>VLOOKUP($A120,SP_EnvTract_DB[],MATCH(C$2,SP_EnvTract_DB[#Headers],0),FALSE)</f>
        <v>ENV</v>
      </c>
      <c r="D120" s="156" t="str">
        <f>VLOOKUP($A120,SP_EnvTract_DB[],MATCH(D$2,SP_EnvTract_DB[#Headers],0),FALSE)</f>
        <v>SHANKLIN JULIUS;#254</v>
      </c>
      <c r="E120" s="156" t="str">
        <f>VLOOKUP($A120,SP_EnvTract_DB[],MATCH(E$2,SP_EnvTract_DB[#Headers],0),FALSE)</f>
        <v>220 WILKES;#254</v>
      </c>
      <c r="F120" s="69">
        <f>VLOOKUP($A120,SP_EnvTract_DB[],MATCH(F$2,SP_EnvTract_DB[#Headers],0),FALSE)</f>
        <v>0</v>
      </c>
      <c r="G120" s="73">
        <f>VLOOKUP($A120,SP_EnvTract_DB[],MATCH(G$2,SP_EnvTract_DB[#Headers],0),FALSE)</f>
        <v>0</v>
      </c>
      <c r="H120" s="73" t="str">
        <f>VLOOKUP($A120,SP_EnvTract_DB[],MATCH(H$2,SP_EnvTract_DB[#Headers],0),FALSE)</f>
        <v>Melissa DeLeon</v>
      </c>
      <c r="I120" s="69">
        <f>VLOOKUP($A120,SP_EnvTract_DB[],MATCH(I$2,SP_EnvTract_DB[#Headers],0),FALSE)</f>
        <v>0</v>
      </c>
      <c r="J120" s="69">
        <f>VLOOKUP($A120,SP_EnvTract_DB[],MATCH(J$2,SP_EnvTract_DB[#Headers],0),FALSE)</f>
        <v>0</v>
      </c>
      <c r="K120" s="69">
        <f>VLOOKUP($A120,SP_EnvTract_DB[],MATCH(K$2,SP_EnvTract_DB[#Headers],0),FALSE)</f>
        <v>0</v>
      </c>
      <c r="L120" s="69">
        <f>VLOOKUP($A120,SP_EnvTract_DB[],MATCH(L$2,SP_EnvTract_DB[#Headers],0),FALSE)</f>
        <v>0</v>
      </c>
      <c r="M120" s="69">
        <f>VLOOKUP($A120,SP_EnvTract_DB[],MATCH(M$2,SP_EnvTract_DB[#Headers],0),FALSE)</f>
        <v>0</v>
      </c>
      <c r="N120" s="69">
        <f>VLOOKUP($A120,SP_EnvTract_DB[],MATCH(N$2,SP_EnvTract_DB[#Headers],0),FALSE)</f>
        <v>0</v>
      </c>
      <c r="O120" s="74">
        <f>VLOOKUP($A120,SP_EnvTract_DB[],MATCH(O$2,SP_EnvTract_DB[#Headers],0),FALSE)</f>
        <v>0</v>
      </c>
      <c r="P120" s="73">
        <f>VLOOKUP($A120,SP_EnvTract_DB[],MATCH(P$2,SP_EnvTract_DB[#Headers],0),FALSE)</f>
        <v>0</v>
      </c>
      <c r="Q120" s="73">
        <f>VLOOKUP($A120,SP_EnvTract_DB[],MATCH(Q$2,SP_EnvTract_DB[#Headers],0),FALSE)</f>
        <v>0</v>
      </c>
      <c r="R120" s="74">
        <f>VLOOKUP($A120,SP_EnvTract_DB[],MATCH(R$2,SP_EnvTract_DB[#Headers],0),FALSE)</f>
        <v>0</v>
      </c>
      <c r="S120" s="68">
        <f>VLOOKUP($A120,SP_EnvTract_DB[],MATCH(S$2,SP_EnvTract_DB[#Headers],0),FALSE)</f>
        <v>0</v>
      </c>
      <c r="T120" s="68">
        <f>VLOOKUP($A120,SP_EnvTract_DB[],MATCH(T$2,SP_EnvTract_DB[#Headers],0),FALSE)</f>
        <v>0</v>
      </c>
      <c r="U120" s="74">
        <f>VLOOKUP($A120,SP_EnvTract_DB[],MATCH(U$2,SP_EnvTract_DB[#Headers],0),FALSE)</f>
        <v>0</v>
      </c>
      <c r="V120" s="68">
        <f>VLOOKUP($A120,SP_EnvTract_DB[],MATCH(V$2,SP_EnvTract_DB[#Headers],0),FALSE)</f>
        <v>0</v>
      </c>
      <c r="W120" s="68">
        <f>VLOOKUP($A120,SP_EnvTract_DB[],MATCH(W$2,SP_EnvTract_DB[#Headers],0),FALSE)</f>
        <v>0</v>
      </c>
      <c r="X120" s="68">
        <f>VLOOKUP($A120,SP_EnvTract_DB[],MATCH(X$2,SP_EnvTract_DB[#Headers],0),FALSE)</f>
        <v>0</v>
      </c>
      <c r="Y120" s="80">
        <f>VLOOKUP($A120,SP_EnvTract_DB[],MATCH(Y$2,SP_EnvTract_DB[#Headers],0),FALSE)</f>
        <v>0</v>
      </c>
      <c r="Z120" s="81" t="str">
        <f>IFERROR(IF(VLOOKUP(CONCATENATE($A120,"_",Z$1),SP_,MATCH(Z$2,SP_ENV_Lib[#Headers],0),FALSE)=0,"",VLOOKUP(CONCATENATE($A120,"_",Z$1),SP_ENV_Lib[],MATCH(Z$2,SP_ACQ_Lib[#Headers],0),FALSE)),"")</f>
        <v/>
      </c>
      <c r="AA120" s="74"/>
      <c r="AB120" s="74">
        <f>IFERROR(IF(VLOOKUP(CONCATENATE($A120,"_",AB$1),SP_ENV_Lib[],MATCH(AB$2,SP_ENV_Lib[#Headers],0),FALSE)=0,"",VLOOKUP(CONCATENATE($A120,"_",AB$1),SP_ENV_Lib[],MATCH(AB$2,SP_ENV_Lib[#Headers],0),FALSE)),"")</f>
        <v>43920.606157407405</v>
      </c>
      <c r="AC120" s="74">
        <f>IFERROR(IF(VLOOKUP(CONCATENATE($A120,"_",AC$1),SP_ENV_Lib[],MATCH(AC$2,SP_ENV_Lib[#Headers],0),FALSE)=0,"",VLOOKUP(CONCATENATE($A120,"_",AC$1),SP_ENV_Lib[],MATCH(AC$2,SP_ENV_Lib[#Headers],0),FALSE)),"")</f>
        <v>43850</v>
      </c>
      <c r="AD120" s="74" t="str">
        <f>IFERROR(IF(VLOOKUP(CONCATENATE($A120,"_",AD$1),SP_ENV_Lib[],MATCH(AD$2,SP_ENV_Lib[#Headers],0),FALSE)=0,"",VLOOKUP(CONCATENATE($A120,"_",AD$1),SP_ENV_Lib[],MATCH(AD$2,SP_ENV_Lib[#Headers],0),FALSE)),"")</f>
        <v/>
      </c>
      <c r="AE120" s="74" t="str">
        <f>IFERROR(IF(VLOOKUP(CONCATENATE($A120,"_",AE$1),SP_ENV_Lib[],MATCH(AE$2,SP_ENV_Lib[#Headers],0),FALSE)=0,"",VLOOKUP(CONCATENATE($A120,"_",AE$1),SP_ENV_Lib[],MATCH(AE$2,SP_ENV_Lib[#Headers],0),FALSE)),"")</f>
        <v/>
      </c>
      <c r="AF120" s="172" t="str">
        <f>IFERROR(VLOOKUP(CONCATENATE($A120,"_",AF$1),SP_ENV_Lib[],MATCH(AF$2,SP_ENV_Lib[#Headers],0),FALSE),0)</f>
        <v>Accepted</v>
      </c>
      <c r="AG120" s="74"/>
      <c r="AH120" s="74"/>
      <c r="AI120" s="74"/>
      <c r="AJ120" s="84"/>
    </row>
    <row r="121" spans="1:36" ht="15" x14ac:dyDescent="0.2">
      <c r="A121" s="67" t="s">
        <v>147</v>
      </c>
      <c r="B121" s="154" t="str">
        <f>LEFT(VLOOKUP($A121,SP_EnvTract_DB[],MATCH(B$2,SP_EnvTract_DB[#Headers],0),FALSE),7)</f>
        <v>R050633</v>
      </c>
      <c r="C121" s="68" t="str">
        <f>VLOOKUP($A121,SP_EnvTract_DB[],MATCH(C$2,SP_EnvTract_DB[#Headers],0),FALSE)</f>
        <v>ENV</v>
      </c>
      <c r="D121" s="156" t="str">
        <f>VLOOKUP($A121,SP_EnvTract_DB[],MATCH(D$2,SP_EnvTract_DB[#Headers],0),FALSE)</f>
        <v>SHANKLIN JULIUS;#255</v>
      </c>
      <c r="E121" s="156" t="str">
        <f>VLOOKUP($A121,SP_EnvTract_DB[],MATCH(E$2,SP_EnvTract_DB[#Headers],0),FALSE)</f>
        <v>0  WILKES;#255</v>
      </c>
      <c r="F121" s="69">
        <f>VLOOKUP($A121,SP_EnvTract_DB[],MATCH(F$2,SP_EnvTract_DB[#Headers],0),FALSE)</f>
        <v>0</v>
      </c>
      <c r="G121" s="73">
        <f>VLOOKUP($A121,SP_EnvTract_DB[],MATCH(G$2,SP_EnvTract_DB[#Headers],0),FALSE)</f>
        <v>0</v>
      </c>
      <c r="H121" s="73" t="str">
        <f>VLOOKUP($A121,SP_EnvTract_DB[],MATCH(H$2,SP_EnvTract_DB[#Headers],0),FALSE)</f>
        <v>Melissa DeLeon</v>
      </c>
      <c r="I121" s="69">
        <f>VLOOKUP($A121,SP_EnvTract_DB[],MATCH(I$2,SP_EnvTract_DB[#Headers],0),FALSE)</f>
        <v>0</v>
      </c>
      <c r="J121" s="69">
        <f>VLOOKUP($A121,SP_EnvTract_DB[],MATCH(J$2,SP_EnvTract_DB[#Headers],0),FALSE)</f>
        <v>0</v>
      </c>
      <c r="K121" s="69">
        <f>VLOOKUP($A121,SP_EnvTract_DB[],MATCH(K$2,SP_EnvTract_DB[#Headers],0),FALSE)</f>
        <v>0</v>
      </c>
      <c r="L121" s="69">
        <f>VLOOKUP($A121,SP_EnvTract_DB[],MATCH(L$2,SP_EnvTract_DB[#Headers],0),FALSE)</f>
        <v>0</v>
      </c>
      <c r="M121" s="69">
        <f>VLOOKUP($A121,SP_EnvTract_DB[],MATCH(M$2,SP_EnvTract_DB[#Headers],0),FALSE)</f>
        <v>0</v>
      </c>
      <c r="N121" s="69">
        <f>VLOOKUP($A121,SP_EnvTract_DB[],MATCH(N$2,SP_EnvTract_DB[#Headers],0),FALSE)</f>
        <v>0</v>
      </c>
      <c r="O121" s="74">
        <f>VLOOKUP($A121,SP_EnvTract_DB[],MATCH(O$2,SP_EnvTract_DB[#Headers],0),FALSE)</f>
        <v>0</v>
      </c>
      <c r="P121" s="73">
        <f>VLOOKUP($A121,SP_EnvTract_DB[],MATCH(P$2,SP_EnvTract_DB[#Headers],0),FALSE)</f>
        <v>0</v>
      </c>
      <c r="Q121" s="73">
        <f>VLOOKUP($A121,SP_EnvTract_DB[],MATCH(Q$2,SP_EnvTract_DB[#Headers],0),FALSE)</f>
        <v>0</v>
      </c>
      <c r="R121" s="74">
        <f>VLOOKUP($A121,SP_EnvTract_DB[],MATCH(R$2,SP_EnvTract_DB[#Headers],0),FALSE)</f>
        <v>0</v>
      </c>
      <c r="S121" s="68">
        <f>VLOOKUP($A121,SP_EnvTract_DB[],MATCH(S$2,SP_EnvTract_DB[#Headers],0),FALSE)</f>
        <v>0</v>
      </c>
      <c r="T121" s="68">
        <f>VLOOKUP($A121,SP_EnvTract_DB[],MATCH(T$2,SP_EnvTract_DB[#Headers],0),FALSE)</f>
        <v>0</v>
      </c>
      <c r="U121" s="74">
        <f>VLOOKUP($A121,SP_EnvTract_DB[],MATCH(U$2,SP_EnvTract_DB[#Headers],0),FALSE)</f>
        <v>0</v>
      </c>
      <c r="V121" s="68">
        <f>VLOOKUP($A121,SP_EnvTract_DB[],MATCH(V$2,SP_EnvTract_DB[#Headers],0),FALSE)</f>
        <v>0</v>
      </c>
      <c r="W121" s="68">
        <f>VLOOKUP($A121,SP_EnvTract_DB[],MATCH(W$2,SP_EnvTract_DB[#Headers],0),FALSE)</f>
        <v>0</v>
      </c>
      <c r="X121" s="68">
        <f>VLOOKUP($A121,SP_EnvTract_DB[],MATCH(X$2,SP_EnvTract_DB[#Headers],0),FALSE)</f>
        <v>0</v>
      </c>
      <c r="Y121" s="80">
        <f>VLOOKUP($A121,SP_EnvTract_DB[],MATCH(Y$2,SP_EnvTract_DB[#Headers],0),FALSE)</f>
        <v>0</v>
      </c>
      <c r="Z121" s="81" t="str">
        <f>IFERROR(IF(VLOOKUP(CONCATENATE($A121,"_",Z$1),SP_,MATCH(Z$2,SP_ENV_Lib[#Headers],0),FALSE)=0,"",VLOOKUP(CONCATENATE($A121,"_",Z$1),SP_ENV_Lib[],MATCH(Z$2,SP_ACQ_Lib[#Headers],0),FALSE)),"")</f>
        <v/>
      </c>
      <c r="AA121" s="74"/>
      <c r="AB121" s="74">
        <f>IFERROR(IF(VLOOKUP(CONCATENATE($A121,"_",AB$1),SP_ENV_Lib[],MATCH(AB$2,SP_ENV_Lib[#Headers],0),FALSE)=0,"",VLOOKUP(CONCATENATE($A121,"_",AB$1),SP_ENV_Lib[],MATCH(AB$2,SP_ENV_Lib[#Headers],0),FALSE)),"")</f>
        <v>43916.857928240737</v>
      </c>
      <c r="AC121" s="74" t="str">
        <f>IFERROR(IF(VLOOKUP(CONCATENATE($A121,"_",AC$1),SP_ENV_Lib[],MATCH(AC$2,SP_ENV_Lib[#Headers],0),FALSE)=0,"",VLOOKUP(CONCATENATE($A121,"_",AC$1),SP_ENV_Lib[],MATCH(AC$2,SP_ENV_Lib[#Headers],0),FALSE)),"")</f>
        <v/>
      </c>
      <c r="AD121" s="74" t="str">
        <f>IFERROR(IF(VLOOKUP(CONCATENATE($A121,"_",AD$1),SP_ENV_Lib[],MATCH(AD$2,SP_ENV_Lib[#Headers],0),FALSE)=0,"",VLOOKUP(CONCATENATE($A121,"_",AD$1),SP_ENV_Lib[],MATCH(AD$2,SP_ENV_Lib[#Headers],0),FALSE)),"")</f>
        <v/>
      </c>
      <c r="AE121" s="74" t="str">
        <f>IFERROR(IF(VLOOKUP(CONCATENATE($A121,"_",AE$1),SP_ENV_Lib[],MATCH(AE$2,SP_ENV_Lib[#Headers],0),FALSE)=0,"",VLOOKUP(CONCATENATE($A121,"_",AE$1),SP_ENV_Lib[],MATCH(AE$2,SP_ENV_Lib[#Headers],0),FALSE)),"")</f>
        <v/>
      </c>
      <c r="AF121" s="172" t="str">
        <f>IFERROR(VLOOKUP(CONCATENATE($A121,"_",AF$1),SP_ENV_Lib[],MATCH(AF$2,SP_ENV_Lib[#Headers],0),FALSE),0)</f>
        <v>Accepted</v>
      </c>
      <c r="AG121" s="74"/>
      <c r="AH121" s="74"/>
      <c r="AI121" s="74"/>
      <c r="AJ121" s="84"/>
    </row>
    <row r="122" spans="1:36" ht="15" x14ac:dyDescent="0.2">
      <c r="A122" s="67" t="s">
        <v>3289</v>
      </c>
      <c r="B122" s="154" t="str">
        <f>LEFT(VLOOKUP($A122,SP_EnvTract_DB[],MATCH(B$2,SP_EnvTract_DB[#Headers],0),FALSE),7)</f>
        <v>R053223</v>
      </c>
      <c r="C122" s="68" t="str">
        <f>VLOOKUP($A122,SP_EnvTract_DB[],MATCH(C$2,SP_EnvTract_DB[#Headers],0),FALSE)</f>
        <v>ENV</v>
      </c>
      <c r="D122" s="156" t="str">
        <f>VLOOKUP($A122,SP_EnvTract_DB[],MATCH(D$2,SP_EnvTract_DB[#Headers],0),FALSE)</f>
        <v>EDWARDS CURTIS E;#257</v>
      </c>
      <c r="E122" s="156" t="str">
        <f>VLOOKUP($A122,SP_EnvTract_DB[],MATCH(E$2,SP_EnvTract_DB[#Headers],0),FALSE)</f>
        <v>0 KEARNEY;#257</v>
      </c>
      <c r="F122" s="69">
        <f>VLOOKUP($A122,SP_EnvTract_DB[],MATCH(F$2,SP_EnvTract_DB[#Headers],0),FALSE)</f>
        <v>0</v>
      </c>
      <c r="G122" s="73">
        <f>VLOOKUP($A122,SP_EnvTract_DB[],MATCH(G$2,SP_EnvTract_DB[#Headers],0),FALSE)</f>
        <v>0</v>
      </c>
      <c r="H122" s="73" t="str">
        <f>VLOOKUP($A122,SP_EnvTract_DB[],MATCH(H$2,SP_EnvTract_DB[#Headers],0),FALSE)</f>
        <v>Lily Khan</v>
      </c>
      <c r="I122" s="69">
        <f>VLOOKUP($A122,SP_EnvTract_DB[],MATCH(I$2,SP_EnvTract_DB[#Headers],0),FALSE)</f>
        <v>0</v>
      </c>
      <c r="J122" s="69">
        <f>VLOOKUP($A122,SP_EnvTract_DB[],MATCH(J$2,SP_EnvTract_DB[#Headers],0),FALSE)</f>
        <v>0</v>
      </c>
      <c r="K122" s="69">
        <f>VLOOKUP($A122,SP_EnvTract_DB[],MATCH(K$2,SP_EnvTract_DB[#Headers],0),FALSE)</f>
        <v>0</v>
      </c>
      <c r="L122" s="69">
        <f>VLOOKUP($A122,SP_EnvTract_DB[],MATCH(L$2,SP_EnvTract_DB[#Headers],0),FALSE)</f>
        <v>0</v>
      </c>
      <c r="M122" s="69">
        <f>VLOOKUP($A122,SP_EnvTract_DB[],MATCH(M$2,SP_EnvTract_DB[#Headers],0),FALSE)</f>
        <v>0</v>
      </c>
      <c r="N122" s="69">
        <f>VLOOKUP($A122,SP_EnvTract_DB[],MATCH(N$2,SP_EnvTract_DB[#Headers],0),FALSE)</f>
        <v>0</v>
      </c>
      <c r="O122" s="74">
        <f>VLOOKUP($A122,SP_EnvTract_DB[],MATCH(O$2,SP_EnvTract_DB[#Headers],0),FALSE)</f>
        <v>0</v>
      </c>
      <c r="P122" s="73">
        <f>VLOOKUP($A122,SP_EnvTract_DB[],MATCH(P$2,SP_EnvTract_DB[#Headers],0),FALSE)</f>
        <v>0</v>
      </c>
      <c r="Q122" s="73">
        <f>VLOOKUP($A122,SP_EnvTract_DB[],MATCH(Q$2,SP_EnvTract_DB[#Headers],0),FALSE)</f>
        <v>0</v>
      </c>
      <c r="R122" s="74">
        <f>VLOOKUP($A122,SP_EnvTract_DB[],MATCH(R$2,SP_EnvTract_DB[#Headers],0),FALSE)</f>
        <v>0</v>
      </c>
      <c r="S122" s="68">
        <f>VLOOKUP($A122,SP_EnvTract_DB[],MATCH(S$2,SP_EnvTract_DB[#Headers],0),FALSE)</f>
        <v>0</v>
      </c>
      <c r="T122" s="68">
        <f>VLOOKUP($A122,SP_EnvTract_DB[],MATCH(T$2,SP_EnvTract_DB[#Headers],0),FALSE)</f>
        <v>0</v>
      </c>
      <c r="U122" s="74">
        <f>VLOOKUP($A122,SP_EnvTract_DB[],MATCH(U$2,SP_EnvTract_DB[#Headers],0),FALSE)</f>
        <v>0</v>
      </c>
      <c r="V122" s="68">
        <f>VLOOKUP($A122,SP_EnvTract_DB[],MATCH(V$2,SP_EnvTract_DB[#Headers],0),FALSE)</f>
        <v>0</v>
      </c>
      <c r="W122" s="68">
        <f>VLOOKUP($A122,SP_EnvTract_DB[],MATCH(W$2,SP_EnvTract_DB[#Headers],0),FALSE)</f>
        <v>0</v>
      </c>
      <c r="X122" s="68">
        <f>VLOOKUP($A122,SP_EnvTract_DB[],MATCH(X$2,SP_EnvTract_DB[#Headers],0),FALSE)</f>
        <v>0</v>
      </c>
      <c r="Y122" s="80">
        <f>VLOOKUP($A122,SP_EnvTract_DB[],MATCH(Y$2,SP_EnvTract_DB[#Headers],0),FALSE)</f>
        <v>0</v>
      </c>
      <c r="Z122" s="81" t="str">
        <f>IFERROR(IF(VLOOKUP(CONCATENATE($A122,"_",Z$1),SP_,MATCH(Z$2,SP_ENV_Lib[#Headers],0),FALSE)=0,"",VLOOKUP(CONCATENATE($A122,"_",Z$1),SP_ENV_Lib[],MATCH(Z$2,SP_ACQ_Lib[#Headers],0),FALSE)),"")</f>
        <v/>
      </c>
      <c r="AA122" s="74"/>
      <c r="AB122" s="74">
        <f>IFERROR(IF(VLOOKUP(CONCATENATE($A122,"_",AB$1),SP_ENV_Lib[],MATCH(AB$2,SP_ENV_Lib[#Headers],0),FALSE)=0,"",VLOOKUP(CONCATENATE($A122,"_",AB$1),SP_ENV_Lib[],MATCH(AB$2,SP_ENV_Lib[#Headers],0),FALSE)),"")</f>
        <v>43879.735601851855</v>
      </c>
      <c r="AC122" s="74">
        <f>IFERROR(IF(VLOOKUP(CONCATENATE($A122,"_",AC$1),SP_ENV_Lib[],MATCH(AC$2,SP_ENV_Lib[#Headers],0),FALSE)=0,"",VLOOKUP(CONCATENATE($A122,"_",AC$1),SP_ENV_Lib[],MATCH(AC$2,SP_ENV_Lib[#Headers],0),FALSE)),"")</f>
        <v>43850</v>
      </c>
      <c r="AD122" s="74">
        <f>IFERROR(IF(VLOOKUP(CONCATENATE($A122,"_",AD$1),SP_ENV_Lib[],MATCH(AD$2,SP_ENV_Lib[#Headers],0),FALSE)=0,"",VLOOKUP(CONCATENATE($A122,"_",AD$1),SP_ENV_Lib[],MATCH(AD$2,SP_ENV_Lib[#Headers],0),FALSE)),"")</f>
        <v>43866</v>
      </c>
      <c r="AE122" s="74" t="str">
        <f>IFERROR(IF(VLOOKUP(CONCATENATE($A122,"_",AE$1),SP_ENV_Lib[],MATCH(AE$2,SP_ENV_Lib[#Headers],0),FALSE)=0,"",VLOOKUP(CONCATENATE($A122,"_",AE$1),SP_ENV_Lib[],MATCH(AE$2,SP_ENV_Lib[#Headers],0),FALSE)),"")</f>
        <v/>
      </c>
      <c r="AF122" s="172" t="str">
        <f>IFERROR(VLOOKUP(CONCATENATE($A122,"_",AF$1),SP_ENV_Lib[],MATCH(AF$2,SP_ENV_Lib[#Headers],0),FALSE),0)</f>
        <v>Accepted</v>
      </c>
      <c r="AG122" s="74"/>
      <c r="AH122" s="74"/>
      <c r="AI122" s="74"/>
      <c r="AJ122" s="84"/>
    </row>
    <row r="123" spans="1:36" ht="15" x14ac:dyDescent="0.2">
      <c r="A123" s="67" t="s">
        <v>3294</v>
      </c>
      <c r="B123" s="154" t="str">
        <f>LEFT(VLOOKUP($A123,SP_EnvTract_DB[],MATCH(B$2,SP_EnvTract_DB[#Headers],0),FALSE),7)</f>
        <v>R053224</v>
      </c>
      <c r="C123" s="68" t="str">
        <f>VLOOKUP($A123,SP_EnvTract_DB[],MATCH(C$2,SP_EnvTract_DB[#Headers],0),FALSE)</f>
        <v>ENV</v>
      </c>
      <c r="D123" s="156" t="str">
        <f>VLOOKUP($A123,SP_EnvTract_DB[],MATCH(D$2,SP_EnvTract_DB[#Headers],0),FALSE)</f>
        <v>EDWARDS CURTIS E &amp; WF;#258</v>
      </c>
      <c r="E123" s="156" t="str">
        <f>VLOOKUP($A123,SP_EnvTract_DB[],MATCH(E$2,SP_EnvTract_DB[#Headers],0),FALSE)</f>
        <v>0  KEARNEY;#258</v>
      </c>
      <c r="F123" s="69">
        <f>VLOOKUP($A123,SP_EnvTract_DB[],MATCH(F$2,SP_EnvTract_DB[#Headers],0),FALSE)</f>
        <v>0</v>
      </c>
      <c r="G123" s="73">
        <f>VLOOKUP($A123,SP_EnvTract_DB[],MATCH(G$2,SP_EnvTract_DB[#Headers],0),FALSE)</f>
        <v>0</v>
      </c>
      <c r="H123" s="73" t="str">
        <f>VLOOKUP($A123,SP_EnvTract_DB[],MATCH(H$2,SP_EnvTract_DB[#Headers],0),FALSE)</f>
        <v>Lily Khan</v>
      </c>
      <c r="I123" s="69">
        <f>VLOOKUP($A123,SP_EnvTract_DB[],MATCH(I$2,SP_EnvTract_DB[#Headers],0),FALSE)</f>
        <v>0</v>
      </c>
      <c r="J123" s="69">
        <f>VLOOKUP($A123,SP_EnvTract_DB[],MATCH(J$2,SP_EnvTract_DB[#Headers],0),FALSE)</f>
        <v>0</v>
      </c>
      <c r="K123" s="69">
        <f>VLOOKUP($A123,SP_EnvTract_DB[],MATCH(K$2,SP_EnvTract_DB[#Headers],0),FALSE)</f>
        <v>0</v>
      </c>
      <c r="L123" s="69">
        <f>VLOOKUP($A123,SP_EnvTract_DB[],MATCH(L$2,SP_EnvTract_DB[#Headers],0),FALSE)</f>
        <v>0</v>
      </c>
      <c r="M123" s="69">
        <f>VLOOKUP($A123,SP_EnvTract_DB[],MATCH(M$2,SP_EnvTract_DB[#Headers],0),FALSE)</f>
        <v>0</v>
      </c>
      <c r="N123" s="69">
        <f>VLOOKUP($A123,SP_EnvTract_DB[],MATCH(N$2,SP_EnvTract_DB[#Headers],0),FALSE)</f>
        <v>0</v>
      </c>
      <c r="O123" s="74">
        <f>VLOOKUP($A123,SP_EnvTract_DB[],MATCH(O$2,SP_EnvTract_DB[#Headers],0),FALSE)</f>
        <v>0</v>
      </c>
      <c r="P123" s="73">
        <f>VLOOKUP($A123,SP_EnvTract_DB[],MATCH(P$2,SP_EnvTract_DB[#Headers],0),FALSE)</f>
        <v>0</v>
      </c>
      <c r="Q123" s="73">
        <f>VLOOKUP($A123,SP_EnvTract_DB[],MATCH(Q$2,SP_EnvTract_DB[#Headers],0),FALSE)</f>
        <v>0</v>
      </c>
      <c r="R123" s="74">
        <f>VLOOKUP($A123,SP_EnvTract_DB[],MATCH(R$2,SP_EnvTract_DB[#Headers],0),FALSE)</f>
        <v>0</v>
      </c>
      <c r="S123" s="68">
        <f>VLOOKUP($A123,SP_EnvTract_DB[],MATCH(S$2,SP_EnvTract_DB[#Headers],0),FALSE)</f>
        <v>0</v>
      </c>
      <c r="T123" s="68">
        <f>VLOOKUP($A123,SP_EnvTract_DB[],MATCH(T$2,SP_EnvTract_DB[#Headers],0),FALSE)</f>
        <v>0</v>
      </c>
      <c r="U123" s="74">
        <f>VLOOKUP($A123,SP_EnvTract_DB[],MATCH(U$2,SP_EnvTract_DB[#Headers],0),FALSE)</f>
        <v>0</v>
      </c>
      <c r="V123" s="68">
        <f>VLOOKUP($A123,SP_EnvTract_DB[],MATCH(V$2,SP_EnvTract_DB[#Headers],0),FALSE)</f>
        <v>0</v>
      </c>
      <c r="W123" s="68">
        <f>VLOOKUP($A123,SP_EnvTract_DB[],MATCH(W$2,SP_EnvTract_DB[#Headers],0),FALSE)</f>
        <v>0</v>
      </c>
      <c r="X123" s="68">
        <f>VLOOKUP($A123,SP_EnvTract_DB[],MATCH(X$2,SP_EnvTract_DB[#Headers],0),FALSE)</f>
        <v>0</v>
      </c>
      <c r="Y123" s="80">
        <f>VLOOKUP($A123,SP_EnvTract_DB[],MATCH(Y$2,SP_EnvTract_DB[#Headers],0),FALSE)</f>
        <v>0</v>
      </c>
      <c r="Z123" s="81" t="str">
        <f>IFERROR(IF(VLOOKUP(CONCATENATE($A123,"_",Z$1),SP_,MATCH(Z$2,SP_ENV_Lib[#Headers],0),FALSE)=0,"",VLOOKUP(CONCATENATE($A123,"_",Z$1),SP_ENV_Lib[],MATCH(Z$2,SP_ACQ_Lib[#Headers],0),FALSE)),"")</f>
        <v/>
      </c>
      <c r="AA123" s="74"/>
      <c r="AB123" s="74">
        <f>IFERROR(IF(VLOOKUP(CONCATENATE($A123,"_",AB$1),SP_ENV_Lib[],MATCH(AB$2,SP_ENV_Lib[#Headers],0),FALSE)=0,"",VLOOKUP(CONCATENATE($A123,"_",AB$1),SP_ENV_Lib[],MATCH(AB$2,SP_ENV_Lib[#Headers],0),FALSE)),"")</f>
        <v>43879.735601851855</v>
      </c>
      <c r="AC123" s="74">
        <f>IFERROR(IF(VLOOKUP(CONCATENATE($A123,"_",AC$1),SP_ENV_Lib[],MATCH(AC$2,SP_ENV_Lib[#Headers],0),FALSE)=0,"",VLOOKUP(CONCATENATE($A123,"_",AC$1),SP_ENV_Lib[],MATCH(AC$2,SP_ENV_Lib[#Headers],0),FALSE)),"")</f>
        <v>43850</v>
      </c>
      <c r="AD123" s="74">
        <f>IFERROR(IF(VLOOKUP(CONCATENATE($A123,"_",AD$1),SP_ENV_Lib[],MATCH(AD$2,SP_ENV_Lib[#Headers],0),FALSE)=0,"",VLOOKUP(CONCATENATE($A123,"_",AD$1),SP_ENV_Lib[],MATCH(AD$2,SP_ENV_Lib[#Headers],0),FALSE)),"")</f>
        <v>43871</v>
      </c>
      <c r="AE123" s="74" t="str">
        <f>IFERROR(IF(VLOOKUP(CONCATENATE($A123,"_",AE$1),SP_ENV_Lib[],MATCH(AE$2,SP_ENV_Lib[#Headers],0),FALSE)=0,"",VLOOKUP(CONCATENATE($A123,"_",AE$1),SP_ENV_Lib[],MATCH(AE$2,SP_ENV_Lib[#Headers],0),FALSE)),"")</f>
        <v/>
      </c>
      <c r="AF123" s="172" t="str">
        <f>IFERROR(VLOOKUP(CONCATENATE($A123,"_",AF$1),SP_ENV_Lib[],MATCH(AF$2,SP_ENV_Lib[#Headers],0),FALSE),0)</f>
        <v>Accepted</v>
      </c>
      <c r="AG123" s="74"/>
      <c r="AH123" s="74"/>
      <c r="AI123" s="74"/>
      <c r="AJ123" s="84"/>
    </row>
    <row r="124" spans="1:36" ht="15" x14ac:dyDescent="0.2">
      <c r="A124" s="67" t="s">
        <v>3305</v>
      </c>
      <c r="B124" s="154" t="str">
        <f>LEFT(VLOOKUP($A124,SP_EnvTract_DB[],MATCH(B$2,SP_EnvTract_DB[#Headers],0),FALSE),7)</f>
        <v>R053909</v>
      </c>
      <c r="C124" s="68" t="str">
        <f>VLOOKUP($A124,SP_EnvTract_DB[],MATCH(C$2,SP_EnvTract_DB[#Headers],0),FALSE)</f>
        <v>ENV</v>
      </c>
      <c r="D124" s="156" t="str">
        <f>VLOOKUP($A124,SP_EnvTract_DB[],MATCH(D$2,SP_EnvTract_DB[#Headers],0),FALSE)</f>
        <v>GONZALES JOE L EST;#261</v>
      </c>
      <c r="E124" s="156" t="str">
        <f>VLOOKUP($A124,SP_EnvTract_DB[],MATCH(E$2,SP_EnvTract_DB[#Headers],0),FALSE)</f>
        <v>302 CR 150;#261</v>
      </c>
      <c r="F124" s="69">
        <f>VLOOKUP($A124,SP_EnvTract_DB[],MATCH(F$2,SP_EnvTract_DB[#Headers],0),FALSE)</f>
        <v>0</v>
      </c>
      <c r="G124" s="73">
        <f>VLOOKUP($A124,SP_EnvTract_DB[],MATCH(G$2,SP_EnvTract_DB[#Headers],0),FALSE)</f>
        <v>0</v>
      </c>
      <c r="H124" s="73" t="str">
        <f>VLOOKUP($A124,SP_EnvTract_DB[],MATCH(H$2,SP_EnvTract_DB[#Headers],0),FALSE)</f>
        <v>Melissa DeLeon</v>
      </c>
      <c r="I124" s="69">
        <f>VLOOKUP($A124,SP_EnvTract_DB[],MATCH(I$2,SP_EnvTract_DB[#Headers],0),FALSE)</f>
        <v>0</v>
      </c>
      <c r="J124" s="69">
        <f>VLOOKUP($A124,SP_EnvTract_DB[],MATCH(J$2,SP_EnvTract_DB[#Headers],0),FALSE)</f>
        <v>0</v>
      </c>
      <c r="K124" s="69">
        <f>VLOOKUP($A124,SP_EnvTract_DB[],MATCH(K$2,SP_EnvTract_DB[#Headers],0),FALSE)</f>
        <v>0</v>
      </c>
      <c r="L124" s="69">
        <f>VLOOKUP($A124,SP_EnvTract_DB[],MATCH(L$2,SP_EnvTract_DB[#Headers],0),FALSE)</f>
        <v>0</v>
      </c>
      <c r="M124" s="69">
        <f>VLOOKUP($A124,SP_EnvTract_DB[],MATCH(M$2,SP_EnvTract_DB[#Headers],0),FALSE)</f>
        <v>0</v>
      </c>
      <c r="N124" s="69">
        <f>VLOOKUP($A124,SP_EnvTract_DB[],MATCH(N$2,SP_EnvTract_DB[#Headers],0),FALSE)</f>
        <v>0</v>
      </c>
      <c r="O124" s="74">
        <f>VLOOKUP($A124,SP_EnvTract_DB[],MATCH(O$2,SP_EnvTract_DB[#Headers],0),FALSE)</f>
        <v>0</v>
      </c>
      <c r="P124" s="73">
        <f>VLOOKUP($A124,SP_EnvTract_DB[],MATCH(P$2,SP_EnvTract_DB[#Headers],0),FALSE)</f>
        <v>0</v>
      </c>
      <c r="Q124" s="73">
        <f>VLOOKUP($A124,SP_EnvTract_DB[],MATCH(Q$2,SP_EnvTract_DB[#Headers],0),FALSE)</f>
        <v>0</v>
      </c>
      <c r="R124" s="74">
        <f>VLOOKUP($A124,SP_EnvTract_DB[],MATCH(R$2,SP_EnvTract_DB[#Headers],0),FALSE)</f>
        <v>0</v>
      </c>
      <c r="S124" s="68">
        <f>VLOOKUP($A124,SP_EnvTract_DB[],MATCH(S$2,SP_EnvTract_DB[#Headers],0),FALSE)</f>
        <v>0</v>
      </c>
      <c r="T124" s="68">
        <f>VLOOKUP($A124,SP_EnvTract_DB[],MATCH(T$2,SP_EnvTract_DB[#Headers],0),FALSE)</f>
        <v>0</v>
      </c>
      <c r="U124" s="74">
        <f>VLOOKUP($A124,SP_EnvTract_DB[],MATCH(U$2,SP_EnvTract_DB[#Headers],0),FALSE)</f>
        <v>0</v>
      </c>
      <c r="V124" s="68">
        <f>VLOOKUP($A124,SP_EnvTract_DB[],MATCH(V$2,SP_EnvTract_DB[#Headers],0),FALSE)</f>
        <v>0</v>
      </c>
      <c r="W124" s="68">
        <f>VLOOKUP($A124,SP_EnvTract_DB[],MATCH(W$2,SP_EnvTract_DB[#Headers],0),FALSE)</f>
        <v>0</v>
      </c>
      <c r="X124" s="68">
        <f>VLOOKUP($A124,SP_EnvTract_DB[],MATCH(X$2,SP_EnvTract_DB[#Headers],0),FALSE)</f>
        <v>0</v>
      </c>
      <c r="Y124" s="80">
        <f>VLOOKUP($A124,SP_EnvTract_DB[],MATCH(Y$2,SP_EnvTract_DB[#Headers],0),FALSE)</f>
        <v>0</v>
      </c>
      <c r="Z124" s="81" t="str">
        <f>IFERROR(IF(VLOOKUP(CONCATENATE($A124,"_",Z$1),SP_,MATCH(Z$2,SP_ENV_Lib[#Headers],0),FALSE)=0,"",VLOOKUP(CONCATENATE($A124,"_",Z$1),SP_ENV_Lib[],MATCH(Z$2,SP_ACQ_Lib[#Headers],0),FALSE)),"")</f>
        <v/>
      </c>
      <c r="AA124" s="74"/>
      <c r="AB124" s="74" t="str">
        <f>IFERROR(IF(VLOOKUP(CONCATENATE($A124,"_",AB$1),SP_ENV_Lib[],MATCH(AB$2,SP_ENV_Lib[#Headers],0),FALSE)=0,"",VLOOKUP(CONCATENATE($A124,"_",AB$1),SP_ENV_Lib[],MATCH(AB$2,SP_ENV_Lib[#Headers],0),FALSE)),"")</f>
        <v/>
      </c>
      <c r="AC124" s="74" t="str">
        <f>IFERROR(IF(VLOOKUP(CONCATENATE($A124,"_",AC$1),SP_ENV_Lib[],MATCH(AC$2,SP_ENV_Lib[#Headers],0),FALSE)=0,"",VLOOKUP(CONCATENATE($A124,"_",AC$1),SP_ENV_Lib[],MATCH(AC$2,SP_ENV_Lib[#Headers],0),FALSE)),"")</f>
        <v/>
      </c>
      <c r="AD124" s="74" t="str">
        <f>IFERROR(IF(VLOOKUP(CONCATENATE($A124,"_",AD$1),SP_ENV_Lib[],MATCH(AD$2,SP_ENV_Lib[#Headers],0),FALSE)=0,"",VLOOKUP(CONCATENATE($A124,"_",AD$1),SP_ENV_Lib[],MATCH(AD$2,SP_ENV_Lib[#Headers],0),FALSE)),"")</f>
        <v/>
      </c>
      <c r="AE124" s="74" t="str">
        <f>IFERROR(IF(VLOOKUP(CONCATENATE($A124,"_",AE$1),SP_ENV_Lib[],MATCH(AE$2,SP_ENV_Lib[#Headers],0),FALSE)=0,"",VLOOKUP(CONCATENATE($A124,"_",AE$1),SP_ENV_Lib[],MATCH(AE$2,SP_ENV_Lib[#Headers],0),FALSE)),"")</f>
        <v/>
      </c>
      <c r="AF124" s="172" t="str">
        <f>IFERROR(VLOOKUP(CONCATENATE($A124,"_",AF$1),SP_ENV_Lib[],MATCH(AF$2,SP_ENV_Lib[#Headers],0),FALSE),0)</f>
        <v>Accepted</v>
      </c>
      <c r="AG124" s="74"/>
      <c r="AH124" s="74"/>
      <c r="AI124" s="74"/>
      <c r="AJ124" s="84"/>
    </row>
    <row r="125" spans="1:36" ht="15" x14ac:dyDescent="0.2">
      <c r="A125" s="67" t="s">
        <v>3310</v>
      </c>
      <c r="B125" s="154" t="str">
        <f>LEFT(VLOOKUP($A125,SP_EnvTract_DB[],MATCH(B$2,SP_EnvTract_DB[#Headers],0),FALSE),7)</f>
        <v>R054512</v>
      </c>
      <c r="C125" s="68" t="str">
        <f>VLOOKUP($A125,SP_EnvTract_DB[],MATCH(C$2,SP_EnvTract_DB[#Headers],0),FALSE)</f>
        <v>ENV</v>
      </c>
      <c r="D125" s="156" t="str">
        <f>VLOOKUP($A125,SP_EnvTract_DB[],MATCH(D$2,SP_EnvTract_DB[#Headers],0),FALSE)</f>
        <v>WITT ANN L &amp; RAYMOND R;#262</v>
      </c>
      <c r="E125" s="156" t="str">
        <f>VLOOKUP($A125,SP_EnvTract_DB[],MATCH(E$2,SP_EnvTract_DB[#Headers],0),FALSE)</f>
        <v>0 CR 222;#262</v>
      </c>
      <c r="F125" s="69">
        <f>VLOOKUP($A125,SP_EnvTract_DB[],MATCH(F$2,SP_EnvTract_DB[#Headers],0),FALSE)</f>
        <v>0</v>
      </c>
      <c r="G125" s="73">
        <f>VLOOKUP($A125,SP_EnvTract_DB[],MATCH(G$2,SP_EnvTract_DB[#Headers],0),FALSE)</f>
        <v>0</v>
      </c>
      <c r="H125" s="73" t="str">
        <f>VLOOKUP($A125,SP_EnvTract_DB[],MATCH(H$2,SP_EnvTract_DB[#Headers],0),FALSE)</f>
        <v>Suzy Romoser-Broadway</v>
      </c>
      <c r="I125" s="69">
        <f>VLOOKUP($A125,SP_EnvTract_DB[],MATCH(I$2,SP_EnvTract_DB[#Headers],0),FALSE)</f>
        <v>0</v>
      </c>
      <c r="J125" s="69">
        <f>VLOOKUP($A125,SP_EnvTract_DB[],MATCH(J$2,SP_EnvTract_DB[#Headers],0),FALSE)</f>
        <v>0</v>
      </c>
      <c r="K125" s="69">
        <f>VLOOKUP($A125,SP_EnvTract_DB[],MATCH(K$2,SP_EnvTract_DB[#Headers],0),FALSE)</f>
        <v>0</v>
      </c>
      <c r="L125" s="69">
        <f>VLOOKUP($A125,SP_EnvTract_DB[],MATCH(L$2,SP_EnvTract_DB[#Headers],0),FALSE)</f>
        <v>0</v>
      </c>
      <c r="M125" s="69">
        <f>VLOOKUP($A125,SP_EnvTract_DB[],MATCH(M$2,SP_EnvTract_DB[#Headers],0),FALSE)</f>
        <v>0</v>
      </c>
      <c r="N125" s="69">
        <f>VLOOKUP($A125,SP_EnvTract_DB[],MATCH(N$2,SP_EnvTract_DB[#Headers],0),FALSE)</f>
        <v>0</v>
      </c>
      <c r="O125" s="74">
        <f>VLOOKUP($A125,SP_EnvTract_DB[],MATCH(O$2,SP_EnvTract_DB[#Headers],0),FALSE)</f>
        <v>0</v>
      </c>
      <c r="P125" s="73">
        <f>VLOOKUP($A125,SP_EnvTract_DB[],MATCH(P$2,SP_EnvTract_DB[#Headers],0),FALSE)</f>
        <v>0</v>
      </c>
      <c r="Q125" s="73">
        <f>VLOOKUP($A125,SP_EnvTract_DB[],MATCH(Q$2,SP_EnvTract_DB[#Headers],0),FALSE)</f>
        <v>0</v>
      </c>
      <c r="R125" s="74">
        <f>VLOOKUP($A125,SP_EnvTract_DB[],MATCH(R$2,SP_EnvTract_DB[#Headers],0),FALSE)</f>
        <v>0</v>
      </c>
      <c r="S125" s="68">
        <f>VLOOKUP($A125,SP_EnvTract_DB[],MATCH(S$2,SP_EnvTract_DB[#Headers],0),FALSE)</f>
        <v>0</v>
      </c>
      <c r="T125" s="68">
        <f>VLOOKUP($A125,SP_EnvTract_DB[],MATCH(T$2,SP_EnvTract_DB[#Headers],0),FALSE)</f>
        <v>0</v>
      </c>
      <c r="U125" s="74">
        <f>VLOOKUP($A125,SP_EnvTract_DB[],MATCH(U$2,SP_EnvTract_DB[#Headers],0),FALSE)</f>
        <v>0</v>
      </c>
      <c r="V125" s="68">
        <f>VLOOKUP($A125,SP_EnvTract_DB[],MATCH(V$2,SP_EnvTract_DB[#Headers],0),FALSE)</f>
        <v>0</v>
      </c>
      <c r="W125" s="68">
        <f>VLOOKUP($A125,SP_EnvTract_DB[],MATCH(W$2,SP_EnvTract_DB[#Headers],0),FALSE)</f>
        <v>0</v>
      </c>
      <c r="X125" s="68">
        <f>VLOOKUP($A125,SP_EnvTract_DB[],MATCH(X$2,SP_EnvTract_DB[#Headers],0),FALSE)</f>
        <v>0</v>
      </c>
      <c r="Y125" s="80">
        <f>VLOOKUP($A125,SP_EnvTract_DB[],MATCH(Y$2,SP_EnvTract_DB[#Headers],0),FALSE)</f>
        <v>0</v>
      </c>
      <c r="Z125" s="81" t="str">
        <f>IFERROR(IF(VLOOKUP(CONCATENATE($A125,"_",Z$1),SP_,MATCH(Z$2,SP_ENV_Lib[#Headers],0),FALSE)=0,"",VLOOKUP(CONCATENATE($A125,"_",Z$1),SP_ENV_Lib[],MATCH(Z$2,SP_ACQ_Lib[#Headers],0),FALSE)),"")</f>
        <v/>
      </c>
      <c r="AA125" s="74"/>
      <c r="AB125" s="74" t="str">
        <f>IFERROR(IF(VLOOKUP(CONCATENATE($A125,"_",AB$1),SP_ENV_Lib[],MATCH(AB$2,SP_ENV_Lib[#Headers],0),FALSE)=0,"",VLOOKUP(CONCATENATE($A125,"_",AB$1),SP_ENV_Lib[],MATCH(AB$2,SP_ENV_Lib[#Headers],0),FALSE)),"")</f>
        <v/>
      </c>
      <c r="AC125" s="74">
        <f>IFERROR(IF(VLOOKUP(CONCATENATE($A125,"_",AC$1),SP_ENV_Lib[],MATCH(AC$2,SP_ENV_Lib[#Headers],0),FALSE)=0,"",VLOOKUP(CONCATENATE($A125,"_",AC$1),SP_ENV_Lib[],MATCH(AC$2,SP_ENV_Lib[#Headers],0),FALSE)),"")</f>
        <v>43850</v>
      </c>
      <c r="AD125" s="74">
        <f>IFERROR(IF(VLOOKUP(CONCATENATE($A125,"_",AD$1),SP_ENV_Lib[],MATCH(AD$2,SP_ENV_Lib[#Headers],0),FALSE)=0,"",VLOOKUP(CONCATENATE($A125,"_",AD$1),SP_ENV_Lib[],MATCH(AD$2,SP_ENV_Lib[#Headers],0),FALSE)),"")</f>
        <v>43895</v>
      </c>
      <c r="AE125" s="74" t="str">
        <f>IFERROR(IF(VLOOKUP(CONCATENATE($A125,"_",AE$1),SP_ENV_Lib[],MATCH(AE$2,SP_ENV_Lib[#Headers],0),FALSE)=0,"",VLOOKUP(CONCATENATE($A125,"_",AE$1),SP_ENV_Lib[],MATCH(AE$2,SP_ENV_Lib[#Headers],0),FALSE)),"")</f>
        <v/>
      </c>
      <c r="AF125" s="172" t="str">
        <f>IFERROR(VLOOKUP(CONCATENATE($A125,"_",AF$1),SP_ENV_Lib[],MATCH(AF$2,SP_ENV_Lib[#Headers],0),FALSE),0)</f>
        <v>Accepted</v>
      </c>
      <c r="AG125" s="74"/>
      <c r="AH125" s="74"/>
      <c r="AI125" s="74"/>
      <c r="AJ125" s="84"/>
    </row>
    <row r="126" spans="1:36" ht="15" x14ac:dyDescent="0.2">
      <c r="A126" s="67" t="s">
        <v>3315</v>
      </c>
      <c r="B126" s="154" t="str">
        <f>LEFT(VLOOKUP($A126,SP_EnvTract_DB[],MATCH(B$2,SP_EnvTract_DB[#Headers],0),FALSE),7)</f>
        <v>R054513</v>
      </c>
      <c r="C126" s="68" t="str">
        <f>VLOOKUP($A126,SP_EnvTract_DB[],MATCH(C$2,SP_EnvTract_DB[#Headers],0),FALSE)</f>
        <v>ENV</v>
      </c>
      <c r="D126" s="156" t="str">
        <f>VLOOKUP($A126,SP_EnvTract_DB[],MATCH(D$2,SP_EnvTract_DB[#Headers],0),FALSE)</f>
        <v>HENRY RUDOLPH ETUX SHERYL;#263</v>
      </c>
      <c r="E126" s="156" t="str">
        <f>VLOOKUP($A126,SP_EnvTract_DB[],MATCH(E$2,SP_EnvTract_DB[#Headers],0),FALSE)</f>
        <v>0 CR 222;#263</v>
      </c>
      <c r="F126" s="69">
        <f>VLOOKUP($A126,SP_EnvTract_DB[],MATCH(F$2,SP_EnvTract_DB[#Headers],0),FALSE)</f>
        <v>0</v>
      </c>
      <c r="G126" s="73">
        <f>VLOOKUP($A126,SP_EnvTract_DB[],MATCH(G$2,SP_EnvTract_DB[#Headers],0),FALSE)</f>
        <v>0</v>
      </c>
      <c r="H126" s="73" t="str">
        <f>VLOOKUP($A126,SP_EnvTract_DB[],MATCH(H$2,SP_EnvTract_DB[#Headers],0),FALSE)</f>
        <v>Melissa DeLeon</v>
      </c>
      <c r="I126" s="69">
        <f>VLOOKUP($A126,SP_EnvTract_DB[],MATCH(I$2,SP_EnvTract_DB[#Headers],0),FALSE)</f>
        <v>0</v>
      </c>
      <c r="J126" s="69">
        <f>VLOOKUP($A126,SP_EnvTract_DB[],MATCH(J$2,SP_EnvTract_DB[#Headers],0),FALSE)</f>
        <v>0</v>
      </c>
      <c r="K126" s="69">
        <f>VLOOKUP($A126,SP_EnvTract_DB[],MATCH(K$2,SP_EnvTract_DB[#Headers],0),FALSE)</f>
        <v>0</v>
      </c>
      <c r="L126" s="69">
        <f>VLOOKUP($A126,SP_EnvTract_DB[],MATCH(L$2,SP_EnvTract_DB[#Headers],0),FALSE)</f>
        <v>0</v>
      </c>
      <c r="M126" s="69">
        <f>VLOOKUP($A126,SP_EnvTract_DB[],MATCH(M$2,SP_EnvTract_DB[#Headers],0),FALSE)</f>
        <v>0</v>
      </c>
      <c r="N126" s="69">
        <f>VLOOKUP($A126,SP_EnvTract_DB[],MATCH(N$2,SP_EnvTract_DB[#Headers],0),FALSE)</f>
        <v>0</v>
      </c>
      <c r="O126" s="74">
        <f>VLOOKUP($A126,SP_EnvTract_DB[],MATCH(O$2,SP_EnvTract_DB[#Headers],0),FALSE)</f>
        <v>0</v>
      </c>
      <c r="P126" s="73">
        <f>VLOOKUP($A126,SP_EnvTract_DB[],MATCH(P$2,SP_EnvTract_DB[#Headers],0),FALSE)</f>
        <v>0</v>
      </c>
      <c r="Q126" s="73">
        <f>VLOOKUP($A126,SP_EnvTract_DB[],MATCH(Q$2,SP_EnvTract_DB[#Headers],0),FALSE)</f>
        <v>0</v>
      </c>
      <c r="R126" s="74">
        <f>VLOOKUP($A126,SP_EnvTract_DB[],MATCH(R$2,SP_EnvTract_DB[#Headers],0),FALSE)</f>
        <v>0</v>
      </c>
      <c r="S126" s="68">
        <f>VLOOKUP($A126,SP_EnvTract_DB[],MATCH(S$2,SP_EnvTract_DB[#Headers],0),FALSE)</f>
        <v>0</v>
      </c>
      <c r="T126" s="68">
        <f>VLOOKUP($A126,SP_EnvTract_DB[],MATCH(T$2,SP_EnvTract_DB[#Headers],0),FALSE)</f>
        <v>0</v>
      </c>
      <c r="U126" s="74">
        <f>VLOOKUP($A126,SP_EnvTract_DB[],MATCH(U$2,SP_EnvTract_DB[#Headers],0),FALSE)</f>
        <v>0</v>
      </c>
      <c r="V126" s="68">
        <f>VLOOKUP($A126,SP_EnvTract_DB[],MATCH(V$2,SP_EnvTract_DB[#Headers],0),FALSE)</f>
        <v>0</v>
      </c>
      <c r="W126" s="68">
        <f>VLOOKUP($A126,SP_EnvTract_DB[],MATCH(W$2,SP_EnvTract_DB[#Headers],0),FALSE)</f>
        <v>0</v>
      </c>
      <c r="X126" s="68">
        <f>VLOOKUP($A126,SP_EnvTract_DB[],MATCH(X$2,SP_EnvTract_DB[#Headers],0),FALSE)</f>
        <v>0</v>
      </c>
      <c r="Y126" s="80">
        <f>VLOOKUP($A126,SP_EnvTract_DB[],MATCH(Y$2,SP_EnvTract_DB[#Headers],0),FALSE)</f>
        <v>0</v>
      </c>
      <c r="Z126" s="81" t="str">
        <f>IFERROR(IF(VLOOKUP(CONCATENATE($A126,"_",Z$1),SP_,MATCH(Z$2,SP_ENV_Lib[#Headers],0),FALSE)=0,"",VLOOKUP(CONCATENATE($A126,"_",Z$1),SP_ENV_Lib[],MATCH(Z$2,SP_ACQ_Lib[#Headers],0),FALSE)),"")</f>
        <v/>
      </c>
      <c r="AA126" s="74"/>
      <c r="AB126" s="74">
        <f>IFERROR(IF(VLOOKUP(CONCATENATE($A126,"_",AB$1),SP_ENV_Lib[],MATCH(AB$2,SP_ENV_Lib[#Headers],0),FALSE)=0,"",VLOOKUP(CONCATENATE($A126,"_",AB$1),SP_ENV_Lib[],MATCH(AB$2,SP_ENV_Lib[#Headers],0),FALSE)),"")</f>
        <v>43977.945625</v>
      </c>
      <c r="AC126" s="74">
        <f>IFERROR(IF(VLOOKUP(CONCATENATE($A126,"_",AC$1),SP_ENV_Lib[],MATCH(AC$2,SP_ENV_Lib[#Headers],0),FALSE)=0,"",VLOOKUP(CONCATENATE($A126,"_",AC$1),SP_ENV_Lib[],MATCH(AC$2,SP_ENV_Lib[#Headers],0),FALSE)),"")</f>
        <v>43850</v>
      </c>
      <c r="AD126" s="74" t="str">
        <f>IFERROR(IF(VLOOKUP(CONCATENATE($A126,"_",AD$1),SP_ENV_Lib[],MATCH(AD$2,SP_ENV_Lib[#Headers],0),FALSE)=0,"",VLOOKUP(CONCATENATE($A126,"_",AD$1),SP_ENV_Lib[],MATCH(AD$2,SP_ENV_Lib[#Headers],0),FALSE)),"")</f>
        <v/>
      </c>
      <c r="AE126" s="74" t="str">
        <f>IFERROR(IF(VLOOKUP(CONCATENATE($A126,"_",AE$1),SP_ENV_Lib[],MATCH(AE$2,SP_ENV_Lib[#Headers],0),FALSE)=0,"",VLOOKUP(CONCATENATE($A126,"_",AE$1),SP_ENV_Lib[],MATCH(AE$2,SP_ENV_Lib[#Headers],0),FALSE)),"")</f>
        <v/>
      </c>
      <c r="AF126" s="172" t="str">
        <f>IFERROR(VLOOKUP(CONCATENATE($A126,"_",AF$1),SP_ENV_Lib[],MATCH(AF$2,SP_ENV_Lib[#Headers],0),FALSE),0)</f>
        <v>Accepted</v>
      </c>
      <c r="AG126" s="74"/>
      <c r="AH126" s="74"/>
      <c r="AI126" s="74"/>
      <c r="AJ126" s="84"/>
    </row>
    <row r="127" spans="1:36" ht="15" x14ac:dyDescent="0.2">
      <c r="A127" s="67" t="s">
        <v>3320</v>
      </c>
      <c r="B127" s="154" t="str">
        <f>LEFT(VLOOKUP($A127,SP_EnvTract_DB[],MATCH(B$2,SP_EnvTract_DB[#Headers],0),FALSE),7)</f>
        <v>R054678</v>
      </c>
      <c r="C127" s="68" t="str">
        <f>VLOOKUP($A127,SP_EnvTract_DB[],MATCH(C$2,SP_EnvTract_DB[#Headers],0),FALSE)</f>
        <v>ENV</v>
      </c>
      <c r="D127" s="156" t="str">
        <f>VLOOKUP($A127,SP_EnvTract_DB[],MATCH(D$2,SP_EnvTract_DB[#Headers],0),FALSE)</f>
        <v>MACHA GENE G ETUX NANCY;#264</v>
      </c>
      <c r="E127" s="156" t="str">
        <f>VLOOKUP($A127,SP_EnvTract_DB[],MATCH(E$2,SP_EnvTract_DB[#Headers],0),FALSE)</f>
        <v>725 CR 150;#264</v>
      </c>
      <c r="F127" s="69">
        <f>VLOOKUP($A127,SP_EnvTract_DB[],MATCH(F$2,SP_EnvTract_DB[#Headers],0),FALSE)</f>
        <v>0</v>
      </c>
      <c r="G127" s="73">
        <f>VLOOKUP($A127,SP_EnvTract_DB[],MATCH(G$2,SP_EnvTract_DB[#Headers],0),FALSE)</f>
        <v>0</v>
      </c>
      <c r="H127" s="73" t="str">
        <f>VLOOKUP($A127,SP_EnvTract_DB[],MATCH(H$2,SP_EnvTract_DB[#Headers],0),FALSE)</f>
        <v>Suzy Romoser-Broadway</v>
      </c>
      <c r="I127" s="69">
        <f>VLOOKUP($A127,SP_EnvTract_DB[],MATCH(I$2,SP_EnvTract_DB[#Headers],0),FALSE)</f>
        <v>0</v>
      </c>
      <c r="J127" s="69">
        <f>VLOOKUP($A127,SP_EnvTract_DB[],MATCH(J$2,SP_EnvTract_DB[#Headers],0),FALSE)</f>
        <v>0</v>
      </c>
      <c r="K127" s="69">
        <f>VLOOKUP($A127,SP_EnvTract_DB[],MATCH(K$2,SP_EnvTract_DB[#Headers],0),FALSE)</f>
        <v>0</v>
      </c>
      <c r="L127" s="69">
        <f>VLOOKUP($A127,SP_EnvTract_DB[],MATCH(L$2,SP_EnvTract_DB[#Headers],0),FALSE)</f>
        <v>0</v>
      </c>
      <c r="M127" s="69">
        <f>VLOOKUP($A127,SP_EnvTract_DB[],MATCH(M$2,SP_EnvTract_DB[#Headers],0),FALSE)</f>
        <v>0</v>
      </c>
      <c r="N127" s="69">
        <f>VLOOKUP($A127,SP_EnvTract_DB[],MATCH(N$2,SP_EnvTract_DB[#Headers],0),FALSE)</f>
        <v>0</v>
      </c>
      <c r="O127" s="74">
        <f>VLOOKUP($A127,SP_EnvTract_DB[],MATCH(O$2,SP_EnvTract_DB[#Headers],0),FALSE)</f>
        <v>0</v>
      </c>
      <c r="P127" s="73">
        <f>VLOOKUP($A127,SP_EnvTract_DB[],MATCH(P$2,SP_EnvTract_DB[#Headers],0),FALSE)</f>
        <v>0</v>
      </c>
      <c r="Q127" s="73">
        <f>VLOOKUP($A127,SP_EnvTract_DB[],MATCH(Q$2,SP_EnvTract_DB[#Headers],0),FALSE)</f>
        <v>0</v>
      </c>
      <c r="R127" s="74">
        <f>VLOOKUP($A127,SP_EnvTract_DB[],MATCH(R$2,SP_EnvTract_DB[#Headers],0),FALSE)</f>
        <v>0</v>
      </c>
      <c r="S127" s="68">
        <f>VLOOKUP($A127,SP_EnvTract_DB[],MATCH(S$2,SP_EnvTract_DB[#Headers],0),FALSE)</f>
        <v>0</v>
      </c>
      <c r="T127" s="68">
        <f>VLOOKUP($A127,SP_EnvTract_DB[],MATCH(T$2,SP_EnvTract_DB[#Headers],0),FALSE)</f>
        <v>0</v>
      </c>
      <c r="U127" s="74">
        <f>VLOOKUP($A127,SP_EnvTract_DB[],MATCH(U$2,SP_EnvTract_DB[#Headers],0),FALSE)</f>
        <v>0</v>
      </c>
      <c r="V127" s="68">
        <f>VLOOKUP($A127,SP_EnvTract_DB[],MATCH(V$2,SP_EnvTract_DB[#Headers],0),FALSE)</f>
        <v>0</v>
      </c>
      <c r="W127" s="68">
        <f>VLOOKUP($A127,SP_EnvTract_DB[],MATCH(W$2,SP_EnvTract_DB[#Headers],0),FALSE)</f>
        <v>0</v>
      </c>
      <c r="X127" s="68">
        <f>VLOOKUP($A127,SP_EnvTract_DB[],MATCH(X$2,SP_EnvTract_DB[#Headers],0),FALSE)</f>
        <v>0</v>
      </c>
      <c r="Y127" s="80">
        <f>VLOOKUP($A127,SP_EnvTract_DB[],MATCH(Y$2,SP_EnvTract_DB[#Headers],0),FALSE)</f>
        <v>0</v>
      </c>
      <c r="Z127" s="81" t="str">
        <f>IFERROR(IF(VLOOKUP(CONCATENATE($A127,"_",Z$1),SP_,MATCH(Z$2,SP_ENV_Lib[#Headers],0),FALSE)=0,"",VLOOKUP(CONCATENATE($A127,"_",Z$1),SP_ENV_Lib[],MATCH(Z$2,SP_ACQ_Lib[#Headers],0),FALSE)),"")</f>
        <v/>
      </c>
      <c r="AA127" s="74"/>
      <c r="AB127" s="74" t="str">
        <f>IFERROR(IF(VLOOKUP(CONCATENATE($A127,"_",AB$1),SP_ENV_Lib[],MATCH(AB$2,SP_ENV_Lib[#Headers],0),FALSE)=0,"",VLOOKUP(CONCATENATE($A127,"_",AB$1),SP_ENV_Lib[],MATCH(AB$2,SP_ENV_Lib[#Headers],0),FALSE)),"")</f>
        <v/>
      </c>
      <c r="AC127" s="74">
        <f>IFERROR(IF(VLOOKUP(CONCATENATE($A127,"_",AC$1),SP_ENV_Lib[],MATCH(AC$2,SP_ENV_Lib[#Headers],0),FALSE)=0,"",VLOOKUP(CONCATENATE($A127,"_",AC$1),SP_ENV_Lib[],MATCH(AC$2,SP_ENV_Lib[#Headers],0),FALSE)),"")</f>
        <v>43850</v>
      </c>
      <c r="AD127" s="74">
        <f>IFERROR(IF(VLOOKUP(CONCATENATE($A127,"_",AD$1),SP_ENV_Lib[],MATCH(AD$2,SP_ENV_Lib[#Headers],0),FALSE)=0,"",VLOOKUP(CONCATENATE($A127,"_",AD$1),SP_ENV_Lib[],MATCH(AD$2,SP_ENV_Lib[#Headers],0),FALSE)),"")</f>
        <v>43864</v>
      </c>
      <c r="AE127" s="74" t="str">
        <f>IFERROR(IF(VLOOKUP(CONCATENATE($A127,"_",AE$1),SP_ENV_Lib[],MATCH(AE$2,SP_ENV_Lib[#Headers],0),FALSE)=0,"",VLOOKUP(CONCATENATE($A127,"_",AE$1),SP_ENV_Lib[],MATCH(AE$2,SP_ENV_Lib[#Headers],0),FALSE)),"")</f>
        <v/>
      </c>
      <c r="AF127" s="172" t="str">
        <f>IFERROR(VLOOKUP(CONCATENATE($A127,"_",AF$1),SP_ENV_Lib[],MATCH(AF$2,SP_ENV_Lib[#Headers],0),FALSE),0)</f>
        <v>Accepted</v>
      </c>
      <c r="AG127" s="74"/>
      <c r="AH127" s="74"/>
      <c r="AI127" s="74"/>
      <c r="AJ127" s="84"/>
    </row>
    <row r="128" spans="1:36" ht="15" x14ac:dyDescent="0.2">
      <c r="A128" s="67" t="s">
        <v>3325</v>
      </c>
      <c r="B128" s="154" t="str">
        <f>LEFT(VLOOKUP($A128,SP_EnvTract_DB[],MATCH(B$2,SP_EnvTract_DB[#Headers],0),FALSE),7)</f>
        <v>R055172</v>
      </c>
      <c r="C128" s="68" t="str">
        <f>VLOOKUP($A128,SP_EnvTract_DB[],MATCH(C$2,SP_EnvTract_DB[#Headers],0),FALSE)</f>
        <v>ENV</v>
      </c>
      <c r="D128" s="156" t="str">
        <f>VLOOKUP($A128,SP_EnvTract_DB[],MATCH(D$2,SP_EnvTract_DB[#Headers],0),FALSE)</f>
        <v>KALINA LARRY J ETUX DIANE;#265</v>
      </c>
      <c r="E128" s="156" t="str">
        <f>VLOOKUP($A128,SP_EnvTract_DB[],MATCH(E$2,SP_EnvTract_DB[#Headers],0),FALSE)</f>
        <v>3225 N RICHMOND;#265</v>
      </c>
      <c r="F128" s="69">
        <f>VLOOKUP($A128,SP_EnvTract_DB[],MATCH(F$2,SP_EnvTract_DB[#Headers],0),FALSE)</f>
        <v>0</v>
      </c>
      <c r="G128" s="73">
        <f>VLOOKUP($A128,SP_EnvTract_DB[],MATCH(G$2,SP_EnvTract_DB[#Headers],0),FALSE)</f>
        <v>0</v>
      </c>
      <c r="H128" s="73" t="str">
        <f>VLOOKUP($A128,SP_EnvTract_DB[],MATCH(H$2,SP_EnvTract_DB[#Headers],0),FALSE)</f>
        <v>Suzy Romoser-Broadway</v>
      </c>
      <c r="I128" s="69">
        <f>VLOOKUP($A128,SP_EnvTract_DB[],MATCH(I$2,SP_EnvTract_DB[#Headers],0),FALSE)</f>
        <v>0</v>
      </c>
      <c r="J128" s="69">
        <f>VLOOKUP($A128,SP_EnvTract_DB[],MATCH(J$2,SP_EnvTract_DB[#Headers],0),FALSE)</f>
        <v>0</v>
      </c>
      <c r="K128" s="69">
        <f>VLOOKUP($A128,SP_EnvTract_DB[],MATCH(K$2,SP_EnvTract_DB[#Headers],0),FALSE)</f>
        <v>0</v>
      </c>
      <c r="L128" s="69">
        <f>VLOOKUP($A128,SP_EnvTract_DB[],MATCH(L$2,SP_EnvTract_DB[#Headers],0),FALSE)</f>
        <v>0</v>
      </c>
      <c r="M128" s="69">
        <f>VLOOKUP($A128,SP_EnvTract_DB[],MATCH(M$2,SP_EnvTract_DB[#Headers],0),FALSE)</f>
        <v>0</v>
      </c>
      <c r="N128" s="69">
        <f>VLOOKUP($A128,SP_EnvTract_DB[],MATCH(N$2,SP_EnvTract_DB[#Headers],0),FALSE)</f>
        <v>0</v>
      </c>
      <c r="O128" s="74">
        <f>VLOOKUP($A128,SP_EnvTract_DB[],MATCH(O$2,SP_EnvTract_DB[#Headers],0),FALSE)</f>
        <v>0</v>
      </c>
      <c r="P128" s="73">
        <f>VLOOKUP($A128,SP_EnvTract_DB[],MATCH(P$2,SP_EnvTract_DB[#Headers],0),FALSE)</f>
        <v>0</v>
      </c>
      <c r="Q128" s="73">
        <f>VLOOKUP($A128,SP_EnvTract_DB[],MATCH(Q$2,SP_EnvTract_DB[#Headers],0),FALSE)</f>
        <v>0</v>
      </c>
      <c r="R128" s="74">
        <f>VLOOKUP($A128,SP_EnvTract_DB[],MATCH(R$2,SP_EnvTract_DB[#Headers],0),FALSE)</f>
        <v>0</v>
      </c>
      <c r="S128" s="68">
        <f>VLOOKUP($A128,SP_EnvTract_DB[],MATCH(S$2,SP_EnvTract_DB[#Headers],0),FALSE)</f>
        <v>0</v>
      </c>
      <c r="T128" s="68">
        <f>VLOOKUP($A128,SP_EnvTract_DB[],MATCH(T$2,SP_EnvTract_DB[#Headers],0),FALSE)</f>
        <v>0</v>
      </c>
      <c r="U128" s="74">
        <f>VLOOKUP($A128,SP_EnvTract_DB[],MATCH(U$2,SP_EnvTract_DB[#Headers],0),FALSE)</f>
        <v>0</v>
      </c>
      <c r="V128" s="68">
        <f>VLOOKUP($A128,SP_EnvTract_DB[],MATCH(V$2,SP_EnvTract_DB[#Headers],0),FALSE)</f>
        <v>0</v>
      </c>
      <c r="W128" s="68">
        <f>VLOOKUP($A128,SP_EnvTract_DB[],MATCH(W$2,SP_EnvTract_DB[#Headers],0),FALSE)</f>
        <v>0</v>
      </c>
      <c r="X128" s="68">
        <f>VLOOKUP($A128,SP_EnvTract_DB[],MATCH(X$2,SP_EnvTract_DB[#Headers],0),FALSE)</f>
        <v>0</v>
      </c>
      <c r="Y128" s="80">
        <f>VLOOKUP($A128,SP_EnvTract_DB[],MATCH(Y$2,SP_EnvTract_DB[#Headers],0),FALSE)</f>
        <v>0</v>
      </c>
      <c r="Z128" s="81" t="str">
        <f>IFERROR(IF(VLOOKUP(CONCATENATE($A128,"_",Z$1),SP_,MATCH(Z$2,SP_ENV_Lib[#Headers],0),FALSE)=0,"",VLOOKUP(CONCATENATE($A128,"_",Z$1),SP_ENV_Lib[],MATCH(Z$2,SP_ACQ_Lib[#Headers],0),FALSE)),"")</f>
        <v/>
      </c>
      <c r="AA128" s="74"/>
      <c r="AB128" s="74" t="str">
        <f>IFERROR(IF(VLOOKUP(CONCATENATE($A128,"_",AB$1),SP_ENV_Lib[],MATCH(AB$2,SP_ENV_Lib[#Headers],0),FALSE)=0,"",VLOOKUP(CONCATENATE($A128,"_",AB$1),SP_ENV_Lib[],MATCH(AB$2,SP_ENV_Lib[#Headers],0),FALSE)),"")</f>
        <v/>
      </c>
      <c r="AC128" s="74">
        <f>IFERROR(IF(VLOOKUP(CONCATENATE($A128,"_",AC$1),SP_ENV_Lib[],MATCH(AC$2,SP_ENV_Lib[#Headers],0),FALSE)=0,"",VLOOKUP(CONCATENATE($A128,"_",AC$1),SP_ENV_Lib[],MATCH(AC$2,SP_ENV_Lib[#Headers],0),FALSE)),"")</f>
        <v>43850</v>
      </c>
      <c r="AD128" s="74">
        <f>IFERROR(IF(VLOOKUP(CONCATENATE($A128,"_",AD$1),SP_ENV_Lib[],MATCH(AD$2,SP_ENV_Lib[#Headers],0),FALSE)=0,"",VLOOKUP(CONCATENATE($A128,"_",AD$1),SP_ENV_Lib[],MATCH(AD$2,SP_ENV_Lib[#Headers],0),FALSE)),"")</f>
        <v>43864</v>
      </c>
      <c r="AE128" s="74" t="str">
        <f>IFERROR(IF(VLOOKUP(CONCATENATE($A128,"_",AE$1),SP_ENV_Lib[],MATCH(AE$2,SP_ENV_Lib[#Headers],0),FALSE)=0,"",VLOOKUP(CONCATENATE($A128,"_",AE$1),SP_ENV_Lib[],MATCH(AE$2,SP_ENV_Lib[#Headers],0),FALSE)),"")</f>
        <v/>
      </c>
      <c r="AF128" s="172" t="str">
        <f>IFERROR(VLOOKUP(CONCATENATE($A128,"_",AF$1),SP_ENV_Lib[],MATCH(AF$2,SP_ENV_Lib[#Headers],0),FALSE),0)</f>
        <v>Accepted</v>
      </c>
      <c r="AG128" s="74"/>
      <c r="AH128" s="74"/>
      <c r="AI128" s="74"/>
      <c r="AJ128" s="84"/>
    </row>
    <row r="129" spans="1:36" ht="15" x14ac:dyDescent="0.2">
      <c r="A129" s="67" t="s">
        <v>3337</v>
      </c>
      <c r="B129" s="154" t="str">
        <f>LEFT(VLOOKUP($A129,SP_EnvTract_DB[],MATCH(B$2,SP_EnvTract_DB[#Headers],0),FALSE),7)</f>
        <v>R061310</v>
      </c>
      <c r="C129" s="68" t="str">
        <f>VLOOKUP($A129,SP_EnvTract_DB[],MATCH(C$2,SP_EnvTract_DB[#Headers],0),FALSE)</f>
        <v>ENV</v>
      </c>
      <c r="D129" s="156" t="str">
        <f>VLOOKUP($A129,SP_EnvTract_DB[],MATCH(D$2,SP_EnvTract_DB[#Headers],0),FALSE)</f>
        <v>ROGERS MARQUITA L;#273</v>
      </c>
      <c r="E129" s="156" t="str">
        <f>VLOOKUP($A129,SP_EnvTract_DB[],MATCH(E$2,SP_EnvTract_DB[#Headers],0),FALSE)</f>
        <v>400 S SHEPPARD;#273</v>
      </c>
      <c r="F129" s="69">
        <f>VLOOKUP($A129,SP_EnvTract_DB[],MATCH(F$2,SP_EnvTract_DB[#Headers],0),FALSE)</f>
        <v>0</v>
      </c>
      <c r="G129" s="73">
        <f>VLOOKUP($A129,SP_EnvTract_DB[],MATCH(G$2,SP_EnvTract_DB[#Headers],0),FALSE)</f>
        <v>0</v>
      </c>
      <c r="H129" s="73" t="str">
        <f>VLOOKUP($A129,SP_EnvTract_DB[],MATCH(H$2,SP_EnvTract_DB[#Headers],0),FALSE)</f>
        <v>Stateside</v>
      </c>
      <c r="I129" s="69">
        <f>VLOOKUP($A129,SP_EnvTract_DB[],MATCH(I$2,SP_EnvTract_DB[#Headers],0),FALSE)</f>
        <v>0</v>
      </c>
      <c r="J129" s="69">
        <f>VLOOKUP($A129,SP_EnvTract_DB[],MATCH(J$2,SP_EnvTract_DB[#Headers],0),FALSE)</f>
        <v>0</v>
      </c>
      <c r="K129" s="69">
        <f>VLOOKUP($A129,SP_EnvTract_DB[],MATCH(K$2,SP_EnvTract_DB[#Headers],0),FALSE)</f>
        <v>0</v>
      </c>
      <c r="L129" s="69">
        <f>VLOOKUP($A129,SP_EnvTract_DB[],MATCH(L$2,SP_EnvTract_DB[#Headers],0),FALSE)</f>
        <v>0</v>
      </c>
      <c r="M129" s="69">
        <f>VLOOKUP($A129,SP_EnvTract_DB[],MATCH(M$2,SP_EnvTract_DB[#Headers],0),FALSE)</f>
        <v>0</v>
      </c>
      <c r="N129" s="69">
        <f>VLOOKUP($A129,SP_EnvTract_DB[],MATCH(N$2,SP_EnvTract_DB[#Headers],0),FALSE)</f>
        <v>0</v>
      </c>
      <c r="O129" s="74">
        <f>VLOOKUP($A129,SP_EnvTract_DB[],MATCH(O$2,SP_EnvTract_DB[#Headers],0),FALSE)</f>
        <v>0</v>
      </c>
      <c r="P129" s="73">
        <f>VLOOKUP($A129,SP_EnvTract_DB[],MATCH(P$2,SP_EnvTract_DB[#Headers],0),FALSE)</f>
        <v>0</v>
      </c>
      <c r="Q129" s="73">
        <f>VLOOKUP($A129,SP_EnvTract_DB[],MATCH(Q$2,SP_EnvTract_DB[#Headers],0),FALSE)</f>
        <v>0</v>
      </c>
      <c r="R129" s="74">
        <f>VLOOKUP($A129,SP_EnvTract_DB[],MATCH(R$2,SP_EnvTract_DB[#Headers],0),FALSE)</f>
        <v>0</v>
      </c>
      <c r="S129" s="68">
        <f>VLOOKUP($A129,SP_EnvTract_DB[],MATCH(S$2,SP_EnvTract_DB[#Headers],0),FALSE)</f>
        <v>0</v>
      </c>
      <c r="T129" s="68">
        <f>VLOOKUP($A129,SP_EnvTract_DB[],MATCH(T$2,SP_EnvTract_DB[#Headers],0),FALSE)</f>
        <v>0</v>
      </c>
      <c r="U129" s="74">
        <f>VLOOKUP($A129,SP_EnvTract_DB[],MATCH(U$2,SP_EnvTract_DB[#Headers],0),FALSE)</f>
        <v>0</v>
      </c>
      <c r="V129" s="68">
        <f>VLOOKUP($A129,SP_EnvTract_DB[],MATCH(V$2,SP_EnvTract_DB[#Headers],0),FALSE)</f>
        <v>0</v>
      </c>
      <c r="W129" s="68">
        <f>VLOOKUP($A129,SP_EnvTract_DB[],MATCH(W$2,SP_EnvTract_DB[#Headers],0),FALSE)</f>
        <v>0</v>
      </c>
      <c r="X129" s="68">
        <f>VLOOKUP($A129,SP_EnvTract_DB[],MATCH(X$2,SP_EnvTract_DB[#Headers],0),FALSE)</f>
        <v>0</v>
      </c>
      <c r="Y129" s="80">
        <f>VLOOKUP($A129,SP_EnvTract_DB[],MATCH(Y$2,SP_EnvTract_DB[#Headers],0),FALSE)</f>
        <v>0</v>
      </c>
      <c r="Z129" s="81" t="str">
        <f>IFERROR(IF(VLOOKUP(CONCATENATE($A129,"_",Z$1),SP_,MATCH(Z$2,SP_ENV_Lib[#Headers],0),FALSE)=0,"",VLOOKUP(CONCATENATE($A129,"_",Z$1),SP_ENV_Lib[],MATCH(Z$2,SP_ACQ_Lib[#Headers],0),FALSE)),"")</f>
        <v/>
      </c>
      <c r="AA129" s="74"/>
      <c r="AB129" s="74" t="str">
        <f>IFERROR(IF(VLOOKUP(CONCATENATE($A129,"_",AB$1),SP_ENV_Lib[],MATCH(AB$2,SP_ENV_Lib[#Headers],0),FALSE)=0,"",VLOOKUP(CONCATENATE($A129,"_",AB$1),SP_ENV_Lib[],MATCH(AB$2,SP_ENV_Lib[#Headers],0),FALSE)),"")</f>
        <v/>
      </c>
      <c r="AC129" s="74" t="str">
        <f>IFERROR(IF(VLOOKUP(CONCATENATE($A129,"_",AC$1),SP_ENV_Lib[],MATCH(AC$2,SP_ENV_Lib[#Headers],0),FALSE)=0,"",VLOOKUP(CONCATENATE($A129,"_",AC$1),SP_ENV_Lib[],MATCH(AC$2,SP_ENV_Lib[#Headers],0),FALSE)),"")</f>
        <v/>
      </c>
      <c r="AD129" s="74">
        <f>IFERROR(IF(VLOOKUP(CONCATENATE($A129,"_",AD$1),SP_ENV_Lib[],MATCH(AD$2,SP_ENV_Lib[#Headers],0),FALSE)=0,"",VLOOKUP(CONCATENATE($A129,"_",AD$1),SP_ENV_Lib[],MATCH(AD$2,SP_ENV_Lib[#Headers],0),FALSE)),"")</f>
        <v>43874</v>
      </c>
      <c r="AE129" s="74" t="str">
        <f>IFERROR(IF(VLOOKUP(CONCATENATE($A129,"_",AE$1),SP_ENV_Lib[],MATCH(AE$2,SP_ENV_Lib[#Headers],0),FALSE)=0,"",VLOOKUP(CONCATENATE($A129,"_",AE$1),SP_ENV_Lib[],MATCH(AE$2,SP_ENV_Lib[#Headers],0),FALSE)),"")</f>
        <v/>
      </c>
      <c r="AF129" s="172" t="str">
        <f>IFERROR(VLOOKUP(CONCATENATE($A129,"_",AF$1),SP_ENV_Lib[],MATCH(AF$2,SP_ENV_Lib[#Headers],0),FALSE),0)</f>
        <v>Accepted</v>
      </c>
      <c r="AG129" s="74"/>
      <c r="AH129" s="74"/>
      <c r="AI129" s="74"/>
      <c r="AJ129" s="84"/>
    </row>
    <row r="130" spans="1:36" ht="15" x14ac:dyDescent="0.2">
      <c r="A130" s="67" t="s">
        <v>3342</v>
      </c>
      <c r="B130" s="154" t="str">
        <f>LEFT(VLOOKUP($A130,SP_EnvTract_DB[],MATCH(B$2,SP_EnvTract_DB[#Headers],0),FALSE),7)</f>
        <v>R063218</v>
      </c>
      <c r="C130" s="68" t="str">
        <f>VLOOKUP($A130,SP_EnvTract_DB[],MATCH(C$2,SP_EnvTract_DB[#Headers],0),FALSE)</f>
        <v>ENV</v>
      </c>
      <c r="D130" s="156" t="str">
        <f>VLOOKUP($A130,SP_EnvTract_DB[],MATCH(D$2,SP_EnvTract_DB[#Headers],0),FALSE)</f>
        <v>Valliere R. Auzenne Life Estate;#274</v>
      </c>
      <c r="E130" s="156" t="str">
        <f>VLOOKUP($A130,SP_EnvTract_DB[],MATCH(E$2,SP_EnvTract_DB[#Headers],0),FALSE)</f>
        <v>0 BLACK;#274</v>
      </c>
      <c r="F130" s="69">
        <f>VLOOKUP($A130,SP_EnvTract_DB[],MATCH(F$2,SP_EnvTract_DB[#Headers],0),FALSE)</f>
        <v>0</v>
      </c>
      <c r="G130" s="73">
        <f>VLOOKUP($A130,SP_EnvTract_DB[],MATCH(G$2,SP_EnvTract_DB[#Headers],0),FALSE)</f>
        <v>0</v>
      </c>
      <c r="H130" s="73" t="str">
        <f>VLOOKUP($A130,SP_EnvTract_DB[],MATCH(H$2,SP_EnvTract_DB[#Headers],0),FALSE)</f>
        <v>Suzy Romoser-Broadway</v>
      </c>
      <c r="I130" s="69">
        <f>VLOOKUP($A130,SP_EnvTract_DB[],MATCH(I$2,SP_EnvTract_DB[#Headers],0),FALSE)</f>
        <v>0</v>
      </c>
      <c r="J130" s="69">
        <f>VLOOKUP($A130,SP_EnvTract_DB[],MATCH(J$2,SP_EnvTract_DB[#Headers],0),FALSE)</f>
        <v>0</v>
      </c>
      <c r="K130" s="69">
        <f>VLOOKUP($A130,SP_EnvTract_DB[],MATCH(K$2,SP_EnvTract_DB[#Headers],0),FALSE)</f>
        <v>0</v>
      </c>
      <c r="L130" s="69">
        <f>VLOOKUP($A130,SP_EnvTract_DB[],MATCH(L$2,SP_EnvTract_DB[#Headers],0),FALSE)</f>
        <v>0</v>
      </c>
      <c r="M130" s="69">
        <f>VLOOKUP($A130,SP_EnvTract_DB[],MATCH(M$2,SP_EnvTract_DB[#Headers],0),FALSE)</f>
        <v>0</v>
      </c>
      <c r="N130" s="69">
        <f>VLOOKUP($A130,SP_EnvTract_DB[],MATCH(N$2,SP_EnvTract_DB[#Headers],0),FALSE)</f>
        <v>0</v>
      </c>
      <c r="O130" s="74">
        <f>VLOOKUP($A130,SP_EnvTract_DB[],MATCH(O$2,SP_EnvTract_DB[#Headers],0),FALSE)</f>
        <v>0</v>
      </c>
      <c r="P130" s="73">
        <f>VLOOKUP($A130,SP_EnvTract_DB[],MATCH(P$2,SP_EnvTract_DB[#Headers],0),FALSE)</f>
        <v>0</v>
      </c>
      <c r="Q130" s="73">
        <f>VLOOKUP($A130,SP_EnvTract_DB[],MATCH(Q$2,SP_EnvTract_DB[#Headers],0),FALSE)</f>
        <v>0</v>
      </c>
      <c r="R130" s="74">
        <f>VLOOKUP($A130,SP_EnvTract_DB[],MATCH(R$2,SP_EnvTract_DB[#Headers],0),FALSE)</f>
        <v>0</v>
      </c>
      <c r="S130" s="68">
        <f>VLOOKUP($A130,SP_EnvTract_DB[],MATCH(S$2,SP_EnvTract_DB[#Headers],0),FALSE)</f>
        <v>0</v>
      </c>
      <c r="T130" s="68">
        <f>VLOOKUP($A130,SP_EnvTract_DB[],MATCH(T$2,SP_EnvTract_DB[#Headers],0),FALSE)</f>
        <v>0</v>
      </c>
      <c r="U130" s="74">
        <f>VLOOKUP($A130,SP_EnvTract_DB[],MATCH(U$2,SP_EnvTract_DB[#Headers],0),FALSE)</f>
        <v>0</v>
      </c>
      <c r="V130" s="68">
        <f>VLOOKUP($A130,SP_EnvTract_DB[],MATCH(V$2,SP_EnvTract_DB[#Headers],0),FALSE)</f>
        <v>0</v>
      </c>
      <c r="W130" s="68">
        <f>VLOOKUP($A130,SP_EnvTract_DB[],MATCH(W$2,SP_EnvTract_DB[#Headers],0),FALSE)</f>
        <v>0</v>
      </c>
      <c r="X130" s="68">
        <f>VLOOKUP($A130,SP_EnvTract_DB[],MATCH(X$2,SP_EnvTract_DB[#Headers],0),FALSE)</f>
        <v>0</v>
      </c>
      <c r="Y130" s="80">
        <f>VLOOKUP($A130,SP_EnvTract_DB[],MATCH(Y$2,SP_EnvTract_DB[#Headers],0),FALSE)</f>
        <v>0</v>
      </c>
      <c r="Z130" s="81" t="str">
        <f>IFERROR(IF(VLOOKUP(CONCATENATE($A130,"_",Z$1),SP_,MATCH(Z$2,SP_ENV_Lib[#Headers],0),FALSE)=0,"",VLOOKUP(CONCATENATE($A130,"_",Z$1),SP_ENV_Lib[],MATCH(Z$2,SP_ACQ_Lib[#Headers],0),FALSE)),"")</f>
        <v/>
      </c>
      <c r="AA130" s="74"/>
      <c r="AB130" s="74" t="str">
        <f>IFERROR(IF(VLOOKUP(CONCATENATE($A130,"_",AB$1),SP_ENV_Lib[],MATCH(AB$2,SP_ENV_Lib[#Headers],0),FALSE)=0,"",VLOOKUP(CONCATENATE($A130,"_",AB$1),SP_ENV_Lib[],MATCH(AB$2,SP_ENV_Lib[#Headers],0),FALSE)),"")</f>
        <v/>
      </c>
      <c r="AC130" s="74">
        <f>IFERROR(IF(VLOOKUP(CONCATENATE($A130,"_",AC$1),SP_ENV_Lib[],MATCH(AC$2,SP_ENV_Lib[#Headers],0),FALSE)=0,"",VLOOKUP(CONCATENATE($A130,"_",AC$1),SP_ENV_Lib[],MATCH(AC$2,SP_ENV_Lib[#Headers],0),FALSE)),"")</f>
        <v>43850</v>
      </c>
      <c r="AD130" s="74">
        <f>IFERROR(IF(VLOOKUP(CONCATENATE($A130,"_",AD$1),SP_ENV_Lib[],MATCH(AD$2,SP_ENV_Lib[#Headers],0),FALSE)=0,"",VLOOKUP(CONCATENATE($A130,"_",AD$1),SP_ENV_Lib[],MATCH(AD$2,SP_ENV_Lib[#Headers],0),FALSE)),"")</f>
        <v>43889</v>
      </c>
      <c r="AE130" s="74" t="str">
        <f>IFERROR(IF(VLOOKUP(CONCATENATE($A130,"_",AE$1),SP_ENV_Lib[],MATCH(AE$2,SP_ENV_Lib[#Headers],0),FALSE)=0,"",VLOOKUP(CONCATENATE($A130,"_",AE$1),SP_ENV_Lib[],MATCH(AE$2,SP_ENV_Lib[#Headers],0),FALSE)),"")</f>
        <v/>
      </c>
      <c r="AF130" s="172" t="str">
        <f>IFERROR(VLOOKUP(CONCATENATE($A130,"_",AF$1),SP_ENV_Lib[],MATCH(AF$2,SP_ENV_Lib[#Headers],0),FALSE),0)</f>
        <v>Accepted</v>
      </c>
      <c r="AG130" s="74"/>
      <c r="AH130" s="74"/>
      <c r="AI130" s="74"/>
      <c r="AJ130" s="84"/>
    </row>
    <row r="131" spans="1:36" ht="15" x14ac:dyDescent="0.2">
      <c r="A131" s="67" t="s">
        <v>3348</v>
      </c>
      <c r="B131" s="154" t="str">
        <f>LEFT(VLOOKUP($A131,SP_EnvTract_DB[],MATCH(B$2,SP_EnvTract_DB[#Headers],0),FALSE),7)</f>
        <v>R072724</v>
      </c>
      <c r="C131" s="68" t="str">
        <f>VLOOKUP($A131,SP_EnvTract_DB[],MATCH(C$2,SP_EnvTract_DB[#Headers],0),FALSE)</f>
        <v>ENV</v>
      </c>
      <c r="D131" s="156" t="str">
        <f>VLOOKUP($A131,SP_EnvTract_DB[],MATCH(D$2,SP_EnvTract_DB[#Headers],0),FALSE)</f>
        <v>ESCOBAR PABLO &amp; JOSEPHINA;#278</v>
      </c>
      <c r="E131" s="156" t="str">
        <f>VLOOKUP($A131,SP_EnvTract_DB[],MATCH(E$2,SP_EnvTract_DB[#Headers],0),FALSE)</f>
        <v>520 COLLINS;#278</v>
      </c>
      <c r="F131" s="69">
        <f>VLOOKUP($A131,SP_EnvTract_DB[],MATCH(F$2,SP_EnvTract_DB[#Headers],0),FALSE)</f>
        <v>0</v>
      </c>
      <c r="G131" s="73">
        <f>VLOOKUP($A131,SP_EnvTract_DB[],MATCH(G$2,SP_EnvTract_DB[#Headers],0),FALSE)</f>
        <v>0</v>
      </c>
      <c r="H131" s="73" t="str">
        <f>VLOOKUP($A131,SP_EnvTract_DB[],MATCH(H$2,SP_EnvTract_DB[#Headers],0),FALSE)</f>
        <v>Stateside</v>
      </c>
      <c r="I131" s="69">
        <f>VLOOKUP($A131,SP_EnvTract_DB[],MATCH(I$2,SP_EnvTract_DB[#Headers],0),FALSE)</f>
        <v>0</v>
      </c>
      <c r="J131" s="69">
        <f>VLOOKUP($A131,SP_EnvTract_DB[],MATCH(J$2,SP_EnvTract_DB[#Headers],0),FALSE)</f>
        <v>0</v>
      </c>
      <c r="K131" s="69">
        <f>VLOOKUP($A131,SP_EnvTract_DB[],MATCH(K$2,SP_EnvTract_DB[#Headers],0),FALSE)</f>
        <v>0</v>
      </c>
      <c r="L131" s="69">
        <f>VLOOKUP($A131,SP_EnvTract_DB[],MATCH(L$2,SP_EnvTract_DB[#Headers],0),FALSE)</f>
        <v>0</v>
      </c>
      <c r="M131" s="69">
        <f>VLOOKUP($A131,SP_EnvTract_DB[],MATCH(M$2,SP_EnvTract_DB[#Headers],0),FALSE)</f>
        <v>0</v>
      </c>
      <c r="N131" s="69">
        <f>VLOOKUP($A131,SP_EnvTract_DB[],MATCH(N$2,SP_EnvTract_DB[#Headers],0),FALSE)</f>
        <v>0</v>
      </c>
      <c r="O131" s="74">
        <f>VLOOKUP($A131,SP_EnvTract_DB[],MATCH(O$2,SP_EnvTract_DB[#Headers],0),FALSE)</f>
        <v>0</v>
      </c>
      <c r="P131" s="73">
        <f>VLOOKUP($A131,SP_EnvTract_DB[],MATCH(P$2,SP_EnvTract_DB[#Headers],0),FALSE)</f>
        <v>0</v>
      </c>
      <c r="Q131" s="73">
        <f>VLOOKUP($A131,SP_EnvTract_DB[],MATCH(Q$2,SP_EnvTract_DB[#Headers],0),FALSE)</f>
        <v>0</v>
      </c>
      <c r="R131" s="74">
        <f>VLOOKUP($A131,SP_EnvTract_DB[],MATCH(R$2,SP_EnvTract_DB[#Headers],0),FALSE)</f>
        <v>0</v>
      </c>
      <c r="S131" s="68">
        <f>VLOOKUP($A131,SP_EnvTract_DB[],MATCH(S$2,SP_EnvTract_DB[#Headers],0),FALSE)</f>
        <v>0</v>
      </c>
      <c r="T131" s="68">
        <f>VLOOKUP($A131,SP_EnvTract_DB[],MATCH(T$2,SP_EnvTract_DB[#Headers],0),FALSE)</f>
        <v>0</v>
      </c>
      <c r="U131" s="74">
        <f>VLOOKUP($A131,SP_EnvTract_DB[],MATCH(U$2,SP_EnvTract_DB[#Headers],0),FALSE)</f>
        <v>0</v>
      </c>
      <c r="V131" s="68">
        <f>VLOOKUP($A131,SP_EnvTract_DB[],MATCH(V$2,SP_EnvTract_DB[#Headers],0),FALSE)</f>
        <v>0</v>
      </c>
      <c r="W131" s="68">
        <f>VLOOKUP($A131,SP_EnvTract_DB[],MATCH(W$2,SP_EnvTract_DB[#Headers],0),FALSE)</f>
        <v>0</v>
      </c>
      <c r="X131" s="68">
        <f>VLOOKUP($A131,SP_EnvTract_DB[],MATCH(X$2,SP_EnvTract_DB[#Headers],0),FALSE)</f>
        <v>0</v>
      </c>
      <c r="Y131" s="80">
        <f>VLOOKUP($A131,SP_EnvTract_DB[],MATCH(Y$2,SP_EnvTract_DB[#Headers],0),FALSE)</f>
        <v>0</v>
      </c>
      <c r="Z131" s="81" t="str">
        <f>IFERROR(IF(VLOOKUP(CONCATENATE($A131,"_",Z$1),SP_,MATCH(Z$2,SP_ENV_Lib[#Headers],0),FALSE)=0,"",VLOOKUP(CONCATENATE($A131,"_",Z$1),SP_ENV_Lib[],MATCH(Z$2,SP_ACQ_Lib[#Headers],0),FALSE)),"")</f>
        <v/>
      </c>
      <c r="AA131" s="74"/>
      <c r="AB131" s="74" t="str">
        <f>IFERROR(IF(VLOOKUP(CONCATENATE($A131,"_",AB$1),SP_ENV_Lib[],MATCH(AB$2,SP_ENV_Lib[#Headers],0),FALSE)=0,"",VLOOKUP(CONCATENATE($A131,"_",AB$1),SP_ENV_Lib[],MATCH(AB$2,SP_ENV_Lib[#Headers],0),FALSE)),"")</f>
        <v/>
      </c>
      <c r="AC131" s="74">
        <f>IFERROR(IF(VLOOKUP(CONCATENATE($A131,"_",AC$1),SP_ENV_Lib[],MATCH(AC$2,SP_ENV_Lib[#Headers],0),FALSE)=0,"",VLOOKUP(CONCATENATE($A131,"_",AC$1),SP_ENV_Lib[],MATCH(AC$2,SP_ENV_Lib[#Headers],0),FALSE)),"")</f>
        <v>43850</v>
      </c>
      <c r="AD131" s="74" t="str">
        <f>IFERROR(IF(VLOOKUP(CONCATENATE($A131,"_",AD$1),SP_ENV_Lib[],MATCH(AD$2,SP_ENV_Lib[#Headers],0),FALSE)=0,"",VLOOKUP(CONCATENATE($A131,"_",AD$1),SP_ENV_Lib[],MATCH(AD$2,SP_ENV_Lib[#Headers],0),FALSE)),"")</f>
        <v/>
      </c>
      <c r="AE131" s="74" t="str">
        <f>IFERROR(IF(VLOOKUP(CONCATENATE($A131,"_",AE$1),SP_ENV_Lib[],MATCH(AE$2,SP_ENV_Lib[#Headers],0),FALSE)=0,"",VLOOKUP(CONCATENATE($A131,"_",AE$1),SP_ENV_Lib[],MATCH(AE$2,SP_ENV_Lib[#Headers],0),FALSE)),"")</f>
        <v/>
      </c>
      <c r="AF131" s="172" t="str">
        <f>IFERROR(VLOOKUP(CONCATENATE($A131,"_",AF$1),SP_ENV_Lib[],MATCH(AF$2,SP_ENV_Lib[#Headers],0),FALSE),0)</f>
        <v>Accepted</v>
      </c>
      <c r="AG131" s="74"/>
      <c r="AH131" s="74"/>
      <c r="AI131" s="74"/>
      <c r="AJ131" s="84"/>
    </row>
  </sheetData>
  <autoFilter ref="B5:AJ131">
    <sortState ref="B6:AJ131">
      <sortCondition ref="B5:B131"/>
    </sortState>
  </autoFilter>
  <pageMargins left="0.7" right="0.7" top="0.75" bottom="0.75" header="0.3" footer="0.3"/>
  <pageSetup orientation="portrait" horizontalDpi="1200" verticalDpi="120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4" tint="0.39997558519241921"/>
    <pageSetUpPr autoPageBreaks="0" fitToPage="1"/>
  </sheetPr>
  <dimension ref="A1:BN166"/>
  <sheetViews>
    <sheetView showZeros="0" tabSelected="1" zoomScaleNormal="100" workbookViewId="0">
      <pane xSplit="3" ySplit="5" topLeftCell="D6" activePane="bottomRight" state="frozen"/>
      <selection activeCell="A3" sqref="A3"/>
      <selection pane="topRight" activeCell="D3" sqref="D3"/>
      <selection pane="bottomLeft" activeCell="A6" sqref="A6"/>
      <selection pane="bottomRight" activeCell="BH3" sqref="BH3"/>
    </sheetView>
  </sheetViews>
  <sheetFormatPr defaultRowHeight="12.75" outlineLevelRow="1" outlineLevelCol="1" x14ac:dyDescent="0.2"/>
  <cols>
    <col min="1" max="1" width="9.5703125" bestFit="1" customWidth="1"/>
    <col min="2" max="2" width="9" style="1" customWidth="1"/>
    <col min="3" max="3" width="10.140625" bestFit="1" customWidth="1"/>
    <col min="4" max="4" width="14.140625" bestFit="1" customWidth="1"/>
    <col min="5" max="5" width="17" bestFit="1" customWidth="1"/>
    <col min="6" max="6" width="14.140625" style="1" customWidth="1" outlineLevel="1"/>
    <col min="7" max="7" width="16" style="1" customWidth="1" outlineLevel="1"/>
    <col min="8" max="8" width="15" bestFit="1" customWidth="1"/>
    <col min="9" max="9" width="33" style="1" bestFit="1" customWidth="1" outlineLevel="1"/>
    <col min="10" max="10" width="14.140625" style="1" bestFit="1" customWidth="1" outlineLevel="1"/>
    <col min="11" max="11" width="26.140625" style="1" customWidth="1" outlineLevel="1"/>
    <col min="12" max="12" width="12.7109375" style="1" bestFit="1" customWidth="1" outlineLevel="1"/>
    <col min="13" max="13" width="29.28515625" bestFit="1" customWidth="1" outlineLevel="1"/>
    <col min="14" max="14" width="26.42578125" style="1" customWidth="1" outlineLevel="1"/>
    <col min="15" max="15" width="46" style="1" bestFit="1" customWidth="1" outlineLevel="1"/>
    <col min="16" max="16" width="12.42578125" style="1" bestFit="1" customWidth="1" outlineLevel="1"/>
    <col min="17" max="17" width="16.28515625" bestFit="1" customWidth="1" outlineLevel="1"/>
    <col min="18" max="18" width="16" bestFit="1" customWidth="1"/>
    <col min="19" max="19" width="15" bestFit="1" customWidth="1"/>
    <col min="20" max="20" width="17.140625" bestFit="1" customWidth="1"/>
    <col min="21" max="21" width="13.140625" bestFit="1" customWidth="1"/>
    <col min="22" max="22" width="14.7109375" bestFit="1" customWidth="1"/>
    <col min="23" max="23" width="15.28515625" customWidth="1"/>
    <col min="24" max="24" width="15.140625" customWidth="1" outlineLevel="1"/>
    <col min="25" max="25" width="11.85546875" bestFit="1" customWidth="1" outlineLevel="1"/>
    <col min="26" max="26" width="11.85546875" style="173" customWidth="1" outlineLevel="1"/>
    <col min="27" max="27" width="15.85546875" style="173" customWidth="1" outlineLevel="1"/>
    <col min="28" max="28" width="11.85546875" bestFit="1" customWidth="1"/>
    <col min="29" max="29" width="14.85546875" bestFit="1" customWidth="1"/>
    <col min="30" max="30" width="13.28515625" style="173" customWidth="1" outlineLevel="1"/>
    <col min="31" max="32" width="14.85546875" bestFit="1" customWidth="1"/>
    <col min="33" max="33" width="17.85546875" bestFit="1" customWidth="1"/>
    <col min="34" max="34" width="14" bestFit="1" customWidth="1"/>
    <col min="35" max="37" width="17.85546875" bestFit="1" customWidth="1"/>
    <col min="38" max="38" width="14.140625" customWidth="1" outlineLevel="1"/>
    <col min="39" max="39" width="14.28515625" style="1" customWidth="1" outlineLevel="1"/>
    <col min="40" max="40" width="14.140625" style="1" customWidth="1" outlineLevel="1"/>
    <col min="41" max="41" width="10.85546875" customWidth="1" outlineLevel="1"/>
    <col min="42" max="42" width="8.85546875" bestFit="1" customWidth="1"/>
    <col min="43" max="43" width="15.140625" hidden="1" customWidth="1"/>
    <col min="44" max="44" width="20.28515625" hidden="1" customWidth="1"/>
    <col min="45" max="45" width="19.5703125" hidden="1" customWidth="1"/>
    <col min="46" max="46" width="18.140625" bestFit="1" customWidth="1"/>
    <col min="47" max="47" width="14.28515625" bestFit="1" customWidth="1"/>
    <col min="48" max="48" width="18.5703125" style="203" bestFit="1" customWidth="1"/>
    <col min="49" max="49" width="20" bestFit="1" customWidth="1"/>
    <col min="50" max="50" width="14.42578125" bestFit="1" customWidth="1"/>
    <col min="51" max="51" width="16.42578125" bestFit="1" customWidth="1"/>
    <col min="52" max="52" width="19.140625" bestFit="1" customWidth="1"/>
    <col min="53" max="53" width="20.42578125" bestFit="1" customWidth="1"/>
    <col min="54" max="54" width="15.7109375" hidden="1" customWidth="1"/>
    <col min="55" max="55" width="15.5703125" style="1" bestFit="1" customWidth="1" outlineLevel="1"/>
    <col min="56" max="56" width="18.5703125" style="1" bestFit="1" customWidth="1" outlineLevel="1"/>
    <col min="57" max="57" width="18.85546875" bestFit="1" customWidth="1"/>
    <col min="58" max="58" width="18.85546875" customWidth="1"/>
    <col min="59" max="61" width="20.140625" customWidth="1"/>
    <col min="62" max="62" width="19.42578125" customWidth="1"/>
    <col min="63" max="63" width="18.42578125" customWidth="1"/>
    <col min="64" max="64" width="23.85546875" bestFit="1" customWidth="1"/>
    <col min="65" max="65" width="18.85546875" customWidth="1"/>
    <col min="66" max="66" width="18.85546875" bestFit="1" customWidth="1"/>
  </cols>
  <sheetData>
    <row r="1" spans="1:66" ht="36.75" hidden="1" customHeight="1" outlineLevel="1" x14ac:dyDescent="0.2">
      <c r="H1" s="76" t="s">
        <v>1067</v>
      </c>
      <c r="R1" s="76" t="s">
        <v>614</v>
      </c>
      <c r="S1" s="76" t="s">
        <v>614</v>
      </c>
      <c r="T1" s="76" t="s">
        <v>616</v>
      </c>
      <c r="U1" s="76" t="s">
        <v>617</v>
      </c>
      <c r="V1" s="158" t="s">
        <v>1149</v>
      </c>
      <c r="W1" s="82" t="s">
        <v>1147</v>
      </c>
      <c r="AB1" s="76" t="s">
        <v>3502</v>
      </c>
      <c r="AC1" s="76" t="s">
        <v>3502</v>
      </c>
      <c r="AE1" s="76" t="s">
        <v>3509</v>
      </c>
      <c r="AF1" s="76" t="s">
        <v>3509</v>
      </c>
      <c r="AG1" s="76" t="s">
        <v>598</v>
      </c>
      <c r="AH1" s="76" t="s">
        <v>591</v>
      </c>
      <c r="AI1" s="76" t="s">
        <v>5659</v>
      </c>
      <c r="AJ1" s="76" t="s">
        <v>5660</v>
      </c>
      <c r="AK1" s="76" t="s">
        <v>5660</v>
      </c>
      <c r="AP1" s="66"/>
      <c r="AQ1" s="77" t="s">
        <v>624</v>
      </c>
      <c r="AR1" s="76" t="s">
        <v>618</v>
      </c>
      <c r="AS1" s="76" t="s">
        <v>1400</v>
      </c>
      <c r="AT1" s="77" t="s">
        <v>4754</v>
      </c>
      <c r="AU1" s="77" t="s">
        <v>4751</v>
      </c>
      <c r="AV1" s="198" t="s">
        <v>4754</v>
      </c>
      <c r="AW1" s="77" t="s">
        <v>4756</v>
      </c>
      <c r="AX1" s="77" t="s">
        <v>4958</v>
      </c>
      <c r="AY1" s="77" t="s">
        <v>4756</v>
      </c>
      <c r="AZ1" s="77" t="s">
        <v>4827</v>
      </c>
      <c r="BA1" s="77" t="s">
        <v>4972</v>
      </c>
      <c r="BB1" s="77" t="s">
        <v>4956</v>
      </c>
      <c r="BE1" s="76" t="s">
        <v>1709</v>
      </c>
      <c r="BF1" s="76" t="s">
        <v>1710</v>
      </c>
      <c r="BG1" s="76" t="s">
        <v>6670</v>
      </c>
      <c r="BH1" s="76" t="s">
        <v>6701</v>
      </c>
      <c r="BI1" s="76" t="s">
        <v>6701</v>
      </c>
      <c r="BJ1" s="76" t="s">
        <v>1403</v>
      </c>
      <c r="BK1" s="76" t="s">
        <v>1745</v>
      </c>
      <c r="BL1" s="76" t="s">
        <v>6668</v>
      </c>
      <c r="BM1" s="76" t="s">
        <v>6461</v>
      </c>
      <c r="BN1" s="76" t="s">
        <v>1132</v>
      </c>
    </row>
    <row r="2" spans="1:66" ht="16.5" hidden="1" customHeight="1" outlineLevel="1" x14ac:dyDescent="0.2">
      <c r="A2" s="139" t="s">
        <v>1281</v>
      </c>
      <c r="B2" s="134" t="s">
        <v>3500</v>
      </c>
      <c r="C2" s="134" t="s">
        <v>70</v>
      </c>
      <c r="D2" s="134" t="s">
        <v>68</v>
      </c>
      <c r="E2" s="134" t="s">
        <v>4941</v>
      </c>
      <c r="F2" s="134" t="s">
        <v>69</v>
      </c>
      <c r="G2" s="134" t="s">
        <v>9</v>
      </c>
      <c r="H2" s="137" t="s">
        <v>19</v>
      </c>
      <c r="I2" s="134" t="s">
        <v>1</v>
      </c>
      <c r="J2" s="134" t="s">
        <v>71</v>
      </c>
      <c r="K2" s="134" t="s">
        <v>1295</v>
      </c>
      <c r="L2" s="134" t="s">
        <v>2</v>
      </c>
      <c r="M2" s="134" t="s">
        <v>1733</v>
      </c>
      <c r="N2" s="134" t="s">
        <v>1296</v>
      </c>
      <c r="O2" s="134" t="s">
        <v>1728</v>
      </c>
      <c r="P2" s="134" t="s">
        <v>1277</v>
      </c>
      <c r="Q2" s="134" t="s">
        <v>11</v>
      </c>
      <c r="R2" s="137" t="s">
        <v>1734</v>
      </c>
      <c r="S2" s="137" t="s">
        <v>1735</v>
      </c>
      <c r="T2" s="137" t="s">
        <v>585</v>
      </c>
      <c r="U2" s="137" t="s">
        <v>1734</v>
      </c>
      <c r="V2" s="159" t="s">
        <v>585</v>
      </c>
      <c r="W2" s="138" t="s">
        <v>585</v>
      </c>
      <c r="X2" s="134" t="s">
        <v>1388</v>
      </c>
      <c r="Y2" s="134" t="s">
        <v>16</v>
      </c>
      <c r="Z2" s="174" t="s">
        <v>15</v>
      </c>
      <c r="AA2" s="174" t="s">
        <v>4747</v>
      </c>
      <c r="AB2" s="137" t="s">
        <v>1734</v>
      </c>
      <c r="AC2" s="137" t="s">
        <v>1735</v>
      </c>
      <c r="AD2" s="174" t="s">
        <v>4749</v>
      </c>
      <c r="AE2" s="137" t="s">
        <v>1734</v>
      </c>
      <c r="AF2" s="137" t="s">
        <v>1735</v>
      </c>
      <c r="AG2" s="137" t="s">
        <v>1734</v>
      </c>
      <c r="AH2" s="137" t="s">
        <v>1734</v>
      </c>
      <c r="AI2" s="137" t="s">
        <v>1734</v>
      </c>
      <c r="AJ2" s="137" t="s">
        <v>1734</v>
      </c>
      <c r="AK2" s="137" t="s">
        <v>1735</v>
      </c>
      <c r="AL2" s="134" t="s">
        <v>12</v>
      </c>
      <c r="AM2" s="134" t="s">
        <v>13</v>
      </c>
      <c r="AN2" s="134" t="s">
        <v>14</v>
      </c>
      <c r="AO2" s="134" t="s">
        <v>8</v>
      </c>
      <c r="AP2" s="135" t="s">
        <v>7</v>
      </c>
      <c r="AQ2" s="136" t="s">
        <v>1734</v>
      </c>
      <c r="AR2" s="137" t="s">
        <v>1734</v>
      </c>
      <c r="AS2" s="137" t="s">
        <v>1734</v>
      </c>
      <c r="AT2" s="136" t="s">
        <v>1734</v>
      </c>
      <c r="AU2" s="136" t="s">
        <v>1734</v>
      </c>
      <c r="AV2" s="199" t="s">
        <v>586</v>
      </c>
      <c r="AW2" s="136" t="s">
        <v>1734</v>
      </c>
      <c r="AX2" s="136" t="s">
        <v>1734</v>
      </c>
      <c r="AY2" s="136" t="s">
        <v>1735</v>
      </c>
      <c r="AZ2" s="136" t="s">
        <v>1734</v>
      </c>
      <c r="BA2" s="136" t="s">
        <v>1734</v>
      </c>
      <c r="BB2" s="136" t="s">
        <v>585</v>
      </c>
      <c r="BC2" s="134" t="s">
        <v>5874</v>
      </c>
      <c r="BD2" s="134" t="s">
        <v>5875</v>
      </c>
      <c r="BE2" s="137" t="s">
        <v>1734</v>
      </c>
      <c r="BF2" s="137" t="s">
        <v>1735</v>
      </c>
      <c r="BG2" s="137" t="s">
        <v>1734</v>
      </c>
      <c r="BH2" s="137" t="s">
        <v>1734</v>
      </c>
      <c r="BI2" s="137" t="s">
        <v>586</v>
      </c>
      <c r="BJ2" s="137" t="s">
        <v>1734</v>
      </c>
      <c r="BK2" s="137" t="s">
        <v>1734</v>
      </c>
      <c r="BL2" s="137" t="s">
        <v>1734</v>
      </c>
      <c r="BM2" s="137" t="s">
        <v>1734</v>
      </c>
      <c r="BN2" s="137" t="s">
        <v>1734</v>
      </c>
    </row>
    <row r="3" spans="1:66" ht="15.75" collapsed="1" x14ac:dyDescent="0.2">
      <c r="A3" s="140">
        <f>IF(SUBTOTAL(103,A$6:A$144)-SUBTOTAL(102,A$6:A$144)=SP_AcqTract_DB[[#Totals],[Count in ACQ Status]],SUBTOTAL(103,A$6:A$144)-SUBTOTAL(102,A$6:A$144), "CHECK")</f>
        <v>139</v>
      </c>
      <c r="B3" s="219">
        <f>SUBTOTAL(103,B$6:B$144)</f>
        <v>129</v>
      </c>
      <c r="C3" s="219">
        <f>SUBTOTAL(103,C$6:C$144)</f>
        <v>139</v>
      </c>
      <c r="D3" s="219">
        <f>SUBTOTAL(103,D$6:D$144)</f>
        <v>139</v>
      </c>
      <c r="E3" s="234">
        <f>SUM(E6:E144)</f>
        <v>110</v>
      </c>
      <c r="F3" s="140">
        <f t="shared" ref="F3:I3" si="0">SUBTOTAL(103,F$6:F$144)-SUBTOTAL(102,F$6:F$144)</f>
        <v>70</v>
      </c>
      <c r="G3" s="140">
        <f t="shared" si="0"/>
        <v>104</v>
      </c>
      <c r="H3" s="86">
        <f>SUBTOTAL(102,H$6:H$144)</f>
        <v>106</v>
      </c>
      <c r="I3" s="140">
        <f t="shared" si="0"/>
        <v>138</v>
      </c>
      <c r="J3" s="140">
        <f>SUBTOTAL(103,J$6:J$144)-SUBTOTAL(102,J$6:J$144)</f>
        <v>20</v>
      </c>
      <c r="K3" s="140">
        <f t="shared" ref="K3:Q3" si="1">SUBTOTAL(103,K$6:K$144)-SUBTOTAL(102,K$6:K$144)</f>
        <v>58</v>
      </c>
      <c r="L3" s="140">
        <f t="shared" si="1"/>
        <v>65</v>
      </c>
      <c r="M3" s="140">
        <f t="shared" si="1"/>
        <v>63</v>
      </c>
      <c r="N3" s="140">
        <f t="shared" si="1"/>
        <v>126</v>
      </c>
      <c r="O3" s="140">
        <f>SUBTOTAL(103,O$6:O$144)-SUBTOTAL(102,O$6:O$144)</f>
        <v>11</v>
      </c>
      <c r="P3" s="140">
        <f t="shared" si="1"/>
        <v>20</v>
      </c>
      <c r="Q3" s="140">
        <f t="shared" si="1"/>
        <v>48</v>
      </c>
      <c r="R3" s="86">
        <f>SUBTOTAL(102,R$6:R$144)</f>
        <v>50</v>
      </c>
      <c r="S3" s="86">
        <f>SUBTOTAL(102,S$6:S$144)</f>
        <v>50</v>
      </c>
      <c r="T3" s="86">
        <f>SUBTOTAL(103,T$6:T$144)-SUBTOTAL(102,T$6:T$144)</f>
        <v>50</v>
      </c>
      <c r="U3" s="86">
        <f>SUBTOTAL(102,U$6:U$144)</f>
        <v>50</v>
      </c>
      <c r="V3" s="86">
        <f>SUBTOTAL(103,V$6:V$144)-SUBTOTAL(102,V$6:V$144)</f>
        <v>102</v>
      </c>
      <c r="W3" s="86">
        <f>SUBTOTAL(103,W$6:W$144)-SUBTOTAL(102,W$6:W$144)</f>
        <v>12</v>
      </c>
      <c r="X3" s="140">
        <f t="shared" ref="X3:Z3" si="2">SUBTOTAL(103,X$6:X$144)-SUBTOTAL(102,X$6:X$144)</f>
        <v>0</v>
      </c>
      <c r="Y3" s="140">
        <f t="shared" si="2"/>
        <v>0</v>
      </c>
      <c r="Z3" s="140">
        <f t="shared" si="2"/>
        <v>0</v>
      </c>
      <c r="AA3" s="218">
        <f>COUNTIF(AA$6:AA$144,"Yes")</f>
        <v>43</v>
      </c>
      <c r="AB3" s="86">
        <f>SUBTOTAL(102,AB$6:AB$144)</f>
        <v>39</v>
      </c>
      <c r="AC3" s="86">
        <f>SUBTOTAL(102,AC$6:AC$144)</f>
        <v>39</v>
      </c>
      <c r="AD3" s="218">
        <f>COUNTIF(AD$6:AD$144,"Yes")</f>
        <v>58</v>
      </c>
      <c r="AE3" s="86">
        <f t="shared" ref="AE3:AK3" si="3">SUBTOTAL(102,AE$6:AE$144)</f>
        <v>49</v>
      </c>
      <c r="AF3" s="86">
        <f t="shared" si="3"/>
        <v>49</v>
      </c>
      <c r="AG3" s="86">
        <f t="shared" si="3"/>
        <v>18</v>
      </c>
      <c r="AH3" s="86">
        <f t="shared" si="3"/>
        <v>41</v>
      </c>
      <c r="AI3" s="86">
        <f t="shared" si="3"/>
        <v>54</v>
      </c>
      <c r="AJ3" s="86">
        <f t="shared" si="3"/>
        <v>40</v>
      </c>
      <c r="AK3" s="86">
        <f t="shared" si="3"/>
        <v>38</v>
      </c>
      <c r="AL3" s="235">
        <f>SUBTOTAL(103,AL$6:AL$144)-SUBTOTAL(102,AL$6:AL$144)</f>
        <v>0</v>
      </c>
      <c r="AM3" s="235">
        <f>SUBTOTAL(103,AM$6:AM$144)-SUBTOTAL(102,AM$6:AM$144)</f>
        <v>49</v>
      </c>
      <c r="AN3" s="235">
        <f>SUBTOTAL(103,AN$6:AN$144)-SUBTOTAL(102,AN$6:AN$144)</f>
        <v>48</v>
      </c>
      <c r="AO3" s="235">
        <f>SUBTOTAL(103,AO$6:AO$144)-SUBTOTAL(102,AO$6:AO$144)</f>
        <v>4</v>
      </c>
      <c r="AP3" s="235">
        <f>SUBTOTAL(103,AP$6:AP$144)-SUBTOTAL(102,AP$6:AP$144)</f>
        <v>51</v>
      </c>
      <c r="AQ3" s="85">
        <f>SUBTOTAL(102,AQ$6:AQ$144)</f>
        <v>1</v>
      </c>
      <c r="AR3" s="86">
        <f>SUBTOTAL(102,AR$6:AR$144)</f>
        <v>20</v>
      </c>
      <c r="AS3" s="86">
        <f>SUBTOTAL(102,AS$6:AS$144)</f>
        <v>44</v>
      </c>
      <c r="AT3" s="85">
        <f t="shared" ref="AT3:BA3" si="4">SUBTOTAL(102,AT$6:AT$144)</f>
        <v>32</v>
      </c>
      <c r="AU3" s="85">
        <f t="shared" si="4"/>
        <v>12</v>
      </c>
      <c r="AV3" s="85">
        <f t="shared" si="4"/>
        <v>32</v>
      </c>
      <c r="AW3" s="85">
        <f t="shared" si="4"/>
        <v>32</v>
      </c>
      <c r="AX3" s="85">
        <f t="shared" si="4"/>
        <v>31</v>
      </c>
      <c r="AY3" s="85">
        <f t="shared" si="4"/>
        <v>31</v>
      </c>
      <c r="AZ3" s="85">
        <f>SUBTOTAL(102,AZ$6:AZ$144)</f>
        <v>12</v>
      </c>
      <c r="BA3" s="85">
        <f t="shared" si="4"/>
        <v>11</v>
      </c>
      <c r="BB3" s="85">
        <f>SUBTOTAL(103,BB$6:BB$144)-SUBTOTAL(102,BB$6:BB$144)</f>
        <v>3</v>
      </c>
      <c r="BC3" s="177"/>
      <c r="BD3" s="177"/>
      <c r="BE3" s="86">
        <f t="shared" ref="BE3:BL3" si="5">SUBTOTAL(102,BE$6:BE$144)</f>
        <v>10</v>
      </c>
      <c r="BF3" s="86">
        <f t="shared" si="5"/>
        <v>10</v>
      </c>
      <c r="BG3" s="86">
        <f t="shared" si="5"/>
        <v>1</v>
      </c>
      <c r="BH3" s="86"/>
      <c r="BI3" s="86"/>
      <c r="BJ3" s="86">
        <f>SUBTOTAL(102,BJ$6:BJ$144)</f>
        <v>5</v>
      </c>
      <c r="BK3" s="86">
        <f>SUBTOTAL(102,BK$6:BK$144)</f>
        <v>47</v>
      </c>
      <c r="BL3" s="86">
        <f t="shared" si="5"/>
        <v>1</v>
      </c>
      <c r="BM3" s="86">
        <f>SUBTOTAL(102,BM$6:BM$144)</f>
        <v>1</v>
      </c>
      <c r="BN3" s="86"/>
    </row>
    <row r="4" spans="1:66" x14ac:dyDescent="0.2">
      <c r="A4" s="61"/>
      <c r="B4" s="178"/>
      <c r="C4" s="61"/>
      <c r="D4" s="61"/>
      <c r="E4" s="61"/>
      <c r="F4" s="178"/>
      <c r="G4" s="178"/>
      <c r="H4" s="61"/>
      <c r="I4" s="178"/>
      <c r="J4" s="178"/>
      <c r="K4" s="178"/>
      <c r="L4" s="178"/>
      <c r="M4" s="61"/>
      <c r="N4" s="178"/>
      <c r="O4" s="178"/>
      <c r="P4" s="178"/>
      <c r="Q4" s="61"/>
      <c r="R4" s="61"/>
      <c r="S4" s="61"/>
      <c r="T4" s="61"/>
      <c r="U4" s="61"/>
      <c r="V4" s="61"/>
      <c r="W4" s="63"/>
      <c r="X4" s="61"/>
      <c r="Y4" s="61"/>
      <c r="Z4" s="175"/>
      <c r="AA4" s="175"/>
      <c r="AB4" s="61"/>
      <c r="AC4" s="61"/>
      <c r="AD4" s="175"/>
      <c r="AE4" s="61"/>
      <c r="AF4" s="61"/>
      <c r="AG4" s="61"/>
      <c r="AH4" s="61"/>
      <c r="AI4" s="61"/>
      <c r="AJ4" s="61"/>
      <c r="AK4" s="61"/>
      <c r="AL4" s="61"/>
      <c r="AM4" s="178"/>
      <c r="AN4" s="178"/>
      <c r="AO4" s="61"/>
      <c r="AP4" s="63"/>
      <c r="AQ4" s="64"/>
      <c r="AR4" s="61"/>
      <c r="AS4" s="61"/>
      <c r="AT4" s="64"/>
      <c r="AU4" s="64"/>
      <c r="AV4" s="200"/>
      <c r="AW4" s="64"/>
      <c r="AX4" s="64"/>
      <c r="AY4" s="64"/>
      <c r="AZ4" s="64"/>
      <c r="BA4" s="64"/>
      <c r="BB4" s="64"/>
      <c r="BC4" s="178"/>
      <c r="BD4" s="178"/>
      <c r="BE4" s="61"/>
      <c r="BF4" s="61"/>
      <c r="BG4" s="61"/>
      <c r="BH4" s="61"/>
      <c r="BI4" s="61"/>
      <c r="BJ4" s="61"/>
      <c r="BK4" s="61"/>
      <c r="BL4" s="61"/>
      <c r="BM4" s="61"/>
      <c r="BN4" s="61"/>
    </row>
    <row r="5" spans="1:66" ht="51.75" thickBot="1" x14ac:dyDescent="0.25">
      <c r="A5" s="123" t="s">
        <v>1385</v>
      </c>
      <c r="B5" s="124" t="s">
        <v>6</v>
      </c>
      <c r="C5" s="141" t="s">
        <v>70</v>
      </c>
      <c r="D5" s="124" t="s">
        <v>1394</v>
      </c>
      <c r="E5" s="124" t="s">
        <v>4750</v>
      </c>
      <c r="F5" s="124" t="s">
        <v>1395</v>
      </c>
      <c r="G5" s="124" t="s">
        <v>9</v>
      </c>
      <c r="H5" s="124" t="s">
        <v>1067</v>
      </c>
      <c r="I5" s="124" t="s">
        <v>1</v>
      </c>
      <c r="J5" s="124" t="s">
        <v>71</v>
      </c>
      <c r="K5" s="124" t="s">
        <v>1295</v>
      </c>
      <c r="L5" s="124" t="s">
        <v>2</v>
      </c>
      <c r="M5" s="142" t="s">
        <v>4934</v>
      </c>
      <c r="N5" s="124" t="s">
        <v>1296</v>
      </c>
      <c r="O5" s="124" t="s">
        <v>1728</v>
      </c>
      <c r="P5" s="124" t="s">
        <v>1277</v>
      </c>
      <c r="Q5" s="124" t="s">
        <v>11</v>
      </c>
      <c r="R5" s="124" t="s">
        <v>4543</v>
      </c>
      <c r="S5" s="124" t="s">
        <v>4544</v>
      </c>
      <c r="T5" s="124" t="s">
        <v>3563</v>
      </c>
      <c r="U5" s="124" t="s">
        <v>617</v>
      </c>
      <c r="V5" s="160" t="s">
        <v>1149</v>
      </c>
      <c r="W5" s="125" t="s">
        <v>3562</v>
      </c>
      <c r="X5" s="124" t="s">
        <v>1388</v>
      </c>
      <c r="Y5" s="124" t="s">
        <v>16</v>
      </c>
      <c r="Z5" s="176" t="s">
        <v>15</v>
      </c>
      <c r="AA5" s="176" t="s">
        <v>4747</v>
      </c>
      <c r="AB5" s="124" t="s">
        <v>4943</v>
      </c>
      <c r="AC5" s="124" t="s">
        <v>4695</v>
      </c>
      <c r="AD5" s="176" t="s">
        <v>4749</v>
      </c>
      <c r="AE5" s="124" t="s">
        <v>4696</v>
      </c>
      <c r="AF5" s="124" t="s">
        <v>4697</v>
      </c>
      <c r="AG5" s="124" t="s">
        <v>5739</v>
      </c>
      <c r="AH5" s="124" t="s">
        <v>5737</v>
      </c>
      <c r="AI5" s="124" t="s">
        <v>5738</v>
      </c>
      <c r="AJ5" s="124" t="s">
        <v>5736</v>
      </c>
      <c r="AK5" s="124" t="s">
        <v>6017</v>
      </c>
      <c r="AL5" s="124" t="s">
        <v>4933</v>
      </c>
      <c r="AM5" s="124" t="s">
        <v>13</v>
      </c>
      <c r="AN5" s="124" t="s">
        <v>14</v>
      </c>
      <c r="AO5" s="141" t="s">
        <v>8</v>
      </c>
      <c r="AP5" s="125" t="s">
        <v>7</v>
      </c>
      <c r="AQ5" s="127" t="s">
        <v>624</v>
      </c>
      <c r="AR5" s="124" t="s">
        <v>618</v>
      </c>
      <c r="AS5" s="124" t="s">
        <v>1400</v>
      </c>
      <c r="AT5" s="127" t="s">
        <v>4829</v>
      </c>
      <c r="AU5" s="127" t="s">
        <v>4830</v>
      </c>
      <c r="AV5" s="201" t="s">
        <v>4831</v>
      </c>
      <c r="AW5" s="127" t="s">
        <v>6266</v>
      </c>
      <c r="AX5" s="127" t="s">
        <v>6284</v>
      </c>
      <c r="AY5" s="127" t="s">
        <v>6267</v>
      </c>
      <c r="AZ5" s="127" t="s">
        <v>4955</v>
      </c>
      <c r="BA5" s="127" t="s">
        <v>6268</v>
      </c>
      <c r="BB5" s="127" t="s">
        <v>4957</v>
      </c>
      <c r="BC5" s="124" t="s">
        <v>5874</v>
      </c>
      <c r="BD5" s="124" t="s">
        <v>5875</v>
      </c>
      <c r="BE5" s="124" t="s">
        <v>5882</v>
      </c>
      <c r="BF5" s="124" t="s">
        <v>6667</v>
      </c>
      <c r="BG5" s="124" t="s">
        <v>6671</v>
      </c>
      <c r="BH5" s="124" t="s">
        <v>6703</v>
      </c>
      <c r="BI5" s="124" t="s">
        <v>6704</v>
      </c>
      <c r="BJ5" s="124" t="s">
        <v>1403</v>
      </c>
      <c r="BK5" s="124" t="s">
        <v>1172</v>
      </c>
      <c r="BL5" s="124" t="s">
        <v>6678</v>
      </c>
      <c r="BM5" s="124" t="s">
        <v>6462</v>
      </c>
      <c r="BN5" s="124" t="s">
        <v>1134</v>
      </c>
    </row>
    <row r="6" spans="1:66" s="226" customFormat="1" ht="76.5" x14ac:dyDescent="0.2">
      <c r="A6" s="191" t="s">
        <v>24</v>
      </c>
      <c r="B6" s="220" t="str">
        <f>IFERROR(VLOOKUP($A6,SP_AcqTract_DB[],MATCH(B$2,SP_AcqTract_DB[#Headers],0),FALSE),"")</f>
        <v>R068875;R068876</v>
      </c>
      <c r="C6" s="228" t="str">
        <f>IFERROR(VLOOKUP($A6,SP_AcqTract_DB[],MATCH(C$2,SP_AcqTract_DB[#Headers],0),FALSE),"")</f>
        <v>PH1</v>
      </c>
      <c r="D6" s="204" t="str">
        <f>IFERROR(VLOOKUP($A6,SP_AcqTract_DB[],MATCH(D$2,SP_AcqTract_DB[#Headers],0),FALSE),"")</f>
        <v>Active</v>
      </c>
      <c r="E6" s="222">
        <f>IFERROR(VLOOKUP($A6,SP_AcqTract_DB[],MATCH(E$2,SP_AcqTract_DB[#Headers],0),FALSE),"")</f>
        <v>6</v>
      </c>
      <c r="F6" s="220" t="str">
        <f>IFERROR(VLOOKUP($A6,SP_AcqTract_DB[],MATCH(F$2,SP_AcqTract_DB[#Headers],0),FALSE),"")</f>
        <v>Sump Esmt/Levee Esmt/TCE</v>
      </c>
      <c r="G6" s="220" t="str">
        <f>IFERROR(VLOOKUP($A6,SP_AcqTract_DB[],MATCH(G$2,SP_AcqTract_DB[#Headers],0),FALSE),"")</f>
        <v>Erin Newberry</v>
      </c>
      <c r="H6" s="249">
        <f>IFERROR(IF(VLOOKUP(CONCATENATE($A6,"_",H$1),SP_ACQ_Lib[],MATCH(H$2,SP_ACQ_Lib[#Headers],0),FALSE)=0,"",VLOOKUP(CONCATENATE($A6,"_",H$1),SP_ACQ_Lib[],MATCH(H$2,SP_ACQ_Lib[#Headers],0),FALSE)),"")</f>
        <v>43990.959537037037</v>
      </c>
      <c r="I6" s="220" t="str">
        <f>IFERROR(VLOOKUP($A6,SP_AcqTract_DB[],MATCH(I$2,SP_AcqTract_DB[#Headers],0),FALSE),"")</f>
        <v>Lloyd G Rust Jr Family Limited Partnership, and TM Rust Family, LLC</v>
      </c>
      <c r="J6" s="220">
        <f>IFERROR(VLOOKUP($A6,SP_AcqTract_DB[],MATCH(J$2,SP_AcqTract_DB[#Headers],0),FALSE),"")</f>
        <v>0</v>
      </c>
      <c r="K6" s="220" t="str">
        <f>IFERROR(VLOOKUP($A6,SP_AcqTract_DB[],MATCH(K$2,SP_AcqTract_DB[#Headers],0),FALSE),"")</f>
        <v>Rust Lloyd Family Ltd Partnership &amp; TM Rust Family, LLC</v>
      </c>
      <c r="L6" s="220" t="str">
        <f>IFERROR(VLOOKUP($A6,SP_AcqTract_DB[],MATCH(L$2,SP_AcqTract_DB[#Headers],0),FALSE),"")</f>
        <v>616 Bob-O-Link Lane</v>
      </c>
      <c r="M6" s="204" t="str">
        <f>IFERROR(VLOOKUP($A6,SP_AcqTract_DB[],MATCH(M$2,SP_AcqTract_DB[#Headers],0),FALSE),"")</f>
        <v>Wharton, TX  77488-1027</v>
      </c>
      <c r="N6" s="220" t="str">
        <f>IFERROR(VLOOKUP($A6,SP_AcqTract_DB[],MATCH(N$2,SP_AcqTract_DB[#Headers],0),FALSE),"")</f>
        <v>FM 102</v>
      </c>
      <c r="O6" s="220" t="str">
        <f>IFERROR(VLOOKUP($A6,SP_AcqTract_DB[],MATCH(O$2,SP_AcqTract_DB[#Headers],0),FALSE),"")</f>
        <v xml:space="preserve">Transmission pipeline-Humble Pipeline
Transmission pipeline-Enterprise TX Pipeline
Transmission pipeline-HSC Pipeline
Transmission pipeline-Gulf South Pipeline
Transmission pipeline-Kinder Morgan
</v>
      </c>
      <c r="P6" s="220" t="str">
        <f>IFERROR(VLOOKUP($A6,SP_AcqTract_DB[],MATCH(P$2,SP_AcqTract_DB[#Headers],0),FALSE),"")</f>
        <v>X</v>
      </c>
      <c r="Q6" s="204" t="str">
        <f>IFERROR(VLOOKUP($A6,SP_AcqTract_DB[],MATCH(Q$2,SP_AcqTract_DB[#Headers],0),FALSE),"")</f>
        <v>2019-0754</v>
      </c>
      <c r="R6" s="249">
        <f>IFERROR(IF(VLOOKUP(CONCATENATE($A6,"_",R$1),SP_ACQ_Lib[],MATCH(R$2,SP_ACQ_Lib[#Headers],0),FALSE)=0,"",VLOOKUP(CONCATENATE($A6,"_",R$1),SP_ACQ_Lib[],MATCH(R$2,SP_ACQ_Lib[#Headers],0),FALSE)),"")</f>
        <v>43672</v>
      </c>
      <c r="S6" s="253">
        <f>IFERROR(IF(VLOOKUP(CONCATENATE($A6,"_",S$1),SP_ACQ_Lib[],MATCH(S$2,SP_ACQ_Lib[#Headers],0),FALSE)=0,"",VLOOKUP(CONCATENATE($A6,"_",S$1),SP_ACQ_Lib[],MATCH(S$2,SP_ACQ_Lib[#Headers],0),FALSE)),"")</f>
        <v>43684</v>
      </c>
      <c r="T6" s="205" t="str">
        <f>IFERROR(VLOOKUP(CONCATENATE($A6,"_",T$1),SP_ACQ_Lib[],MATCH(T$2,SP_ACQ_Lib[#Headers],0),FALSE),0)</f>
        <v>Accepted</v>
      </c>
      <c r="U6" s="249">
        <f>IFERROR(IF(VLOOKUP(CONCATENATE($A6,"_",U$1),SP_ACQ_Lib[],MATCH(U$2,SP_ACQ_Lib[#Headers],0),FALSE)=0,"",VLOOKUP(CONCATENATE($A6,"_",U$1),SP_ACQ_Lib[],MATCH(U$2,SP_ACQ_Lib[#Headers],0),FALSE)),"")</f>
        <v>43805</v>
      </c>
      <c r="V6" s="205" t="str">
        <f>IFERROR(VLOOKUP(CONCATENATE($A6,"_",V$1),SP_ACQ_Lib[],MATCH(V$2,SP_ACQ_Lib[#Headers],0),FALSE),0)</f>
        <v>Accepted</v>
      </c>
      <c r="W6" s="206" t="str">
        <f>IFERROR(VLOOKUP(CONCATENATE($A6,"_",W$1),SP_ACQ_Lib[],MATCH(W$2,SP_ACQ_Lib[#Headers],0),FALSE),0)</f>
        <v>Accepted</v>
      </c>
      <c r="X6" s="249">
        <f>IFERROR(VLOOKUP($A6,SP_AcqTract_DB[],MATCH(X$2,SP_AcqTract_DB[#Headers],0),FALSE),"")</f>
        <v>43693</v>
      </c>
      <c r="Y6" s="236">
        <f>IFERROR(VLOOKUP($A6,SP_AcqTract_DB[],MATCH(Y$2,SP_AcqTract_DB[#Headers],0),FALSE),"")</f>
        <v>61.080004591368201</v>
      </c>
      <c r="Z6" s="223">
        <f>IFERROR(VLOOKUP($A6,SP_AcqTract_DB[],MATCH(Z$2,SP_AcqTract_DB[#Headers],0),FALSE),"")</f>
        <v>2660645</v>
      </c>
      <c r="AA6" s="223" t="str">
        <f>IFERROR(VLOOKUP($A6,SP_AcqTract_DB[],MATCH(AA$2,SP_AcqTract_DB[#Headers],0),FALSE),"")</f>
        <v>No</v>
      </c>
      <c r="AB6" s="249" t="str">
        <f>IFERROR(IF(VLOOKUP(CONCATENATE($A6,"_",AB$1),SP_ACQ_Lib[],MATCH(AB$2,SP_ACQ_Lib[#Headers],0),FALSE)=0,"",VLOOKUP(CONCATENATE($A6,"_",AB$1),SP_ACQ_Lib[],MATCH(AB$2,SP_ACQ_Lib[#Headers],0),FALSE)),"")</f>
        <v/>
      </c>
      <c r="AC6" s="250" t="str">
        <f>IFERROR(IF(VLOOKUP(CONCATENATE($A6,"_",AC$1),SP_ACQ_Lib[],MATCH(AC$2,SP_ACQ_Lib[#Headers],0),FALSE)=0,"",VLOOKUP(CONCATENATE($A6,"_",AC$1),SP_ACQ_Lib[],MATCH(AC$2,SP_ACQ_Lib[#Headers],0),FALSE)),"")</f>
        <v/>
      </c>
      <c r="AD6" s="223" t="str">
        <f>IFERROR(VLOOKUP($A6,SP_AcqTract_DB[],MATCH(AD$2,SP_AcqTract_DB[#Headers],0),FALSE),"")</f>
        <v>Yes</v>
      </c>
      <c r="AE6" s="250">
        <f>IFERROR(IF(VLOOKUP(CONCATENATE($A6,"_",AE$1),SP_ACQ_Lib[],MATCH(AE$2,SP_ACQ_Lib[#Headers],0),FALSE)=0,"",VLOOKUP(CONCATENATE($A6,"_",AE$1),SP_ACQ_Lib[],MATCH(AE$2,SP_ACQ_Lib[#Headers],0),FALSE)),"")</f>
        <v>43720</v>
      </c>
      <c r="AF6" s="250">
        <f>IFERROR(IF(VLOOKUP(CONCATENATE($A6,"_",AF$1),SP_ACQ_Lib[],MATCH(AF$2,SP_ACQ_Lib[#Headers],0),FALSE)=0,"",VLOOKUP(CONCATENATE($A6,"_",AF$1),SP_ACQ_Lib[],MATCH(AF$2,SP_ACQ_Lib[#Headers],0),FALSE)),"")</f>
        <v>43958</v>
      </c>
      <c r="AG6" s="249" t="str">
        <f>IFERROR(IF(VLOOKUP(CONCATENATE($A6,"_",AG$1),SP_ACQ_Lib[],MATCH(AG$2,SP_ACQ_Lib[#Headers],0),FALSE)=0,"",VLOOKUP(CONCATENATE($A6,"_",AG$1),SP_ACQ_Lib[],MATCH(AG$2,SP_ACQ_Lib[#Headers],0),FALSE)),"")</f>
        <v/>
      </c>
      <c r="AH6" s="249">
        <f>IFERROR(IF(VLOOKUP(CONCATENATE($A6,"_",AH$1),SP_ACQ_Lib[],MATCH(AH$2,SP_ACQ_Lib[#Headers],0),FALSE)=0,"",VLOOKUP(CONCATENATE($A6,"_",AH$1),SP_ACQ_Lib[],MATCH(AH$2,SP_ACQ_Lib[#Headers],0),FALSE)),"")</f>
        <v>43600</v>
      </c>
      <c r="AI6" s="249" t="str">
        <f>IFERROR(IF(VLOOKUP(CONCATENATE($A6,"_",AI$1),SP_ACQ_Lib[],MATCH(AI$2,SP_ACQ_Lib[#Headers],0),FALSE)=0,"",VLOOKUP(CONCATENATE($A6,"_",AI$1),SP_ACQ_Lib[],MATCH(AI$2,SP_ACQ_Lib[#Headers],0),FALSE)),"")</f>
        <v/>
      </c>
      <c r="AJ6" s="249" t="str">
        <f>IFERROR(IF(VLOOKUP(CONCATENATE($A6,"_",AJ$1),SP_ACQ_Lib[],MATCH(AJ$2,SP_ACQ_Lib[#Headers],0),FALSE)=0,"",VLOOKUP(CONCATENATE($A6,"_",AJ$1),SP_ACQ_Lib[],MATCH(AJ$2,SP_ACQ_Lib[#Headers],0),FALSE)),"")</f>
        <v/>
      </c>
      <c r="AK6" s="249" t="str">
        <f>IFERROR(IF(VLOOKUP(CONCATENATE($A6,"_",AK$1),SP_ACQ_Lib[],MATCH(AK$2,SP_ACQ_Lib[#Headers],0),FALSE)=0,"",VLOOKUP(CONCATENATE($A6,"_",AK$1),SP_ACQ_Lib[],MATCH(AK$2,SP_ACQ_Lib[#Headers],0),FALSE)),"")</f>
        <v/>
      </c>
      <c r="AL6" s="249">
        <f>IFERROR(VLOOKUP($A6,SP_AcqTract_DB[],MATCH(AL$2,SP_AcqTract_DB[#Headers],0),FALSE),"")</f>
        <v>43957</v>
      </c>
      <c r="AM6" s="220" t="str">
        <f>IFERROR(VLOOKUP($A6,SP_AcqTract_DB[],MATCH(AM$2,SP_AcqTract_DB[#Headers],0),FALSE),"")</f>
        <v>David Ambrose</v>
      </c>
      <c r="AN6" s="220" t="str">
        <f>IFERROR(VLOOKUP($A6,SP_AcqTract_DB[],MATCH(AN$2,SP_AcqTract_DB[#Headers],0),FALSE),"")</f>
        <v>Lory Johnson, Atrium</v>
      </c>
      <c r="AO6" s="221">
        <f>IFERROR(VLOOKUP($A6,SP_AcqTract_DB[],MATCH(AO$2,SP_AcqTract_DB[#Headers],0),FALSE),"")</f>
        <v>0</v>
      </c>
      <c r="AP6" s="207" t="str">
        <f>IFERROR(VLOOKUP($A6,SP_AcqTract_DB[],MATCH(AP$2,SP_AcqTract_DB[#Headers],0),FALSE),"")</f>
        <v>A</v>
      </c>
      <c r="AQ6" s="251" t="str">
        <f>IFERROR(IF(VLOOKUP(CONCATENATE($A6,"_",AQ$1),SP_ACQ_Lib[],MATCH(AQ$2,SP_ACQ_Lib[#Headers],0),FALSE)=0,"",VLOOKUP(CONCATENATE($A6,"_",AQ$1),SP_ACQ_Lib[],MATCH(AQ$2,SP_ACQ_Lib[#Headers],0),FALSE)),"")</f>
        <v/>
      </c>
      <c r="AR6" s="249">
        <f>IFERROR(IF(VLOOKUP(CONCATENATE($A6,"_",AR$1),SP_ACQ_Lib[],MATCH(AR$2,SP_ACQ_Lib[#Headers],0),FALSE)=0,"",VLOOKUP(CONCATENATE($A6,"_",AR$1),SP_ACQ_Lib[],MATCH(AR$2,SP_ACQ_Lib[#Headers],0),FALSE)),"")</f>
        <v>43685</v>
      </c>
      <c r="AS6" s="249">
        <f>IFERROR(IF(VLOOKUP(CONCATENATE($A6,"_",AS$1),SP_ACQ_Lib[],MATCH(AS$2,SP_ACQ_Lib[#Headers],0),FALSE)=0,"",VLOOKUP(CONCATENATE($A6,"_",AS$1),SP_ACQ_Lib[],MATCH(AS$2,SP_ACQ_Lib[#Headers],0),FALSE)),"")</f>
        <v>43765</v>
      </c>
      <c r="AT6" s="251">
        <f>IFERROR(IF(VLOOKUP(CONCATENATE($A6,"_",AT$1),SP_ACQ_Lib[],MATCH(AT$2,SP_ACQ_Lib[#Headers],0),FALSE)=0,"",VLOOKUP(CONCATENATE($A6,"_",AT$1),SP_ACQ_Lib[],MATCH(AT$2,SP_ACQ_Lib[#Headers],0),FALSE)),"")</f>
        <v>43992</v>
      </c>
      <c r="AU6" s="251" t="str">
        <f>IFERROR(IF(VLOOKUP(CONCATENATE($A6,"_",AU$1),SP_ACQ_Lib[],MATCH(AU$2,SP_ACQ_Lib[#Headers],0),FALSE)=0,"",VLOOKUP(CONCATENATE($A6,"_",AU$1),SP_ACQ_Lib[],MATCH(AU$2,SP_ACQ_Lib[#Headers],0),FALSE)),"")</f>
        <v/>
      </c>
      <c r="AV6" s="225">
        <f>IFERROR(IF(VLOOKUP(CONCATENATE($A6,"_",AV$1),SP_ACQ_Lib[],MATCH(AV$2,SP_ACQ_Lib[#Headers],0),FALSE)=0,"",VLOOKUP(CONCATENATE($A6,"_",AV$1),SP_ACQ_Lib[],MATCH(AV$2,SP_ACQ_Lib[#Headers],0),FALSE)),"")</f>
        <v>835549</v>
      </c>
      <c r="AW6" s="251">
        <f>IFERROR(IF(VLOOKUP(CONCATENATE($A6,"_",AW$1),SP_ACQ_Lib[],MATCH(AW$2,SP_ACQ_Lib[#Headers],0),FALSE)=0,"",VLOOKUP(CONCATENATE($A6,"_",AW$1),SP_ACQ_Lib[],MATCH(AW$2,SP_ACQ_Lib[#Headers],0),FALSE)),"")</f>
        <v>44018</v>
      </c>
      <c r="AX6" s="251">
        <f>IFERROR(IF(VLOOKUP(CONCATENATE($A6,"_",AX$1),SP_ACQ_Lib[],MATCH(AX$2,SP_ACQ_Lib[#Headers],0),FALSE)=0,"",VLOOKUP(CONCATENATE($A6,"_",AX$1),SP_ACQ_Lib[],MATCH(AX$2,SP_ACQ_Lib[#Headers],0),FALSE)),"")</f>
        <v>44018</v>
      </c>
      <c r="AY6" s="251">
        <f>IFERROR(IF(VLOOKUP(CONCATENATE($A6,"_",AY$1),SP_ACQ_Lib[],MATCH(AY$2,SP_ACQ_Lib[#Headers],0),FALSE)=0,"",VLOOKUP(CONCATENATE($A6,"_",AY$1),SP_ACQ_Lib[],MATCH(AY$2,SP_ACQ_Lib[#Headers],0),FALSE)),"")</f>
        <v>44018</v>
      </c>
      <c r="AZ6" s="251" t="str">
        <f>IFERROR(IF(VLOOKUP(CONCATENATE($A6,"_",AZ$1),SP_ACQ_Lib[],MATCH(AZ$2,SP_ACQ_Lib[#Headers],0),FALSE)=0,"",VLOOKUP(CONCATENATE($A6,"_",AZ$1),SP_ACQ_Lib[],MATCH(AZ$2,SP_ACQ_Lib[#Headers],0),FALSE)),"")</f>
        <v/>
      </c>
      <c r="BA6" s="251" t="str">
        <f>IFERROR(IF(VLOOKUP(CONCATENATE($A6,"_",BA$1),SP_ACQ_Lib[],MATCH(BA$2,SP_ACQ_Lib[#Headers],0),FALSE)=0,"",VLOOKUP(CONCATENATE($A6,"_",BA$1),SP_ACQ_Lib[],MATCH(BA$2,SP_ACQ_Lib[#Headers],0),FALSE)),"")</f>
        <v/>
      </c>
      <c r="BB6" s="224">
        <f>IFERROR(VLOOKUP(CONCATENATE($A6,"_",BB$1),SP_ACQ_Lib[],MATCH(BB$2,SP_ACQ_Lib[#Headers],0),FALSE),0)</f>
        <v>0</v>
      </c>
      <c r="BC6" s="231">
        <f>IFERROR(VLOOKUP($A6,SP_AcqTract_DB[],MATCH(BC$2,SP_AcqTract_DB[#Headers],0),FALSE),"")</f>
        <v>0</v>
      </c>
      <c r="BD6" s="231">
        <f>IFERROR(VLOOKUP($A6,SP_AcqTract_DB[],MATCH(BD$2,SP_AcqTract_DB[#Headers],0),FALSE),"")</f>
        <v>0</v>
      </c>
      <c r="BE6" s="249" t="str">
        <f>IFERROR(IF(VLOOKUP(CONCATENATE($A6,"_",BE$1),SP_ACQ_Lib[],MATCH(BE$2,SP_ACQ_Lib[#Headers],0),FALSE)=0,"",VLOOKUP(CONCATENATE($A6,"_",BE$1),SP_ACQ_Lib[],MATCH(BE$2,SP_ACQ_Lib[#Headers],0),FALSE)),"")</f>
        <v/>
      </c>
      <c r="BF6" s="249" t="str">
        <f>IFERROR(IF(VLOOKUP(CONCATENATE($A6,"_",BF$1),SP_ACQ_Lib[],MATCH(BF$2,SP_ACQ_Lib[#Headers],0),FALSE)=0,"",VLOOKUP(CONCATENATE($A6,"_",BF$1),SP_ACQ_Lib[],MATCH(BF$2,SP_ACQ_Lib[#Headers],0),FALSE)),"")</f>
        <v/>
      </c>
      <c r="BG6" s="249" t="str">
        <f>IFERROR(IF(VLOOKUP(CONCATENATE($A6,"_",BG$1),SP_ACQ_Lib[],MATCH(BG$2,SP_ACQ_Lib[#Headers],0),FALSE)=0,"",VLOOKUP(CONCATENATE($A6,"_",BG$1),SP_ACQ_Lib[],MATCH(BG$2,SP_ACQ_Lib[#Headers],0),FALSE)),"")</f>
        <v/>
      </c>
      <c r="BH6" s="249" t="str">
        <f>IFERROR(IF(VLOOKUP(CONCATENATE($A6,"_",BH$1),SP_ACQ_Lib[],MATCH(BH$2,SP_ACQ_Lib[#Headers],0),FALSE)=0,"",VLOOKUP(CONCATENATE($A6,"_",BH$1),SP_ACQ_Lib[],MATCH(BH$2,SP_ACQ_Lib[#Headers],0),FALSE)),"")</f>
        <v/>
      </c>
      <c r="BI6" s="249" t="str">
        <f>IFERROR(IF(VLOOKUP(CONCATENATE($A6,"_",BI$1),SP_ACQ_Lib[],MATCH(BI$2,SP_ACQ_Lib[#Headers],0),FALSE)=0,"",VLOOKUP(CONCATENATE($A6,"_",BI$1),SP_ACQ_Lib[],MATCH(BI$2,SP_ACQ_Lib[#Headers],0),FALSE)),"")</f>
        <v/>
      </c>
      <c r="BJ6" s="249" t="str">
        <f>IFERROR(IF(VLOOKUP(CONCATENATE($A6,"_",BJ$1),SP_ACQ_Lib[],MATCH(BJ$2,SP_ACQ_Lib[#Headers],0),FALSE)=0,"",VLOOKUP(CONCATENATE($A6,"_",BJ$1),SP_ACQ_Lib[],MATCH(BJ$2,SP_ACQ_Lib[#Headers],0),FALSE)),"")</f>
        <v/>
      </c>
      <c r="BK6" s="249">
        <f>IFERROR(IF(VLOOKUP(CONCATENATE($A6,"_",BK$1),SP_ACQ_Lib[],MATCH(BK$2,SP_ACQ_Lib[#Headers],0),FALSE)=0,"",VLOOKUP(CONCATENATE($A6,"_",BK$1),SP_ACQ_Lib[],MATCH(BK$2,SP_ACQ_Lib[#Headers],0),FALSE)),"")</f>
        <v>43748</v>
      </c>
      <c r="BL6" s="249" t="str">
        <f>IFERROR(IF(VLOOKUP(CONCATENATE($A6,"_",BL$1),SP_ACQ_Lib[],MATCH(BL$2,SP_ACQ_Lib[#Headers],0),FALSE)=0,"",VLOOKUP(CONCATENATE($A6,"_",BL$1),SP_ACQ_Lib[],MATCH(BL$2,SP_ACQ_Lib[#Headers],0),FALSE)),"")</f>
        <v/>
      </c>
      <c r="BM6" s="249" t="str">
        <f>IFERROR(IF(VLOOKUP(CONCATENATE($A6,"_",BM$1),SP_ACQ_Lib[],MATCH(BM$2,SP_ACQ_Lib[#Headers],0),FALSE)=0,"",VLOOKUP(CONCATENATE($A6,"_",BM$1),SP_ACQ_Lib[],MATCH(BM$2,SP_ACQ_Lib[#Headers],0),FALSE)),"")</f>
        <v/>
      </c>
      <c r="BN6" s="249" t="str">
        <f>IFERROR(IF(VLOOKUP(CONCATENATE($A6,"_",BN$1),SP_ACQ_Lib[],MATCH(BN$2,SP_ACQ_Lib[#Headers],0),FALSE)=0,"",VLOOKUP(CONCATENATE($A6,"_",BN$1),SP_ACQ_Lib[],MATCH(BN$2,SP_ACQ_Lib[#Headers],0),FALSE)),"")</f>
        <v/>
      </c>
    </row>
    <row r="7" spans="1:66" s="226" customFormat="1" ht="38.25" x14ac:dyDescent="0.2">
      <c r="A7" s="192" t="s">
        <v>4635</v>
      </c>
      <c r="B7" s="227"/>
      <c r="C7" s="228" t="str">
        <f>IFERROR(VLOOKUP($A7,SP_AcqTract_DB[],MATCH(C$2,SP_AcqTract_DB[#Headers],0),FALSE),"")</f>
        <v>PH1</v>
      </c>
      <c r="D7" s="208" t="str">
        <f>IFERROR(VLOOKUP($A7,SP_AcqTract_DB[],MATCH(D$2,SP_AcqTract_DB[#Headers],0),FALSE),"")</f>
        <v>Active</v>
      </c>
      <c r="E7" s="208">
        <f>IFERROR(VLOOKUP($A7,SP_AcqTract_DB[],MATCH(E$2,SP_AcqTract_DB[#Headers],0),FALSE),"")</f>
        <v>3</v>
      </c>
      <c r="F7" s="227" t="str">
        <f>IFERROR(VLOOKUP($A7,SP_AcqTract_DB[],MATCH(F$2,SP_AcqTract_DB[#Headers],0),FALSE),"")</f>
        <v>Levee Esmt/Road Esmt</v>
      </c>
      <c r="G7" s="227">
        <f>IFERROR(VLOOKUP($A7,SP_AcqTract_DB[],MATCH(G$2,SP_AcqTract_DB[#Headers],0),FALSE),"")</f>
        <v>0</v>
      </c>
      <c r="H7" s="250" t="str">
        <f>IFERROR(IF(VLOOKUP(CONCATENATE($A7,"_",H$1),SP_ACQ_Lib[],MATCH(H$2,SP_ACQ_Lib[#Headers],0),FALSE)=0,"",VLOOKUP(CONCATENATE($A7,"_",H$1),SP_ACQ_Lib[],MATCH(H$2,SP_ACQ_Lib[#Headers],0),FALSE)),"")</f>
        <v/>
      </c>
      <c r="I7" s="227" t="str">
        <f>IFERROR(VLOOKUP($A7,SP_AcqTract_DB[],MATCH(I$2,SP_AcqTract_DB[#Headers],0),FALSE),"")</f>
        <v>Texas Department of Transportation</v>
      </c>
      <c r="J7" s="227" t="str">
        <f>IFERROR(VLOOKUP($A7,SP_AcqTract_DB[],MATCH(J$2,SP_AcqTract_DB[#Headers],0),FALSE),"")</f>
        <v>Texas Department of Transportation</v>
      </c>
      <c r="K7" s="227" t="str">
        <f>IFERROR(VLOOKUP($A7,SP_AcqTract_DB[],MATCH(K$2,SP_AcqTract_DB[#Headers],0),FALSE),"")</f>
        <v>Texas Department of Transportation</v>
      </c>
      <c r="L7" s="227">
        <f>IFERROR(VLOOKUP($A7,SP_AcqTract_DB[],MATCH(L$2,SP_AcqTract_DB[#Headers],0),FALSE),"")</f>
        <v>0</v>
      </c>
      <c r="M7" s="208">
        <f>IFERROR(VLOOKUP($A7,SP_AcqTract_DB[],MATCH(M$2,SP_AcqTract_DB[#Headers],0),FALSE),"")</f>
        <v>0</v>
      </c>
      <c r="N7" s="227">
        <f>IFERROR(VLOOKUP($A7,SP_AcqTract_DB[],MATCH(N$2,SP_AcqTract_DB[#Headers],0),FALSE),"")</f>
        <v>0</v>
      </c>
      <c r="O7" s="220">
        <f>IFERROR(VLOOKUP($A7,SP_AcqTract_DB[],MATCH(O$2,SP_AcqTract_DB[#Headers],0),FALSE),"")</f>
        <v>0</v>
      </c>
      <c r="P7" s="220">
        <f>IFERROR(VLOOKUP($A7,SP_AcqTract_DB[],MATCH(P$2,SP_AcqTract_DB[#Headers],0),FALSE),"")</f>
        <v>0</v>
      </c>
      <c r="Q7" s="208" t="str">
        <f>IFERROR(VLOOKUP($A7,SP_AcqTract_DB[],MATCH(Q$2,SP_AcqTract_DB[#Headers],0),FALSE),"")</f>
        <v>2020-0643</v>
      </c>
      <c r="R7" s="250">
        <f>IFERROR(IF(VLOOKUP(CONCATENATE($A7,"_",R$1),SP_ACQ_Lib[],MATCH(R$2,SP_ACQ_Lib[#Headers],0),FALSE)=0,"",VLOOKUP(CONCATENATE($A7,"_",R$1),SP_ACQ_Lib[],MATCH(R$2,SP_ACQ_Lib[#Headers],0),FALSE)),"")</f>
        <v>43994</v>
      </c>
      <c r="S7" s="253">
        <f>IFERROR(IF(VLOOKUP(CONCATENATE($A7,"_",S$1),SP_ACQ_Lib[],MATCH(S$2,SP_ACQ_Lib[#Headers],0),FALSE)=0,"",VLOOKUP(CONCATENATE($A7,"_",S$1),SP_ACQ_Lib[],MATCH(S$2,SP_ACQ_Lib[#Headers],0),FALSE)),"")</f>
        <v>44001</v>
      </c>
      <c r="T7" s="205">
        <f>IFERROR(VLOOKUP(CONCATENATE($A7,"_",T$1),SP_ACQ_Lib[],MATCH(T$2,SP_ACQ_Lib[#Headers],0),FALSE),0)</f>
        <v>0</v>
      </c>
      <c r="U7" s="250">
        <f>IFERROR(IF(VLOOKUP(CONCATENATE($A7,"_",U$1),SP_ACQ_Lib[],MATCH(U$2,SP_ACQ_Lib[#Headers],0),FALSE)=0,"",VLOOKUP(CONCATENATE($A7,"_",U$1),SP_ACQ_Lib[],MATCH(U$2,SP_ACQ_Lib[#Headers],0),FALSE)),"")</f>
        <v>44004</v>
      </c>
      <c r="V7" s="205">
        <f>IFERROR(VLOOKUP(CONCATENATE($A7,"_",V$1),SP_ACQ_Lib[],MATCH(V$2,SP_ACQ_Lib[#Headers],0),FALSE),0)</f>
        <v>0</v>
      </c>
      <c r="W7" s="209">
        <f>IFERROR(VLOOKUP(CONCATENATE($A7,"_",W$1),SP_ACQ_Lib[],MATCH(W$2,SP_ACQ_Lib[#Headers],0),FALSE),0)</f>
        <v>0</v>
      </c>
      <c r="X7" s="250">
        <f>IFERROR(VLOOKUP($A7,SP_AcqTract_DB[],MATCH(X$2,SP_AcqTract_DB[#Headers],0),FALSE),"")</f>
        <v>43922</v>
      </c>
      <c r="Y7" s="237">
        <f>IFERROR(VLOOKUP($A7,SP_AcqTract_DB[],MATCH(Y$2,SP_AcqTract_DB[#Headers],0),FALSE),"")</f>
        <v>0</v>
      </c>
      <c r="Z7" s="229">
        <f>IFERROR(VLOOKUP($A7,SP_AcqTract_DB[],MATCH(Z$2,SP_AcqTract_DB[#Headers],0),FALSE),"")</f>
        <v>0</v>
      </c>
      <c r="AA7" s="229" t="str">
        <f>IFERROR(VLOOKUP($A7,SP_AcqTract_DB[],MATCH(AA$2,SP_AcqTract_DB[#Headers],0),FALSE),"")</f>
        <v>No</v>
      </c>
      <c r="AB7" s="250" t="str">
        <f>IFERROR(IF(VLOOKUP(CONCATENATE($A7,"_",AB$1),SP_ACQ_Lib[],MATCH(AB$2,SP_ACQ_Lib[#Headers],0),FALSE)=0,"",VLOOKUP(CONCATENATE($A7,"_",AB$1),SP_ACQ_Lib[],MATCH(AB$2,SP_ACQ_Lib[#Headers],0),FALSE)),"")</f>
        <v/>
      </c>
      <c r="AC7" s="250" t="str">
        <f>IFERROR(IF(VLOOKUP(CONCATENATE($A7,"_",AC$1),SP_ACQ_Lib[],MATCH(AC$2,SP_ACQ_Lib[#Headers],0),FALSE)=0,"",VLOOKUP(CONCATENATE($A7,"_",AC$1),SP_ACQ_Lib[],MATCH(AC$2,SP_ACQ_Lib[#Headers],0),FALSE)),"")</f>
        <v/>
      </c>
      <c r="AD7" s="229" t="str">
        <f>IFERROR(VLOOKUP($A7,SP_AcqTract_DB[],MATCH(AD$2,SP_AcqTract_DB[#Headers],0),FALSE),"")</f>
        <v>Yes</v>
      </c>
      <c r="AE7" s="250" t="str">
        <f>IFERROR(IF(VLOOKUP(CONCATENATE($A7,"_",AE$1),SP_ACQ_Lib[],MATCH(AE$2,SP_ACQ_Lib[#Headers],0),FALSE)=0,"",VLOOKUP(CONCATENATE($A7,"_",AE$1),SP_ACQ_Lib[],MATCH(AE$2,SP_ACQ_Lib[#Headers],0),FALSE)),"")</f>
        <v/>
      </c>
      <c r="AF7" s="250" t="str">
        <f>IFERROR(IF(VLOOKUP(CONCATENATE($A7,"_",AF$1),SP_ACQ_Lib[],MATCH(AF$2,SP_ACQ_Lib[#Headers],0),FALSE)=0,"",VLOOKUP(CONCATENATE($A7,"_",AF$1),SP_ACQ_Lib[],MATCH(AF$2,SP_ACQ_Lib[#Headers],0),FALSE)),"")</f>
        <v/>
      </c>
      <c r="AG7" s="250" t="str">
        <f>IFERROR(IF(VLOOKUP(CONCATENATE($A7,"_",AG$1),SP_ACQ_Lib[],MATCH(AG$2,SP_ACQ_Lib[#Headers],0),FALSE)=0,"",VLOOKUP(CONCATENATE($A7,"_",AG$1),SP_ACQ_Lib[],MATCH(AG$2,SP_ACQ_Lib[#Headers],0),FALSE)),"")</f>
        <v/>
      </c>
      <c r="AH7" s="250" t="str">
        <f>IFERROR(IF(VLOOKUP(CONCATENATE($A7,"_",AH$1),SP_ACQ_Lib[],MATCH(AH$2,SP_ACQ_Lib[#Headers],0),FALSE)=0,"",VLOOKUP(CONCATENATE($A7,"_",AH$1),SP_ACQ_Lib[],MATCH(AH$2,SP_ACQ_Lib[#Headers],0),FALSE)),"")</f>
        <v/>
      </c>
      <c r="AI7" s="249" t="str">
        <f>IFERROR(IF(VLOOKUP(CONCATENATE($A7,"_",AI$1),SP_ACQ_Lib[],MATCH(AI$2,SP_ACQ_Lib[#Headers],0),FALSE)=0,"",VLOOKUP(CONCATENATE($A7,"_",AI$1),SP_ACQ_Lib[],MATCH(AI$2,SP_ACQ_Lib[#Headers],0),FALSE)),"")</f>
        <v/>
      </c>
      <c r="AJ7" s="249" t="str">
        <f>IFERROR(IF(VLOOKUP(CONCATENATE($A7,"_",AJ$1),SP_ACQ_Lib[],MATCH(AJ$2,SP_ACQ_Lib[#Headers],0),FALSE)=0,"",VLOOKUP(CONCATENATE($A7,"_",AJ$1),SP_ACQ_Lib[],MATCH(AJ$2,SP_ACQ_Lib[#Headers],0),FALSE)),"")</f>
        <v/>
      </c>
      <c r="AK7" s="249" t="str">
        <f>IFERROR(IF(VLOOKUP(CONCATENATE($A7,"_",AK$1),SP_ACQ_Lib[],MATCH(AK$2,SP_ACQ_Lib[#Headers],0),FALSE)=0,"",VLOOKUP(CONCATENATE($A7,"_",AK$1),SP_ACQ_Lib[],MATCH(AK$2,SP_ACQ_Lib[#Headers],0),FALSE)),"")</f>
        <v/>
      </c>
      <c r="AL7" s="249">
        <f>IFERROR(VLOOKUP($A7,SP_AcqTract_DB[],MATCH(AL$2,SP_AcqTract_DB[#Headers],0),FALSE),"")</f>
        <v>0</v>
      </c>
      <c r="AM7" s="227" t="str">
        <f>IFERROR(VLOOKUP($A7,SP_AcqTract_DB[],MATCH(AM$2,SP_AcqTract_DB[#Headers],0),FALSE),"")</f>
        <v>David Ambrose</v>
      </c>
      <c r="AN7" s="227" t="str">
        <f>IFERROR(VLOOKUP($A7,SP_AcqTract_DB[],MATCH(AN$2,SP_AcqTract_DB[#Headers],0),FALSE),"")</f>
        <v>Lory Johnson, Atrium</v>
      </c>
      <c r="AO7" s="228">
        <f>IFERROR(VLOOKUP($A7,SP_AcqTract_DB[],MATCH(AO$2,SP_AcqTract_DB[#Headers],0),FALSE),"")</f>
        <v>0</v>
      </c>
      <c r="AP7" s="210">
        <f>IFERROR(VLOOKUP($A7,SP_AcqTract_DB[],MATCH(AP$2,SP_AcqTract_DB[#Headers],0),FALSE),"")</f>
        <v>0</v>
      </c>
      <c r="AQ7" s="252" t="str">
        <f>IFERROR(IF(VLOOKUP(CONCATENATE($A7,"_",AQ$1),SP_ACQ_Lib[],MATCH(AQ$2,SP_ACQ_Lib[#Headers],0),FALSE)=0,"",VLOOKUP(CONCATENATE($A7,"_",AQ$1),SP_ACQ_Lib[],MATCH(AQ$2,SP_ACQ_Lib[#Headers],0),FALSE)),"")</f>
        <v/>
      </c>
      <c r="AR7" s="250" t="str">
        <f>IFERROR(IF(VLOOKUP(CONCATENATE($A7,"_",AR$1),SP_ACQ_Lib[],MATCH(AR$2,SP_ACQ_Lib[#Headers],0),FALSE)=0,"",VLOOKUP(CONCATENATE($A7,"_",AR$1),SP_ACQ_Lib[],MATCH(AR$2,SP_ACQ_Lib[#Headers],0),FALSE)),"")</f>
        <v/>
      </c>
      <c r="AS7" s="249" t="str">
        <f>IFERROR(IF(VLOOKUP(CONCATENATE($A7,"_",AS$1),SP_ACQ_Lib[],MATCH(AS$2,SP_ACQ_Lib[#Headers],0),FALSE)=0,"",VLOOKUP(CONCATENATE($A7,"_",AS$1),SP_ACQ_Lib[],MATCH(AS$2,SP_ACQ_Lib[#Headers],0),FALSE)),"")</f>
        <v/>
      </c>
      <c r="AT7" s="251" t="str">
        <f>IFERROR(IF(VLOOKUP(CONCATENATE($A7,"_",AT$1),SP_ACQ_Lib[],MATCH(AT$2,SP_ACQ_Lib[#Headers],0),FALSE)=0,"",VLOOKUP(CONCATENATE($A7,"_",AT$1),SP_ACQ_Lib[],MATCH(AT$2,SP_ACQ_Lib[#Headers],0),FALSE)),"")</f>
        <v/>
      </c>
      <c r="AU7" s="251" t="str">
        <f>IFERROR(IF(VLOOKUP(CONCATENATE($A7,"_",AU$1),SP_ACQ_Lib[],MATCH(AU$2,SP_ACQ_Lib[#Headers],0),FALSE)=0,"",VLOOKUP(CONCATENATE($A7,"_",AU$1),SP_ACQ_Lib[],MATCH(AU$2,SP_ACQ_Lib[#Headers],0),FALSE)),"")</f>
        <v/>
      </c>
      <c r="AV7" s="225" t="str">
        <f>IFERROR(IF(VLOOKUP(CONCATENATE($A7,"_",AV$1),SP_ACQ_Lib[],MATCH(AV$2,SP_ACQ_Lib[#Headers],0),FALSE)=0,"",VLOOKUP(CONCATENATE($A7,"_",AV$1),SP_ACQ_Lib[],MATCH(AV$2,SP_ACQ_Lib[#Headers],0),FALSE)),"")</f>
        <v/>
      </c>
      <c r="AW7" s="251" t="str">
        <f>IFERROR(IF(VLOOKUP(CONCATENATE($A7,"_",AW$1),SP_ACQ_Lib[],MATCH(AW$2,SP_ACQ_Lib[#Headers],0),FALSE)=0,"",VLOOKUP(CONCATENATE($A7,"_",AW$1),SP_ACQ_Lib[],MATCH(AW$2,SP_ACQ_Lib[#Headers],0),FALSE)),"")</f>
        <v/>
      </c>
      <c r="AX7" s="251" t="str">
        <f>IFERROR(IF(VLOOKUP(CONCATENATE($A7,"_",AX$1),SP_ACQ_Lib[],MATCH(AX$2,SP_ACQ_Lib[#Headers],0),FALSE)=0,"",VLOOKUP(CONCATENATE($A7,"_",AX$1),SP_ACQ_Lib[],MATCH(AX$2,SP_ACQ_Lib[#Headers],0),FALSE)),"")</f>
        <v/>
      </c>
      <c r="AY7" s="251" t="str">
        <f>IFERROR(IF(VLOOKUP(CONCATENATE($A7,"_",AY$1),SP_ACQ_Lib[],MATCH(AY$2,SP_ACQ_Lib[#Headers],0),FALSE)=0,"",VLOOKUP(CONCATENATE($A7,"_",AY$1),SP_ACQ_Lib[],MATCH(AY$2,SP_ACQ_Lib[#Headers],0),FALSE)),"")</f>
        <v/>
      </c>
      <c r="AZ7" s="251" t="str">
        <f>IFERROR(IF(VLOOKUP(CONCATENATE($A7,"_",AZ$1),SP_ACQ_Lib[],MATCH(AZ$2,SP_ACQ_Lib[#Headers],0),FALSE)=0,"",VLOOKUP(CONCATENATE($A7,"_",AZ$1),SP_ACQ_Lib[],MATCH(AZ$2,SP_ACQ_Lib[#Headers],0),FALSE)),"")</f>
        <v/>
      </c>
      <c r="BA7" s="251" t="str">
        <f>IFERROR(IF(VLOOKUP(CONCATENATE($A7,"_",BA$1),SP_ACQ_Lib[],MATCH(BA$2,SP_ACQ_Lib[#Headers],0),FALSE)=0,"",VLOOKUP(CONCATENATE($A7,"_",BA$1),SP_ACQ_Lib[],MATCH(BA$2,SP_ACQ_Lib[#Headers],0),FALSE)),"")</f>
        <v/>
      </c>
      <c r="BB7" s="224">
        <f>IFERROR(VLOOKUP(CONCATENATE($A7,"_",BB$1),SP_ACQ_Lib[],MATCH(BB$2,SP_ACQ_Lib[#Headers],0),FALSE),0)</f>
        <v>0</v>
      </c>
      <c r="BC7" s="231">
        <f>IFERROR(VLOOKUP($A7,SP_AcqTract_DB[],MATCH(BC$2,SP_AcqTract_DB[#Headers],0),FALSE),"")</f>
        <v>0</v>
      </c>
      <c r="BD7" s="231">
        <f>IFERROR(VLOOKUP($A7,SP_AcqTract_DB[],MATCH(BD$2,SP_AcqTract_DB[#Headers],0),FALSE),"")</f>
        <v>0</v>
      </c>
      <c r="BE7" s="249" t="str">
        <f>IFERROR(IF(VLOOKUP(CONCATENATE($A7,"_",BE$1),SP_ACQ_Lib[],MATCH(BE$2,SP_ACQ_Lib[#Headers],0),FALSE)=0,"",VLOOKUP(CONCATENATE($A7,"_",BE$1),SP_ACQ_Lib[],MATCH(BE$2,SP_ACQ_Lib[#Headers],0),FALSE)),"")</f>
        <v/>
      </c>
      <c r="BF7" s="249" t="str">
        <f>IFERROR(IF(VLOOKUP(CONCATENATE($A7,"_",BF$1),SP_ACQ_Lib[],MATCH(BF$2,SP_ACQ_Lib[#Headers],0),FALSE)=0,"",VLOOKUP(CONCATENATE($A7,"_",BF$1),SP_ACQ_Lib[],MATCH(BF$2,SP_ACQ_Lib[#Headers],0),FALSE)),"")</f>
        <v/>
      </c>
      <c r="BG7" s="249" t="str">
        <f>IFERROR(IF(VLOOKUP(CONCATENATE($A7,"_",BG$1),SP_ACQ_Lib[],MATCH(BG$2,SP_ACQ_Lib[#Headers],0),FALSE)=0,"",VLOOKUP(CONCATENATE($A7,"_",BG$1),SP_ACQ_Lib[],MATCH(BG$2,SP_ACQ_Lib[#Headers],0),FALSE)),"")</f>
        <v/>
      </c>
      <c r="BH7" s="249" t="str">
        <f>IFERROR(IF(VLOOKUP(CONCATENATE($A7,"_",BH$1),SP_ACQ_Lib[],MATCH(BH$2,SP_ACQ_Lib[#Headers],0),FALSE)=0,"",VLOOKUP(CONCATENATE($A7,"_",BH$1),SP_ACQ_Lib[],MATCH(BH$2,SP_ACQ_Lib[#Headers],0),FALSE)),"")</f>
        <v/>
      </c>
      <c r="BI7" s="249" t="str">
        <f>IFERROR(IF(VLOOKUP(CONCATENATE($A7,"_",BI$1),SP_ACQ_Lib[],MATCH(BI$2,SP_ACQ_Lib[#Headers],0),FALSE)=0,"",VLOOKUP(CONCATENATE($A7,"_",BI$1),SP_ACQ_Lib[],MATCH(BI$2,SP_ACQ_Lib[#Headers],0),FALSE)),"")</f>
        <v/>
      </c>
      <c r="BJ7" s="249" t="str">
        <f>IFERROR(IF(VLOOKUP(CONCATENATE($A7,"_",BJ$1),SP_ACQ_Lib[],MATCH(BJ$2,SP_ACQ_Lib[#Headers],0),FALSE)=0,"",VLOOKUP(CONCATENATE($A7,"_",BJ$1),SP_ACQ_Lib[],MATCH(BJ$2,SP_ACQ_Lib[#Headers],0),FALSE)),"")</f>
        <v/>
      </c>
      <c r="BK7" s="250" t="str">
        <f>IFERROR(IF(VLOOKUP(CONCATENATE($A7,"_",BK$1),SP_ACQ_Lib[],MATCH(BK$2,SP_ACQ_Lib[#Headers],0),FALSE)=0,"",VLOOKUP(CONCATENATE($A7,"_",BK$1),SP_ACQ_Lib[],MATCH(BK$2,SP_ACQ_Lib[#Headers],0),FALSE)),"")</f>
        <v/>
      </c>
      <c r="BL7" s="249" t="str">
        <f>IFERROR(IF(VLOOKUP(CONCATENATE($A7,"_",BL$1),SP_ACQ_Lib[],MATCH(BL$2,SP_ACQ_Lib[#Headers],0),FALSE)=0,"",VLOOKUP(CONCATENATE($A7,"_",BL$1),SP_ACQ_Lib[],MATCH(BL$2,SP_ACQ_Lib[#Headers],0),FALSE)),"")</f>
        <v/>
      </c>
      <c r="BM7" s="249" t="str">
        <f>IFERROR(IF(VLOOKUP(CONCATENATE($A7,"_",BM$1),SP_ACQ_Lib[],MATCH(BM$2,SP_ACQ_Lib[#Headers],0),FALSE)=0,"",VLOOKUP(CONCATENATE($A7,"_",BM$1),SP_ACQ_Lib[],MATCH(BM$2,SP_ACQ_Lib[#Headers],0),FALSE)),"")</f>
        <v/>
      </c>
      <c r="BN7" s="249" t="str">
        <f>IFERROR(IF(VLOOKUP(CONCATENATE($A7,"_",BN$1),SP_ACQ_Lib[],MATCH(BN$2,SP_ACQ_Lib[#Headers],0),FALSE)=0,"",VLOOKUP(CONCATENATE($A7,"_",BN$1),SP_ACQ_Lib[],MATCH(BN$2,SP_ACQ_Lib[#Headers],0),FALSE)),"")</f>
        <v/>
      </c>
    </row>
    <row r="8" spans="1:66" s="226" customFormat="1" ht="38.25" x14ac:dyDescent="0.2">
      <c r="A8" s="192" t="s">
        <v>3028</v>
      </c>
      <c r="B8" s="227"/>
      <c r="C8" s="228" t="str">
        <f>IFERROR(VLOOKUP($A8,SP_AcqTract_DB[],MATCH(C$2,SP_AcqTract_DB[#Headers],0),FALSE),"")</f>
        <v>PH1</v>
      </c>
      <c r="D8" s="208" t="str">
        <f>IFERROR(VLOOKUP($A8,SP_AcqTract_DB[],MATCH(D$2,SP_AcqTract_DB[#Headers],0),FALSE),"")</f>
        <v>Active</v>
      </c>
      <c r="E8" s="208">
        <f>IFERROR(VLOOKUP($A8,SP_AcqTract_DB[],MATCH(E$2,SP_AcqTract_DB[#Headers],0),FALSE),"")</f>
        <v>1</v>
      </c>
      <c r="F8" s="227" t="str">
        <f>IFERROR(VLOOKUP($A8,SP_AcqTract_DB[],MATCH(F$2,SP_AcqTract_DB[#Headers],0),FALSE),"")</f>
        <v>Road Esmt</v>
      </c>
      <c r="G8" s="227">
        <f>IFERROR(VLOOKUP($A8,SP_AcqTract_DB[],MATCH(G$2,SP_AcqTract_DB[#Headers],0),FALSE),"")</f>
        <v>0</v>
      </c>
      <c r="H8" s="250" t="str">
        <f>IFERROR(IF(VLOOKUP(CONCATENATE($A8,"_",H$1),SP_ACQ_Lib[],MATCH(H$2,SP_ACQ_Lib[#Headers],0),FALSE)=0,"",VLOOKUP(CONCATENATE($A8,"_",H$1),SP_ACQ_Lib[],MATCH(H$2,SP_ACQ_Lib[#Headers],0),FALSE)),"")</f>
        <v/>
      </c>
      <c r="I8" s="227" t="str">
        <f>IFERROR(VLOOKUP($A8,SP_AcqTract_DB[],MATCH(I$2,SP_AcqTract_DB[#Headers],0),FALSE),"")</f>
        <v>Texas Department of Transportation</v>
      </c>
      <c r="J8" s="227" t="str">
        <f>IFERROR(VLOOKUP($A8,SP_AcqTract_DB[],MATCH(J$2,SP_AcqTract_DB[#Headers],0),FALSE),"")</f>
        <v>Texas Department of Transportation</v>
      </c>
      <c r="K8" s="227" t="str">
        <f>IFERROR(VLOOKUP($A8,SP_AcqTract_DB[],MATCH(K$2,SP_AcqTract_DB[#Headers],0),FALSE),"")</f>
        <v>Texas Department of Transportation</v>
      </c>
      <c r="L8" s="227">
        <f>IFERROR(VLOOKUP($A8,SP_AcqTract_DB[],MATCH(L$2,SP_AcqTract_DB[#Headers],0),FALSE),"")</f>
        <v>0</v>
      </c>
      <c r="M8" s="208">
        <f>IFERROR(VLOOKUP($A8,SP_AcqTract_DB[],MATCH(M$2,SP_AcqTract_DB[#Headers],0),FALSE),"")</f>
        <v>0</v>
      </c>
      <c r="N8" s="227">
        <f>IFERROR(VLOOKUP($A8,SP_AcqTract_DB[],MATCH(N$2,SP_AcqTract_DB[#Headers],0),FALSE),"")</f>
        <v>0</v>
      </c>
      <c r="O8" s="220">
        <f>IFERROR(VLOOKUP($A8,SP_AcqTract_DB[],MATCH(O$2,SP_AcqTract_DB[#Headers],0),FALSE),"")</f>
        <v>0</v>
      </c>
      <c r="P8" s="220">
        <f>IFERROR(VLOOKUP($A8,SP_AcqTract_DB[],MATCH(P$2,SP_AcqTract_DB[#Headers],0),FALSE),"")</f>
        <v>0</v>
      </c>
      <c r="Q8" s="208">
        <f>IFERROR(VLOOKUP($A8,SP_AcqTract_DB[],MATCH(Q$2,SP_AcqTract_DB[#Headers],0),FALSE),"")</f>
        <v>0</v>
      </c>
      <c r="R8" s="250">
        <f>IFERROR(IF(VLOOKUP(CONCATENATE($A8,"_",R$1),SP_ACQ_Lib[],MATCH(R$2,SP_ACQ_Lib[#Headers],0),FALSE)=0,"",VLOOKUP(CONCATENATE($A8,"_",R$1),SP_ACQ_Lib[],MATCH(R$2,SP_ACQ_Lib[#Headers],0),FALSE)),"")</f>
        <v>43994</v>
      </c>
      <c r="S8" s="253">
        <f>IFERROR(IF(VLOOKUP(CONCATENATE($A8,"_",S$1),SP_ACQ_Lib[],MATCH(S$2,SP_ACQ_Lib[#Headers],0),FALSE)=0,"",VLOOKUP(CONCATENATE($A8,"_",S$1),SP_ACQ_Lib[],MATCH(S$2,SP_ACQ_Lib[#Headers],0),FALSE)),"")</f>
        <v>44001</v>
      </c>
      <c r="T8" s="205">
        <f>IFERROR(VLOOKUP(CONCATENATE($A8,"_",T$1),SP_ACQ_Lib[],MATCH(T$2,SP_ACQ_Lib[#Headers],0),FALSE),0)</f>
        <v>0</v>
      </c>
      <c r="U8" s="250">
        <f>IFERROR(IF(VLOOKUP(CONCATENATE($A8,"_",U$1),SP_ACQ_Lib[],MATCH(U$2,SP_ACQ_Lib[#Headers],0),FALSE)=0,"",VLOOKUP(CONCATENATE($A8,"_",U$1),SP_ACQ_Lib[],MATCH(U$2,SP_ACQ_Lib[#Headers],0),FALSE)),"")</f>
        <v>44004</v>
      </c>
      <c r="V8" s="205">
        <f>IFERROR(VLOOKUP(CONCATENATE($A8,"_",V$1),SP_ACQ_Lib[],MATCH(V$2,SP_ACQ_Lib[#Headers],0),FALSE),0)</f>
        <v>0</v>
      </c>
      <c r="W8" s="209">
        <f>IFERROR(VLOOKUP(CONCATENATE($A8,"_",W$1),SP_ACQ_Lib[],MATCH(W$2,SP_ACQ_Lib[#Headers],0),FALSE),0)</f>
        <v>0</v>
      </c>
      <c r="X8" s="250">
        <f>IFERROR(VLOOKUP($A8,SP_AcqTract_DB[],MATCH(X$2,SP_AcqTract_DB[#Headers],0),FALSE),"")</f>
        <v>43922</v>
      </c>
      <c r="Y8" s="237">
        <f>IFERROR(VLOOKUP($A8,SP_AcqTract_DB[],MATCH(Y$2,SP_AcqTract_DB[#Headers],0),FALSE),"")</f>
        <v>4.7910927456382001E-2</v>
      </c>
      <c r="Z8" s="229">
        <f>IFERROR(VLOOKUP($A8,SP_AcqTract_DB[],MATCH(Z$2,SP_AcqTract_DB[#Headers],0),FALSE),"")</f>
        <v>2087</v>
      </c>
      <c r="AA8" s="229" t="str">
        <f>IFERROR(VLOOKUP($A8,SP_AcqTract_DB[],MATCH(AA$2,SP_AcqTract_DB[#Headers],0),FALSE),"")</f>
        <v>No</v>
      </c>
      <c r="AB8" s="250" t="str">
        <f>IFERROR(IF(VLOOKUP(CONCATENATE($A8,"_",AB$1),SP_ACQ_Lib[],MATCH(AB$2,SP_ACQ_Lib[#Headers],0),FALSE)=0,"",VLOOKUP(CONCATENATE($A8,"_",AB$1),SP_ACQ_Lib[],MATCH(AB$2,SP_ACQ_Lib[#Headers],0),FALSE)),"")</f>
        <v/>
      </c>
      <c r="AC8" s="250" t="str">
        <f>IFERROR(IF(VLOOKUP(CONCATENATE($A8,"_",AC$1),SP_ACQ_Lib[],MATCH(AC$2,SP_ACQ_Lib[#Headers],0),FALSE)=0,"",VLOOKUP(CONCATENATE($A8,"_",AC$1),SP_ACQ_Lib[],MATCH(AC$2,SP_ACQ_Lib[#Headers],0),FALSE)),"")</f>
        <v/>
      </c>
      <c r="AD8" s="229" t="str">
        <f>IFERROR(VLOOKUP($A8,SP_AcqTract_DB[],MATCH(AD$2,SP_AcqTract_DB[#Headers],0),FALSE),"")</f>
        <v>Yes</v>
      </c>
      <c r="AE8" s="250">
        <f>IFERROR(IF(VLOOKUP(CONCATENATE($A8,"_",AE$1),SP_ACQ_Lib[],MATCH(AE$2,SP_ACQ_Lib[#Headers],0),FALSE)=0,"",VLOOKUP(CONCATENATE($A8,"_",AE$1),SP_ACQ_Lib[],MATCH(AE$2,SP_ACQ_Lib[#Headers],0),FALSE)),"")</f>
        <v>43991</v>
      </c>
      <c r="AF8" s="250">
        <f>IFERROR(IF(VLOOKUP(CONCATENATE($A8,"_",AF$1),SP_ACQ_Lib[],MATCH(AF$2,SP_ACQ_Lib[#Headers],0),FALSE)=0,"",VLOOKUP(CONCATENATE($A8,"_",AF$1),SP_ACQ_Lib[],MATCH(AF$2,SP_ACQ_Lib[#Headers],0),FALSE)),"")</f>
        <v>43993</v>
      </c>
      <c r="AG8" s="250" t="str">
        <f>IFERROR(IF(VLOOKUP(CONCATENATE($A8,"_",AG$1),SP_ACQ_Lib[],MATCH(AG$2,SP_ACQ_Lib[#Headers],0),FALSE)=0,"",VLOOKUP(CONCATENATE($A8,"_",AG$1),SP_ACQ_Lib[],MATCH(AG$2,SP_ACQ_Lib[#Headers],0),FALSE)),"")</f>
        <v/>
      </c>
      <c r="AH8" s="250" t="str">
        <f>IFERROR(IF(VLOOKUP(CONCATENATE($A8,"_",AH$1),SP_ACQ_Lib[],MATCH(AH$2,SP_ACQ_Lib[#Headers],0),FALSE)=0,"",VLOOKUP(CONCATENATE($A8,"_",AH$1),SP_ACQ_Lib[],MATCH(AH$2,SP_ACQ_Lib[#Headers],0),FALSE)),"")</f>
        <v/>
      </c>
      <c r="AI8" s="249" t="str">
        <f>IFERROR(IF(VLOOKUP(CONCATENATE($A8,"_",AI$1),SP_ACQ_Lib[],MATCH(AI$2,SP_ACQ_Lib[#Headers],0),FALSE)=0,"",VLOOKUP(CONCATENATE($A8,"_",AI$1),SP_ACQ_Lib[],MATCH(AI$2,SP_ACQ_Lib[#Headers],0),FALSE)),"")</f>
        <v/>
      </c>
      <c r="AJ8" s="249" t="str">
        <f>IFERROR(IF(VLOOKUP(CONCATENATE($A8,"_",AJ$1),SP_ACQ_Lib[],MATCH(AJ$2,SP_ACQ_Lib[#Headers],0),FALSE)=0,"",VLOOKUP(CONCATENATE($A8,"_",AJ$1),SP_ACQ_Lib[],MATCH(AJ$2,SP_ACQ_Lib[#Headers],0),FALSE)),"")</f>
        <v/>
      </c>
      <c r="AK8" s="249" t="str">
        <f>IFERROR(IF(VLOOKUP(CONCATENATE($A8,"_",AK$1),SP_ACQ_Lib[],MATCH(AK$2,SP_ACQ_Lib[#Headers],0),FALSE)=0,"",VLOOKUP(CONCATENATE($A8,"_",AK$1),SP_ACQ_Lib[],MATCH(AK$2,SP_ACQ_Lib[#Headers],0),FALSE)),"")</f>
        <v/>
      </c>
      <c r="AL8" s="249">
        <f>IFERROR(VLOOKUP($A8,SP_AcqTract_DB[],MATCH(AL$2,SP_AcqTract_DB[#Headers],0),FALSE),"")</f>
        <v>43994</v>
      </c>
      <c r="AM8" s="227" t="str">
        <f>IFERROR(VLOOKUP($A8,SP_AcqTract_DB[],MATCH(AM$2,SP_AcqTract_DB[#Headers],0),FALSE),"")</f>
        <v>David Ambrose</v>
      </c>
      <c r="AN8" s="227" t="str">
        <f>IFERROR(VLOOKUP($A8,SP_AcqTract_DB[],MATCH(AN$2,SP_AcqTract_DB[#Headers],0),FALSE),"")</f>
        <v>Lory Johnson, Atrium</v>
      </c>
      <c r="AO8" s="228">
        <f>IFERROR(VLOOKUP($A8,SP_AcqTract_DB[],MATCH(AO$2,SP_AcqTract_DB[#Headers],0),FALSE),"")</f>
        <v>0</v>
      </c>
      <c r="AP8" s="210">
        <f>IFERROR(VLOOKUP($A8,SP_AcqTract_DB[],MATCH(AP$2,SP_AcqTract_DB[#Headers],0),FALSE),"")</f>
        <v>0</v>
      </c>
      <c r="AQ8" s="252" t="str">
        <f>IFERROR(IF(VLOOKUP(CONCATENATE($A8,"_",AQ$1),SP_ACQ_Lib[],MATCH(AQ$2,SP_ACQ_Lib[#Headers],0),FALSE)=0,"",VLOOKUP(CONCATENATE($A8,"_",AQ$1),SP_ACQ_Lib[],MATCH(AQ$2,SP_ACQ_Lib[#Headers],0),FALSE)),"")</f>
        <v/>
      </c>
      <c r="AR8" s="250" t="str">
        <f>IFERROR(IF(VLOOKUP(CONCATENATE($A8,"_",AR$1),SP_ACQ_Lib[],MATCH(AR$2,SP_ACQ_Lib[#Headers],0),FALSE)=0,"",VLOOKUP(CONCATENATE($A8,"_",AR$1),SP_ACQ_Lib[],MATCH(AR$2,SP_ACQ_Lib[#Headers],0),FALSE)),"")</f>
        <v/>
      </c>
      <c r="AS8" s="249" t="str">
        <f>IFERROR(IF(VLOOKUP(CONCATENATE($A8,"_",AS$1),SP_ACQ_Lib[],MATCH(AS$2,SP_ACQ_Lib[#Headers],0),FALSE)=0,"",VLOOKUP(CONCATENATE($A8,"_",AS$1),SP_ACQ_Lib[],MATCH(AS$2,SP_ACQ_Lib[#Headers],0),FALSE)),"")</f>
        <v/>
      </c>
      <c r="AT8" s="251" t="str">
        <f>IFERROR(IF(VLOOKUP(CONCATENATE($A8,"_",AT$1),SP_ACQ_Lib[],MATCH(AT$2,SP_ACQ_Lib[#Headers],0),FALSE)=0,"",VLOOKUP(CONCATENATE($A8,"_",AT$1),SP_ACQ_Lib[],MATCH(AT$2,SP_ACQ_Lib[#Headers],0),FALSE)),"")</f>
        <v/>
      </c>
      <c r="AU8" s="251" t="str">
        <f>IFERROR(IF(VLOOKUP(CONCATENATE($A8,"_",AU$1),SP_ACQ_Lib[],MATCH(AU$2,SP_ACQ_Lib[#Headers],0),FALSE)=0,"",VLOOKUP(CONCATENATE($A8,"_",AU$1),SP_ACQ_Lib[],MATCH(AU$2,SP_ACQ_Lib[#Headers],0),FALSE)),"")</f>
        <v/>
      </c>
      <c r="AV8" s="225" t="str">
        <f>IFERROR(IF(VLOOKUP(CONCATENATE($A8,"_",AV$1),SP_ACQ_Lib[],MATCH(AV$2,SP_ACQ_Lib[#Headers],0),FALSE)=0,"",VLOOKUP(CONCATENATE($A8,"_",AV$1),SP_ACQ_Lib[],MATCH(AV$2,SP_ACQ_Lib[#Headers],0),FALSE)),"")</f>
        <v/>
      </c>
      <c r="AW8" s="251" t="str">
        <f>IFERROR(IF(VLOOKUP(CONCATENATE($A8,"_",AW$1),SP_ACQ_Lib[],MATCH(AW$2,SP_ACQ_Lib[#Headers],0),FALSE)=0,"",VLOOKUP(CONCATENATE($A8,"_",AW$1),SP_ACQ_Lib[],MATCH(AW$2,SP_ACQ_Lib[#Headers],0),FALSE)),"")</f>
        <v/>
      </c>
      <c r="AX8" s="251" t="str">
        <f>IFERROR(IF(VLOOKUP(CONCATENATE($A8,"_",AX$1),SP_ACQ_Lib[],MATCH(AX$2,SP_ACQ_Lib[#Headers],0),FALSE)=0,"",VLOOKUP(CONCATENATE($A8,"_",AX$1),SP_ACQ_Lib[],MATCH(AX$2,SP_ACQ_Lib[#Headers],0),FALSE)),"")</f>
        <v/>
      </c>
      <c r="AY8" s="251" t="str">
        <f>IFERROR(IF(VLOOKUP(CONCATENATE($A8,"_",AY$1),SP_ACQ_Lib[],MATCH(AY$2,SP_ACQ_Lib[#Headers],0),FALSE)=0,"",VLOOKUP(CONCATENATE($A8,"_",AY$1),SP_ACQ_Lib[],MATCH(AY$2,SP_ACQ_Lib[#Headers],0),FALSE)),"")</f>
        <v/>
      </c>
      <c r="AZ8" s="251" t="str">
        <f>IFERROR(IF(VLOOKUP(CONCATENATE($A8,"_",AZ$1),SP_ACQ_Lib[],MATCH(AZ$2,SP_ACQ_Lib[#Headers],0),FALSE)=0,"",VLOOKUP(CONCATENATE($A8,"_",AZ$1),SP_ACQ_Lib[],MATCH(AZ$2,SP_ACQ_Lib[#Headers],0),FALSE)),"")</f>
        <v/>
      </c>
      <c r="BA8" s="251" t="str">
        <f>IFERROR(IF(VLOOKUP(CONCATENATE($A8,"_",BA$1),SP_ACQ_Lib[],MATCH(BA$2,SP_ACQ_Lib[#Headers],0),FALSE)=0,"",VLOOKUP(CONCATENATE($A8,"_",BA$1),SP_ACQ_Lib[],MATCH(BA$2,SP_ACQ_Lib[#Headers],0),FALSE)),"")</f>
        <v/>
      </c>
      <c r="BB8" s="224">
        <f>IFERROR(VLOOKUP(CONCATENATE($A8,"_",BB$1),SP_ACQ_Lib[],MATCH(BB$2,SP_ACQ_Lib[#Headers],0),FALSE),0)</f>
        <v>0</v>
      </c>
      <c r="BC8" s="231">
        <f>IFERROR(VLOOKUP($A8,SP_AcqTract_DB[],MATCH(BC$2,SP_AcqTract_DB[#Headers],0),FALSE),"")</f>
        <v>0</v>
      </c>
      <c r="BD8" s="231">
        <f>IFERROR(VLOOKUP($A8,SP_AcqTract_DB[],MATCH(BD$2,SP_AcqTract_DB[#Headers],0),FALSE),"")</f>
        <v>0</v>
      </c>
      <c r="BE8" s="249" t="str">
        <f>IFERROR(IF(VLOOKUP(CONCATENATE($A8,"_",BE$1),SP_ACQ_Lib[],MATCH(BE$2,SP_ACQ_Lib[#Headers],0),FALSE)=0,"",VLOOKUP(CONCATENATE($A8,"_",BE$1),SP_ACQ_Lib[],MATCH(BE$2,SP_ACQ_Lib[#Headers],0),FALSE)),"")</f>
        <v/>
      </c>
      <c r="BF8" s="249" t="str">
        <f>IFERROR(IF(VLOOKUP(CONCATENATE($A8,"_",BF$1),SP_ACQ_Lib[],MATCH(BF$2,SP_ACQ_Lib[#Headers],0),FALSE)=0,"",VLOOKUP(CONCATENATE($A8,"_",BF$1),SP_ACQ_Lib[],MATCH(BF$2,SP_ACQ_Lib[#Headers],0),FALSE)),"")</f>
        <v/>
      </c>
      <c r="BG8" s="249" t="str">
        <f>IFERROR(IF(VLOOKUP(CONCATENATE($A8,"_",BG$1),SP_ACQ_Lib[],MATCH(BG$2,SP_ACQ_Lib[#Headers],0),FALSE)=0,"",VLOOKUP(CONCATENATE($A8,"_",BG$1),SP_ACQ_Lib[],MATCH(BG$2,SP_ACQ_Lib[#Headers],0),FALSE)),"")</f>
        <v/>
      </c>
      <c r="BH8" s="249" t="str">
        <f>IFERROR(IF(VLOOKUP(CONCATENATE($A8,"_",BH$1),SP_ACQ_Lib[],MATCH(BH$2,SP_ACQ_Lib[#Headers],0),FALSE)=0,"",VLOOKUP(CONCATENATE($A8,"_",BH$1),SP_ACQ_Lib[],MATCH(BH$2,SP_ACQ_Lib[#Headers],0),FALSE)),"")</f>
        <v/>
      </c>
      <c r="BI8" s="249" t="str">
        <f>IFERROR(IF(VLOOKUP(CONCATENATE($A8,"_",BI$1),SP_ACQ_Lib[],MATCH(BI$2,SP_ACQ_Lib[#Headers],0),FALSE)=0,"",VLOOKUP(CONCATENATE($A8,"_",BI$1),SP_ACQ_Lib[],MATCH(BI$2,SP_ACQ_Lib[#Headers],0),FALSE)),"")</f>
        <v/>
      </c>
      <c r="BJ8" s="249" t="str">
        <f>IFERROR(IF(VLOOKUP(CONCATENATE($A8,"_",BJ$1),SP_ACQ_Lib[],MATCH(BJ$2,SP_ACQ_Lib[#Headers],0),FALSE)=0,"",VLOOKUP(CONCATENATE($A8,"_",BJ$1),SP_ACQ_Lib[],MATCH(BJ$2,SP_ACQ_Lib[#Headers],0),FALSE)),"")</f>
        <v/>
      </c>
      <c r="BK8" s="250" t="str">
        <f>IFERROR(IF(VLOOKUP(CONCATENATE($A8,"_",BK$1),SP_ACQ_Lib[],MATCH(BK$2,SP_ACQ_Lib[#Headers],0),FALSE)=0,"",VLOOKUP(CONCATENATE($A8,"_",BK$1),SP_ACQ_Lib[],MATCH(BK$2,SP_ACQ_Lib[#Headers],0),FALSE)),"")</f>
        <v/>
      </c>
      <c r="BL8" s="249" t="str">
        <f>IFERROR(IF(VLOOKUP(CONCATENATE($A8,"_",BL$1),SP_ACQ_Lib[],MATCH(BL$2,SP_ACQ_Lib[#Headers],0),FALSE)=0,"",VLOOKUP(CONCATENATE($A8,"_",BL$1),SP_ACQ_Lib[],MATCH(BL$2,SP_ACQ_Lib[#Headers],0),FALSE)),"")</f>
        <v/>
      </c>
      <c r="BM8" s="249" t="str">
        <f>IFERROR(IF(VLOOKUP(CONCATENATE($A8,"_",BM$1),SP_ACQ_Lib[],MATCH(BM$2,SP_ACQ_Lib[#Headers],0),FALSE)=0,"",VLOOKUP(CONCATENATE($A8,"_",BM$1),SP_ACQ_Lib[],MATCH(BM$2,SP_ACQ_Lib[#Headers],0),FALSE)),"")</f>
        <v/>
      </c>
      <c r="BN8" s="249" t="str">
        <f>IFERROR(IF(VLOOKUP(CONCATENATE($A8,"_",BN$1),SP_ACQ_Lib[],MATCH(BN$2,SP_ACQ_Lib[#Headers],0),FALSE)=0,"",VLOOKUP(CONCATENATE($A8,"_",BN$1),SP_ACQ_Lib[],MATCH(BN$2,SP_ACQ_Lib[#Headers],0),FALSE)),"")</f>
        <v/>
      </c>
    </row>
    <row r="9" spans="1:66" s="226" customFormat="1" ht="51" x14ac:dyDescent="0.2">
      <c r="A9" s="192" t="s">
        <v>28</v>
      </c>
      <c r="B9" s="227" t="str">
        <f>IFERROR(VLOOKUP($A9,SP_AcqTract_DB[],MATCH(B$2,SP_AcqTract_DB[#Headers],0),FALSE),"")</f>
        <v>R061083</v>
      </c>
      <c r="C9" s="228" t="str">
        <f>IFERROR(VLOOKUP($A9,SP_AcqTract_DB[],MATCH(C$2,SP_AcqTract_DB[#Headers],0),FALSE),"")</f>
        <v>PH1</v>
      </c>
      <c r="D9" s="208" t="str">
        <f>IFERROR(VLOOKUP($A9,SP_AcqTract_DB[],MATCH(D$2,SP_AcqTract_DB[#Headers],0),FALSE),"")</f>
        <v>Active</v>
      </c>
      <c r="E9" s="208">
        <f>IFERROR(VLOOKUP($A9,SP_AcqTract_DB[],MATCH(E$2,SP_AcqTract_DB[#Headers],0),FALSE),"")</f>
        <v>3</v>
      </c>
      <c r="F9" s="227" t="str">
        <f>IFERROR(VLOOKUP($A9,SP_AcqTract_DB[],MATCH(F$2,SP_AcqTract_DB[#Headers],0),FALSE),"")</f>
        <v>Fee Acq/Flowage Esmt/Levee Esmt</v>
      </c>
      <c r="G9" s="227" t="str">
        <f>IFERROR(VLOOKUP($A9,SP_AcqTract_DB[],MATCH(G$2,SP_AcqTract_DB[#Headers],0),FALSE),"")</f>
        <v>Melissa DeLeon</v>
      </c>
      <c r="H9" s="250">
        <f>IFERROR(IF(VLOOKUP(CONCATENATE($A9,"_",H$1),SP_ACQ_Lib[],MATCH(H$2,SP_ACQ_Lib[#Headers],0),FALSE)=0,"",VLOOKUP(CONCATENATE($A9,"_",H$1),SP_ACQ_Lib[],MATCH(H$2,SP_ACQ_Lib[#Headers],0),FALSE)),"")</f>
        <v>44014.69908564815</v>
      </c>
      <c r="I9" s="227" t="str">
        <f>IFERROR(VLOOKUP($A9,SP_AcqTract_DB[],MATCH(I$2,SP_AcqTract_DB[#Headers],0),FALSE),"")</f>
        <v>Nan Ya Plastics Corp., USA</v>
      </c>
      <c r="J9" s="227">
        <f>IFERROR(VLOOKUP($A9,SP_AcqTract_DB[],MATCH(J$2,SP_AcqTract_DB[#Headers],0),FALSE),"")</f>
        <v>0</v>
      </c>
      <c r="K9" s="227" t="str">
        <f>IFERROR(VLOOKUP($A9,SP_AcqTract_DB[],MATCH(K$2,SP_AcqTract_DB[#Headers],0),FALSE),"")</f>
        <v>Nan Ya Plastics Corporation U.S.A.</v>
      </c>
      <c r="L9" s="227" t="str">
        <f>IFERROR(VLOOKUP($A9,SP_AcqTract_DB[],MATCH(L$2,SP_AcqTract_DB[#Headers],0),FALSE),"")</f>
        <v>9 Peach Tree Hill Road</v>
      </c>
      <c r="M9" s="208" t="str">
        <f>IFERROR(VLOOKUP($A9,SP_AcqTract_DB[],MATCH(M$2,SP_AcqTract_DB[#Headers],0),FALSE),"")</f>
        <v>Livingston, NH 07039</v>
      </c>
      <c r="N9" s="227" t="str">
        <f>IFERROR(VLOOKUP($A9,SP_AcqTract_DB[],MATCH(N$2,SP_AcqTract_DB[#Headers],0),FALSE),"")</f>
        <v>HWY 59</v>
      </c>
      <c r="O9" s="220" t="str">
        <f>IFERROR(VLOOKUP($A9,SP_AcqTract_DB[],MATCH(O$2,SP_AcqTract_DB[#Headers],0),FALSE),"")</f>
        <v>Power transmission-Houston Power &amp; Lighting
Power Transmission-Houston Power &amp; Lighting</v>
      </c>
      <c r="P9" s="220" t="str">
        <f>IFERROR(VLOOKUP($A9,SP_AcqTract_DB[],MATCH(P$2,SP_AcqTract_DB[#Headers],0),FALSE),"")</f>
        <v>X</v>
      </c>
      <c r="Q9" s="208" t="str">
        <f>IFERROR(VLOOKUP($A9,SP_AcqTract_DB[],MATCH(Q$2,SP_AcqTract_DB[#Headers],0),FALSE),"")</f>
        <v>2019-0820</v>
      </c>
      <c r="R9" s="250">
        <f>IFERROR(IF(VLOOKUP(CONCATENATE($A9,"_",R$1),SP_ACQ_Lib[],MATCH(R$2,SP_ACQ_Lib[#Headers],0),FALSE)=0,"",VLOOKUP(CONCATENATE($A9,"_",R$1),SP_ACQ_Lib[],MATCH(R$2,SP_ACQ_Lib[#Headers],0),FALSE)),"")</f>
        <v>43943</v>
      </c>
      <c r="S9" s="253">
        <f>IFERROR(IF(VLOOKUP(CONCATENATE($A9,"_",S$1),SP_ACQ_Lib[],MATCH(S$2,SP_ACQ_Lib[#Headers],0),FALSE)=0,"",VLOOKUP(CONCATENATE($A9,"_",S$1),SP_ACQ_Lib[],MATCH(S$2,SP_ACQ_Lib[#Headers],0),FALSE)),"")</f>
        <v>43951</v>
      </c>
      <c r="T9" s="205" t="str">
        <f>IFERROR(VLOOKUP(CONCATENATE($A9,"_",T$1),SP_ACQ_Lib[],MATCH(T$2,SP_ACQ_Lib[#Headers],0),FALSE),0)</f>
        <v>Accepted</v>
      </c>
      <c r="U9" s="250">
        <f>IFERROR(IF(VLOOKUP(CONCATENATE($A9,"_",U$1),SP_ACQ_Lib[],MATCH(U$2,SP_ACQ_Lib[#Headers],0),FALSE)=0,"",VLOOKUP(CONCATENATE($A9,"_",U$1),SP_ACQ_Lib[],MATCH(U$2,SP_ACQ_Lib[#Headers],0),FALSE)),"")</f>
        <v>43805</v>
      </c>
      <c r="V9" s="205" t="str">
        <f>IFERROR(VLOOKUP(CONCATENATE($A9,"_",V$1),SP_ACQ_Lib[],MATCH(V$2,SP_ACQ_Lib[#Headers],0),FALSE),0)</f>
        <v>Accepted</v>
      </c>
      <c r="W9" s="209" t="str">
        <f>IFERROR(VLOOKUP(CONCATENATE($A9,"_",W$1),SP_ACQ_Lib[],MATCH(W$2,SP_ACQ_Lib[#Headers],0),FALSE),0)</f>
        <v>Accepted</v>
      </c>
      <c r="X9" s="250">
        <f>IFERROR(VLOOKUP($A9,SP_AcqTract_DB[],MATCH(X$2,SP_AcqTract_DB[#Headers],0),FALSE),"")</f>
        <v>43689</v>
      </c>
      <c r="Y9" s="237">
        <f>IFERROR(VLOOKUP($A9,SP_AcqTract_DB[],MATCH(Y$2,SP_AcqTract_DB[#Headers],0),FALSE),"")</f>
        <v>26.5839990817264</v>
      </c>
      <c r="Z9" s="229">
        <f>IFERROR(VLOOKUP($A9,SP_AcqTract_DB[],MATCH(Z$2,SP_AcqTract_DB[#Headers],0),FALSE),"")</f>
        <v>1157999</v>
      </c>
      <c r="AA9" s="229" t="str">
        <f>IFERROR(VLOOKUP($A9,SP_AcqTract_DB[],MATCH(AA$2,SP_AcqTract_DB[#Headers],0),FALSE),"")</f>
        <v>No</v>
      </c>
      <c r="AB9" s="250" t="str">
        <f>IFERROR(IF(VLOOKUP(CONCATENATE($A9,"_",AB$1),SP_ACQ_Lib[],MATCH(AB$2,SP_ACQ_Lib[#Headers],0),FALSE)=0,"",VLOOKUP(CONCATENATE($A9,"_",AB$1),SP_ACQ_Lib[],MATCH(AB$2,SP_ACQ_Lib[#Headers],0),FALSE)),"")</f>
        <v/>
      </c>
      <c r="AC9" s="250" t="str">
        <f>IFERROR(IF(VLOOKUP(CONCATENATE($A9,"_",AC$1),SP_ACQ_Lib[],MATCH(AC$2,SP_ACQ_Lib[#Headers],0),FALSE)=0,"",VLOOKUP(CONCATENATE($A9,"_",AC$1),SP_ACQ_Lib[],MATCH(AC$2,SP_ACQ_Lib[#Headers],0),FALSE)),"")</f>
        <v/>
      </c>
      <c r="AD9" s="229" t="str">
        <f>IFERROR(VLOOKUP($A9,SP_AcqTract_DB[],MATCH(AD$2,SP_AcqTract_DB[#Headers],0),FALSE),"")</f>
        <v>Yes</v>
      </c>
      <c r="AE9" s="250">
        <f>IFERROR(IF(VLOOKUP(CONCATENATE($A9,"_",AE$1),SP_ACQ_Lib[],MATCH(AE$2,SP_ACQ_Lib[#Headers],0),FALSE)=0,"",VLOOKUP(CONCATENATE($A9,"_",AE$1),SP_ACQ_Lib[],MATCH(AE$2,SP_ACQ_Lib[#Headers],0),FALSE)),"")</f>
        <v>43781</v>
      </c>
      <c r="AF9" s="250">
        <f>IFERROR(IF(VLOOKUP(CONCATENATE($A9,"_",AF$1),SP_ACQ_Lib[],MATCH(AF$2,SP_ACQ_Lib[#Headers],0),FALSE)=0,"",VLOOKUP(CONCATENATE($A9,"_",AF$1),SP_ACQ_Lib[],MATCH(AF$2,SP_ACQ_Lib[#Headers],0),FALSE)),"")</f>
        <v>43913</v>
      </c>
      <c r="AG9" s="250" t="str">
        <f>IFERROR(IF(VLOOKUP(CONCATENATE($A9,"_",AG$1),SP_ACQ_Lib[],MATCH(AG$2,SP_ACQ_Lib[#Headers],0),FALSE)=0,"",VLOOKUP(CONCATENATE($A9,"_",AG$1),SP_ACQ_Lib[],MATCH(AG$2,SP_ACQ_Lib[#Headers],0),FALSE)),"")</f>
        <v/>
      </c>
      <c r="AH9" s="250">
        <f>IFERROR(IF(VLOOKUP(CONCATENATE($A9,"_",AH$1),SP_ACQ_Lib[],MATCH(AH$2,SP_ACQ_Lib[#Headers],0),FALSE)=0,"",VLOOKUP(CONCATENATE($A9,"_",AH$1),SP_ACQ_Lib[],MATCH(AH$2,SP_ACQ_Lib[#Headers],0),FALSE)),"")</f>
        <v>43693</v>
      </c>
      <c r="AI9" s="249" t="str">
        <f>IFERROR(IF(VLOOKUP(CONCATENATE($A9,"_",AI$1),SP_ACQ_Lib[],MATCH(AI$2,SP_ACQ_Lib[#Headers],0),FALSE)=0,"",VLOOKUP(CONCATENATE($A9,"_",AI$1),SP_ACQ_Lib[],MATCH(AI$2,SP_ACQ_Lib[#Headers],0),FALSE)),"")</f>
        <v/>
      </c>
      <c r="AJ9" s="249" t="str">
        <f>IFERROR(IF(VLOOKUP(CONCATENATE($A9,"_",AJ$1),SP_ACQ_Lib[],MATCH(AJ$2,SP_ACQ_Lib[#Headers],0),FALSE)=0,"",VLOOKUP(CONCATENATE($A9,"_",AJ$1),SP_ACQ_Lib[],MATCH(AJ$2,SP_ACQ_Lib[#Headers],0),FALSE)),"")</f>
        <v/>
      </c>
      <c r="AK9" s="249" t="str">
        <f>IFERROR(IF(VLOOKUP(CONCATENATE($A9,"_",AK$1),SP_ACQ_Lib[],MATCH(AK$2,SP_ACQ_Lib[#Headers],0),FALSE)=0,"",VLOOKUP(CONCATENATE($A9,"_",AK$1),SP_ACQ_Lib[],MATCH(AK$2,SP_ACQ_Lib[#Headers],0),FALSE)),"")</f>
        <v/>
      </c>
      <c r="AL9" s="249">
        <f>IFERROR(VLOOKUP($A9,SP_AcqTract_DB[],MATCH(AL$2,SP_AcqTract_DB[#Headers],0),FALSE),"")</f>
        <v>43914</v>
      </c>
      <c r="AM9" s="227" t="str">
        <f>IFERROR(VLOOKUP($A9,SP_AcqTract_DB[],MATCH(AM$2,SP_AcqTract_DB[#Headers],0),FALSE),"")</f>
        <v>Cameron Boone</v>
      </c>
      <c r="AN9" s="227" t="str">
        <f>IFERROR(VLOOKUP($A9,SP_AcqTract_DB[],MATCH(AN$2,SP_AcqTract_DB[#Headers],0),FALSE),"")</f>
        <v>Richard McGee</v>
      </c>
      <c r="AO9" s="228">
        <f>IFERROR(VLOOKUP($A9,SP_AcqTract_DB[],MATCH(AO$2,SP_AcqTract_DB[#Headers],0),FALSE),"")</f>
        <v>0</v>
      </c>
      <c r="AP9" s="210" t="str">
        <f>IFERROR(VLOOKUP($A9,SP_AcqTract_DB[],MATCH(AP$2,SP_AcqTract_DB[#Headers],0),FALSE),"")</f>
        <v>V</v>
      </c>
      <c r="AQ9" s="252" t="str">
        <f>IFERROR(IF(VLOOKUP(CONCATENATE($A9,"_",AQ$1),SP_ACQ_Lib[],MATCH(AQ$2,SP_ACQ_Lib[#Headers],0),FALSE)=0,"",VLOOKUP(CONCATENATE($A9,"_",AQ$1),SP_ACQ_Lib[],MATCH(AQ$2,SP_ACQ_Lib[#Headers],0),FALSE)),"")</f>
        <v/>
      </c>
      <c r="AR9" s="250" t="str">
        <f>IFERROR(IF(VLOOKUP(CONCATENATE($A9,"_",AR$1),SP_ACQ_Lib[],MATCH(AR$2,SP_ACQ_Lib[#Headers],0),FALSE)=0,"",VLOOKUP(CONCATENATE($A9,"_",AR$1),SP_ACQ_Lib[],MATCH(AR$2,SP_ACQ_Lib[#Headers],0),FALSE)),"")</f>
        <v/>
      </c>
      <c r="AS9" s="249">
        <f>IFERROR(IF(VLOOKUP(CONCATENATE($A9,"_",AS$1),SP_ACQ_Lib[],MATCH(AS$2,SP_ACQ_Lib[#Headers],0),FALSE)=0,"",VLOOKUP(CONCATENATE($A9,"_",AS$1),SP_ACQ_Lib[],MATCH(AS$2,SP_ACQ_Lib[#Headers],0),FALSE)),"")</f>
        <v>43765</v>
      </c>
      <c r="AT9" s="251">
        <f>IFERROR(IF(VLOOKUP(CONCATENATE($A9,"_",AT$1),SP_ACQ_Lib[],MATCH(AT$2,SP_ACQ_Lib[#Headers],0),FALSE)=0,"",VLOOKUP(CONCATENATE($A9,"_",AT$1),SP_ACQ_Lib[],MATCH(AT$2,SP_ACQ_Lib[#Headers],0),FALSE)),"")</f>
        <v>43912</v>
      </c>
      <c r="AU9" s="251">
        <f>IFERROR(IF(VLOOKUP(CONCATENATE($A9,"_",AU$1),SP_ACQ_Lib[],MATCH(AU$2,SP_ACQ_Lib[#Headers],0),FALSE)=0,"",VLOOKUP(CONCATENATE($A9,"_",AU$1),SP_ACQ_Lib[],MATCH(AU$2,SP_ACQ_Lib[#Headers],0),FALSE)),"")</f>
        <v>43985</v>
      </c>
      <c r="AV9" s="225">
        <f>IFERROR(IF(VLOOKUP(CONCATENATE($A9,"_",AV$1),SP_ACQ_Lib[],MATCH(AV$2,SP_ACQ_Lib[#Headers],0),FALSE)=0,"",VLOOKUP(CONCATENATE($A9,"_",AV$1),SP_ACQ_Lib[],MATCH(AV$2,SP_ACQ_Lib[#Headers],0),FALSE)),"")</f>
        <v>122482</v>
      </c>
      <c r="AW9" s="251">
        <f>IFERROR(IF(VLOOKUP(CONCATENATE($A9,"_",AW$1),SP_ACQ_Lib[],MATCH(AW$2,SP_ACQ_Lib[#Headers],0),FALSE)=0,"",VLOOKUP(CONCATENATE($A9,"_",AW$1),SP_ACQ_Lib[],MATCH(AW$2,SP_ACQ_Lib[#Headers],0),FALSE)),"")</f>
        <v>43991</v>
      </c>
      <c r="AX9" s="251">
        <f>IFERROR(IF(VLOOKUP(CONCATENATE($A9,"_",AX$1),SP_ACQ_Lib[],MATCH(AX$2,SP_ACQ_Lib[#Headers],0),FALSE)=0,"",VLOOKUP(CONCATENATE($A9,"_",AX$1),SP_ACQ_Lib[],MATCH(AX$2,SP_ACQ_Lib[#Headers],0),FALSE)),"")</f>
        <v>43991</v>
      </c>
      <c r="AY9" s="251">
        <f>IFERROR(IF(VLOOKUP(CONCATENATE($A9,"_",AY$1),SP_ACQ_Lib[],MATCH(AY$2,SP_ACQ_Lib[#Headers],0),FALSE)=0,"",VLOOKUP(CONCATENATE($A9,"_",AY$1),SP_ACQ_Lib[],MATCH(AY$2,SP_ACQ_Lib[#Headers],0),FALSE)),"")</f>
        <v>43991</v>
      </c>
      <c r="AZ9" s="251">
        <f>IFERROR(IF(VLOOKUP(CONCATENATE($A9,"_",AZ$1),SP_ACQ_Lib[],MATCH(AZ$2,SP_ACQ_Lib[#Headers],0),FALSE)=0,"",VLOOKUP(CONCATENATE($A9,"_",AZ$1),SP_ACQ_Lib[],MATCH(AZ$2,SP_ACQ_Lib[#Headers],0),FALSE)),"")</f>
        <v>44004</v>
      </c>
      <c r="BA9" s="251">
        <f>IFERROR(IF(VLOOKUP(CONCATENATE($A9,"_",BA$1),SP_ACQ_Lib[],MATCH(BA$2,SP_ACQ_Lib[#Headers],0),FALSE)=0,"",VLOOKUP(CONCATENATE($A9,"_",BA$1),SP_ACQ_Lib[],MATCH(BA$2,SP_ACQ_Lib[#Headers],0),FALSE)),"")</f>
        <v>44000</v>
      </c>
      <c r="BB9" s="224">
        <f>IFERROR(VLOOKUP(CONCATENATE($A9,"_",BB$1),SP_ACQ_Lib[],MATCH(BB$2,SP_ACQ_Lib[#Headers],0),FALSE),0)</f>
        <v>0</v>
      </c>
      <c r="BC9" s="231">
        <f>IFERROR(VLOOKUP($A9,SP_AcqTract_DB[],MATCH(BC$2,SP_AcqTract_DB[#Headers],0),FALSE),"")</f>
        <v>43994</v>
      </c>
      <c r="BD9" s="231">
        <f>IFERROR(VLOOKUP($A9,SP_AcqTract_DB[],MATCH(BD$2,SP_AcqTract_DB[#Headers],0),FALSE),"")</f>
        <v>0</v>
      </c>
      <c r="BE9" s="249">
        <f>IFERROR(IF(VLOOKUP(CONCATENATE($A9,"_",BE$1),SP_ACQ_Lib[],MATCH(BE$2,SP_ACQ_Lib[#Headers],0),FALSE)=0,"",VLOOKUP(CONCATENATE($A9,"_",BE$1),SP_ACQ_Lib[],MATCH(BE$2,SP_ACQ_Lib[#Headers],0),FALSE)),"")</f>
        <v>44008</v>
      </c>
      <c r="BF9" s="249">
        <f>IFERROR(IF(VLOOKUP(CONCATENATE($A9,"_",BF$1),SP_ACQ_Lib[],MATCH(BF$2,SP_ACQ_Lib[#Headers],0),FALSE)=0,"",VLOOKUP(CONCATENATE($A9,"_",BF$1),SP_ACQ_Lib[],MATCH(BF$2,SP_ACQ_Lib[#Headers],0),FALSE)),"")</f>
        <v>44011</v>
      </c>
      <c r="BG9" s="249" t="str">
        <f>IFERROR(IF(VLOOKUP(CONCATENATE($A9,"_",BG$1),SP_ACQ_Lib[],MATCH(BG$2,SP_ACQ_Lib[#Headers],0),FALSE)=0,"",VLOOKUP(CONCATENATE($A9,"_",BG$1),SP_ACQ_Lib[],MATCH(BG$2,SP_ACQ_Lib[#Headers],0),FALSE)),"")</f>
        <v/>
      </c>
      <c r="BH9" s="249" t="str">
        <f>IFERROR(IF(VLOOKUP(CONCATENATE($A9,"_",BH$1),SP_ACQ_Lib[],MATCH(BH$2,SP_ACQ_Lib[#Headers],0),FALSE)=0,"",VLOOKUP(CONCATENATE($A9,"_",BH$1),SP_ACQ_Lib[],MATCH(BH$2,SP_ACQ_Lib[#Headers],0),FALSE)),"")</f>
        <v/>
      </c>
      <c r="BI9" s="249" t="str">
        <f>IFERROR(IF(VLOOKUP(CONCATENATE($A9,"_",BI$1),SP_ACQ_Lib[],MATCH(BI$2,SP_ACQ_Lib[#Headers],0),FALSE)=0,"",VLOOKUP(CONCATENATE($A9,"_",BI$1),SP_ACQ_Lib[],MATCH(BI$2,SP_ACQ_Lib[#Headers],0),FALSE)),"")</f>
        <v/>
      </c>
      <c r="BJ9" s="249" t="str">
        <f>IFERROR(IF(VLOOKUP(CONCATENATE($A9,"_",BJ$1),SP_ACQ_Lib[],MATCH(BJ$2,SP_ACQ_Lib[#Headers],0),FALSE)=0,"",VLOOKUP(CONCATENATE($A9,"_",BJ$1),SP_ACQ_Lib[],MATCH(BJ$2,SP_ACQ_Lib[#Headers],0),FALSE)),"")</f>
        <v/>
      </c>
      <c r="BK9" s="250">
        <f>IFERROR(IF(VLOOKUP(CONCATENATE($A9,"_",BK$1),SP_ACQ_Lib[],MATCH(BK$2,SP_ACQ_Lib[#Headers],0),FALSE)=0,"",VLOOKUP(CONCATENATE($A9,"_",BK$1),SP_ACQ_Lib[],MATCH(BK$2,SP_ACQ_Lib[#Headers],0),FALSE)),"")</f>
        <v>43748</v>
      </c>
      <c r="BL9" s="249" t="str">
        <f>IFERROR(IF(VLOOKUP(CONCATENATE($A9,"_",BL$1),SP_ACQ_Lib[],MATCH(BL$2,SP_ACQ_Lib[#Headers],0),FALSE)=0,"",VLOOKUP(CONCATENATE($A9,"_",BL$1),SP_ACQ_Lib[],MATCH(BL$2,SP_ACQ_Lib[#Headers],0),FALSE)),"")</f>
        <v/>
      </c>
      <c r="BM9" s="249" t="str">
        <f>IFERROR(IF(VLOOKUP(CONCATENATE($A9,"_",BM$1),SP_ACQ_Lib[],MATCH(BM$2,SP_ACQ_Lib[#Headers],0),FALSE)=0,"",VLOOKUP(CONCATENATE($A9,"_",BM$1),SP_ACQ_Lib[],MATCH(BM$2,SP_ACQ_Lib[#Headers],0),FALSE)),"")</f>
        <v/>
      </c>
      <c r="BN9" s="249" t="str">
        <f>IFERROR(IF(VLOOKUP(CONCATENATE($A9,"_",BN$1),SP_ACQ_Lib[],MATCH(BN$2,SP_ACQ_Lib[#Headers],0),FALSE)=0,"",VLOOKUP(CONCATENATE($A9,"_",BN$1),SP_ACQ_Lib[],MATCH(BN$2,SP_ACQ_Lib[#Headers],0),FALSE)),"")</f>
        <v/>
      </c>
    </row>
    <row r="10" spans="1:66" s="226" customFormat="1" ht="51" x14ac:dyDescent="0.2">
      <c r="A10" s="192" t="s">
        <v>30</v>
      </c>
      <c r="B10" s="227" t="str">
        <f>IFERROR(VLOOKUP($A10,SP_AcqTract_DB[],MATCH(B$2,SP_AcqTract_DB[#Headers],0),FALSE),"")</f>
        <v>R015961</v>
      </c>
      <c r="C10" s="228" t="str">
        <f>IFERROR(VLOOKUP($A10,SP_AcqTract_DB[],MATCH(C$2,SP_AcqTract_DB[#Headers],0),FALSE),"")</f>
        <v>PH1</v>
      </c>
      <c r="D10" s="208" t="str">
        <f>IFERROR(VLOOKUP($A10,SP_AcqTract_DB[],MATCH(D$2,SP_AcqTract_DB[#Headers],0),FALSE),"")</f>
        <v>Active</v>
      </c>
      <c r="E10" s="208">
        <f>IFERROR(VLOOKUP($A10,SP_AcqTract_DB[],MATCH(E$2,SP_AcqTract_DB[#Headers],0),FALSE),"")</f>
        <v>4</v>
      </c>
      <c r="F10" s="227" t="str">
        <f>IFERROR(VLOOKUP($A10,SP_AcqTract_DB[],MATCH(F$2,SP_AcqTract_DB[#Headers],0),FALSE),"")</f>
        <v>Flowage Esmt/Levee Esmt/Drainage Esmt/TCE</v>
      </c>
      <c r="G10" s="227" t="str">
        <f>IFERROR(VLOOKUP($A10,SP_AcqTract_DB[],MATCH(G$2,SP_AcqTract_DB[#Headers],0),FALSE),"")</f>
        <v>Melissa DeLeon</v>
      </c>
      <c r="H10" s="250">
        <f>IFERROR(IF(VLOOKUP(CONCATENATE($A10,"_",H$1),SP_ACQ_Lib[],MATCH(H$2,SP_ACQ_Lib[#Headers],0),FALSE)=0,"",VLOOKUP(CONCATENATE($A10,"_",H$1),SP_ACQ_Lib[],MATCH(H$2,SP_ACQ_Lib[#Headers],0),FALSE)),"")</f>
        <v>43872.543182870373</v>
      </c>
      <c r="I10" s="227" t="str">
        <f>IFERROR(VLOOKUP($A10,SP_AcqTract_DB[],MATCH(I$2,SP_AcqTract_DB[#Headers],0),FALSE),"")</f>
        <v>J-M Manufacturing Company, Inc.</v>
      </c>
      <c r="J10" s="227">
        <f>IFERROR(VLOOKUP($A10,SP_AcqTract_DB[],MATCH(J$2,SP_AcqTract_DB[#Headers],0),FALSE),"")</f>
        <v>0</v>
      </c>
      <c r="K10" s="227" t="str">
        <f>IFERROR(VLOOKUP($A10,SP_AcqTract_DB[],MATCH(K$2,SP_AcqTract_DB[#Headers],0),FALSE),"")</f>
        <v>J-M Manufacturing Company, Inc.</v>
      </c>
      <c r="L10" s="227" t="str">
        <f>IFERROR(VLOOKUP($A10,SP_AcqTract_DB[],MATCH(L$2,SP_AcqTract_DB[#Headers],0),FALSE),"")</f>
        <v>P.O. Box 1240</v>
      </c>
      <c r="M10" s="208" t="str">
        <f>IFERROR(VLOOKUP($A10,SP_AcqTract_DB[],MATCH(M$2,SP_AcqTract_DB[#Headers],0),FALSE),"")</f>
        <v>Wharton, TX 77488</v>
      </c>
      <c r="N10" s="227" t="str">
        <f>IFERROR(VLOOKUP($A10,SP_AcqTract_DB[],MATCH(N$2,SP_AcqTract_DB[#Headers],0),FALSE),"")</f>
        <v>0 WILKES</v>
      </c>
      <c r="O10" s="220">
        <f>IFERROR(VLOOKUP($A10,SP_AcqTract_DB[],MATCH(O$2,SP_AcqTract_DB[#Headers],0),FALSE),"")</f>
        <v>0</v>
      </c>
      <c r="P10" s="220" t="str">
        <f>IFERROR(VLOOKUP($A10,SP_AcqTract_DB[],MATCH(P$2,SP_AcqTract_DB[#Headers],0),FALSE),"")</f>
        <v>X</v>
      </c>
      <c r="Q10" s="208" t="str">
        <f>IFERROR(VLOOKUP($A10,SP_AcqTract_DB[],MATCH(Q$2,SP_AcqTract_DB[#Headers],0),FALSE),"")</f>
        <v>2019-0755</v>
      </c>
      <c r="R10" s="250">
        <f>IFERROR(IF(VLOOKUP(CONCATENATE($A10,"_",R$1),SP_ACQ_Lib[],MATCH(R$2,SP_ACQ_Lib[#Headers],0),FALSE)=0,"",VLOOKUP(CONCATENATE($A10,"_",R$1),SP_ACQ_Lib[],MATCH(R$2,SP_ACQ_Lib[#Headers],0),FALSE)),"")</f>
        <v>43875</v>
      </c>
      <c r="S10" s="253">
        <f>IFERROR(IF(VLOOKUP(CONCATENATE($A10,"_",S$1),SP_ACQ_Lib[],MATCH(S$2,SP_ACQ_Lib[#Headers],0),FALSE)=0,"",VLOOKUP(CONCATENATE($A10,"_",S$1),SP_ACQ_Lib[],MATCH(S$2,SP_ACQ_Lib[#Headers],0),FALSE)),"")</f>
        <v>43887</v>
      </c>
      <c r="T10" s="205" t="str">
        <f>IFERROR(VLOOKUP(CONCATENATE($A10,"_",T$1),SP_ACQ_Lib[],MATCH(T$2,SP_ACQ_Lib[#Headers],0),FALSE),0)</f>
        <v>Accepted</v>
      </c>
      <c r="U10" s="250">
        <f>IFERROR(IF(VLOOKUP(CONCATENATE($A10,"_",U$1),SP_ACQ_Lib[],MATCH(U$2,SP_ACQ_Lib[#Headers],0),FALSE)=0,"",VLOOKUP(CONCATENATE($A10,"_",U$1),SP_ACQ_Lib[],MATCH(U$2,SP_ACQ_Lib[#Headers],0),FALSE)),"")</f>
        <v>43808</v>
      </c>
      <c r="V10" s="205" t="str">
        <f>IFERROR(VLOOKUP(CONCATENATE($A10,"_",V$1),SP_ACQ_Lib[],MATCH(V$2,SP_ACQ_Lib[#Headers],0),FALSE),0)</f>
        <v>Accepted</v>
      </c>
      <c r="W10" s="209" t="str">
        <f>IFERROR(VLOOKUP(CONCATENATE($A10,"_",W$1),SP_ACQ_Lib[],MATCH(W$2,SP_ACQ_Lib[#Headers],0),FALSE),0)</f>
        <v>Accepted</v>
      </c>
      <c r="X10" s="250">
        <f>IFERROR(VLOOKUP($A10,SP_AcqTract_DB[],MATCH(X$2,SP_AcqTract_DB[#Headers],0),FALSE),"")</f>
        <v>43704</v>
      </c>
      <c r="Y10" s="237">
        <f>IFERROR(VLOOKUP($A10,SP_AcqTract_DB[],MATCH(Y$2,SP_AcqTract_DB[#Headers],0),FALSE),"")</f>
        <v>7.7747015610651999</v>
      </c>
      <c r="Z10" s="229">
        <f>IFERROR(VLOOKUP($A10,SP_AcqTract_DB[],MATCH(Z$2,SP_AcqTract_DB[#Headers],0),FALSE),"")</f>
        <v>338666</v>
      </c>
      <c r="AA10" s="229" t="str">
        <f>IFERROR(VLOOKUP($A10,SP_AcqTract_DB[],MATCH(AA$2,SP_AcqTract_DB[#Headers],0),FALSE),"")</f>
        <v>Yes</v>
      </c>
      <c r="AB10" s="250">
        <f>IFERROR(IF(VLOOKUP(CONCATENATE($A10,"_",AB$1),SP_ACQ_Lib[],MATCH(AB$2,SP_ACQ_Lib[#Headers],0),FALSE)=0,"",VLOOKUP(CONCATENATE($A10,"_",AB$1),SP_ACQ_Lib[],MATCH(AB$2,SP_ACQ_Lib[#Headers],0),FALSE)),"")</f>
        <v>43781</v>
      </c>
      <c r="AC10" s="250">
        <f>IFERROR(IF(VLOOKUP(CONCATENATE($A10,"_",AC$1),SP_ACQ_Lib[],MATCH(AC$2,SP_ACQ_Lib[#Headers],0),FALSE)=0,"",VLOOKUP(CONCATENATE($A10,"_",AC$1),SP_ACQ_Lib[],MATCH(AC$2,SP_ACQ_Lib[#Headers],0),FALSE)),"")</f>
        <v>43886</v>
      </c>
      <c r="AD10" s="229" t="str">
        <f>IFERROR(VLOOKUP($A10,SP_AcqTract_DB[],MATCH(AD$2,SP_AcqTract_DB[#Headers],0),FALSE),"")</f>
        <v>Yes</v>
      </c>
      <c r="AE10" s="250">
        <f>IFERROR(IF(VLOOKUP(CONCATENATE($A10,"_",AE$1),SP_ACQ_Lib[],MATCH(AE$2,SP_ACQ_Lib[#Headers],0),FALSE)=0,"",VLOOKUP(CONCATENATE($A10,"_",AE$1),SP_ACQ_Lib[],MATCH(AE$2,SP_ACQ_Lib[#Headers],0),FALSE)),"")</f>
        <v>43991</v>
      </c>
      <c r="AF10" s="250">
        <f>IFERROR(IF(VLOOKUP(CONCATENATE($A10,"_",AF$1),SP_ACQ_Lib[],MATCH(AF$2,SP_ACQ_Lib[#Headers],0),FALSE)=0,"",VLOOKUP(CONCATENATE($A10,"_",AF$1),SP_ACQ_Lib[],MATCH(AF$2,SP_ACQ_Lib[#Headers],0),FALSE)),"")</f>
        <v>43993</v>
      </c>
      <c r="AG10" s="250" t="str">
        <f>IFERROR(IF(VLOOKUP(CONCATENATE($A10,"_",AG$1),SP_ACQ_Lib[],MATCH(AG$2,SP_ACQ_Lib[#Headers],0),FALSE)=0,"",VLOOKUP(CONCATENATE($A10,"_",AG$1),SP_ACQ_Lib[],MATCH(AG$2,SP_ACQ_Lib[#Headers],0),FALSE)),"")</f>
        <v/>
      </c>
      <c r="AH10" s="250">
        <f>IFERROR(IF(VLOOKUP(CONCATENATE($A10,"_",AH$1),SP_ACQ_Lib[],MATCH(AH$2,SP_ACQ_Lib[#Headers],0),FALSE)=0,"",VLOOKUP(CONCATENATE($A10,"_",AH$1),SP_ACQ_Lib[],MATCH(AH$2,SP_ACQ_Lib[#Headers],0),FALSE)),"")</f>
        <v>43697</v>
      </c>
      <c r="AI10" s="249" t="str">
        <f>IFERROR(IF(VLOOKUP(CONCATENATE($A10,"_",AI$1),SP_ACQ_Lib[],MATCH(AI$2,SP_ACQ_Lib[#Headers],0),FALSE)=0,"",VLOOKUP(CONCATENATE($A10,"_",AI$1),SP_ACQ_Lib[],MATCH(AI$2,SP_ACQ_Lib[#Headers],0),FALSE)),"")</f>
        <v/>
      </c>
      <c r="AJ10" s="249" t="str">
        <f>IFERROR(IF(VLOOKUP(CONCATENATE($A10,"_",AJ$1),SP_ACQ_Lib[],MATCH(AJ$2,SP_ACQ_Lib[#Headers],0),FALSE)=0,"",VLOOKUP(CONCATENATE($A10,"_",AJ$1),SP_ACQ_Lib[],MATCH(AJ$2,SP_ACQ_Lib[#Headers],0),FALSE)),"")</f>
        <v/>
      </c>
      <c r="AK10" s="249" t="str">
        <f>IFERROR(IF(VLOOKUP(CONCATENATE($A10,"_",AK$1),SP_ACQ_Lib[],MATCH(AK$2,SP_ACQ_Lib[#Headers],0),FALSE)=0,"",VLOOKUP(CONCATENATE($A10,"_",AK$1),SP_ACQ_Lib[],MATCH(AK$2,SP_ACQ_Lib[#Headers],0),FALSE)),"")</f>
        <v/>
      </c>
      <c r="AL10" s="249">
        <f>IFERROR(VLOOKUP($A10,SP_AcqTract_DB[],MATCH(AL$2,SP_AcqTract_DB[#Headers],0),FALSE),"")</f>
        <v>43994</v>
      </c>
      <c r="AM10" s="227" t="str">
        <f>IFERROR(VLOOKUP($A10,SP_AcqTract_DB[],MATCH(AM$2,SP_AcqTract_DB[#Headers],0),FALSE),"")</f>
        <v>Cameron Boone</v>
      </c>
      <c r="AN10" s="227" t="str">
        <f>IFERROR(VLOOKUP($A10,SP_AcqTract_DB[],MATCH(AN$2,SP_AcqTract_DB[#Headers],0),FALSE),"")</f>
        <v>Lory Johnson, Atrium</v>
      </c>
      <c r="AO10" s="228">
        <f>IFERROR(VLOOKUP($A10,SP_AcqTract_DB[],MATCH(AO$2,SP_AcqTract_DB[#Headers],0),FALSE),"")</f>
        <v>0</v>
      </c>
      <c r="AP10" s="210" t="str">
        <f>IFERROR(VLOOKUP($A10,SP_AcqTract_DB[],MATCH(AP$2,SP_AcqTract_DB[#Headers],0),FALSE),"")</f>
        <v>V</v>
      </c>
      <c r="AQ10" s="252" t="str">
        <f>IFERROR(IF(VLOOKUP(CONCATENATE($A10,"_",AQ$1),SP_ACQ_Lib[],MATCH(AQ$2,SP_ACQ_Lib[#Headers],0),FALSE)=0,"",VLOOKUP(CONCATENATE($A10,"_",AQ$1),SP_ACQ_Lib[],MATCH(AQ$2,SP_ACQ_Lib[#Headers],0),FALSE)),"")</f>
        <v/>
      </c>
      <c r="AR10" s="250" t="str">
        <f>IFERROR(IF(VLOOKUP(CONCATENATE($A10,"_",AR$1),SP_ACQ_Lib[],MATCH(AR$2,SP_ACQ_Lib[#Headers],0),FALSE)=0,"",VLOOKUP(CONCATENATE($A10,"_",AR$1),SP_ACQ_Lib[],MATCH(AR$2,SP_ACQ_Lib[#Headers],0),FALSE)),"")</f>
        <v/>
      </c>
      <c r="AS10" s="249">
        <f>IFERROR(IF(VLOOKUP(CONCATENATE($A10,"_",AS$1),SP_ACQ_Lib[],MATCH(AS$2,SP_ACQ_Lib[#Headers],0),FALSE)=0,"",VLOOKUP(CONCATENATE($A10,"_",AS$1),SP_ACQ_Lib[],MATCH(AS$2,SP_ACQ_Lib[#Headers],0),FALSE)),"")</f>
        <v>43765</v>
      </c>
      <c r="AT10" s="251" t="str">
        <f>IFERROR(IF(VLOOKUP(CONCATENATE($A10,"_",AT$1),SP_ACQ_Lib[],MATCH(AT$2,SP_ACQ_Lib[#Headers],0),FALSE)=0,"",VLOOKUP(CONCATENATE($A10,"_",AT$1),SP_ACQ_Lib[],MATCH(AT$2,SP_ACQ_Lib[#Headers],0),FALSE)),"")</f>
        <v/>
      </c>
      <c r="AU10" s="251" t="str">
        <f>IFERROR(IF(VLOOKUP(CONCATENATE($A10,"_",AU$1),SP_ACQ_Lib[],MATCH(AU$2,SP_ACQ_Lib[#Headers],0),FALSE)=0,"",VLOOKUP(CONCATENATE($A10,"_",AU$1),SP_ACQ_Lib[],MATCH(AU$2,SP_ACQ_Lib[#Headers],0),FALSE)),"")</f>
        <v/>
      </c>
      <c r="AV10" s="225" t="str">
        <f>IFERROR(IF(VLOOKUP(CONCATENATE($A10,"_",AV$1),SP_ACQ_Lib[],MATCH(AV$2,SP_ACQ_Lib[#Headers],0),FALSE)=0,"",VLOOKUP(CONCATENATE($A10,"_",AV$1),SP_ACQ_Lib[],MATCH(AV$2,SP_ACQ_Lib[#Headers],0),FALSE)),"")</f>
        <v/>
      </c>
      <c r="AW10" s="251" t="str">
        <f>IFERROR(IF(VLOOKUP(CONCATENATE($A10,"_",AW$1),SP_ACQ_Lib[],MATCH(AW$2,SP_ACQ_Lib[#Headers],0),FALSE)=0,"",VLOOKUP(CONCATENATE($A10,"_",AW$1),SP_ACQ_Lib[],MATCH(AW$2,SP_ACQ_Lib[#Headers],0),FALSE)),"")</f>
        <v/>
      </c>
      <c r="AX10" s="251" t="str">
        <f>IFERROR(IF(VLOOKUP(CONCATENATE($A10,"_",AX$1),SP_ACQ_Lib[],MATCH(AX$2,SP_ACQ_Lib[#Headers],0),FALSE)=0,"",VLOOKUP(CONCATENATE($A10,"_",AX$1),SP_ACQ_Lib[],MATCH(AX$2,SP_ACQ_Lib[#Headers],0),FALSE)),"")</f>
        <v/>
      </c>
      <c r="AY10" s="251" t="str">
        <f>IFERROR(IF(VLOOKUP(CONCATENATE($A10,"_",AY$1),SP_ACQ_Lib[],MATCH(AY$2,SP_ACQ_Lib[#Headers],0),FALSE)=0,"",VLOOKUP(CONCATENATE($A10,"_",AY$1),SP_ACQ_Lib[],MATCH(AY$2,SP_ACQ_Lib[#Headers],0),FALSE)),"")</f>
        <v/>
      </c>
      <c r="AZ10" s="251" t="str">
        <f>IFERROR(IF(VLOOKUP(CONCATENATE($A10,"_",AZ$1),SP_ACQ_Lib[],MATCH(AZ$2,SP_ACQ_Lib[#Headers],0),FALSE)=0,"",VLOOKUP(CONCATENATE($A10,"_",AZ$1),SP_ACQ_Lib[],MATCH(AZ$2,SP_ACQ_Lib[#Headers],0),FALSE)),"")</f>
        <v/>
      </c>
      <c r="BA10" s="251" t="str">
        <f>IFERROR(IF(VLOOKUP(CONCATENATE($A10,"_",BA$1),SP_ACQ_Lib[],MATCH(BA$2,SP_ACQ_Lib[#Headers],0),FALSE)=0,"",VLOOKUP(CONCATENATE($A10,"_",BA$1),SP_ACQ_Lib[],MATCH(BA$2,SP_ACQ_Lib[#Headers],0),FALSE)),"")</f>
        <v/>
      </c>
      <c r="BB10" s="224">
        <f>IFERROR(VLOOKUP(CONCATENATE($A10,"_",BB$1),SP_ACQ_Lib[],MATCH(BB$2,SP_ACQ_Lib[#Headers],0),FALSE),0)</f>
        <v>0</v>
      </c>
      <c r="BC10" s="231">
        <f>IFERROR(VLOOKUP($A10,SP_AcqTract_DB[],MATCH(BC$2,SP_AcqTract_DB[#Headers],0),FALSE),"")</f>
        <v>0</v>
      </c>
      <c r="BD10" s="231">
        <f>IFERROR(VLOOKUP($A10,SP_AcqTract_DB[],MATCH(BD$2,SP_AcqTract_DB[#Headers],0),FALSE),"")</f>
        <v>0</v>
      </c>
      <c r="BE10" s="249" t="str">
        <f>IFERROR(IF(VLOOKUP(CONCATENATE($A10,"_",BE$1),SP_ACQ_Lib[],MATCH(BE$2,SP_ACQ_Lib[#Headers],0),FALSE)=0,"",VLOOKUP(CONCATENATE($A10,"_",BE$1),SP_ACQ_Lib[],MATCH(BE$2,SP_ACQ_Lib[#Headers],0),FALSE)),"")</f>
        <v/>
      </c>
      <c r="BF10" s="249" t="str">
        <f>IFERROR(IF(VLOOKUP(CONCATENATE($A10,"_",BF$1),SP_ACQ_Lib[],MATCH(BF$2,SP_ACQ_Lib[#Headers],0),FALSE)=0,"",VLOOKUP(CONCATENATE($A10,"_",BF$1),SP_ACQ_Lib[],MATCH(BF$2,SP_ACQ_Lib[#Headers],0),FALSE)),"")</f>
        <v/>
      </c>
      <c r="BG10" s="249" t="str">
        <f>IFERROR(IF(VLOOKUP(CONCATENATE($A10,"_",BG$1),SP_ACQ_Lib[],MATCH(BG$2,SP_ACQ_Lib[#Headers],0),FALSE)=0,"",VLOOKUP(CONCATENATE($A10,"_",BG$1),SP_ACQ_Lib[],MATCH(BG$2,SP_ACQ_Lib[#Headers],0),FALSE)),"")</f>
        <v/>
      </c>
      <c r="BH10" s="249" t="str">
        <f>IFERROR(IF(VLOOKUP(CONCATENATE($A10,"_",BH$1),SP_ACQ_Lib[],MATCH(BH$2,SP_ACQ_Lib[#Headers],0),FALSE)=0,"",VLOOKUP(CONCATENATE($A10,"_",BH$1),SP_ACQ_Lib[],MATCH(BH$2,SP_ACQ_Lib[#Headers],0),FALSE)),"")</f>
        <v/>
      </c>
      <c r="BI10" s="249" t="str">
        <f>IFERROR(IF(VLOOKUP(CONCATENATE($A10,"_",BI$1),SP_ACQ_Lib[],MATCH(BI$2,SP_ACQ_Lib[#Headers],0),FALSE)=0,"",VLOOKUP(CONCATENATE($A10,"_",BI$1),SP_ACQ_Lib[],MATCH(BI$2,SP_ACQ_Lib[#Headers],0),FALSE)),"")</f>
        <v/>
      </c>
      <c r="BJ10" s="249" t="str">
        <f>IFERROR(IF(VLOOKUP(CONCATENATE($A10,"_",BJ$1),SP_ACQ_Lib[],MATCH(BJ$2,SP_ACQ_Lib[#Headers],0),FALSE)=0,"",VLOOKUP(CONCATENATE($A10,"_",BJ$1),SP_ACQ_Lib[],MATCH(BJ$2,SP_ACQ_Lib[#Headers],0),FALSE)),"")</f>
        <v/>
      </c>
      <c r="BK10" s="250">
        <f>IFERROR(IF(VLOOKUP(CONCATENATE($A10,"_",BK$1),SP_ACQ_Lib[],MATCH(BK$2,SP_ACQ_Lib[#Headers],0),FALSE)=0,"",VLOOKUP(CONCATENATE($A10,"_",BK$1),SP_ACQ_Lib[],MATCH(BK$2,SP_ACQ_Lib[#Headers],0),FALSE)),"")</f>
        <v>43748</v>
      </c>
      <c r="BL10" s="249" t="str">
        <f>IFERROR(IF(VLOOKUP(CONCATENATE($A10,"_",BL$1),SP_ACQ_Lib[],MATCH(BL$2,SP_ACQ_Lib[#Headers],0),FALSE)=0,"",VLOOKUP(CONCATENATE($A10,"_",BL$1),SP_ACQ_Lib[],MATCH(BL$2,SP_ACQ_Lib[#Headers],0),FALSE)),"")</f>
        <v/>
      </c>
      <c r="BM10" s="249" t="str">
        <f>IFERROR(IF(VLOOKUP(CONCATENATE($A10,"_",BM$1),SP_ACQ_Lib[],MATCH(BM$2,SP_ACQ_Lib[#Headers],0),FALSE)=0,"",VLOOKUP(CONCATENATE($A10,"_",BM$1),SP_ACQ_Lib[],MATCH(BM$2,SP_ACQ_Lib[#Headers],0),FALSE)),"")</f>
        <v/>
      </c>
      <c r="BN10" s="249" t="str">
        <f>IFERROR(IF(VLOOKUP(CONCATENATE($A10,"_",BN$1),SP_ACQ_Lib[],MATCH(BN$2,SP_ACQ_Lib[#Headers],0),FALSE)=0,"",VLOOKUP(CONCATENATE($A10,"_",BN$1),SP_ACQ_Lib[],MATCH(BN$2,SP_ACQ_Lib[#Headers],0),FALSE)),"")</f>
        <v/>
      </c>
    </row>
    <row r="11" spans="1:66" s="226" customFormat="1" ht="51" x14ac:dyDescent="0.2">
      <c r="A11" s="192" t="s">
        <v>31</v>
      </c>
      <c r="B11" s="227" t="str">
        <f>IFERROR(VLOOKUP($A11,SP_AcqTract_DB[],MATCH(B$2,SP_AcqTract_DB[#Headers],0),FALSE),"")</f>
        <v>R031245</v>
      </c>
      <c r="C11" s="228" t="str">
        <f>IFERROR(VLOOKUP($A11,SP_AcqTract_DB[],MATCH(C$2,SP_AcqTract_DB[#Headers],0),FALSE),"")</f>
        <v>PH1</v>
      </c>
      <c r="D11" s="208" t="str">
        <f>IFERROR(VLOOKUP($A11,SP_AcqTract_DB[],MATCH(D$2,SP_AcqTract_DB[#Headers],0),FALSE),"")</f>
        <v>Active</v>
      </c>
      <c r="E11" s="208">
        <f>IFERROR(VLOOKUP($A11,SP_AcqTract_DB[],MATCH(E$2,SP_AcqTract_DB[#Headers],0),FALSE),"")</f>
        <v>3</v>
      </c>
      <c r="F11" s="227" t="str">
        <f>IFERROR(VLOOKUP($A11,SP_AcqTract_DB[],MATCH(F$2,SP_AcqTract_DB[#Headers],0),FALSE),"")</f>
        <v>Fee Acq/Sump Esmt/Levee Esmt</v>
      </c>
      <c r="G11" s="227" t="str">
        <f>IFERROR(VLOOKUP($A11,SP_AcqTract_DB[],MATCH(G$2,SP_AcqTract_DB[#Headers],0),FALSE),"")</f>
        <v>Erin Newberry</v>
      </c>
      <c r="H11" s="250">
        <f>IFERROR(IF(VLOOKUP(CONCATENATE($A11,"_",H$1),SP_ACQ_Lib[],MATCH(H$2,SP_ACQ_Lib[#Headers],0),FALSE)=0,"",VLOOKUP(CONCATENATE($A11,"_",H$1),SP_ACQ_Lib[],MATCH(H$2,SP_ACQ_Lib[#Headers],0),FALSE)),"")</f>
        <v>44006.625034722223</v>
      </c>
      <c r="I11" s="227" t="str">
        <f>IFERROR(VLOOKUP($A11,SP_AcqTract_DB[],MATCH(I$2,SP_AcqTract_DB[#Headers],0),FALSE),"")</f>
        <v>Robert S Vineyard, and Vineyard Cattle Company, Inc.</v>
      </c>
      <c r="J11" s="227" t="str">
        <f>IFERROR(VLOOKUP($A11,SP_AcqTract_DB[],MATCH(J$2,SP_AcqTract_DB[#Headers],0),FALSE),"")</f>
        <v>Robert S. Vineyard and Vineyard Cattle Company, Inc.</v>
      </c>
      <c r="K11" s="227" t="str">
        <f>IFERROR(VLOOKUP($A11,SP_AcqTract_DB[],MATCH(K$2,SP_AcqTract_DB[#Headers],0),FALSE),"")</f>
        <v>Robert S. Vineyard and Vineyard Cattle Company, Inc.</v>
      </c>
      <c r="L11" s="227" t="str">
        <f>IFERROR(VLOOKUP($A11,SP_AcqTract_DB[],MATCH(L$2,SP_AcqTract_DB[#Headers],0),FALSE),"")</f>
        <v>PO Box 430</v>
      </c>
      <c r="M11" s="208" t="str">
        <f>IFERROR(VLOOKUP($A11,SP_AcqTract_DB[],MATCH(M$2,SP_AcqTract_DB[#Headers],0),FALSE),"")</f>
        <v>Wharton, TX</v>
      </c>
      <c r="N11" s="227" t="str">
        <f>IFERROR(VLOOKUP($A11,SP_AcqTract_DB[],MATCH(N$2,SP_AcqTract_DB[#Headers],0),FALSE),"")</f>
        <v>MLK Blvd</v>
      </c>
      <c r="O11" s="220" t="str">
        <f>IFERROR(VLOOKUP($A11,SP_AcqTract_DB[],MATCH(O$2,SP_AcqTract_DB[#Headers],0),FALSE),"")</f>
        <v>Oil &amp; Gas Lease-Dal-Long Oil Co.
Oil &amp; Gas Lease-Dal-Long Oil Co.</v>
      </c>
      <c r="P11" s="220" t="str">
        <f>IFERROR(VLOOKUP($A11,SP_AcqTract_DB[],MATCH(P$2,SP_AcqTract_DB[#Headers],0),FALSE),"")</f>
        <v>X</v>
      </c>
      <c r="Q11" s="208" t="str">
        <f>IFERROR(VLOOKUP($A11,SP_AcqTract_DB[],MATCH(Q$2,SP_AcqTract_DB[#Headers],0),FALSE),"")</f>
        <v>2019-0756</v>
      </c>
      <c r="R11" s="250">
        <f>IFERROR(IF(VLOOKUP(CONCATENATE($A11,"_",R$1),SP_ACQ_Lib[],MATCH(R$2,SP_ACQ_Lib[#Headers],0),FALSE)=0,"",VLOOKUP(CONCATENATE($A11,"_",R$1),SP_ACQ_Lib[],MATCH(R$2,SP_ACQ_Lib[#Headers],0),FALSE)),"")</f>
        <v>43943</v>
      </c>
      <c r="S11" s="253">
        <f>IFERROR(IF(VLOOKUP(CONCATENATE($A11,"_",S$1),SP_ACQ_Lib[],MATCH(S$2,SP_ACQ_Lib[#Headers],0),FALSE)=0,"",VLOOKUP(CONCATENATE($A11,"_",S$1),SP_ACQ_Lib[],MATCH(S$2,SP_ACQ_Lib[#Headers],0),FALSE)),"")</f>
        <v>43950</v>
      </c>
      <c r="T11" s="205" t="str">
        <f>IFERROR(VLOOKUP(CONCATENATE($A11,"_",T$1),SP_ACQ_Lib[],MATCH(T$2,SP_ACQ_Lib[#Headers],0),FALSE),0)</f>
        <v>Accepted</v>
      </c>
      <c r="U11" s="250">
        <f>IFERROR(IF(VLOOKUP(CONCATENATE($A11,"_",U$1),SP_ACQ_Lib[],MATCH(U$2,SP_ACQ_Lib[#Headers],0),FALSE)=0,"",VLOOKUP(CONCATENATE($A11,"_",U$1),SP_ACQ_Lib[],MATCH(U$2,SP_ACQ_Lib[#Headers],0),FALSE)),"")</f>
        <v>43808</v>
      </c>
      <c r="V11" s="205" t="str">
        <f>IFERROR(VLOOKUP(CONCATENATE($A11,"_",V$1),SP_ACQ_Lib[],MATCH(V$2,SP_ACQ_Lib[#Headers],0),FALSE),0)</f>
        <v>Accepted</v>
      </c>
      <c r="W11" s="209" t="str">
        <f>IFERROR(VLOOKUP(CONCATENATE($A11,"_",W$1),SP_ACQ_Lib[],MATCH(W$2,SP_ACQ_Lib[#Headers],0),FALSE),0)</f>
        <v>Accepted</v>
      </c>
      <c r="X11" s="250">
        <f>IFERROR(VLOOKUP($A11,SP_AcqTract_DB[],MATCH(X$2,SP_AcqTract_DB[#Headers],0),FALSE),"")</f>
        <v>43693</v>
      </c>
      <c r="Y11" s="237">
        <f>IFERROR(VLOOKUP($A11,SP_AcqTract_DB[],MATCH(Y$2,SP_AcqTract_DB[#Headers],0),FALSE),"")</f>
        <v>31.880004591368198</v>
      </c>
      <c r="Z11" s="229">
        <f>IFERROR(VLOOKUP($A11,SP_AcqTract_DB[],MATCH(Z$2,SP_AcqTract_DB[#Headers],0),FALSE),"")</f>
        <v>1388693</v>
      </c>
      <c r="AA11" s="229" t="str">
        <f>IFERROR(VLOOKUP($A11,SP_AcqTract_DB[],MATCH(AA$2,SP_AcqTract_DB[#Headers],0),FALSE),"")</f>
        <v>Yes</v>
      </c>
      <c r="AB11" s="250">
        <f>IFERROR(IF(VLOOKUP(CONCATENATE($A11,"_",AB$1),SP_ACQ_Lib[],MATCH(AB$2,SP_ACQ_Lib[#Headers],0),FALSE)=0,"",VLOOKUP(CONCATENATE($A11,"_",AB$1),SP_ACQ_Lib[],MATCH(AB$2,SP_ACQ_Lib[#Headers],0),FALSE)),"")</f>
        <v>43781</v>
      </c>
      <c r="AC11" s="250">
        <f>IFERROR(IF(VLOOKUP(CONCATENATE($A11,"_",AC$1),SP_ACQ_Lib[],MATCH(AC$2,SP_ACQ_Lib[#Headers],0),FALSE)=0,"",VLOOKUP(CONCATENATE($A11,"_",AC$1),SP_ACQ_Lib[],MATCH(AC$2,SP_ACQ_Lib[#Headers],0),FALSE)),"")</f>
        <v>43886</v>
      </c>
      <c r="AD11" s="229" t="str">
        <f>IFERROR(VLOOKUP($A11,SP_AcqTract_DB[],MATCH(AD$2,SP_AcqTract_DB[#Headers],0),FALSE),"")</f>
        <v>Yes</v>
      </c>
      <c r="AE11" s="250">
        <f>IFERROR(IF(VLOOKUP(CONCATENATE($A11,"_",AE$1),SP_ACQ_Lib[],MATCH(AE$2,SP_ACQ_Lib[#Headers],0),FALSE)=0,"",VLOOKUP(CONCATENATE($A11,"_",AE$1),SP_ACQ_Lib[],MATCH(AE$2,SP_ACQ_Lib[#Headers],0),FALSE)),"")</f>
        <v>43781</v>
      </c>
      <c r="AF11" s="250">
        <f>IFERROR(IF(VLOOKUP(CONCATENATE($A11,"_",AF$1),SP_ACQ_Lib[],MATCH(AF$2,SP_ACQ_Lib[#Headers],0),FALSE)=0,"",VLOOKUP(CONCATENATE($A11,"_",AF$1),SP_ACQ_Lib[],MATCH(AF$2,SP_ACQ_Lib[#Headers],0),FALSE)),"")</f>
        <v>43926</v>
      </c>
      <c r="AG11" s="250" t="str">
        <f>IFERROR(IF(VLOOKUP(CONCATENATE($A11,"_",AG$1),SP_ACQ_Lib[],MATCH(AG$2,SP_ACQ_Lib[#Headers],0),FALSE)=0,"",VLOOKUP(CONCATENATE($A11,"_",AG$1),SP_ACQ_Lib[],MATCH(AG$2,SP_ACQ_Lib[#Headers],0),FALSE)),"")</f>
        <v/>
      </c>
      <c r="AH11" s="250">
        <f>IFERROR(IF(VLOOKUP(CONCATENATE($A11,"_",AH$1),SP_ACQ_Lib[],MATCH(AH$2,SP_ACQ_Lib[#Headers],0),FALSE)=0,"",VLOOKUP(CONCATENATE($A11,"_",AH$1),SP_ACQ_Lib[],MATCH(AH$2,SP_ACQ_Lib[#Headers],0),FALSE)),"")</f>
        <v>43552</v>
      </c>
      <c r="AI11" s="249" t="str">
        <f>IFERROR(IF(VLOOKUP(CONCATENATE($A11,"_",AI$1),SP_ACQ_Lib[],MATCH(AI$2,SP_ACQ_Lib[#Headers],0),FALSE)=0,"",VLOOKUP(CONCATENATE($A11,"_",AI$1),SP_ACQ_Lib[],MATCH(AI$2,SP_ACQ_Lib[#Headers],0),FALSE)),"")</f>
        <v/>
      </c>
      <c r="AJ11" s="249" t="str">
        <f>IFERROR(IF(VLOOKUP(CONCATENATE($A11,"_",AJ$1),SP_ACQ_Lib[],MATCH(AJ$2,SP_ACQ_Lib[#Headers],0),FALSE)=0,"",VLOOKUP(CONCATENATE($A11,"_",AJ$1),SP_ACQ_Lib[],MATCH(AJ$2,SP_ACQ_Lib[#Headers],0),FALSE)),"")</f>
        <v/>
      </c>
      <c r="AK11" s="249" t="str">
        <f>IFERROR(IF(VLOOKUP(CONCATENATE($A11,"_",AK$1),SP_ACQ_Lib[],MATCH(AK$2,SP_ACQ_Lib[#Headers],0),FALSE)=0,"",VLOOKUP(CONCATENATE($A11,"_",AK$1),SP_ACQ_Lib[],MATCH(AK$2,SP_ACQ_Lib[#Headers],0),FALSE)),"")</f>
        <v/>
      </c>
      <c r="AL11" s="249">
        <f>IFERROR(VLOOKUP($A11,SP_AcqTract_DB[],MATCH(AL$2,SP_AcqTract_DB[#Headers],0),FALSE),"")</f>
        <v>43927</v>
      </c>
      <c r="AM11" s="227" t="str">
        <f>IFERROR(VLOOKUP($A11,SP_AcqTract_DB[],MATCH(AM$2,SP_AcqTract_DB[#Headers],0),FALSE),"")</f>
        <v>Richard Hudgins</v>
      </c>
      <c r="AN11" s="227" t="str">
        <f>IFERROR(VLOOKUP($A11,SP_AcqTract_DB[],MATCH(AN$2,SP_AcqTract_DB[#Headers],0),FALSE),"")</f>
        <v>Richard McGee</v>
      </c>
      <c r="AO11" s="228">
        <f>IFERROR(VLOOKUP($A11,SP_AcqTract_DB[],MATCH(AO$2,SP_AcqTract_DB[#Headers],0),FALSE),"")</f>
        <v>0</v>
      </c>
      <c r="AP11" s="210" t="str">
        <f>IFERROR(VLOOKUP($A11,SP_AcqTract_DB[],MATCH(AP$2,SP_AcqTract_DB[#Headers],0),FALSE),"")</f>
        <v>A</v>
      </c>
      <c r="AQ11" s="252" t="str">
        <f>IFERROR(IF(VLOOKUP(CONCATENATE($A11,"_",AQ$1),SP_ACQ_Lib[],MATCH(AQ$2,SP_ACQ_Lib[#Headers],0),FALSE)=0,"",VLOOKUP(CONCATENATE($A11,"_",AQ$1),SP_ACQ_Lib[],MATCH(AQ$2,SP_ACQ_Lib[#Headers],0),FALSE)),"")</f>
        <v/>
      </c>
      <c r="AR11" s="250" t="str">
        <f>IFERROR(IF(VLOOKUP(CONCATENATE($A11,"_",AR$1),SP_ACQ_Lib[],MATCH(AR$2,SP_ACQ_Lib[#Headers],0),FALSE)=0,"",VLOOKUP(CONCATENATE($A11,"_",AR$1),SP_ACQ_Lib[],MATCH(AR$2,SP_ACQ_Lib[#Headers],0),FALSE)),"")</f>
        <v/>
      </c>
      <c r="AS11" s="249">
        <f>IFERROR(IF(VLOOKUP(CONCATENATE($A11,"_",AS$1),SP_ACQ_Lib[],MATCH(AS$2,SP_ACQ_Lib[#Headers],0),FALSE)=0,"",VLOOKUP(CONCATENATE($A11,"_",AS$1),SP_ACQ_Lib[],MATCH(AS$2,SP_ACQ_Lib[#Headers],0),FALSE)),"")</f>
        <v>43765</v>
      </c>
      <c r="AT11" s="251">
        <f>IFERROR(IF(VLOOKUP(CONCATENATE($A11,"_",AT$1),SP_ACQ_Lib[],MATCH(AT$2,SP_ACQ_Lib[#Headers],0),FALSE)=0,"",VLOOKUP(CONCATENATE($A11,"_",AT$1),SP_ACQ_Lib[],MATCH(AT$2,SP_ACQ_Lib[#Headers],0),FALSE)),"")</f>
        <v>43922</v>
      </c>
      <c r="AU11" s="251">
        <f>IFERROR(IF(VLOOKUP(CONCATENATE($A11,"_",AU$1),SP_ACQ_Lib[],MATCH(AU$2,SP_ACQ_Lib[#Headers],0),FALSE)=0,"",VLOOKUP(CONCATENATE($A11,"_",AU$1),SP_ACQ_Lib[],MATCH(AU$2,SP_ACQ_Lib[#Headers],0),FALSE)),"")</f>
        <v>43980</v>
      </c>
      <c r="AV11" s="225">
        <f>IFERROR(IF(VLOOKUP(CONCATENATE($A11,"_",AV$1),SP_ACQ_Lib[],MATCH(AV$2,SP_ACQ_Lib[#Headers],0),FALSE)=0,"",VLOOKUP(CONCATENATE($A11,"_",AV$1),SP_ACQ_Lib[],MATCH(AV$2,SP_ACQ_Lib[#Headers],0),FALSE)),"")</f>
        <v>284484</v>
      </c>
      <c r="AW11" s="251">
        <f>IFERROR(IF(VLOOKUP(CONCATENATE($A11,"_",AW$1),SP_ACQ_Lib[],MATCH(AW$2,SP_ACQ_Lib[#Headers],0),FALSE)=0,"",VLOOKUP(CONCATENATE($A11,"_",AW$1),SP_ACQ_Lib[],MATCH(AW$2,SP_ACQ_Lib[#Headers],0),FALSE)),"")</f>
        <v>43983</v>
      </c>
      <c r="AX11" s="251">
        <f>IFERROR(IF(VLOOKUP(CONCATENATE($A11,"_",AX$1),SP_ACQ_Lib[],MATCH(AX$2,SP_ACQ_Lib[#Headers],0),FALSE)=0,"",VLOOKUP(CONCATENATE($A11,"_",AX$1),SP_ACQ_Lib[],MATCH(AX$2,SP_ACQ_Lib[#Headers],0),FALSE)),"")</f>
        <v>43983</v>
      </c>
      <c r="AY11" s="251">
        <f>IFERROR(IF(VLOOKUP(CONCATENATE($A11,"_",AY$1),SP_ACQ_Lib[],MATCH(AY$2,SP_ACQ_Lib[#Headers],0),FALSE)=0,"",VLOOKUP(CONCATENATE($A11,"_",AY$1),SP_ACQ_Lib[],MATCH(AY$2,SP_ACQ_Lib[#Headers],0),FALSE)),"")</f>
        <v>43983</v>
      </c>
      <c r="AZ11" s="251">
        <f>IFERROR(IF(VLOOKUP(CONCATENATE($A11,"_",AZ$1),SP_ACQ_Lib[],MATCH(AZ$2,SP_ACQ_Lib[#Headers],0),FALSE)=0,"",VLOOKUP(CONCATENATE($A11,"_",AZ$1),SP_ACQ_Lib[],MATCH(AZ$2,SP_ACQ_Lib[#Headers],0),FALSE)),"")</f>
        <v>44004</v>
      </c>
      <c r="BA11" s="251">
        <f>IFERROR(IF(VLOOKUP(CONCATENATE($A11,"_",BA$1),SP_ACQ_Lib[],MATCH(BA$2,SP_ACQ_Lib[#Headers],0),FALSE)=0,"",VLOOKUP(CONCATENATE($A11,"_",BA$1),SP_ACQ_Lib[],MATCH(BA$2,SP_ACQ_Lib[#Headers],0),FALSE)),"")</f>
        <v>44000</v>
      </c>
      <c r="BB11" s="224" t="str">
        <f>IFERROR(VLOOKUP(CONCATENATE($A11,"_",BB$1),SP_ACQ_Lib[],MATCH(BB$2,SP_ACQ_Lib[#Headers],0),FALSE),0)</f>
        <v>Accepted</v>
      </c>
      <c r="BC11" s="231">
        <f>IFERROR(VLOOKUP($A11,SP_AcqTract_DB[],MATCH(BC$2,SP_AcqTract_DB[#Headers],0),FALSE),"")</f>
        <v>43984</v>
      </c>
      <c r="BD11" s="231">
        <f>IFERROR(VLOOKUP($A11,SP_AcqTract_DB[],MATCH(BD$2,SP_AcqTract_DB[#Headers],0),FALSE),"")</f>
        <v>0</v>
      </c>
      <c r="BE11" s="249">
        <f>IFERROR(IF(VLOOKUP(CONCATENATE($A11,"_",BE$1),SP_ACQ_Lib[],MATCH(BE$2,SP_ACQ_Lib[#Headers],0),FALSE)=0,"",VLOOKUP(CONCATENATE($A11,"_",BE$1),SP_ACQ_Lib[],MATCH(BE$2,SP_ACQ_Lib[#Headers],0),FALSE)),"")</f>
        <v>44008</v>
      </c>
      <c r="BF11" s="249">
        <f>IFERROR(IF(VLOOKUP(CONCATENATE($A11,"_",BF$1),SP_ACQ_Lib[],MATCH(BF$2,SP_ACQ_Lib[#Headers],0),FALSE)=0,"",VLOOKUP(CONCATENATE($A11,"_",BF$1),SP_ACQ_Lib[],MATCH(BF$2,SP_ACQ_Lib[#Headers],0),FALSE)),"")</f>
        <v>44011</v>
      </c>
      <c r="BG11" s="249" t="str">
        <f>IFERROR(IF(VLOOKUP(CONCATENATE($A11,"_",BG$1),SP_ACQ_Lib[],MATCH(BG$2,SP_ACQ_Lib[#Headers],0),FALSE)=0,"",VLOOKUP(CONCATENATE($A11,"_",BG$1),SP_ACQ_Lib[],MATCH(BG$2,SP_ACQ_Lib[#Headers],0),FALSE)),"")</f>
        <v/>
      </c>
      <c r="BH11" s="249" t="str">
        <f>IFERROR(IF(VLOOKUP(CONCATENATE($A11,"_",BH$1),SP_ACQ_Lib[],MATCH(BH$2,SP_ACQ_Lib[#Headers],0),FALSE)=0,"",VLOOKUP(CONCATENATE($A11,"_",BH$1),SP_ACQ_Lib[],MATCH(BH$2,SP_ACQ_Lib[#Headers],0),FALSE)),"")</f>
        <v/>
      </c>
      <c r="BI11" s="249" t="str">
        <f>IFERROR(IF(VLOOKUP(CONCATENATE($A11,"_",BI$1),SP_ACQ_Lib[],MATCH(BI$2,SP_ACQ_Lib[#Headers],0),FALSE)=0,"",VLOOKUP(CONCATENATE($A11,"_",BI$1),SP_ACQ_Lib[],MATCH(BI$2,SP_ACQ_Lib[#Headers],0),FALSE)),"")</f>
        <v/>
      </c>
      <c r="BJ11" s="249" t="str">
        <f>IFERROR(IF(VLOOKUP(CONCATENATE($A11,"_",BJ$1),SP_ACQ_Lib[],MATCH(BJ$2,SP_ACQ_Lib[#Headers],0),FALSE)=0,"",VLOOKUP(CONCATENATE($A11,"_",BJ$1),SP_ACQ_Lib[],MATCH(BJ$2,SP_ACQ_Lib[#Headers],0),FALSE)),"")</f>
        <v/>
      </c>
      <c r="BK11" s="250">
        <f>IFERROR(IF(VLOOKUP(CONCATENATE($A11,"_",BK$1),SP_ACQ_Lib[],MATCH(BK$2,SP_ACQ_Lib[#Headers],0),FALSE)=0,"",VLOOKUP(CONCATENATE($A11,"_",BK$1),SP_ACQ_Lib[],MATCH(BK$2,SP_ACQ_Lib[#Headers],0),FALSE)),"")</f>
        <v>43748</v>
      </c>
      <c r="BL11" s="249" t="str">
        <f>IFERROR(IF(VLOOKUP(CONCATENATE($A11,"_",BL$1),SP_ACQ_Lib[],MATCH(BL$2,SP_ACQ_Lib[#Headers],0),FALSE)=0,"",VLOOKUP(CONCATENATE($A11,"_",BL$1),SP_ACQ_Lib[],MATCH(BL$2,SP_ACQ_Lib[#Headers],0),FALSE)),"")</f>
        <v/>
      </c>
      <c r="BM11" s="249" t="str">
        <f>IFERROR(IF(VLOOKUP(CONCATENATE($A11,"_",BM$1),SP_ACQ_Lib[],MATCH(BM$2,SP_ACQ_Lib[#Headers],0),FALSE)=0,"",VLOOKUP(CONCATENATE($A11,"_",BM$1),SP_ACQ_Lib[],MATCH(BM$2,SP_ACQ_Lib[#Headers],0),FALSE)),"")</f>
        <v/>
      </c>
      <c r="BN11" s="249" t="str">
        <f>IFERROR(IF(VLOOKUP(CONCATENATE($A11,"_",BN$1),SP_ACQ_Lib[],MATCH(BN$2,SP_ACQ_Lib[#Headers],0),FALSE)=0,"",VLOOKUP(CONCATENATE($A11,"_",BN$1),SP_ACQ_Lib[],MATCH(BN$2,SP_ACQ_Lib[#Headers],0),FALSE)),"")</f>
        <v/>
      </c>
    </row>
    <row r="12" spans="1:66" s="226" customFormat="1" ht="76.5" x14ac:dyDescent="0.2">
      <c r="A12" s="192" t="s">
        <v>32</v>
      </c>
      <c r="B12" s="227" t="str">
        <f>IFERROR(VLOOKUP($A12,SP_AcqTract_DB[],MATCH(B$2,SP_AcqTract_DB[#Headers],0),FALSE),"")</f>
        <v>R023653</v>
      </c>
      <c r="C12" s="228" t="str">
        <f>IFERROR(VLOOKUP($A12,SP_AcqTract_DB[],MATCH(C$2,SP_AcqTract_DB[#Headers],0),FALSE),"")</f>
        <v>PH1</v>
      </c>
      <c r="D12" s="208" t="str">
        <f>IFERROR(VLOOKUP($A12,SP_AcqTract_DB[],MATCH(D$2,SP_AcqTract_DB[#Headers],0),FALSE),"")</f>
        <v>Active</v>
      </c>
      <c r="E12" s="208">
        <f>IFERROR(VLOOKUP($A12,SP_AcqTract_DB[],MATCH(E$2,SP_AcqTract_DB[#Headers],0),FALSE),"")</f>
        <v>8</v>
      </c>
      <c r="F12" s="227" t="str">
        <f>IFERROR(VLOOKUP($A12,SP_AcqTract_DB[],MATCH(F$2,SP_AcqTract_DB[#Headers],0),FALSE),"")</f>
        <v>Fee Acq/Flowage Esmt/Levee Esmt/Drainage Esmt/Road Esmt/TCE</v>
      </c>
      <c r="G12" s="227" t="str">
        <f>IFERROR(VLOOKUP($A12,SP_AcqTract_DB[],MATCH(G$2,SP_AcqTract_DB[#Headers],0),FALSE),"")</f>
        <v>Melissa DeLeon</v>
      </c>
      <c r="H12" s="250">
        <f>IFERROR(IF(VLOOKUP(CONCATENATE($A12,"_",H$1),SP_ACQ_Lib[],MATCH(H$2,SP_ACQ_Lib[#Headers],0),FALSE)=0,"",VLOOKUP(CONCATENATE($A12,"_",H$1),SP_ACQ_Lib[],MATCH(H$2,SP_ACQ_Lib[#Headers],0),FALSE)),"")</f>
        <v>43872.543425925927</v>
      </c>
      <c r="I12" s="227" t="str">
        <f>IFERROR(VLOOKUP($A12,SP_AcqTract_DB[],MATCH(I$2,SP_AcqTract_DB[#Headers],0),FALSE),"")</f>
        <v>Wharton Independent School District</v>
      </c>
      <c r="J12" s="227" t="str">
        <f>IFERROR(VLOOKUP($A12,SP_AcqTract_DB[],MATCH(J$2,SP_AcqTract_DB[#Headers],0),FALSE),"")</f>
        <v>Wharton ISD</v>
      </c>
      <c r="K12" s="227" t="str">
        <f>IFERROR(VLOOKUP($A12,SP_AcqTract_DB[],MATCH(K$2,SP_AcqTract_DB[#Headers],0),FALSE),"")</f>
        <v>Wharton ISD</v>
      </c>
      <c r="L12" s="227" t="str">
        <f>IFERROR(VLOOKUP($A12,SP_AcqTract_DB[],MATCH(L$2,SP_AcqTract_DB[#Headers],0),FALSE),"")</f>
        <v>2100 N Fulton</v>
      </c>
      <c r="M12" s="208" t="str">
        <f>IFERROR(VLOOKUP($A12,SP_AcqTract_DB[],MATCH(M$2,SP_AcqTract_DB[#Headers],0),FALSE),"")</f>
        <v>Wharton, Texas  77488</v>
      </c>
      <c r="N12" s="227" t="str">
        <f>IFERROR(VLOOKUP($A12,SP_AcqTract_DB[],MATCH(N$2,SP_AcqTract_DB[#Headers],0),FALSE),"")</f>
        <v>1717 Bailey</v>
      </c>
      <c r="O12" s="220" t="str">
        <f>IFERROR(VLOOKUP($A12,SP_AcqTract_DB[],MATCH(O$2,SP_AcqTract_DB[#Headers],0),FALSE),"")</f>
        <v>ROW for pipeline const./maint.-Natural Gas Pipeline Co.
ROW for pipeline const./maint.-Natural Gas Pipeline Co.
Gas &amp; Mineral Lease-Dal-Long Oil Co.</v>
      </c>
      <c r="P12" s="220" t="str">
        <f>IFERROR(VLOOKUP($A12,SP_AcqTract_DB[],MATCH(P$2,SP_AcqTract_DB[#Headers],0),FALSE),"")</f>
        <v>X</v>
      </c>
      <c r="Q12" s="208" t="str">
        <f>IFERROR(VLOOKUP($A12,SP_AcqTract_DB[],MATCH(Q$2,SP_AcqTract_DB[#Headers],0),FALSE),"")</f>
        <v>2019-0806</v>
      </c>
      <c r="R12" s="250">
        <f>IFERROR(IF(VLOOKUP(CONCATENATE($A12,"_",R$1),SP_ACQ_Lib[],MATCH(R$2,SP_ACQ_Lib[#Headers],0),FALSE)=0,"",VLOOKUP(CONCATENATE($A12,"_",R$1),SP_ACQ_Lib[],MATCH(R$2,SP_ACQ_Lib[#Headers],0),FALSE)),"")</f>
        <v>43714</v>
      </c>
      <c r="S12" s="253">
        <f>IFERROR(IF(VLOOKUP(CONCATENATE($A12,"_",S$1),SP_ACQ_Lib[],MATCH(S$2,SP_ACQ_Lib[#Headers],0),FALSE)=0,"",VLOOKUP(CONCATENATE($A12,"_",S$1),SP_ACQ_Lib[],MATCH(S$2,SP_ACQ_Lib[#Headers],0),FALSE)),"")</f>
        <v>43724</v>
      </c>
      <c r="T12" s="205" t="str">
        <f>IFERROR(VLOOKUP(CONCATENATE($A12,"_",T$1),SP_ACQ_Lib[],MATCH(T$2,SP_ACQ_Lib[#Headers],0),FALSE),0)</f>
        <v>Accepted</v>
      </c>
      <c r="U12" s="250">
        <f>IFERROR(IF(VLOOKUP(CONCATENATE($A12,"_",U$1),SP_ACQ_Lib[],MATCH(U$2,SP_ACQ_Lib[#Headers],0),FALSE)=0,"",VLOOKUP(CONCATENATE($A12,"_",U$1),SP_ACQ_Lib[],MATCH(U$2,SP_ACQ_Lib[#Headers],0),FALSE)),"")</f>
        <v>43809</v>
      </c>
      <c r="V12" s="205" t="str">
        <f>IFERROR(VLOOKUP(CONCATENATE($A12,"_",V$1),SP_ACQ_Lib[],MATCH(V$2,SP_ACQ_Lib[#Headers],0),FALSE),0)</f>
        <v>Accepted</v>
      </c>
      <c r="W12" s="209">
        <f>IFERROR(VLOOKUP(CONCATENATE($A12,"_",W$1),SP_ACQ_Lib[],MATCH(W$2,SP_ACQ_Lib[#Headers],0),FALSE),0)</f>
        <v>0</v>
      </c>
      <c r="X12" s="250">
        <f>IFERROR(VLOOKUP($A12,SP_AcqTract_DB[],MATCH(X$2,SP_AcqTract_DB[#Headers],0),FALSE),"")</f>
        <v>43697</v>
      </c>
      <c r="Y12" s="237">
        <f>IFERROR(VLOOKUP($A12,SP_AcqTract_DB[],MATCH(Y$2,SP_AcqTract_DB[#Headers],0),FALSE),"")</f>
        <v>0</v>
      </c>
      <c r="Z12" s="229">
        <f>IFERROR(VLOOKUP($A12,SP_AcqTract_DB[],MATCH(Z$2,SP_AcqTract_DB[#Headers],0),FALSE),"")</f>
        <v>0</v>
      </c>
      <c r="AA12" s="229" t="str">
        <f>IFERROR(VLOOKUP($A12,SP_AcqTract_DB[],MATCH(AA$2,SP_AcqTract_DB[#Headers],0),FALSE),"")</f>
        <v>Yes</v>
      </c>
      <c r="AB12" s="250" t="str">
        <f>IFERROR(IF(VLOOKUP(CONCATENATE($A12,"_",AB$1),SP_ACQ_Lib[],MATCH(AB$2,SP_ACQ_Lib[#Headers],0),FALSE)=0,"",VLOOKUP(CONCATENATE($A12,"_",AB$1),SP_ACQ_Lib[],MATCH(AB$2,SP_ACQ_Lib[#Headers],0),FALSE)),"")</f>
        <v/>
      </c>
      <c r="AC12" s="250"/>
      <c r="AD12" s="229" t="str">
        <f>IFERROR(VLOOKUP($A12,SP_AcqTract_DB[],MATCH(AD$2,SP_AcqTract_DB[#Headers],0),FALSE),"")</f>
        <v>Yes</v>
      </c>
      <c r="AE12" s="250" t="str">
        <f>IFERROR(IF(VLOOKUP(CONCATENATE($A12,"_",AE$1),SP_ACQ_Lib[],MATCH(AE$2,SP_ACQ_Lib[#Headers],0),FALSE)=0,"",VLOOKUP(CONCATENATE($A12,"_",AE$1),SP_ACQ_Lib[],MATCH(AE$2,SP_ACQ_Lib[#Headers],0),FALSE)),"")</f>
        <v/>
      </c>
      <c r="AF12" s="250" t="str">
        <f>IFERROR(IF(VLOOKUP(CONCATENATE($A12,"_",AF$1),SP_ACQ_Lib[],MATCH(AF$2,SP_ACQ_Lib[#Headers],0),FALSE)=0,"",VLOOKUP(CONCATENATE($A12,"_",AF$1),SP_ACQ_Lib[],MATCH(AF$2,SP_ACQ_Lib[#Headers],0),FALSE)),"")</f>
        <v/>
      </c>
      <c r="AG12" s="250" t="str">
        <f>IFERROR(IF(VLOOKUP(CONCATENATE($A12,"_",AG$1),SP_ACQ_Lib[],MATCH(AG$2,SP_ACQ_Lib[#Headers],0),FALSE)=0,"",VLOOKUP(CONCATENATE($A12,"_",AG$1),SP_ACQ_Lib[],MATCH(AG$2,SP_ACQ_Lib[#Headers],0),FALSE)),"")</f>
        <v/>
      </c>
      <c r="AH12" s="250">
        <f>IFERROR(IF(VLOOKUP(CONCATENATE($A12,"_",AH$1),SP_ACQ_Lib[],MATCH(AH$2,SP_ACQ_Lib[#Headers],0),FALSE)=0,"",VLOOKUP(CONCATENATE($A12,"_",AH$1),SP_ACQ_Lib[],MATCH(AH$2,SP_ACQ_Lib[#Headers],0),FALSE)),"")</f>
        <v>43697</v>
      </c>
      <c r="AI12" s="249" t="str">
        <f>IFERROR(IF(VLOOKUP(CONCATENATE($A12,"_",AI$1),SP_ACQ_Lib[],MATCH(AI$2,SP_ACQ_Lib[#Headers],0),FALSE)=0,"",VLOOKUP(CONCATENATE($A12,"_",AI$1),SP_ACQ_Lib[],MATCH(AI$2,SP_ACQ_Lib[#Headers],0),FALSE)),"")</f>
        <v/>
      </c>
      <c r="AJ12" s="249" t="str">
        <f>IFERROR(IF(VLOOKUP(CONCATENATE($A12,"_",AJ$1),SP_ACQ_Lib[],MATCH(AJ$2,SP_ACQ_Lib[#Headers],0),FALSE)=0,"",VLOOKUP(CONCATENATE($A12,"_",AJ$1),SP_ACQ_Lib[],MATCH(AJ$2,SP_ACQ_Lib[#Headers],0),FALSE)),"")</f>
        <v/>
      </c>
      <c r="AK12" s="249" t="str">
        <f>IFERROR(IF(VLOOKUP(CONCATENATE($A12,"_",AK$1),SP_ACQ_Lib[],MATCH(AK$2,SP_ACQ_Lib[#Headers],0),FALSE)=0,"",VLOOKUP(CONCATENATE($A12,"_",AK$1),SP_ACQ_Lib[],MATCH(AK$2,SP_ACQ_Lib[#Headers],0),FALSE)),"")</f>
        <v/>
      </c>
      <c r="AL12" s="249">
        <f>IFERROR(VLOOKUP($A12,SP_AcqTract_DB[],MATCH(AL$2,SP_AcqTract_DB[#Headers],0),FALSE),"")</f>
        <v>0</v>
      </c>
      <c r="AM12" s="227" t="str">
        <f>IFERROR(VLOOKUP($A12,SP_AcqTract_DB[],MATCH(AM$2,SP_AcqTract_DB[#Headers],0),FALSE),"")</f>
        <v>David Ambrose</v>
      </c>
      <c r="AN12" s="227" t="str">
        <f>IFERROR(VLOOKUP($A12,SP_AcqTract_DB[],MATCH(AN$2,SP_AcqTract_DB[#Headers],0),FALSE),"")</f>
        <v>Lory Johnson, Atrium</v>
      </c>
      <c r="AO12" s="228">
        <f>IFERROR(VLOOKUP($A12,SP_AcqTract_DB[],MATCH(AO$2,SP_AcqTract_DB[#Headers],0),FALSE),"")</f>
        <v>0</v>
      </c>
      <c r="AP12" s="210">
        <f>IFERROR(VLOOKUP($A12,SP_AcqTract_DB[],MATCH(AP$2,SP_AcqTract_DB[#Headers],0),FALSE),"")</f>
        <v>0</v>
      </c>
      <c r="AQ12" s="252" t="str">
        <f>IFERROR(IF(VLOOKUP(CONCATENATE($A12,"_",AQ$1),SP_ACQ_Lib[],MATCH(AQ$2,SP_ACQ_Lib[#Headers],0),FALSE)=0,"",VLOOKUP(CONCATENATE($A12,"_",AQ$1),SP_ACQ_Lib[],MATCH(AQ$2,SP_ACQ_Lib[#Headers],0),FALSE)),"")</f>
        <v/>
      </c>
      <c r="AR12" s="250" t="str">
        <f>IFERROR(IF(VLOOKUP(CONCATENATE($A12,"_",AR$1),SP_ACQ_Lib[],MATCH(AR$2,SP_ACQ_Lib[#Headers],0),FALSE)=0,"",VLOOKUP(CONCATENATE($A12,"_",AR$1),SP_ACQ_Lib[],MATCH(AR$2,SP_ACQ_Lib[#Headers],0),FALSE)),"")</f>
        <v/>
      </c>
      <c r="AS12" s="249">
        <f>IFERROR(IF(VLOOKUP(CONCATENATE($A12,"_",AS$1),SP_ACQ_Lib[],MATCH(AS$2,SP_ACQ_Lib[#Headers],0),FALSE)=0,"",VLOOKUP(CONCATENATE($A12,"_",AS$1),SP_ACQ_Lib[],MATCH(AS$2,SP_ACQ_Lib[#Headers],0),FALSE)),"")</f>
        <v>43765</v>
      </c>
      <c r="AT12" s="251" t="str">
        <f>IFERROR(IF(VLOOKUP(CONCATENATE($A12,"_",AT$1),SP_ACQ_Lib[],MATCH(AT$2,SP_ACQ_Lib[#Headers],0),FALSE)=0,"",VLOOKUP(CONCATENATE($A12,"_",AT$1),SP_ACQ_Lib[],MATCH(AT$2,SP_ACQ_Lib[#Headers],0),FALSE)),"")</f>
        <v/>
      </c>
      <c r="AU12" s="251" t="str">
        <f>IFERROR(IF(VLOOKUP(CONCATENATE($A12,"_",AU$1),SP_ACQ_Lib[],MATCH(AU$2,SP_ACQ_Lib[#Headers],0),FALSE)=0,"",VLOOKUP(CONCATENATE($A12,"_",AU$1),SP_ACQ_Lib[],MATCH(AU$2,SP_ACQ_Lib[#Headers],0),FALSE)),"")</f>
        <v/>
      </c>
      <c r="AV12" s="225" t="str">
        <f>IFERROR(IF(VLOOKUP(CONCATENATE($A12,"_",AV$1),SP_ACQ_Lib[],MATCH(AV$2,SP_ACQ_Lib[#Headers],0),FALSE)=0,"",VLOOKUP(CONCATENATE($A12,"_",AV$1),SP_ACQ_Lib[],MATCH(AV$2,SP_ACQ_Lib[#Headers],0),FALSE)),"")</f>
        <v/>
      </c>
      <c r="AW12" s="251" t="str">
        <f>IFERROR(IF(VLOOKUP(CONCATENATE($A12,"_",AW$1),SP_ACQ_Lib[],MATCH(AW$2,SP_ACQ_Lib[#Headers],0),FALSE)=0,"",VLOOKUP(CONCATENATE($A12,"_",AW$1),SP_ACQ_Lib[],MATCH(AW$2,SP_ACQ_Lib[#Headers],0),FALSE)),"")</f>
        <v/>
      </c>
      <c r="AX12" s="251" t="str">
        <f>IFERROR(IF(VLOOKUP(CONCATENATE($A12,"_",AX$1),SP_ACQ_Lib[],MATCH(AX$2,SP_ACQ_Lib[#Headers],0),FALSE)=0,"",VLOOKUP(CONCATENATE($A12,"_",AX$1),SP_ACQ_Lib[],MATCH(AX$2,SP_ACQ_Lib[#Headers],0),FALSE)),"")</f>
        <v/>
      </c>
      <c r="AY12" s="251" t="str">
        <f>IFERROR(IF(VLOOKUP(CONCATENATE($A12,"_",AY$1),SP_ACQ_Lib[],MATCH(AY$2,SP_ACQ_Lib[#Headers],0),FALSE)=0,"",VLOOKUP(CONCATENATE($A12,"_",AY$1),SP_ACQ_Lib[],MATCH(AY$2,SP_ACQ_Lib[#Headers],0),FALSE)),"")</f>
        <v/>
      </c>
      <c r="AZ12" s="251" t="str">
        <f>IFERROR(IF(VLOOKUP(CONCATENATE($A12,"_",AZ$1),SP_ACQ_Lib[],MATCH(AZ$2,SP_ACQ_Lib[#Headers],0),FALSE)=0,"",VLOOKUP(CONCATENATE($A12,"_",AZ$1),SP_ACQ_Lib[],MATCH(AZ$2,SP_ACQ_Lib[#Headers],0),FALSE)),"")</f>
        <v/>
      </c>
      <c r="BA12" s="251" t="str">
        <f>IFERROR(IF(VLOOKUP(CONCATENATE($A12,"_",BA$1),SP_ACQ_Lib[],MATCH(BA$2,SP_ACQ_Lib[#Headers],0),FALSE)=0,"",VLOOKUP(CONCATENATE($A12,"_",BA$1),SP_ACQ_Lib[],MATCH(BA$2,SP_ACQ_Lib[#Headers],0),FALSE)),"")</f>
        <v/>
      </c>
      <c r="BB12" s="224">
        <f>IFERROR(VLOOKUP(CONCATENATE($A12,"_",BB$1),SP_ACQ_Lib[],MATCH(BB$2,SP_ACQ_Lib[#Headers],0),FALSE),0)</f>
        <v>0</v>
      </c>
      <c r="BC12" s="231">
        <f>IFERROR(VLOOKUP($A12,SP_AcqTract_DB[],MATCH(BC$2,SP_AcqTract_DB[#Headers],0),FALSE),"")</f>
        <v>0</v>
      </c>
      <c r="BD12" s="231">
        <f>IFERROR(VLOOKUP($A12,SP_AcqTract_DB[],MATCH(BD$2,SP_AcqTract_DB[#Headers],0),FALSE),"")</f>
        <v>0</v>
      </c>
      <c r="BE12" s="249" t="str">
        <f>IFERROR(IF(VLOOKUP(CONCATENATE($A12,"_",BE$1),SP_ACQ_Lib[],MATCH(BE$2,SP_ACQ_Lib[#Headers],0),FALSE)=0,"",VLOOKUP(CONCATENATE($A12,"_",BE$1),SP_ACQ_Lib[],MATCH(BE$2,SP_ACQ_Lib[#Headers],0),FALSE)),"")</f>
        <v/>
      </c>
      <c r="BF12" s="249" t="str">
        <f>IFERROR(IF(VLOOKUP(CONCATENATE($A12,"_",BF$1),SP_ACQ_Lib[],MATCH(BF$2,SP_ACQ_Lib[#Headers],0),FALSE)=0,"",VLOOKUP(CONCATENATE($A12,"_",BF$1),SP_ACQ_Lib[],MATCH(BF$2,SP_ACQ_Lib[#Headers],0),FALSE)),"")</f>
        <v/>
      </c>
      <c r="BG12" s="249" t="str">
        <f>IFERROR(IF(VLOOKUP(CONCATENATE($A12,"_",BG$1),SP_ACQ_Lib[],MATCH(BG$2,SP_ACQ_Lib[#Headers],0),FALSE)=0,"",VLOOKUP(CONCATENATE($A12,"_",BG$1),SP_ACQ_Lib[],MATCH(BG$2,SP_ACQ_Lib[#Headers],0),FALSE)),"")</f>
        <v/>
      </c>
      <c r="BH12" s="249" t="str">
        <f>IFERROR(IF(VLOOKUP(CONCATENATE($A12,"_",BH$1),SP_ACQ_Lib[],MATCH(BH$2,SP_ACQ_Lib[#Headers],0),FALSE)=0,"",VLOOKUP(CONCATENATE($A12,"_",BH$1),SP_ACQ_Lib[],MATCH(BH$2,SP_ACQ_Lib[#Headers],0),FALSE)),"")</f>
        <v/>
      </c>
      <c r="BI12" s="249" t="str">
        <f>IFERROR(IF(VLOOKUP(CONCATENATE($A12,"_",BI$1),SP_ACQ_Lib[],MATCH(BI$2,SP_ACQ_Lib[#Headers],0),FALSE)=0,"",VLOOKUP(CONCATENATE($A12,"_",BI$1),SP_ACQ_Lib[],MATCH(BI$2,SP_ACQ_Lib[#Headers],0),FALSE)),"")</f>
        <v/>
      </c>
      <c r="BJ12" s="249" t="str">
        <f>IFERROR(IF(VLOOKUP(CONCATENATE($A12,"_",BJ$1),SP_ACQ_Lib[],MATCH(BJ$2,SP_ACQ_Lib[#Headers],0),FALSE)=0,"",VLOOKUP(CONCATENATE($A12,"_",BJ$1),SP_ACQ_Lib[],MATCH(BJ$2,SP_ACQ_Lib[#Headers],0),FALSE)),"")</f>
        <v/>
      </c>
      <c r="BK12" s="250">
        <f>IFERROR(IF(VLOOKUP(CONCATENATE($A12,"_",BK$1),SP_ACQ_Lib[],MATCH(BK$2,SP_ACQ_Lib[#Headers],0),FALSE)=0,"",VLOOKUP(CONCATENATE($A12,"_",BK$1),SP_ACQ_Lib[],MATCH(BK$2,SP_ACQ_Lib[#Headers],0),FALSE)),"")</f>
        <v>43748</v>
      </c>
      <c r="BL12" s="249" t="str">
        <f>IFERROR(IF(VLOOKUP(CONCATENATE($A12,"_",BL$1),SP_ACQ_Lib[],MATCH(BL$2,SP_ACQ_Lib[#Headers],0),FALSE)=0,"",VLOOKUP(CONCATENATE($A12,"_",BL$1),SP_ACQ_Lib[],MATCH(BL$2,SP_ACQ_Lib[#Headers],0),FALSE)),"")</f>
        <v/>
      </c>
      <c r="BM12" s="249" t="str">
        <f>IFERROR(IF(VLOOKUP(CONCATENATE($A12,"_",BM$1),SP_ACQ_Lib[],MATCH(BM$2,SP_ACQ_Lib[#Headers],0),FALSE)=0,"",VLOOKUP(CONCATENATE($A12,"_",BM$1),SP_ACQ_Lib[],MATCH(BM$2,SP_ACQ_Lib[#Headers],0),FALSE)),"")</f>
        <v/>
      </c>
      <c r="BN12" s="249" t="str">
        <f>IFERROR(IF(VLOOKUP(CONCATENATE($A12,"_",BN$1),SP_ACQ_Lib[],MATCH(BN$2,SP_ACQ_Lib[#Headers],0),FALSE)=0,"",VLOOKUP(CONCATENATE($A12,"_",BN$1),SP_ACQ_Lib[],MATCH(BN$2,SP_ACQ_Lib[#Headers],0),FALSE)),"")</f>
        <v/>
      </c>
    </row>
    <row r="13" spans="1:66" s="226" customFormat="1" ht="25.5" x14ac:dyDescent="0.2">
      <c r="A13" s="192" t="s">
        <v>1286</v>
      </c>
      <c r="B13" s="227" t="str">
        <f>IFERROR(VLOOKUP($A13,SP_AcqTract_DB[],MATCH(B$2,SP_AcqTract_DB[#Headers],0),FALSE),"")</f>
        <v>UNKN001</v>
      </c>
      <c r="C13" s="228" t="str">
        <f>IFERROR(VLOOKUP($A13,SP_AcqTract_DB[],MATCH(C$2,SP_AcqTract_DB[#Headers],0),FALSE),"")</f>
        <v>PH1</v>
      </c>
      <c r="D13" s="208" t="str">
        <f>IFERROR(VLOOKUP($A13,SP_AcqTract_DB[],MATCH(D$2,SP_AcqTract_DB[#Headers],0),FALSE),"")</f>
        <v>Inactive</v>
      </c>
      <c r="E13" s="208">
        <f>IFERROR(VLOOKUP($A13,SP_AcqTract_DB[],MATCH(E$2,SP_AcqTract_DB[#Headers],0),FALSE),"")</f>
        <v>0</v>
      </c>
      <c r="F13" s="227">
        <f>IFERROR(VLOOKUP($A13,SP_AcqTract_DB[],MATCH(F$2,SP_AcqTract_DB[#Headers],0),FALSE),"")</f>
        <v>0</v>
      </c>
      <c r="G13" s="227">
        <f>IFERROR(VLOOKUP($A13,SP_AcqTract_DB[],MATCH(G$2,SP_AcqTract_DB[#Headers],0),FALSE),"")</f>
        <v>0</v>
      </c>
      <c r="H13" s="250" t="str">
        <f>IFERROR(IF(VLOOKUP(CONCATENATE($A13,"_",H$1),SP_ACQ_Lib[],MATCH(H$2,SP_ACQ_Lib[#Headers],0),FALSE)=0,"",VLOOKUP(CONCATENATE($A13,"_",H$1),SP_ACQ_Lib[],MATCH(H$2,SP_ACQ_Lib[#Headers],0),FALSE)),"")</f>
        <v/>
      </c>
      <c r="I13" s="227" t="str">
        <f>IFERROR(VLOOKUP($A13,SP_AcqTract_DB[],MATCH(I$2,SP_AcqTract_DB[#Headers],0),FALSE),"")</f>
        <v>City of Wharton</v>
      </c>
      <c r="J13" s="227">
        <f>IFERROR(VLOOKUP($A13,SP_AcqTract_DB[],MATCH(J$2,SP_AcqTract_DB[#Headers],0),FALSE),"")</f>
        <v>0</v>
      </c>
      <c r="K13" s="227" t="str">
        <f>IFERROR(VLOOKUP($A13,SP_AcqTract_DB[],MATCH(K$2,SP_AcqTract_DB[#Headers],0),FALSE),"")</f>
        <v>City of Wharton</v>
      </c>
      <c r="L13" s="227">
        <f>IFERROR(VLOOKUP($A13,SP_AcqTract_DB[],MATCH(L$2,SP_AcqTract_DB[#Headers],0),FALSE),"")</f>
        <v>0</v>
      </c>
      <c r="M13" s="208">
        <f>IFERROR(VLOOKUP($A13,SP_AcqTract_DB[],MATCH(M$2,SP_AcqTract_DB[#Headers],0),FALSE),"")</f>
        <v>0</v>
      </c>
      <c r="N13" s="227" t="str">
        <f>IFERROR(VLOOKUP($A13,SP_AcqTract_DB[],MATCH(N$2,SP_AcqTract_DB[#Headers],0),FALSE),"")</f>
        <v>Colorado River Bank</v>
      </c>
      <c r="O13" s="220">
        <f>IFERROR(VLOOKUP($A13,SP_AcqTract_DB[],MATCH(O$2,SP_AcqTract_DB[#Headers],0),FALSE),"")</f>
        <v>0</v>
      </c>
      <c r="P13" s="220">
        <f>IFERROR(VLOOKUP($A13,SP_AcqTract_DB[],MATCH(P$2,SP_AcqTract_DB[#Headers],0),FALSE),"")</f>
        <v>0</v>
      </c>
      <c r="Q13" s="208">
        <f>IFERROR(VLOOKUP($A13,SP_AcqTract_DB[],MATCH(Q$2,SP_AcqTract_DB[#Headers],0),FALSE),"")</f>
        <v>0</v>
      </c>
      <c r="R13" s="250" t="str">
        <f>IFERROR(IF(VLOOKUP(CONCATENATE($A13,"_",R$1),SP_ACQ_Lib[],MATCH(R$2,SP_ACQ_Lib[#Headers],0),FALSE)=0,"",VLOOKUP(CONCATENATE($A13,"_",R$1),SP_ACQ_Lib[],MATCH(R$2,SP_ACQ_Lib[#Headers],0),FALSE)),"")</f>
        <v/>
      </c>
      <c r="S13" s="253" t="str">
        <f>IFERROR(IF(VLOOKUP(CONCATENATE($A13,"_",S$1),SP_ACQ_Lib[],MATCH(S$2,SP_ACQ_Lib[#Headers],0),FALSE)=0,"",VLOOKUP(CONCATENATE($A13,"_",S$1),SP_ACQ_Lib[],MATCH(S$2,SP_ACQ_Lib[#Headers],0),FALSE)),"")</f>
        <v/>
      </c>
      <c r="T13" s="205">
        <f>IFERROR(VLOOKUP(CONCATENATE($A13,"_",T$1),SP_ACQ_Lib[],MATCH(T$2,SP_ACQ_Lib[#Headers],0),FALSE),0)</f>
        <v>0</v>
      </c>
      <c r="U13" s="250" t="str">
        <f>IFERROR(IF(VLOOKUP(CONCATENATE($A13,"_",U$1),SP_ACQ_Lib[],MATCH(U$2,SP_ACQ_Lib[#Headers],0),FALSE)=0,"",VLOOKUP(CONCATENATE($A13,"_",U$1),SP_ACQ_Lib[],MATCH(U$2,SP_ACQ_Lib[#Headers],0),FALSE)),"")</f>
        <v/>
      </c>
      <c r="V13" s="205">
        <f>IFERROR(VLOOKUP(CONCATENATE($A13,"_",V$1),SP_ACQ_Lib[],MATCH(V$2,SP_ACQ_Lib[#Headers],0),FALSE),0)</f>
        <v>0</v>
      </c>
      <c r="W13" s="209">
        <f>IFERROR(VLOOKUP(CONCATENATE($A13,"_",W$1),SP_ACQ_Lib[],MATCH(W$2,SP_ACQ_Lib[#Headers],0),FALSE),0)</f>
        <v>0</v>
      </c>
      <c r="X13" s="250">
        <f>IFERROR(VLOOKUP($A13,SP_AcqTract_DB[],MATCH(X$2,SP_AcqTract_DB[#Headers],0),FALSE),"")</f>
        <v>0</v>
      </c>
      <c r="Y13" s="237">
        <f>IFERROR(VLOOKUP($A13,SP_AcqTract_DB[],MATCH(Y$2,SP_AcqTract_DB[#Headers],0),FALSE),"")</f>
        <v>0</v>
      </c>
      <c r="Z13" s="229">
        <f>IFERROR(VLOOKUP($A13,SP_AcqTract_DB[],MATCH(Z$2,SP_AcqTract_DB[#Headers],0),FALSE),"")</f>
        <v>0</v>
      </c>
      <c r="AA13" s="229" t="str">
        <f>IFERROR(VLOOKUP($A13,SP_AcqTract_DB[],MATCH(AA$2,SP_AcqTract_DB[#Headers],0),FALSE),"")</f>
        <v>No</v>
      </c>
      <c r="AB13" s="250" t="str">
        <f>IFERROR(IF(VLOOKUP(CONCATENATE($A13,"_",AB$1),SP_ACQ_Lib[],MATCH(AB$2,SP_ACQ_Lib[#Headers],0),FALSE)=0,"",VLOOKUP(CONCATENATE($A13,"_",AB$1),SP_ACQ_Lib[],MATCH(AB$2,SP_ACQ_Lib[#Headers],0),FALSE)),"")</f>
        <v/>
      </c>
      <c r="AC13" s="250"/>
      <c r="AD13" s="229" t="str">
        <f>IFERROR(VLOOKUP($A13,SP_AcqTract_DB[],MATCH(AD$2,SP_AcqTract_DB[#Headers],0),FALSE),"")</f>
        <v>Yes</v>
      </c>
      <c r="AE13" s="250" t="str">
        <f>IFERROR(IF(VLOOKUP(CONCATENATE($A13,"_",AE$1),SP_ACQ_Lib[],MATCH(AE$2,SP_ACQ_Lib[#Headers],0),FALSE)=0,"",VLOOKUP(CONCATENATE($A13,"_",AE$1),SP_ACQ_Lib[],MATCH(AE$2,SP_ACQ_Lib[#Headers],0),FALSE)),"")</f>
        <v/>
      </c>
      <c r="AF13" s="250" t="str">
        <f>IFERROR(IF(VLOOKUP(CONCATENATE($A13,"_",AF$1),SP_ACQ_Lib[],MATCH(AF$2,SP_ACQ_Lib[#Headers],0),FALSE)=0,"",VLOOKUP(CONCATENATE($A13,"_",AF$1),SP_ACQ_Lib[],MATCH(AF$2,SP_ACQ_Lib[#Headers],0),FALSE)),"")</f>
        <v/>
      </c>
      <c r="AG13" s="250" t="str">
        <f>IFERROR(IF(VLOOKUP(CONCATENATE($A13,"_",AG$1),SP_ACQ_Lib[],MATCH(AG$2,SP_ACQ_Lib[#Headers],0),FALSE)=0,"",VLOOKUP(CONCATENATE($A13,"_",AG$1),SP_ACQ_Lib[],MATCH(AG$2,SP_ACQ_Lib[#Headers],0),FALSE)),"")</f>
        <v/>
      </c>
      <c r="AH13" s="250" t="str">
        <f>IFERROR(IF(VLOOKUP(CONCATENATE($A13,"_",AH$1),SP_ACQ_Lib[],MATCH(AH$2,SP_ACQ_Lib[#Headers],0),FALSE)=0,"",VLOOKUP(CONCATENATE($A13,"_",AH$1),SP_ACQ_Lib[],MATCH(AH$2,SP_ACQ_Lib[#Headers],0),FALSE)),"")</f>
        <v/>
      </c>
      <c r="AI13" s="249" t="str">
        <f>IFERROR(IF(VLOOKUP(CONCATENATE($A13,"_",AI$1),SP_ACQ_Lib[],MATCH(AI$2,SP_ACQ_Lib[#Headers],0),FALSE)=0,"",VLOOKUP(CONCATENATE($A13,"_",AI$1),SP_ACQ_Lib[],MATCH(AI$2,SP_ACQ_Lib[#Headers],0),FALSE)),"")</f>
        <v/>
      </c>
      <c r="AJ13" s="249" t="str">
        <f>IFERROR(IF(VLOOKUP(CONCATENATE($A13,"_",AJ$1),SP_ACQ_Lib[],MATCH(AJ$2,SP_ACQ_Lib[#Headers],0),FALSE)=0,"",VLOOKUP(CONCATENATE($A13,"_",AJ$1),SP_ACQ_Lib[],MATCH(AJ$2,SP_ACQ_Lib[#Headers],0),FALSE)),"")</f>
        <v/>
      </c>
      <c r="AK13" s="249" t="str">
        <f>IFERROR(IF(VLOOKUP(CONCATENATE($A13,"_",AK$1),SP_ACQ_Lib[],MATCH(AK$2,SP_ACQ_Lib[#Headers],0),FALSE)=0,"",VLOOKUP(CONCATENATE($A13,"_",AK$1),SP_ACQ_Lib[],MATCH(AK$2,SP_ACQ_Lib[#Headers],0),FALSE)),"")</f>
        <v/>
      </c>
      <c r="AL13" s="249">
        <f>IFERROR(VLOOKUP($A13,SP_AcqTract_DB[],MATCH(AL$2,SP_AcqTract_DB[#Headers],0),FALSE),"")</f>
        <v>0</v>
      </c>
      <c r="AM13" s="227">
        <f>IFERROR(VLOOKUP($A13,SP_AcqTract_DB[],MATCH(AM$2,SP_AcqTract_DB[#Headers],0),FALSE),"")</f>
        <v>0</v>
      </c>
      <c r="AN13" s="227">
        <f>IFERROR(VLOOKUP($A13,SP_AcqTract_DB[],MATCH(AN$2,SP_AcqTract_DB[#Headers],0),FALSE),"")</f>
        <v>0</v>
      </c>
      <c r="AO13" s="228">
        <f>IFERROR(VLOOKUP($A13,SP_AcqTract_DB[],MATCH(AO$2,SP_AcqTract_DB[#Headers],0),FALSE),"")</f>
        <v>0</v>
      </c>
      <c r="AP13" s="210">
        <f>IFERROR(VLOOKUP($A13,SP_AcqTract_DB[],MATCH(AP$2,SP_AcqTract_DB[#Headers],0),FALSE),"")</f>
        <v>0</v>
      </c>
      <c r="AQ13" s="252" t="str">
        <f>IFERROR(IF(VLOOKUP(CONCATENATE($A13,"_",AQ$1),SP_ACQ_Lib[],MATCH(AQ$2,SP_ACQ_Lib[#Headers],0),FALSE)=0,"",VLOOKUP(CONCATENATE($A13,"_",AQ$1),SP_ACQ_Lib[],MATCH(AQ$2,SP_ACQ_Lib[#Headers],0),FALSE)),"")</f>
        <v/>
      </c>
      <c r="AR13" s="250" t="str">
        <f>IFERROR(IF(VLOOKUP(CONCATENATE($A13,"_",AR$1),SP_ACQ_Lib[],MATCH(AR$2,SP_ACQ_Lib[#Headers],0),FALSE)=0,"",VLOOKUP(CONCATENATE($A13,"_",AR$1),SP_ACQ_Lib[],MATCH(AR$2,SP_ACQ_Lib[#Headers],0),FALSE)),"")</f>
        <v/>
      </c>
      <c r="AS13" s="249" t="str">
        <f>IFERROR(IF(VLOOKUP(CONCATENATE($A13,"_",AS$1),SP_ACQ_Lib[],MATCH(AS$2,SP_ACQ_Lib[#Headers],0),FALSE)=0,"",VLOOKUP(CONCATENATE($A13,"_",AS$1),SP_ACQ_Lib[],MATCH(AS$2,SP_ACQ_Lib[#Headers],0),FALSE)),"")</f>
        <v/>
      </c>
      <c r="AT13" s="251" t="str">
        <f>IFERROR(IF(VLOOKUP(CONCATENATE($A13,"_",AT$1),SP_ACQ_Lib[],MATCH(AT$2,SP_ACQ_Lib[#Headers],0),FALSE)=0,"",VLOOKUP(CONCATENATE($A13,"_",AT$1),SP_ACQ_Lib[],MATCH(AT$2,SP_ACQ_Lib[#Headers],0),FALSE)),"")</f>
        <v/>
      </c>
      <c r="AU13" s="251" t="str">
        <f>IFERROR(IF(VLOOKUP(CONCATENATE($A13,"_",AU$1),SP_ACQ_Lib[],MATCH(AU$2,SP_ACQ_Lib[#Headers],0),FALSE)=0,"",VLOOKUP(CONCATENATE($A13,"_",AU$1),SP_ACQ_Lib[],MATCH(AU$2,SP_ACQ_Lib[#Headers],0),FALSE)),"")</f>
        <v/>
      </c>
      <c r="AV13" s="225" t="str">
        <f>IFERROR(IF(VLOOKUP(CONCATENATE($A13,"_",AV$1),SP_ACQ_Lib[],MATCH(AV$2,SP_ACQ_Lib[#Headers],0),FALSE)=0,"",VLOOKUP(CONCATENATE($A13,"_",AV$1),SP_ACQ_Lib[],MATCH(AV$2,SP_ACQ_Lib[#Headers],0),FALSE)),"")</f>
        <v/>
      </c>
      <c r="AW13" s="251" t="str">
        <f>IFERROR(IF(VLOOKUP(CONCATENATE($A13,"_",AW$1),SP_ACQ_Lib[],MATCH(AW$2,SP_ACQ_Lib[#Headers],0),FALSE)=0,"",VLOOKUP(CONCATENATE($A13,"_",AW$1),SP_ACQ_Lib[],MATCH(AW$2,SP_ACQ_Lib[#Headers],0),FALSE)),"")</f>
        <v/>
      </c>
      <c r="AX13" s="251" t="str">
        <f>IFERROR(IF(VLOOKUP(CONCATENATE($A13,"_",AX$1),SP_ACQ_Lib[],MATCH(AX$2,SP_ACQ_Lib[#Headers],0),FALSE)=0,"",VLOOKUP(CONCATENATE($A13,"_",AX$1),SP_ACQ_Lib[],MATCH(AX$2,SP_ACQ_Lib[#Headers],0),FALSE)),"")</f>
        <v/>
      </c>
      <c r="AY13" s="251" t="str">
        <f>IFERROR(IF(VLOOKUP(CONCATENATE($A13,"_",AY$1),SP_ACQ_Lib[],MATCH(AY$2,SP_ACQ_Lib[#Headers],0),FALSE)=0,"",VLOOKUP(CONCATENATE($A13,"_",AY$1),SP_ACQ_Lib[],MATCH(AY$2,SP_ACQ_Lib[#Headers],0),FALSE)),"")</f>
        <v/>
      </c>
      <c r="AZ13" s="251" t="str">
        <f>IFERROR(IF(VLOOKUP(CONCATENATE($A13,"_",AZ$1),SP_ACQ_Lib[],MATCH(AZ$2,SP_ACQ_Lib[#Headers],0),FALSE)=0,"",VLOOKUP(CONCATENATE($A13,"_",AZ$1),SP_ACQ_Lib[],MATCH(AZ$2,SP_ACQ_Lib[#Headers],0),FALSE)),"")</f>
        <v/>
      </c>
      <c r="BA13" s="251" t="str">
        <f>IFERROR(IF(VLOOKUP(CONCATENATE($A13,"_",BA$1),SP_ACQ_Lib[],MATCH(BA$2,SP_ACQ_Lib[#Headers],0),FALSE)=0,"",VLOOKUP(CONCATENATE($A13,"_",BA$1),SP_ACQ_Lib[],MATCH(BA$2,SP_ACQ_Lib[#Headers],0),FALSE)),"")</f>
        <v/>
      </c>
      <c r="BB13" s="224">
        <f>IFERROR(VLOOKUP(CONCATENATE($A13,"_",BB$1),SP_ACQ_Lib[],MATCH(BB$2,SP_ACQ_Lib[#Headers],0),FALSE),0)</f>
        <v>0</v>
      </c>
      <c r="BC13" s="231">
        <f>IFERROR(VLOOKUP($A13,SP_AcqTract_DB[],MATCH(BC$2,SP_AcqTract_DB[#Headers],0),FALSE),"")</f>
        <v>0</v>
      </c>
      <c r="BD13" s="231">
        <f>IFERROR(VLOOKUP($A13,SP_AcqTract_DB[],MATCH(BD$2,SP_AcqTract_DB[#Headers],0),FALSE),"")</f>
        <v>0</v>
      </c>
      <c r="BE13" s="249" t="str">
        <f>IFERROR(IF(VLOOKUP(CONCATENATE($A13,"_",BE$1),SP_ACQ_Lib[],MATCH(BE$2,SP_ACQ_Lib[#Headers],0),FALSE)=0,"",VLOOKUP(CONCATENATE($A13,"_",BE$1),SP_ACQ_Lib[],MATCH(BE$2,SP_ACQ_Lib[#Headers],0),FALSE)),"")</f>
        <v/>
      </c>
      <c r="BF13" s="249" t="str">
        <f>IFERROR(IF(VLOOKUP(CONCATENATE($A13,"_",BF$1),SP_ACQ_Lib[],MATCH(BF$2,SP_ACQ_Lib[#Headers],0),FALSE)=0,"",VLOOKUP(CONCATENATE($A13,"_",BF$1),SP_ACQ_Lib[],MATCH(BF$2,SP_ACQ_Lib[#Headers],0),FALSE)),"")</f>
        <v/>
      </c>
      <c r="BG13" s="249" t="str">
        <f>IFERROR(IF(VLOOKUP(CONCATENATE($A13,"_",BG$1),SP_ACQ_Lib[],MATCH(BG$2,SP_ACQ_Lib[#Headers],0),FALSE)=0,"",VLOOKUP(CONCATENATE($A13,"_",BG$1),SP_ACQ_Lib[],MATCH(BG$2,SP_ACQ_Lib[#Headers],0),FALSE)),"")</f>
        <v/>
      </c>
      <c r="BH13" s="249" t="str">
        <f>IFERROR(IF(VLOOKUP(CONCATENATE($A13,"_",BH$1),SP_ACQ_Lib[],MATCH(BH$2,SP_ACQ_Lib[#Headers],0),FALSE)=0,"",VLOOKUP(CONCATENATE($A13,"_",BH$1),SP_ACQ_Lib[],MATCH(BH$2,SP_ACQ_Lib[#Headers],0),FALSE)),"")</f>
        <v/>
      </c>
      <c r="BI13" s="249" t="str">
        <f>IFERROR(IF(VLOOKUP(CONCATENATE($A13,"_",BI$1),SP_ACQ_Lib[],MATCH(BI$2,SP_ACQ_Lib[#Headers],0),FALSE)=0,"",VLOOKUP(CONCATENATE($A13,"_",BI$1),SP_ACQ_Lib[],MATCH(BI$2,SP_ACQ_Lib[#Headers],0),FALSE)),"")</f>
        <v/>
      </c>
      <c r="BJ13" s="249" t="str">
        <f>IFERROR(IF(VLOOKUP(CONCATENATE($A13,"_",BJ$1),SP_ACQ_Lib[],MATCH(BJ$2,SP_ACQ_Lib[#Headers],0),FALSE)=0,"",VLOOKUP(CONCATENATE($A13,"_",BJ$1),SP_ACQ_Lib[],MATCH(BJ$2,SP_ACQ_Lib[#Headers],0),FALSE)),"")</f>
        <v/>
      </c>
      <c r="BK13" s="250" t="str">
        <f>IFERROR(IF(VLOOKUP(CONCATENATE($A13,"_",BK$1),SP_ACQ_Lib[],MATCH(BK$2,SP_ACQ_Lib[#Headers],0),FALSE)=0,"",VLOOKUP(CONCATENATE($A13,"_",BK$1),SP_ACQ_Lib[],MATCH(BK$2,SP_ACQ_Lib[#Headers],0),FALSE)),"")</f>
        <v/>
      </c>
      <c r="BL13" s="249" t="str">
        <f>IFERROR(IF(VLOOKUP(CONCATENATE($A13,"_",BL$1),SP_ACQ_Lib[],MATCH(BL$2,SP_ACQ_Lib[#Headers],0),FALSE)=0,"",VLOOKUP(CONCATENATE($A13,"_",BL$1),SP_ACQ_Lib[],MATCH(BL$2,SP_ACQ_Lib[#Headers],0),FALSE)),"")</f>
        <v/>
      </c>
      <c r="BM13" s="249" t="str">
        <f>IFERROR(IF(VLOOKUP(CONCATENATE($A13,"_",BM$1),SP_ACQ_Lib[],MATCH(BM$2,SP_ACQ_Lib[#Headers],0),FALSE)=0,"",VLOOKUP(CONCATENATE($A13,"_",BM$1),SP_ACQ_Lib[],MATCH(BM$2,SP_ACQ_Lib[#Headers],0),FALSE)),"")</f>
        <v/>
      </c>
      <c r="BN13" s="249" t="str">
        <f>IFERROR(IF(VLOOKUP(CONCATENATE($A13,"_",BN$1),SP_ACQ_Lib[],MATCH(BN$2,SP_ACQ_Lib[#Headers],0),FALSE)=0,"",VLOOKUP(CONCATENATE($A13,"_",BN$1),SP_ACQ_Lib[],MATCH(BN$2,SP_ACQ_Lib[#Headers],0),FALSE)),"")</f>
        <v/>
      </c>
    </row>
    <row r="14" spans="1:66" s="226" customFormat="1" ht="25.5" x14ac:dyDescent="0.2">
      <c r="A14" s="192" t="s">
        <v>33</v>
      </c>
      <c r="B14" s="227" t="str">
        <f>IFERROR(VLOOKUP($A14,SP_AcqTract_DB[],MATCH(B$2,SP_AcqTract_DB[#Headers],0),FALSE),"")</f>
        <v>R023654</v>
      </c>
      <c r="C14" s="228" t="str">
        <f>IFERROR(VLOOKUP($A14,SP_AcqTract_DB[],MATCH(C$2,SP_AcqTract_DB[#Headers],0),FALSE),"")</f>
        <v>PH1</v>
      </c>
      <c r="D14" s="208" t="str">
        <f>IFERROR(VLOOKUP($A14,SP_AcqTract_DB[],MATCH(D$2,SP_AcqTract_DB[#Headers],0),FALSE),"")</f>
        <v>Active</v>
      </c>
      <c r="E14" s="208">
        <f>IFERROR(VLOOKUP($A14,SP_AcqTract_DB[],MATCH(E$2,SP_AcqTract_DB[#Headers],0),FALSE),"")</f>
        <v>1</v>
      </c>
      <c r="F14" s="227" t="str">
        <f>IFERROR(VLOOKUP($A14,SP_AcqTract_DB[],MATCH(F$2,SP_AcqTract_DB[#Headers],0),FALSE),"")</f>
        <v>Levee Esmt</v>
      </c>
      <c r="G14" s="227" t="str">
        <f>IFERROR(VLOOKUP($A14,SP_AcqTract_DB[],MATCH(G$2,SP_AcqTract_DB[#Headers],0),FALSE),"")</f>
        <v>Lily Khan</v>
      </c>
      <c r="H14" s="250">
        <f>IFERROR(IF(VLOOKUP(CONCATENATE($A14,"_",H$1),SP_ACQ_Lib[],MATCH(H$2,SP_ACQ_Lib[#Headers],0),FALSE)=0,"",VLOOKUP(CONCATENATE($A14,"_",H$1),SP_ACQ_Lib[],MATCH(H$2,SP_ACQ_Lib[#Headers],0),FALSE)),"")</f>
        <v>44021.721331018518</v>
      </c>
      <c r="I14" s="227" t="str">
        <f>IFERROR(VLOOKUP($A14,SP_AcqTract_DB[],MATCH(I$2,SP_AcqTract_DB[#Headers],0),FALSE),"")</f>
        <v>Alma Curtis Life Estate, and Sandra Curtis</v>
      </c>
      <c r="J14" s="227">
        <f>IFERROR(VLOOKUP($A14,SP_AcqTract_DB[],MATCH(J$2,SP_AcqTract_DB[#Headers],0),FALSE),"")</f>
        <v>0</v>
      </c>
      <c r="K14" s="227" t="str">
        <f>IFERROR(VLOOKUP($A14,SP_AcqTract_DB[],MATCH(K$2,SP_AcqTract_DB[#Headers],0),FALSE),"")</f>
        <v>Alma Curtis Life Estate, and Sandra Curtis</v>
      </c>
      <c r="L14" s="227" t="str">
        <f>IFERROR(VLOOKUP($A14,SP_AcqTract_DB[],MATCH(L$2,SP_AcqTract_DB[#Headers],0),FALSE),"")</f>
        <v>1816 Azalea Dr.</v>
      </c>
      <c r="M14" s="208" t="str">
        <f>IFERROR(VLOOKUP($A14,SP_AcqTract_DB[],MATCH(M$2,SP_AcqTract_DB[#Headers],0),FALSE),"")</f>
        <v>Wharton, TX</v>
      </c>
      <c r="N14" s="227" t="str">
        <f>IFERROR(VLOOKUP($A14,SP_AcqTract_DB[],MATCH(N$2,SP_AcqTract_DB[#Headers],0),FALSE),"")</f>
        <v>1816 Azalea Dr.</v>
      </c>
      <c r="O14" s="220">
        <f>IFERROR(VLOOKUP($A14,SP_AcqTract_DB[],MATCH(O$2,SP_AcqTract_DB[#Headers],0),FALSE),"")</f>
        <v>0</v>
      </c>
      <c r="P14" s="220">
        <f>IFERROR(VLOOKUP($A14,SP_AcqTract_DB[],MATCH(P$2,SP_AcqTract_DB[#Headers],0),FALSE),"")</f>
        <v>0</v>
      </c>
      <c r="Q14" s="208" t="str">
        <f>IFERROR(VLOOKUP($A14,SP_AcqTract_DB[],MATCH(Q$2,SP_AcqTract_DB[#Headers],0),FALSE),"")</f>
        <v>2019-0807</v>
      </c>
      <c r="R14" s="250">
        <f>IFERROR(IF(VLOOKUP(CONCATENATE($A14,"_",R$1),SP_ACQ_Lib[],MATCH(R$2,SP_ACQ_Lib[#Headers],0),FALSE)=0,"",VLOOKUP(CONCATENATE($A14,"_",R$1),SP_ACQ_Lib[],MATCH(R$2,SP_ACQ_Lib[#Headers],0),FALSE)),"")</f>
        <v>43943</v>
      </c>
      <c r="S14" s="253">
        <f>IFERROR(IF(VLOOKUP(CONCATENATE($A14,"_",S$1),SP_ACQ_Lib[],MATCH(S$2,SP_ACQ_Lib[#Headers],0),FALSE)=0,"",VLOOKUP(CONCATENATE($A14,"_",S$1),SP_ACQ_Lib[],MATCH(S$2,SP_ACQ_Lib[#Headers],0),FALSE)),"")</f>
        <v>43951</v>
      </c>
      <c r="T14" s="205" t="str">
        <f>IFERROR(VLOOKUP(CONCATENATE($A14,"_",T$1),SP_ACQ_Lib[],MATCH(T$2,SP_ACQ_Lib[#Headers],0),FALSE),0)</f>
        <v>Accepted</v>
      </c>
      <c r="U14" s="250">
        <f>IFERROR(IF(VLOOKUP(CONCATENATE($A14,"_",U$1),SP_ACQ_Lib[],MATCH(U$2,SP_ACQ_Lib[#Headers],0),FALSE)=0,"",VLOOKUP(CONCATENATE($A14,"_",U$1),SP_ACQ_Lib[],MATCH(U$2,SP_ACQ_Lib[#Headers],0),FALSE)),"")</f>
        <v>43809</v>
      </c>
      <c r="V14" s="205" t="str">
        <f>IFERROR(VLOOKUP(CONCATENATE($A14,"_",V$1),SP_ACQ_Lib[],MATCH(V$2,SP_ACQ_Lib[#Headers],0),FALSE),0)</f>
        <v>Accepted</v>
      </c>
      <c r="W14" s="209">
        <f>IFERROR(VLOOKUP(CONCATENATE($A14,"_",W$1),SP_ACQ_Lib[],MATCH(W$2,SP_ACQ_Lib[#Headers],0),FALSE),0)</f>
        <v>0</v>
      </c>
      <c r="X14" s="250">
        <f>IFERROR(VLOOKUP($A14,SP_AcqTract_DB[],MATCH(X$2,SP_AcqTract_DB[#Headers],0),FALSE),"")</f>
        <v>43693</v>
      </c>
      <c r="Y14" s="237">
        <f>IFERROR(VLOOKUP($A14,SP_AcqTract_DB[],MATCH(Y$2,SP_AcqTract_DB[#Headers],0),FALSE),"")</f>
        <v>0.13810835629017401</v>
      </c>
      <c r="Z14" s="229">
        <f>IFERROR(VLOOKUP($A14,SP_AcqTract_DB[],MATCH(Z$2,SP_AcqTract_DB[#Headers],0),FALSE),"")</f>
        <v>6016</v>
      </c>
      <c r="AA14" s="229" t="str">
        <f>IFERROR(VLOOKUP($A14,SP_AcqTract_DB[],MATCH(AA$2,SP_AcqTract_DB[#Headers],0),FALSE),"")</f>
        <v>Yes</v>
      </c>
      <c r="AB14" s="250">
        <f>IFERROR(IF(VLOOKUP(CONCATENATE($A14,"_",AB$1),SP_ACQ_Lib[],MATCH(AB$2,SP_ACQ_Lib[#Headers],0),FALSE)=0,"",VLOOKUP(CONCATENATE($A14,"_",AB$1),SP_ACQ_Lib[],MATCH(AB$2,SP_ACQ_Lib[#Headers],0),FALSE)),"")</f>
        <v>43852</v>
      </c>
      <c r="AC14" s="250">
        <f>IFERROR(IF(VLOOKUP(CONCATENATE($A14,"_",AC$1),SP_ACQ_Lib[],MATCH(AC$2,SP_ACQ_Lib[#Headers],0),FALSE)=0,"",VLOOKUP(CONCATENATE($A14,"_",AC$1),SP_ACQ_Lib[],MATCH(AC$2,SP_ACQ_Lib[#Headers],0),FALSE)),"")</f>
        <v>43886</v>
      </c>
      <c r="AD14" s="229" t="str">
        <f>IFERROR(VLOOKUP($A14,SP_AcqTract_DB[],MATCH(AD$2,SP_AcqTract_DB[#Headers],0),FALSE),"")</f>
        <v>Yes</v>
      </c>
      <c r="AE14" s="250">
        <f>IFERROR(IF(VLOOKUP(CONCATENATE($A14,"_",AE$1),SP_ACQ_Lib[],MATCH(AE$2,SP_ACQ_Lib[#Headers],0),FALSE)=0,"",VLOOKUP(CONCATENATE($A14,"_",AE$1),SP_ACQ_Lib[],MATCH(AE$2,SP_ACQ_Lib[#Headers],0),FALSE)),"")</f>
        <v>43852</v>
      </c>
      <c r="AF14" s="250">
        <f>IFERROR(IF(VLOOKUP(CONCATENATE($A14,"_",AF$1),SP_ACQ_Lib[],MATCH(AF$2,SP_ACQ_Lib[#Headers],0),FALSE)=0,"",VLOOKUP(CONCATENATE($A14,"_",AF$1),SP_ACQ_Lib[],MATCH(AF$2,SP_ACQ_Lib[#Headers],0),FALSE)),"")</f>
        <v>43926</v>
      </c>
      <c r="AG14" s="250" t="str">
        <f>IFERROR(IF(VLOOKUP(CONCATENATE($A14,"_",AG$1),SP_ACQ_Lib[],MATCH(AG$2,SP_ACQ_Lib[#Headers],0),FALSE)=0,"",VLOOKUP(CONCATENATE($A14,"_",AG$1),SP_ACQ_Lib[],MATCH(AG$2,SP_ACQ_Lib[#Headers],0),FALSE)),"")</f>
        <v/>
      </c>
      <c r="AH14" s="250">
        <f>IFERROR(IF(VLOOKUP(CONCATENATE($A14,"_",AH$1),SP_ACQ_Lib[],MATCH(AH$2,SP_ACQ_Lib[#Headers],0),FALSE)=0,"",VLOOKUP(CONCATENATE($A14,"_",AH$1),SP_ACQ_Lib[],MATCH(AH$2,SP_ACQ_Lib[#Headers],0),FALSE)),"")</f>
        <v>43690</v>
      </c>
      <c r="AI14" s="249" t="str">
        <f>IFERROR(IF(VLOOKUP(CONCATENATE($A14,"_",AI$1),SP_ACQ_Lib[],MATCH(AI$2,SP_ACQ_Lib[#Headers],0),FALSE)=0,"",VLOOKUP(CONCATENATE($A14,"_",AI$1),SP_ACQ_Lib[],MATCH(AI$2,SP_ACQ_Lib[#Headers],0),FALSE)),"")</f>
        <v/>
      </c>
      <c r="AJ14" s="249" t="str">
        <f>IFERROR(IF(VLOOKUP(CONCATENATE($A14,"_",AJ$1),SP_ACQ_Lib[],MATCH(AJ$2,SP_ACQ_Lib[#Headers],0),FALSE)=0,"",VLOOKUP(CONCATENATE($A14,"_",AJ$1),SP_ACQ_Lib[],MATCH(AJ$2,SP_ACQ_Lib[#Headers],0),FALSE)),"")</f>
        <v/>
      </c>
      <c r="AK14" s="249" t="str">
        <f>IFERROR(IF(VLOOKUP(CONCATENATE($A14,"_",AK$1),SP_ACQ_Lib[],MATCH(AK$2,SP_ACQ_Lib[#Headers],0),FALSE)=0,"",VLOOKUP(CONCATENATE($A14,"_",AK$1),SP_ACQ_Lib[],MATCH(AK$2,SP_ACQ_Lib[#Headers],0),FALSE)),"")</f>
        <v/>
      </c>
      <c r="AL14" s="249">
        <f>IFERROR(VLOOKUP($A14,SP_AcqTract_DB[],MATCH(AL$2,SP_AcqTract_DB[#Headers],0),FALSE),"")</f>
        <v>43927</v>
      </c>
      <c r="AM14" s="227" t="str">
        <f>IFERROR(VLOOKUP($A14,SP_AcqTract_DB[],MATCH(AM$2,SP_AcqTract_DB[#Headers],0),FALSE),"")</f>
        <v>Cameron Boone</v>
      </c>
      <c r="AN14" s="227" t="str">
        <f>IFERROR(VLOOKUP($A14,SP_AcqTract_DB[],MATCH(AN$2,SP_AcqTract_DB[#Headers],0),FALSE),"")</f>
        <v>Richard McGee</v>
      </c>
      <c r="AO14" s="228" t="str">
        <f>IFERROR(VLOOKUP($A14,SP_AcqTract_DB[],MATCH(AO$2,SP_AcqTract_DB[#Headers],0),FALSE),"")</f>
        <v>Yes</v>
      </c>
      <c r="AP14" s="210" t="str">
        <f>IFERROR(VLOOKUP($A14,SP_AcqTract_DB[],MATCH(AP$2,SP_AcqTract_DB[#Headers],0),FALSE),"")</f>
        <v>R</v>
      </c>
      <c r="AQ14" s="252" t="str">
        <f>IFERROR(IF(VLOOKUP(CONCATENATE($A14,"_",AQ$1),SP_ACQ_Lib[],MATCH(AQ$2,SP_ACQ_Lib[#Headers],0),FALSE)=0,"",VLOOKUP(CONCATENATE($A14,"_",AQ$1),SP_ACQ_Lib[],MATCH(AQ$2,SP_ACQ_Lib[#Headers],0),FALSE)),"")</f>
        <v/>
      </c>
      <c r="AR14" s="250">
        <f>IFERROR(IF(VLOOKUP(CONCATENATE($A14,"_",AR$1),SP_ACQ_Lib[],MATCH(AR$2,SP_ACQ_Lib[#Headers],0),FALSE)=0,"",VLOOKUP(CONCATENATE($A14,"_",AR$1),SP_ACQ_Lib[],MATCH(AR$2,SP_ACQ_Lib[#Headers],0),FALSE)),"")</f>
        <v>43685</v>
      </c>
      <c r="AS14" s="249">
        <f>IFERROR(IF(VLOOKUP(CONCATENATE($A14,"_",AS$1),SP_ACQ_Lib[],MATCH(AS$2,SP_ACQ_Lib[#Headers],0),FALSE)=0,"",VLOOKUP(CONCATENATE($A14,"_",AS$1),SP_ACQ_Lib[],MATCH(AS$2,SP_ACQ_Lib[#Headers],0),FALSE)),"")</f>
        <v>43765</v>
      </c>
      <c r="AT14" s="251">
        <f>IFERROR(IF(VLOOKUP(CONCATENATE($A14,"_",AT$1),SP_ACQ_Lib[],MATCH(AT$2,SP_ACQ_Lib[#Headers],0),FALSE)=0,"",VLOOKUP(CONCATENATE($A14,"_",AT$1),SP_ACQ_Lib[],MATCH(AT$2,SP_ACQ_Lib[#Headers],0),FALSE)),"")</f>
        <v>43910</v>
      </c>
      <c r="AU14" s="251">
        <f>IFERROR(IF(VLOOKUP(CONCATENATE($A14,"_",AU$1),SP_ACQ_Lib[],MATCH(AU$2,SP_ACQ_Lib[#Headers],0),FALSE)=0,"",VLOOKUP(CONCATENATE($A14,"_",AU$1),SP_ACQ_Lib[],MATCH(AU$2,SP_ACQ_Lib[#Headers],0),FALSE)),"")</f>
        <v>43985</v>
      </c>
      <c r="AV14" s="225">
        <f>IFERROR(IF(VLOOKUP(CONCATENATE($A14,"_",AV$1),SP_ACQ_Lib[],MATCH(AV$2,SP_ACQ_Lib[#Headers],0),FALSE)=0,"",VLOOKUP(CONCATENATE($A14,"_",AV$1),SP_ACQ_Lib[],MATCH(AV$2,SP_ACQ_Lib[#Headers],0),FALSE)),"")</f>
        <v>82500</v>
      </c>
      <c r="AW14" s="251">
        <f>IFERROR(IF(VLOOKUP(CONCATENATE($A14,"_",AW$1),SP_ACQ_Lib[],MATCH(AW$2,SP_ACQ_Lib[#Headers],0),FALSE)=0,"",VLOOKUP(CONCATENATE($A14,"_",AW$1),SP_ACQ_Lib[],MATCH(AW$2,SP_ACQ_Lib[#Headers],0),FALSE)),"")</f>
        <v>43990</v>
      </c>
      <c r="AX14" s="251">
        <f>IFERROR(IF(VLOOKUP(CONCATENATE($A14,"_",AX$1),SP_ACQ_Lib[],MATCH(AX$2,SP_ACQ_Lib[#Headers],0),FALSE)=0,"",VLOOKUP(CONCATENATE($A14,"_",AX$1),SP_ACQ_Lib[],MATCH(AX$2,SP_ACQ_Lib[#Headers],0),FALSE)),"")</f>
        <v>43990</v>
      </c>
      <c r="AY14" s="251">
        <f>IFERROR(IF(VLOOKUP(CONCATENATE($A14,"_",AY$1),SP_ACQ_Lib[],MATCH(AY$2,SP_ACQ_Lib[#Headers],0),FALSE)=0,"",VLOOKUP(CONCATENATE($A14,"_",AY$1),SP_ACQ_Lib[],MATCH(AY$2,SP_ACQ_Lib[#Headers],0),FALSE)),"")</f>
        <v>43990</v>
      </c>
      <c r="AZ14" s="251">
        <f>IFERROR(IF(VLOOKUP(CONCATENATE($A14,"_",AZ$1),SP_ACQ_Lib[],MATCH(AZ$2,SP_ACQ_Lib[#Headers],0),FALSE)=0,"",VLOOKUP(CONCATENATE($A14,"_",AZ$1),SP_ACQ_Lib[],MATCH(AZ$2,SP_ACQ_Lib[#Headers],0),FALSE)),"")</f>
        <v>44004</v>
      </c>
      <c r="BA14" s="251">
        <f>IFERROR(IF(VLOOKUP(CONCATENATE($A14,"_",BA$1),SP_ACQ_Lib[],MATCH(BA$2,SP_ACQ_Lib[#Headers],0),FALSE)=0,"",VLOOKUP(CONCATENATE($A14,"_",BA$1),SP_ACQ_Lib[],MATCH(BA$2,SP_ACQ_Lib[#Headers],0),FALSE)),"")</f>
        <v>44000</v>
      </c>
      <c r="BB14" s="224">
        <f>IFERROR(VLOOKUP(CONCATENATE($A14,"_",BB$1),SP_ACQ_Lib[],MATCH(BB$2,SP_ACQ_Lib[#Headers],0),FALSE),0)</f>
        <v>0</v>
      </c>
      <c r="BC14" s="231">
        <f>IFERROR(VLOOKUP($A14,SP_AcqTract_DB[],MATCH(BC$2,SP_AcqTract_DB[#Headers],0),FALSE),"")</f>
        <v>43991</v>
      </c>
      <c r="BD14" s="231">
        <f>IFERROR(VLOOKUP($A14,SP_AcqTract_DB[],MATCH(BD$2,SP_AcqTract_DB[#Headers],0),FALSE),"")</f>
        <v>0</v>
      </c>
      <c r="BE14" s="249">
        <f>IFERROR(IF(VLOOKUP(CONCATENATE($A14,"_",BE$1),SP_ACQ_Lib[],MATCH(BE$2,SP_ACQ_Lib[#Headers],0),FALSE)=0,"",VLOOKUP(CONCATENATE($A14,"_",BE$1),SP_ACQ_Lib[],MATCH(BE$2,SP_ACQ_Lib[#Headers],0),FALSE)),"")</f>
        <v>44019</v>
      </c>
      <c r="BF14" s="249">
        <f>IFERROR(IF(VLOOKUP(CONCATENATE($A14,"_",BF$1),SP_ACQ_Lib[],MATCH(BF$2,SP_ACQ_Lib[#Headers],0),FALSE)=0,"",VLOOKUP(CONCATENATE($A14,"_",BF$1),SP_ACQ_Lib[],MATCH(BF$2,SP_ACQ_Lib[#Headers],0),FALSE)),"")</f>
        <v>44020</v>
      </c>
      <c r="BG14" s="249" t="str">
        <f>IFERROR(IF(VLOOKUP(CONCATENATE($A14,"_",BG$1),SP_ACQ_Lib[],MATCH(BG$2,SP_ACQ_Lib[#Headers],0),FALSE)=0,"",VLOOKUP(CONCATENATE($A14,"_",BG$1),SP_ACQ_Lib[],MATCH(BG$2,SP_ACQ_Lib[#Headers],0),FALSE)),"")</f>
        <v/>
      </c>
      <c r="BH14" s="249" t="str">
        <f>IFERROR(IF(VLOOKUP(CONCATENATE($A14,"_",BH$1),SP_ACQ_Lib[],MATCH(BH$2,SP_ACQ_Lib[#Headers],0),FALSE)=0,"",VLOOKUP(CONCATENATE($A14,"_",BH$1),SP_ACQ_Lib[],MATCH(BH$2,SP_ACQ_Lib[#Headers],0),FALSE)),"")</f>
        <v/>
      </c>
      <c r="BI14" s="249" t="str">
        <f>IFERROR(IF(VLOOKUP(CONCATENATE($A14,"_",BI$1),SP_ACQ_Lib[],MATCH(BI$2,SP_ACQ_Lib[#Headers],0),FALSE)=0,"",VLOOKUP(CONCATENATE($A14,"_",BI$1),SP_ACQ_Lib[],MATCH(BI$2,SP_ACQ_Lib[#Headers],0),FALSE)),"")</f>
        <v/>
      </c>
      <c r="BJ14" s="249" t="str">
        <f>IFERROR(IF(VLOOKUP(CONCATENATE($A14,"_",BJ$1),SP_ACQ_Lib[],MATCH(BJ$2,SP_ACQ_Lib[#Headers],0),FALSE)=0,"",VLOOKUP(CONCATENATE($A14,"_",BJ$1),SP_ACQ_Lib[],MATCH(BJ$2,SP_ACQ_Lib[#Headers],0),FALSE)),"")</f>
        <v/>
      </c>
      <c r="BK14" s="250">
        <f>IFERROR(IF(VLOOKUP(CONCATENATE($A14,"_",BK$1),SP_ACQ_Lib[],MATCH(BK$2,SP_ACQ_Lib[#Headers],0),FALSE)=0,"",VLOOKUP(CONCATENATE($A14,"_",BK$1),SP_ACQ_Lib[],MATCH(BK$2,SP_ACQ_Lib[#Headers],0),FALSE)),"")</f>
        <v>43748</v>
      </c>
      <c r="BL14" s="249" t="str">
        <f>IFERROR(IF(VLOOKUP(CONCATENATE($A14,"_",BL$1),SP_ACQ_Lib[],MATCH(BL$2,SP_ACQ_Lib[#Headers],0),FALSE)=0,"",VLOOKUP(CONCATENATE($A14,"_",BL$1),SP_ACQ_Lib[],MATCH(BL$2,SP_ACQ_Lib[#Headers],0),FALSE)),"")</f>
        <v/>
      </c>
      <c r="BM14" s="249" t="str">
        <f>IFERROR(IF(VLOOKUP(CONCATENATE($A14,"_",BM$1),SP_ACQ_Lib[],MATCH(BM$2,SP_ACQ_Lib[#Headers],0),FALSE)=0,"",VLOOKUP(CONCATENATE($A14,"_",BM$1),SP_ACQ_Lib[],MATCH(BM$2,SP_ACQ_Lib[#Headers],0),FALSE)),"")</f>
        <v/>
      </c>
      <c r="BN14" s="249" t="str">
        <f>IFERROR(IF(VLOOKUP(CONCATENATE($A14,"_",BN$1),SP_ACQ_Lib[],MATCH(BN$2,SP_ACQ_Lib[#Headers],0),FALSE)=0,"",VLOOKUP(CONCATENATE($A14,"_",BN$1),SP_ACQ_Lib[],MATCH(BN$2,SP_ACQ_Lib[#Headers],0),FALSE)),"")</f>
        <v/>
      </c>
    </row>
    <row r="15" spans="1:66" s="226" customFormat="1" ht="25.5" x14ac:dyDescent="0.2">
      <c r="A15" s="192" t="s">
        <v>1275</v>
      </c>
      <c r="B15" s="227" t="str">
        <f>IFERROR(VLOOKUP($A15,SP_AcqTract_DB[],MATCH(B$2,SP_AcqTract_DB[#Headers],0),FALSE),"")</f>
        <v>UNKN002</v>
      </c>
      <c r="C15" s="228" t="str">
        <f>IFERROR(VLOOKUP($A15,SP_AcqTract_DB[],MATCH(C$2,SP_AcqTract_DB[#Headers],0),FALSE),"")</f>
        <v>PH1</v>
      </c>
      <c r="D15" s="208" t="str">
        <f>IFERROR(VLOOKUP($A15,SP_AcqTract_DB[],MATCH(D$2,SP_AcqTract_DB[#Headers],0),FALSE),"")</f>
        <v>Active</v>
      </c>
      <c r="E15" s="208">
        <f>IFERROR(VLOOKUP($A15,SP_AcqTract_DB[],MATCH(E$2,SP_AcqTract_DB[#Headers],0),FALSE),"")</f>
        <v>1</v>
      </c>
      <c r="F15" s="227" t="str">
        <f>IFERROR(VLOOKUP($A15,SP_AcqTract_DB[],MATCH(F$2,SP_AcqTract_DB[#Headers],0),FALSE),"")</f>
        <v>Levee Esmt</v>
      </c>
      <c r="G15" s="227">
        <f>IFERROR(VLOOKUP($A15,SP_AcqTract_DB[],MATCH(G$2,SP_AcqTract_DB[#Headers],0),FALSE),"")</f>
        <v>0</v>
      </c>
      <c r="H15" s="250" t="str">
        <f>IFERROR(IF(VLOOKUP(CONCATENATE($A15,"_",H$1),SP_ACQ_Lib[],MATCH(H$2,SP_ACQ_Lib[#Headers],0),FALSE)=0,"",VLOOKUP(CONCATENATE($A15,"_",H$1),SP_ACQ_Lib[],MATCH(H$2,SP_ACQ_Lib[#Headers],0),FALSE)),"")</f>
        <v/>
      </c>
      <c r="I15" s="227" t="str">
        <f>IFERROR(VLOOKUP($A15,SP_AcqTract_DB[],MATCH(I$2,SP_AcqTract_DB[#Headers],0),FALSE),"")</f>
        <v>City of Wharton</v>
      </c>
      <c r="J15" s="227">
        <f>IFERROR(VLOOKUP($A15,SP_AcqTract_DB[],MATCH(J$2,SP_AcqTract_DB[#Headers],0),FALSE),"")</f>
        <v>0</v>
      </c>
      <c r="K15" s="227" t="str">
        <f>IFERROR(VLOOKUP($A15,SP_AcqTract_DB[],MATCH(K$2,SP_AcqTract_DB[#Headers],0),FALSE),"")</f>
        <v>City of Wharton</v>
      </c>
      <c r="L15" s="227" t="str">
        <f>IFERROR(VLOOKUP($A15,SP_AcqTract_DB[],MATCH(L$2,SP_AcqTract_DB[#Headers],0),FALSE),"")</f>
        <v>120 E Caney</v>
      </c>
      <c r="M15" s="208" t="str">
        <f>IFERROR(VLOOKUP($A15,SP_AcqTract_DB[],MATCH(M$2,SP_AcqTract_DB[#Headers],0),FALSE),"")</f>
        <v>Wharton, TX  77488</v>
      </c>
      <c r="N15" s="227">
        <f>IFERROR(VLOOKUP($A15,SP_AcqTract_DB[],MATCH(N$2,SP_AcqTract_DB[#Headers],0),FALSE),"")</f>
        <v>0</v>
      </c>
      <c r="O15" s="220">
        <f>IFERROR(VLOOKUP($A15,SP_AcqTract_DB[],MATCH(O$2,SP_AcqTract_DB[#Headers],0),FALSE),"")</f>
        <v>0</v>
      </c>
      <c r="P15" s="220">
        <f>IFERROR(VLOOKUP($A15,SP_AcqTract_DB[],MATCH(P$2,SP_AcqTract_DB[#Headers],0),FALSE),"")</f>
        <v>0</v>
      </c>
      <c r="Q15" s="208">
        <f>IFERROR(VLOOKUP($A15,SP_AcqTract_DB[],MATCH(Q$2,SP_AcqTract_DB[#Headers],0),FALSE),"")</f>
        <v>0</v>
      </c>
      <c r="R15" s="250" t="str">
        <f>IFERROR(IF(VLOOKUP(CONCATENATE($A15,"_",R$1),SP_ACQ_Lib[],MATCH(R$2,SP_ACQ_Lib[#Headers],0),FALSE)=0,"",VLOOKUP(CONCATENATE($A15,"_",R$1),SP_ACQ_Lib[],MATCH(R$2,SP_ACQ_Lib[#Headers],0),FALSE)),"")</f>
        <v/>
      </c>
      <c r="S15" s="253" t="str">
        <f>IFERROR(IF(VLOOKUP(CONCATENATE($A15,"_",S$1),SP_ACQ_Lib[],MATCH(S$2,SP_ACQ_Lib[#Headers],0),FALSE)=0,"",VLOOKUP(CONCATENATE($A15,"_",S$1),SP_ACQ_Lib[],MATCH(S$2,SP_ACQ_Lib[#Headers],0),FALSE)),"")</f>
        <v/>
      </c>
      <c r="T15" s="205">
        <f>IFERROR(VLOOKUP(CONCATENATE($A15,"_",T$1),SP_ACQ_Lib[],MATCH(T$2,SP_ACQ_Lib[#Headers],0),FALSE),0)</f>
        <v>0</v>
      </c>
      <c r="U15" s="250" t="str">
        <f>IFERROR(IF(VLOOKUP(CONCATENATE($A15,"_",U$1),SP_ACQ_Lib[],MATCH(U$2,SP_ACQ_Lib[#Headers],0),FALSE)=0,"",VLOOKUP(CONCATENATE($A15,"_",U$1),SP_ACQ_Lib[],MATCH(U$2,SP_ACQ_Lib[#Headers],0),FALSE)),"")</f>
        <v/>
      </c>
      <c r="V15" s="205">
        <f>IFERROR(VLOOKUP(CONCATENATE($A15,"_",V$1),SP_ACQ_Lib[],MATCH(V$2,SP_ACQ_Lib[#Headers],0),FALSE),0)</f>
        <v>0</v>
      </c>
      <c r="W15" s="209">
        <f>IFERROR(VLOOKUP(CONCATENATE($A15,"_",W$1),SP_ACQ_Lib[],MATCH(W$2,SP_ACQ_Lib[#Headers],0),FALSE),0)</f>
        <v>0</v>
      </c>
      <c r="X15" s="250">
        <f>IFERROR(VLOOKUP($A15,SP_AcqTract_DB[],MATCH(X$2,SP_AcqTract_DB[#Headers],0),FALSE),"")</f>
        <v>0</v>
      </c>
      <c r="Y15" s="237">
        <f>IFERROR(VLOOKUP($A15,SP_AcqTract_DB[],MATCH(Y$2,SP_AcqTract_DB[#Headers],0),FALSE),"")</f>
        <v>0.377800734618916</v>
      </c>
      <c r="Z15" s="229">
        <f>IFERROR(VLOOKUP($A15,SP_AcqTract_DB[],MATCH(Z$2,SP_AcqTract_DB[#Headers],0),FALSE),"")</f>
        <v>16457</v>
      </c>
      <c r="AA15" s="229" t="str">
        <f>IFERROR(VLOOKUP($A15,SP_AcqTract_DB[],MATCH(AA$2,SP_AcqTract_DB[#Headers],0),FALSE),"")</f>
        <v>No</v>
      </c>
      <c r="AB15" s="250" t="str">
        <f>IFERROR(IF(VLOOKUP(CONCATENATE($A15,"_",AB$1),SP_ACQ_Lib[],MATCH(AB$2,SP_ACQ_Lib[#Headers],0),FALSE)=0,"",VLOOKUP(CONCATENATE($A15,"_",AB$1),SP_ACQ_Lib[],MATCH(AB$2,SP_ACQ_Lib[#Headers],0),FALSE)),"")</f>
        <v/>
      </c>
      <c r="AC15" s="250" t="str">
        <f>IFERROR(IF(VLOOKUP(CONCATENATE($A15,"_",AC$1),SP_ACQ_Lib[],MATCH(AC$2,SP_ACQ_Lib[#Headers],0),FALSE)=0,"",VLOOKUP(CONCATENATE($A15,"_",AC$1),SP_ACQ_Lib[],MATCH(AC$2,SP_ACQ_Lib[#Headers],0),FALSE)),"")</f>
        <v/>
      </c>
      <c r="AD15" s="229" t="str">
        <f>IFERROR(VLOOKUP($A15,SP_AcqTract_DB[],MATCH(AD$2,SP_AcqTract_DB[#Headers],0),FALSE),"")</f>
        <v>Yes</v>
      </c>
      <c r="AE15" s="250">
        <f>IFERROR(IF(VLOOKUP(CONCATENATE($A15,"_",AE$1),SP_ACQ_Lib[],MATCH(AE$2,SP_ACQ_Lib[#Headers],0),FALSE)=0,"",VLOOKUP(CONCATENATE($A15,"_",AE$1),SP_ACQ_Lib[],MATCH(AE$2,SP_ACQ_Lib[#Headers],0),FALSE)),"")</f>
        <v>43991</v>
      </c>
      <c r="AF15" s="250">
        <f>IFERROR(IF(VLOOKUP(CONCATENATE($A15,"_",AF$1),SP_ACQ_Lib[],MATCH(AF$2,SP_ACQ_Lib[#Headers],0),FALSE)=0,"",VLOOKUP(CONCATENATE($A15,"_",AF$1),SP_ACQ_Lib[],MATCH(AF$2,SP_ACQ_Lib[#Headers],0),FALSE)),"")</f>
        <v>43993</v>
      </c>
      <c r="AG15" s="250" t="str">
        <f>IFERROR(IF(VLOOKUP(CONCATENATE($A15,"_",AG$1),SP_ACQ_Lib[],MATCH(AG$2,SP_ACQ_Lib[#Headers],0),FALSE)=0,"",VLOOKUP(CONCATENATE($A15,"_",AG$1),SP_ACQ_Lib[],MATCH(AG$2,SP_ACQ_Lib[#Headers],0),FALSE)),"")</f>
        <v/>
      </c>
      <c r="AH15" s="250" t="str">
        <f>IFERROR(IF(VLOOKUP(CONCATENATE($A15,"_",AH$1),SP_ACQ_Lib[],MATCH(AH$2,SP_ACQ_Lib[#Headers],0),FALSE)=0,"",VLOOKUP(CONCATENATE($A15,"_",AH$1),SP_ACQ_Lib[],MATCH(AH$2,SP_ACQ_Lib[#Headers],0),FALSE)),"")</f>
        <v/>
      </c>
      <c r="AI15" s="249" t="str">
        <f>IFERROR(IF(VLOOKUP(CONCATENATE($A15,"_",AI$1),SP_ACQ_Lib[],MATCH(AI$2,SP_ACQ_Lib[#Headers],0),FALSE)=0,"",VLOOKUP(CONCATENATE($A15,"_",AI$1),SP_ACQ_Lib[],MATCH(AI$2,SP_ACQ_Lib[#Headers],0),FALSE)),"")</f>
        <v/>
      </c>
      <c r="AJ15" s="249" t="str">
        <f>IFERROR(IF(VLOOKUP(CONCATENATE($A15,"_",AJ$1),SP_ACQ_Lib[],MATCH(AJ$2,SP_ACQ_Lib[#Headers],0),FALSE)=0,"",VLOOKUP(CONCATENATE($A15,"_",AJ$1),SP_ACQ_Lib[],MATCH(AJ$2,SP_ACQ_Lib[#Headers],0),FALSE)),"")</f>
        <v/>
      </c>
      <c r="AK15" s="249" t="str">
        <f>IFERROR(IF(VLOOKUP(CONCATENATE($A15,"_",AK$1),SP_ACQ_Lib[],MATCH(AK$2,SP_ACQ_Lib[#Headers],0),FALSE)=0,"",VLOOKUP(CONCATENATE($A15,"_",AK$1),SP_ACQ_Lib[],MATCH(AK$2,SP_ACQ_Lib[#Headers],0),FALSE)),"")</f>
        <v/>
      </c>
      <c r="AL15" s="249">
        <f>IFERROR(VLOOKUP($A15,SP_AcqTract_DB[],MATCH(AL$2,SP_AcqTract_DB[#Headers],0),FALSE),"")</f>
        <v>0</v>
      </c>
      <c r="AM15" s="227">
        <f>IFERROR(VLOOKUP($A15,SP_AcqTract_DB[],MATCH(AM$2,SP_AcqTract_DB[#Headers],0),FALSE),"")</f>
        <v>0</v>
      </c>
      <c r="AN15" s="227">
        <f>IFERROR(VLOOKUP($A15,SP_AcqTract_DB[],MATCH(AN$2,SP_AcqTract_DB[#Headers],0),FALSE),"")</f>
        <v>0</v>
      </c>
      <c r="AO15" s="228">
        <f>IFERROR(VLOOKUP($A15,SP_AcqTract_DB[],MATCH(AO$2,SP_AcqTract_DB[#Headers],0),FALSE),"")</f>
        <v>0</v>
      </c>
      <c r="AP15" s="210">
        <f>IFERROR(VLOOKUP($A15,SP_AcqTract_DB[],MATCH(AP$2,SP_AcqTract_DB[#Headers],0),FALSE),"")</f>
        <v>0</v>
      </c>
      <c r="AQ15" s="252" t="str">
        <f>IFERROR(IF(VLOOKUP(CONCATENATE($A15,"_",AQ$1),SP_ACQ_Lib[],MATCH(AQ$2,SP_ACQ_Lib[#Headers],0),FALSE)=0,"",VLOOKUP(CONCATENATE($A15,"_",AQ$1),SP_ACQ_Lib[],MATCH(AQ$2,SP_ACQ_Lib[#Headers],0),FALSE)),"")</f>
        <v/>
      </c>
      <c r="AR15" s="250" t="str">
        <f>IFERROR(IF(VLOOKUP(CONCATENATE($A15,"_",AR$1),SP_ACQ_Lib[],MATCH(AR$2,SP_ACQ_Lib[#Headers],0),FALSE)=0,"",VLOOKUP(CONCATENATE($A15,"_",AR$1),SP_ACQ_Lib[],MATCH(AR$2,SP_ACQ_Lib[#Headers],0),FALSE)),"")</f>
        <v/>
      </c>
      <c r="AS15" s="249" t="str">
        <f>IFERROR(IF(VLOOKUP(CONCATENATE($A15,"_",AS$1),SP_ACQ_Lib[],MATCH(AS$2,SP_ACQ_Lib[#Headers],0),FALSE)=0,"",VLOOKUP(CONCATENATE($A15,"_",AS$1),SP_ACQ_Lib[],MATCH(AS$2,SP_ACQ_Lib[#Headers],0),FALSE)),"")</f>
        <v/>
      </c>
      <c r="AT15" s="251" t="str">
        <f>IFERROR(IF(VLOOKUP(CONCATENATE($A15,"_",AT$1),SP_ACQ_Lib[],MATCH(AT$2,SP_ACQ_Lib[#Headers],0),FALSE)=0,"",VLOOKUP(CONCATENATE($A15,"_",AT$1),SP_ACQ_Lib[],MATCH(AT$2,SP_ACQ_Lib[#Headers],0),FALSE)),"")</f>
        <v/>
      </c>
      <c r="AU15" s="251" t="str">
        <f>IFERROR(IF(VLOOKUP(CONCATENATE($A15,"_",AU$1),SP_ACQ_Lib[],MATCH(AU$2,SP_ACQ_Lib[#Headers],0),FALSE)=0,"",VLOOKUP(CONCATENATE($A15,"_",AU$1),SP_ACQ_Lib[],MATCH(AU$2,SP_ACQ_Lib[#Headers],0),FALSE)),"")</f>
        <v/>
      </c>
      <c r="AV15" s="225" t="str">
        <f>IFERROR(IF(VLOOKUP(CONCATENATE($A15,"_",AV$1),SP_ACQ_Lib[],MATCH(AV$2,SP_ACQ_Lib[#Headers],0),FALSE)=0,"",VLOOKUP(CONCATENATE($A15,"_",AV$1),SP_ACQ_Lib[],MATCH(AV$2,SP_ACQ_Lib[#Headers],0),FALSE)),"")</f>
        <v/>
      </c>
      <c r="AW15" s="251" t="str">
        <f>IFERROR(IF(VLOOKUP(CONCATENATE($A15,"_",AW$1),SP_ACQ_Lib[],MATCH(AW$2,SP_ACQ_Lib[#Headers],0),FALSE)=0,"",VLOOKUP(CONCATENATE($A15,"_",AW$1),SP_ACQ_Lib[],MATCH(AW$2,SP_ACQ_Lib[#Headers],0),FALSE)),"")</f>
        <v/>
      </c>
      <c r="AX15" s="251" t="str">
        <f>IFERROR(IF(VLOOKUP(CONCATENATE($A15,"_",AX$1),SP_ACQ_Lib[],MATCH(AX$2,SP_ACQ_Lib[#Headers],0),FALSE)=0,"",VLOOKUP(CONCATENATE($A15,"_",AX$1),SP_ACQ_Lib[],MATCH(AX$2,SP_ACQ_Lib[#Headers],0),FALSE)),"")</f>
        <v/>
      </c>
      <c r="AY15" s="251" t="str">
        <f>IFERROR(IF(VLOOKUP(CONCATENATE($A15,"_",AY$1),SP_ACQ_Lib[],MATCH(AY$2,SP_ACQ_Lib[#Headers],0),FALSE)=0,"",VLOOKUP(CONCATENATE($A15,"_",AY$1),SP_ACQ_Lib[],MATCH(AY$2,SP_ACQ_Lib[#Headers],0),FALSE)),"")</f>
        <v/>
      </c>
      <c r="AZ15" s="251" t="str">
        <f>IFERROR(IF(VLOOKUP(CONCATENATE($A15,"_",AZ$1),SP_ACQ_Lib[],MATCH(AZ$2,SP_ACQ_Lib[#Headers],0),FALSE)=0,"",VLOOKUP(CONCATENATE($A15,"_",AZ$1),SP_ACQ_Lib[],MATCH(AZ$2,SP_ACQ_Lib[#Headers],0),FALSE)),"")</f>
        <v/>
      </c>
      <c r="BA15" s="251" t="str">
        <f>IFERROR(IF(VLOOKUP(CONCATENATE($A15,"_",BA$1),SP_ACQ_Lib[],MATCH(BA$2,SP_ACQ_Lib[#Headers],0),FALSE)=0,"",VLOOKUP(CONCATENATE($A15,"_",BA$1),SP_ACQ_Lib[],MATCH(BA$2,SP_ACQ_Lib[#Headers],0),FALSE)),"")</f>
        <v/>
      </c>
      <c r="BB15" s="224">
        <f>IFERROR(VLOOKUP(CONCATENATE($A15,"_",BB$1),SP_ACQ_Lib[],MATCH(BB$2,SP_ACQ_Lib[#Headers],0),FALSE),0)</f>
        <v>0</v>
      </c>
      <c r="BC15" s="231">
        <f>IFERROR(VLOOKUP($A15,SP_AcqTract_DB[],MATCH(BC$2,SP_AcqTract_DB[#Headers],0),FALSE),"")</f>
        <v>0</v>
      </c>
      <c r="BD15" s="231">
        <f>IFERROR(VLOOKUP($A15,SP_AcqTract_DB[],MATCH(BD$2,SP_AcqTract_DB[#Headers],0),FALSE),"")</f>
        <v>0</v>
      </c>
      <c r="BE15" s="249" t="str">
        <f>IFERROR(IF(VLOOKUP(CONCATENATE($A15,"_",BE$1),SP_ACQ_Lib[],MATCH(BE$2,SP_ACQ_Lib[#Headers],0),FALSE)=0,"",VLOOKUP(CONCATENATE($A15,"_",BE$1),SP_ACQ_Lib[],MATCH(BE$2,SP_ACQ_Lib[#Headers],0),FALSE)),"")</f>
        <v/>
      </c>
      <c r="BF15" s="249" t="str">
        <f>IFERROR(IF(VLOOKUP(CONCATENATE($A15,"_",BF$1),SP_ACQ_Lib[],MATCH(BF$2,SP_ACQ_Lib[#Headers],0),FALSE)=0,"",VLOOKUP(CONCATENATE($A15,"_",BF$1),SP_ACQ_Lib[],MATCH(BF$2,SP_ACQ_Lib[#Headers],0),FALSE)),"")</f>
        <v/>
      </c>
      <c r="BG15" s="249" t="str">
        <f>IFERROR(IF(VLOOKUP(CONCATENATE($A15,"_",BG$1),SP_ACQ_Lib[],MATCH(BG$2,SP_ACQ_Lib[#Headers],0),FALSE)=0,"",VLOOKUP(CONCATENATE($A15,"_",BG$1),SP_ACQ_Lib[],MATCH(BG$2,SP_ACQ_Lib[#Headers],0),FALSE)),"")</f>
        <v/>
      </c>
      <c r="BH15" s="249" t="str">
        <f>IFERROR(IF(VLOOKUP(CONCATENATE($A15,"_",BH$1),SP_ACQ_Lib[],MATCH(BH$2,SP_ACQ_Lib[#Headers],0),FALSE)=0,"",VLOOKUP(CONCATENATE($A15,"_",BH$1),SP_ACQ_Lib[],MATCH(BH$2,SP_ACQ_Lib[#Headers],0),FALSE)),"")</f>
        <v/>
      </c>
      <c r="BI15" s="249" t="str">
        <f>IFERROR(IF(VLOOKUP(CONCATENATE($A15,"_",BI$1),SP_ACQ_Lib[],MATCH(BI$2,SP_ACQ_Lib[#Headers],0),FALSE)=0,"",VLOOKUP(CONCATENATE($A15,"_",BI$1),SP_ACQ_Lib[],MATCH(BI$2,SP_ACQ_Lib[#Headers],0),FALSE)),"")</f>
        <v/>
      </c>
      <c r="BJ15" s="249" t="str">
        <f>IFERROR(IF(VLOOKUP(CONCATENATE($A15,"_",BJ$1),SP_ACQ_Lib[],MATCH(BJ$2,SP_ACQ_Lib[#Headers],0),FALSE)=0,"",VLOOKUP(CONCATENATE($A15,"_",BJ$1),SP_ACQ_Lib[],MATCH(BJ$2,SP_ACQ_Lib[#Headers],0),FALSE)),"")</f>
        <v/>
      </c>
      <c r="BK15" s="250" t="str">
        <f>IFERROR(IF(VLOOKUP(CONCATENATE($A15,"_",BK$1),SP_ACQ_Lib[],MATCH(BK$2,SP_ACQ_Lib[#Headers],0),FALSE)=0,"",VLOOKUP(CONCATENATE($A15,"_",BK$1),SP_ACQ_Lib[],MATCH(BK$2,SP_ACQ_Lib[#Headers],0),FALSE)),"")</f>
        <v/>
      </c>
      <c r="BL15" s="249" t="str">
        <f>IFERROR(IF(VLOOKUP(CONCATENATE($A15,"_",BL$1),SP_ACQ_Lib[],MATCH(BL$2,SP_ACQ_Lib[#Headers],0),FALSE)=0,"",VLOOKUP(CONCATENATE($A15,"_",BL$1),SP_ACQ_Lib[],MATCH(BL$2,SP_ACQ_Lib[#Headers],0),FALSE)),"")</f>
        <v/>
      </c>
      <c r="BM15" s="249" t="str">
        <f>IFERROR(IF(VLOOKUP(CONCATENATE($A15,"_",BM$1),SP_ACQ_Lib[],MATCH(BM$2,SP_ACQ_Lib[#Headers],0),FALSE)=0,"",VLOOKUP(CONCATENATE($A15,"_",BM$1),SP_ACQ_Lib[],MATCH(BM$2,SP_ACQ_Lib[#Headers],0),FALSE)),"")</f>
        <v/>
      </c>
      <c r="BN15" s="249" t="str">
        <f>IFERROR(IF(VLOOKUP(CONCATENATE($A15,"_",BN$1),SP_ACQ_Lib[],MATCH(BN$2,SP_ACQ_Lib[#Headers],0),FALSE)=0,"",VLOOKUP(CONCATENATE($A15,"_",BN$1),SP_ACQ_Lib[],MATCH(BN$2,SP_ACQ_Lib[#Headers],0),FALSE)),"")</f>
        <v/>
      </c>
    </row>
    <row r="16" spans="1:66" s="226" customFormat="1" ht="38.25" x14ac:dyDescent="0.2">
      <c r="A16" s="192" t="s">
        <v>34</v>
      </c>
      <c r="B16" s="227" t="str">
        <f>IFERROR(VLOOKUP($A16,SP_AcqTract_DB[],MATCH(B$2,SP_AcqTract_DB[#Headers],0),FALSE),"")</f>
        <v>R023702;R023703;R023704</v>
      </c>
      <c r="C16" s="228" t="str">
        <f>IFERROR(VLOOKUP($A16,SP_AcqTract_DB[],MATCH(C$2,SP_AcqTract_DB[#Headers],0),FALSE),"")</f>
        <v>PH1</v>
      </c>
      <c r="D16" s="208" t="str">
        <f>IFERROR(VLOOKUP($A16,SP_AcqTract_DB[],MATCH(D$2,SP_AcqTract_DB[#Headers],0),FALSE),"")</f>
        <v>Active</v>
      </c>
      <c r="E16" s="208">
        <f>IFERROR(VLOOKUP($A16,SP_AcqTract_DB[],MATCH(E$2,SP_AcqTract_DB[#Headers],0),FALSE),"")</f>
        <v>1</v>
      </c>
      <c r="F16" s="227" t="str">
        <f>IFERROR(VLOOKUP($A16,SP_AcqTract_DB[],MATCH(F$2,SP_AcqTract_DB[#Headers],0),FALSE),"")</f>
        <v>Levee Esmt</v>
      </c>
      <c r="G16" s="227" t="str">
        <f>IFERROR(VLOOKUP($A16,SP_AcqTract_DB[],MATCH(G$2,SP_AcqTract_DB[#Headers],0),FALSE),"")</f>
        <v>Lily Khan</v>
      </c>
      <c r="H16" s="250">
        <f>IFERROR(IF(VLOOKUP(CONCATENATE($A16,"_",H$1),SP_ACQ_Lib[],MATCH(H$2,SP_ACQ_Lib[#Headers],0),FALSE)=0,"",VLOOKUP(CONCATENATE($A16,"_",H$1),SP_ACQ_Lib[],MATCH(H$2,SP_ACQ_Lib[#Headers],0),FALSE)),"")</f>
        <v>44021.664652777778</v>
      </c>
      <c r="I16" s="227" t="str">
        <f>IFERROR(VLOOKUP($A16,SP_AcqTract_DB[],MATCH(I$2,SP_AcqTract_DB[#Headers],0),FALSE),"")</f>
        <v>Marie Evelia Duran</v>
      </c>
      <c r="J16" s="227">
        <f>IFERROR(VLOOKUP($A16,SP_AcqTract_DB[],MATCH(J$2,SP_AcqTract_DB[#Headers],0),FALSE),"")</f>
        <v>0</v>
      </c>
      <c r="K16" s="227" t="str">
        <f>IFERROR(VLOOKUP($A16,SP_AcqTract_DB[],MATCH(K$2,SP_AcqTract_DB[#Headers],0),FALSE),"")</f>
        <v>Marie Evelia Duran</v>
      </c>
      <c r="L16" s="227" t="str">
        <f>IFERROR(VLOOKUP($A16,SP_AcqTract_DB[],MATCH(L$2,SP_AcqTract_DB[#Headers],0),FALSE),"")</f>
        <v>1715 Camellia</v>
      </c>
      <c r="M16" s="208" t="str">
        <f>IFERROR(VLOOKUP($A16,SP_AcqTract_DB[],MATCH(M$2,SP_AcqTract_DB[#Headers],0),FALSE),"")</f>
        <v>Wharton, TX  77488</v>
      </c>
      <c r="N16" s="227" t="str">
        <f>IFERROR(VLOOKUP($A16,SP_AcqTract_DB[],MATCH(N$2,SP_AcqTract_DB[#Headers],0),FALSE),"")</f>
        <v>0, 1713, 1715, 1819 Camelia Ave.</v>
      </c>
      <c r="O16" s="220">
        <f>IFERROR(VLOOKUP($A16,SP_AcqTract_DB[],MATCH(O$2,SP_AcqTract_DB[#Headers],0),FALSE),"")</f>
        <v>0</v>
      </c>
      <c r="P16" s="220">
        <f>IFERROR(VLOOKUP($A16,SP_AcqTract_DB[],MATCH(P$2,SP_AcqTract_DB[#Headers],0),FALSE),"")</f>
        <v>0</v>
      </c>
      <c r="Q16" s="208" t="str">
        <f>IFERROR(VLOOKUP($A16,SP_AcqTract_DB[],MATCH(Q$2,SP_AcqTract_DB[#Headers],0),FALSE),"")</f>
        <v>2019-0808</v>
      </c>
      <c r="R16" s="250">
        <f>IFERROR(IF(VLOOKUP(CONCATENATE($A16,"_",R$1),SP_ACQ_Lib[],MATCH(R$2,SP_ACQ_Lib[#Headers],0),FALSE)=0,"",VLOOKUP(CONCATENATE($A16,"_",R$1),SP_ACQ_Lib[],MATCH(R$2,SP_ACQ_Lib[#Headers],0),FALSE)),"")</f>
        <v>43943</v>
      </c>
      <c r="S16" s="253">
        <f>IFERROR(IF(VLOOKUP(CONCATENATE($A16,"_",S$1),SP_ACQ_Lib[],MATCH(S$2,SP_ACQ_Lib[#Headers],0),FALSE)=0,"",VLOOKUP(CONCATENATE($A16,"_",S$1),SP_ACQ_Lib[],MATCH(S$2,SP_ACQ_Lib[#Headers],0),FALSE)),"")</f>
        <v>43689</v>
      </c>
      <c r="T16" s="205" t="str">
        <f>IFERROR(VLOOKUP(CONCATENATE($A16,"_",T$1),SP_ACQ_Lib[],MATCH(T$2,SP_ACQ_Lib[#Headers],0),FALSE),0)</f>
        <v>Accepted</v>
      </c>
      <c r="U16" s="250">
        <f>IFERROR(IF(VLOOKUP(CONCATENATE($A16,"_",U$1),SP_ACQ_Lib[],MATCH(U$2,SP_ACQ_Lib[#Headers],0),FALSE)=0,"",VLOOKUP(CONCATENATE($A16,"_",U$1),SP_ACQ_Lib[],MATCH(U$2,SP_ACQ_Lib[#Headers],0),FALSE)),"")</f>
        <v>43809</v>
      </c>
      <c r="V16" s="205" t="str">
        <f>IFERROR(VLOOKUP(CONCATENATE($A16,"_",V$1),SP_ACQ_Lib[],MATCH(V$2,SP_ACQ_Lib[#Headers],0),FALSE),0)</f>
        <v>Accepted</v>
      </c>
      <c r="W16" s="209">
        <f>IFERROR(VLOOKUP(CONCATENATE($A16,"_",W$1),SP_ACQ_Lib[],MATCH(W$2,SP_ACQ_Lib[#Headers],0),FALSE),0)</f>
        <v>0</v>
      </c>
      <c r="X16" s="250">
        <f>IFERROR(VLOOKUP($A16,SP_AcqTract_DB[],MATCH(X$2,SP_AcqTract_DB[#Headers],0),FALSE),"")</f>
        <v>43693</v>
      </c>
      <c r="Y16" s="237">
        <f>IFERROR(VLOOKUP($A16,SP_AcqTract_DB[],MATCH(Y$2,SP_AcqTract_DB[#Headers],0),FALSE),"")</f>
        <v>0.99956382001836597</v>
      </c>
      <c r="Z16" s="229">
        <f>IFERROR(VLOOKUP($A16,SP_AcqTract_DB[],MATCH(Z$2,SP_AcqTract_DB[#Headers],0),FALSE),"")</f>
        <v>43541</v>
      </c>
      <c r="AA16" s="229" t="str">
        <f>IFERROR(VLOOKUP($A16,SP_AcqTract_DB[],MATCH(AA$2,SP_AcqTract_DB[#Headers],0),FALSE),"")</f>
        <v>Yes</v>
      </c>
      <c r="AB16" s="250">
        <f>IFERROR(IF(VLOOKUP(CONCATENATE($A16,"_",AB$1),SP_ACQ_Lib[],MATCH(AB$2,SP_ACQ_Lib[#Headers],0),FALSE)=0,"",VLOOKUP(CONCATENATE($A16,"_",AB$1),SP_ACQ_Lib[],MATCH(AB$2,SP_ACQ_Lib[#Headers],0),FALSE)),"")</f>
        <v>43767</v>
      </c>
      <c r="AC16" s="250">
        <f>IFERROR(IF(VLOOKUP(CONCATENATE($A16,"_",AC$1),SP_ACQ_Lib[],MATCH(AC$2,SP_ACQ_Lib[#Headers],0),FALSE)=0,"",VLOOKUP(CONCATENATE($A16,"_",AC$1),SP_ACQ_Lib[],MATCH(AC$2,SP_ACQ_Lib[#Headers],0),FALSE)),"")</f>
        <v>43886</v>
      </c>
      <c r="AD16" s="229" t="str">
        <f>IFERROR(VLOOKUP($A16,SP_AcqTract_DB[],MATCH(AD$2,SP_AcqTract_DB[#Headers],0),FALSE),"")</f>
        <v>Yes</v>
      </c>
      <c r="AE16" s="250">
        <f>IFERROR(IF(VLOOKUP(CONCATENATE($A16,"_",AE$1),SP_ACQ_Lib[],MATCH(AE$2,SP_ACQ_Lib[#Headers],0),FALSE)=0,"",VLOOKUP(CONCATENATE($A16,"_",AE$1),SP_ACQ_Lib[],MATCH(AE$2,SP_ACQ_Lib[#Headers],0),FALSE)),"")</f>
        <v>43767</v>
      </c>
      <c r="AF16" s="250">
        <f>IFERROR(IF(VLOOKUP(CONCATENATE($A16,"_",AF$1),SP_ACQ_Lib[],MATCH(AF$2,SP_ACQ_Lib[#Headers],0),FALSE)=0,"",VLOOKUP(CONCATENATE($A16,"_",AF$1),SP_ACQ_Lib[],MATCH(AF$2,SP_ACQ_Lib[#Headers],0),FALSE)),"")</f>
        <v>43937</v>
      </c>
      <c r="AG16" s="250">
        <f>IFERROR(IF(VLOOKUP(CONCATENATE($A16,"_",AG$1),SP_ACQ_Lib[],MATCH(AG$2,SP_ACQ_Lib[#Headers],0),FALSE)=0,"",VLOOKUP(CONCATENATE($A16,"_",AG$1),SP_ACQ_Lib[],MATCH(AG$2,SP_ACQ_Lib[#Headers],0),FALSE)),"")</f>
        <v>43680</v>
      </c>
      <c r="AH16" s="250">
        <f>IFERROR(IF(VLOOKUP(CONCATENATE($A16,"_",AH$1),SP_ACQ_Lib[],MATCH(AH$2,SP_ACQ_Lib[#Headers],0),FALSE)=0,"",VLOOKUP(CONCATENATE($A16,"_",AH$1),SP_ACQ_Lib[],MATCH(AH$2,SP_ACQ_Lib[#Headers],0),FALSE)),"")</f>
        <v>43678</v>
      </c>
      <c r="AI16" s="249" t="str">
        <f>IFERROR(IF(VLOOKUP(CONCATENATE($A16,"_",AI$1),SP_ACQ_Lib[],MATCH(AI$2,SP_ACQ_Lib[#Headers],0),FALSE)=0,"",VLOOKUP(CONCATENATE($A16,"_",AI$1),SP_ACQ_Lib[],MATCH(AI$2,SP_ACQ_Lib[#Headers],0),FALSE)),"")</f>
        <v/>
      </c>
      <c r="AJ16" s="249" t="str">
        <f>IFERROR(IF(VLOOKUP(CONCATENATE($A16,"_",AJ$1),SP_ACQ_Lib[],MATCH(AJ$2,SP_ACQ_Lib[#Headers],0),FALSE)=0,"",VLOOKUP(CONCATENATE($A16,"_",AJ$1),SP_ACQ_Lib[],MATCH(AJ$2,SP_ACQ_Lib[#Headers],0),FALSE)),"")</f>
        <v/>
      </c>
      <c r="AK16" s="249" t="str">
        <f>IFERROR(IF(VLOOKUP(CONCATENATE($A16,"_",AK$1),SP_ACQ_Lib[],MATCH(AK$2,SP_ACQ_Lib[#Headers],0),FALSE)=0,"",VLOOKUP(CONCATENATE($A16,"_",AK$1),SP_ACQ_Lib[],MATCH(AK$2,SP_ACQ_Lib[#Headers],0),FALSE)),"")</f>
        <v/>
      </c>
      <c r="AL16" s="249">
        <f>IFERROR(VLOOKUP($A16,SP_AcqTract_DB[],MATCH(AL$2,SP_AcqTract_DB[#Headers],0),FALSE),"")</f>
        <v>43937</v>
      </c>
      <c r="AM16" s="227" t="str">
        <f>IFERROR(VLOOKUP($A16,SP_AcqTract_DB[],MATCH(AM$2,SP_AcqTract_DB[#Headers],0),FALSE),"")</f>
        <v>Cameron Boone</v>
      </c>
      <c r="AN16" s="227" t="str">
        <f>IFERROR(VLOOKUP($A16,SP_AcqTract_DB[],MATCH(AN$2,SP_AcqTract_DB[#Headers],0),FALSE),"")</f>
        <v>Richard McGee</v>
      </c>
      <c r="AO16" s="228">
        <f>IFERROR(VLOOKUP($A16,SP_AcqTract_DB[],MATCH(AO$2,SP_AcqTract_DB[#Headers],0),FALSE),"")</f>
        <v>0</v>
      </c>
      <c r="AP16" s="210" t="str">
        <f>IFERROR(VLOOKUP($A16,SP_AcqTract_DB[],MATCH(AP$2,SP_AcqTract_DB[#Headers],0),FALSE),"")</f>
        <v>R</v>
      </c>
      <c r="AQ16" s="252" t="str">
        <f>IFERROR(IF(VLOOKUP(CONCATENATE($A16,"_",AQ$1),SP_ACQ_Lib[],MATCH(AQ$2,SP_ACQ_Lib[#Headers],0),FALSE)=0,"",VLOOKUP(CONCATENATE($A16,"_",AQ$1),SP_ACQ_Lib[],MATCH(AQ$2,SP_ACQ_Lib[#Headers],0),FALSE)),"")</f>
        <v/>
      </c>
      <c r="AR16" s="250">
        <f>IFERROR(IF(VLOOKUP(CONCATENATE($A16,"_",AR$1),SP_ACQ_Lib[],MATCH(AR$2,SP_ACQ_Lib[#Headers],0),FALSE)=0,"",VLOOKUP(CONCATENATE($A16,"_",AR$1),SP_ACQ_Lib[],MATCH(AR$2,SP_ACQ_Lib[#Headers],0),FALSE)),"")</f>
        <v>43685</v>
      </c>
      <c r="AS16" s="249">
        <f>IFERROR(IF(VLOOKUP(CONCATENATE($A16,"_",AS$1),SP_ACQ_Lib[],MATCH(AS$2,SP_ACQ_Lib[#Headers],0),FALSE)=0,"",VLOOKUP(CONCATENATE($A16,"_",AS$1),SP_ACQ_Lib[],MATCH(AS$2,SP_ACQ_Lib[#Headers],0),FALSE)),"")</f>
        <v>43765</v>
      </c>
      <c r="AT16" s="251">
        <f>IFERROR(IF(VLOOKUP(CONCATENATE($A16,"_",AT$1),SP_ACQ_Lib[],MATCH(AT$2,SP_ACQ_Lib[#Headers],0),FALSE)=0,"",VLOOKUP(CONCATENATE($A16,"_",AT$1),SP_ACQ_Lib[],MATCH(AT$2,SP_ACQ_Lib[#Headers],0),FALSE)),"")</f>
        <v>43912</v>
      </c>
      <c r="AU16" s="251">
        <f>IFERROR(IF(VLOOKUP(CONCATENATE($A16,"_",AU$1),SP_ACQ_Lib[],MATCH(AU$2,SP_ACQ_Lib[#Headers],0),FALSE)=0,"",VLOOKUP(CONCATENATE($A16,"_",AU$1),SP_ACQ_Lib[],MATCH(AU$2,SP_ACQ_Lib[#Headers],0),FALSE)),"")</f>
        <v>44013</v>
      </c>
      <c r="AV16" s="225">
        <f>IFERROR(IF(VLOOKUP(CONCATENATE($A16,"_",AV$1),SP_ACQ_Lib[],MATCH(AV$2,SP_ACQ_Lib[#Headers],0),FALSE)=0,"",VLOOKUP(CONCATENATE($A16,"_",AV$1),SP_ACQ_Lib[],MATCH(AV$2,SP_ACQ_Lib[#Headers],0),FALSE)),"")</f>
        <v>61924</v>
      </c>
      <c r="AW16" s="251">
        <f>IFERROR(IF(VLOOKUP(CONCATENATE($A16,"_",AW$1),SP_ACQ_Lib[],MATCH(AW$2,SP_ACQ_Lib[#Headers],0),FALSE)=0,"",VLOOKUP(CONCATENATE($A16,"_",AW$1),SP_ACQ_Lib[],MATCH(AW$2,SP_ACQ_Lib[#Headers],0),FALSE)),"")</f>
        <v>43998</v>
      </c>
      <c r="AX16" s="251">
        <f>IFERROR(IF(VLOOKUP(CONCATENATE($A16,"_",AX$1),SP_ACQ_Lib[],MATCH(AX$2,SP_ACQ_Lib[#Headers],0),FALSE)=0,"",VLOOKUP(CONCATENATE($A16,"_",AX$1),SP_ACQ_Lib[],MATCH(AX$2,SP_ACQ_Lib[#Headers],0),FALSE)),"")</f>
        <v>43998</v>
      </c>
      <c r="AY16" s="251">
        <f>IFERROR(IF(VLOOKUP(CONCATENATE($A16,"_",AY$1),SP_ACQ_Lib[],MATCH(AY$2,SP_ACQ_Lib[#Headers],0),FALSE)=0,"",VLOOKUP(CONCATENATE($A16,"_",AY$1),SP_ACQ_Lib[],MATCH(AY$2,SP_ACQ_Lib[#Headers],0),FALSE)),"")</f>
        <v>43998</v>
      </c>
      <c r="AZ16" s="251">
        <f>IFERROR(IF(VLOOKUP(CONCATENATE($A16,"_",AZ$1),SP_ACQ_Lib[],MATCH(AZ$2,SP_ACQ_Lib[#Headers],0),FALSE)=0,"",VLOOKUP(CONCATENATE($A16,"_",AZ$1),SP_ACQ_Lib[],MATCH(AZ$2,SP_ACQ_Lib[#Headers],0),FALSE)),"")</f>
        <v>44012</v>
      </c>
      <c r="BA16" s="251">
        <f>IFERROR(IF(VLOOKUP(CONCATENATE($A16,"_",BA$1),SP_ACQ_Lib[],MATCH(BA$2,SP_ACQ_Lib[#Headers],0),FALSE)=0,"",VLOOKUP(CONCATENATE($A16,"_",BA$1),SP_ACQ_Lib[],MATCH(BA$2,SP_ACQ_Lib[#Headers],0),FALSE)),"")</f>
        <v>44012</v>
      </c>
      <c r="BB16" s="224">
        <f>IFERROR(VLOOKUP(CONCATENATE($A16,"_",BB$1),SP_ACQ_Lib[],MATCH(BB$2,SP_ACQ_Lib[#Headers],0),FALSE),0)</f>
        <v>0</v>
      </c>
      <c r="BC16" s="231">
        <f>IFERROR(VLOOKUP($A16,SP_AcqTract_DB[],MATCH(BC$2,SP_AcqTract_DB[#Headers],0),FALSE),"")</f>
        <v>43999</v>
      </c>
      <c r="BD16" s="231">
        <f>IFERROR(VLOOKUP($A16,SP_AcqTract_DB[],MATCH(BD$2,SP_AcqTract_DB[#Headers],0),FALSE),"")</f>
        <v>0</v>
      </c>
      <c r="BE16" s="249">
        <f>IFERROR(IF(VLOOKUP(CONCATENATE($A16,"_",BE$1),SP_ACQ_Lib[],MATCH(BE$2,SP_ACQ_Lib[#Headers],0),FALSE)=0,"",VLOOKUP(CONCATENATE($A16,"_",BE$1),SP_ACQ_Lib[],MATCH(BE$2,SP_ACQ_Lib[#Headers],0),FALSE)),"")</f>
        <v>44018</v>
      </c>
      <c r="BF16" s="249">
        <f>IFERROR(IF(VLOOKUP(CONCATENATE($A16,"_",BF$1),SP_ACQ_Lib[],MATCH(BF$2,SP_ACQ_Lib[#Headers],0),FALSE)=0,"",VLOOKUP(CONCATENATE($A16,"_",BF$1),SP_ACQ_Lib[],MATCH(BF$2,SP_ACQ_Lib[#Headers],0),FALSE)),"")</f>
        <v>44019</v>
      </c>
      <c r="BG16" s="249" t="str">
        <f>IFERROR(IF(VLOOKUP(CONCATENATE($A16,"_",BG$1),SP_ACQ_Lib[],MATCH(BG$2,SP_ACQ_Lib[#Headers],0),FALSE)=0,"",VLOOKUP(CONCATENATE($A16,"_",BG$1),SP_ACQ_Lib[],MATCH(BG$2,SP_ACQ_Lib[#Headers],0),FALSE)),"")</f>
        <v/>
      </c>
      <c r="BH16" s="249" t="str">
        <f>IFERROR(IF(VLOOKUP(CONCATENATE($A16,"_",BH$1),SP_ACQ_Lib[],MATCH(BH$2,SP_ACQ_Lib[#Headers],0),FALSE)=0,"",VLOOKUP(CONCATENATE($A16,"_",BH$1),SP_ACQ_Lib[],MATCH(BH$2,SP_ACQ_Lib[#Headers],0),FALSE)),"")</f>
        <v/>
      </c>
      <c r="BI16" s="249" t="str">
        <f>IFERROR(IF(VLOOKUP(CONCATENATE($A16,"_",BI$1),SP_ACQ_Lib[],MATCH(BI$2,SP_ACQ_Lib[#Headers],0),FALSE)=0,"",VLOOKUP(CONCATENATE($A16,"_",BI$1),SP_ACQ_Lib[],MATCH(BI$2,SP_ACQ_Lib[#Headers],0),FALSE)),"")</f>
        <v/>
      </c>
      <c r="BJ16" s="249" t="str">
        <f>IFERROR(IF(VLOOKUP(CONCATENATE($A16,"_",BJ$1),SP_ACQ_Lib[],MATCH(BJ$2,SP_ACQ_Lib[#Headers],0),FALSE)=0,"",VLOOKUP(CONCATENATE($A16,"_",BJ$1),SP_ACQ_Lib[],MATCH(BJ$2,SP_ACQ_Lib[#Headers],0),FALSE)),"")</f>
        <v/>
      </c>
      <c r="BK16" s="250">
        <f>IFERROR(IF(VLOOKUP(CONCATENATE($A16,"_",BK$1),SP_ACQ_Lib[],MATCH(BK$2,SP_ACQ_Lib[#Headers],0),FALSE)=0,"",VLOOKUP(CONCATENATE($A16,"_",BK$1),SP_ACQ_Lib[],MATCH(BK$2,SP_ACQ_Lib[#Headers],0),FALSE)),"")</f>
        <v>43748</v>
      </c>
      <c r="BL16" s="249" t="str">
        <f>IFERROR(IF(VLOOKUP(CONCATENATE($A16,"_",BL$1),SP_ACQ_Lib[],MATCH(BL$2,SP_ACQ_Lib[#Headers],0),FALSE)=0,"",VLOOKUP(CONCATENATE($A16,"_",BL$1),SP_ACQ_Lib[],MATCH(BL$2,SP_ACQ_Lib[#Headers],0),FALSE)),"")</f>
        <v/>
      </c>
      <c r="BM16" s="249" t="str">
        <f>IFERROR(IF(VLOOKUP(CONCATENATE($A16,"_",BM$1),SP_ACQ_Lib[],MATCH(BM$2,SP_ACQ_Lib[#Headers],0),FALSE)=0,"",VLOOKUP(CONCATENATE($A16,"_",BM$1),SP_ACQ_Lib[],MATCH(BM$2,SP_ACQ_Lib[#Headers],0),FALSE)),"")</f>
        <v/>
      </c>
      <c r="BN16" s="249" t="str">
        <f>IFERROR(IF(VLOOKUP(CONCATENATE($A16,"_",BN$1),SP_ACQ_Lib[],MATCH(BN$2,SP_ACQ_Lib[#Headers],0),FALSE)=0,"",VLOOKUP(CONCATENATE($A16,"_",BN$1),SP_ACQ_Lib[],MATCH(BN$2,SP_ACQ_Lib[#Headers],0),FALSE)),"")</f>
        <v/>
      </c>
    </row>
    <row r="17" spans="1:66" s="226" customFormat="1" ht="38.25" x14ac:dyDescent="0.2">
      <c r="A17" s="192" t="s">
        <v>35</v>
      </c>
      <c r="B17" s="227" t="str">
        <f>IFERROR(VLOOKUP($A17,SP_AcqTract_DB[],MATCH(B$2,SP_AcqTract_DB[#Headers],0),FALSE),"")</f>
        <v>R023708;R023709;R023710</v>
      </c>
      <c r="C17" s="228" t="str">
        <f>IFERROR(VLOOKUP($A17,SP_AcqTract_DB[],MATCH(C$2,SP_AcqTract_DB[#Headers],0),FALSE),"")</f>
        <v>PH1</v>
      </c>
      <c r="D17" s="208" t="str">
        <f>IFERROR(VLOOKUP($A17,SP_AcqTract_DB[],MATCH(D$2,SP_AcqTract_DB[#Headers],0),FALSE),"")</f>
        <v>Active</v>
      </c>
      <c r="E17" s="208">
        <f>IFERROR(VLOOKUP($A17,SP_AcqTract_DB[],MATCH(E$2,SP_AcqTract_DB[#Headers],0),FALSE),"")</f>
        <v>1</v>
      </c>
      <c r="F17" s="227" t="str">
        <f>IFERROR(VLOOKUP($A17,SP_AcqTract_DB[],MATCH(F$2,SP_AcqTract_DB[#Headers],0),FALSE),"")</f>
        <v>Levee Esmt</v>
      </c>
      <c r="G17" s="227" t="str">
        <f>IFERROR(VLOOKUP($A17,SP_AcqTract_DB[],MATCH(G$2,SP_AcqTract_DB[#Headers],0),FALSE),"")</f>
        <v>Lily Khan</v>
      </c>
      <c r="H17" s="250">
        <f>IFERROR(IF(VLOOKUP(CONCATENATE($A17,"_",H$1),SP_ACQ_Lib[],MATCH(H$2,SP_ACQ_Lib[#Headers],0),FALSE)=0,"",VLOOKUP(CONCATENATE($A17,"_",H$1),SP_ACQ_Lib[],MATCH(H$2,SP_ACQ_Lib[#Headers],0),FALSE)),"")</f>
        <v>43998.601782407408</v>
      </c>
      <c r="I17" s="227" t="str">
        <f>IFERROR(VLOOKUP($A17,SP_AcqTract_DB[],MATCH(I$2,SP_AcqTract_DB[#Headers],0),FALSE),"")</f>
        <v>Troy Q. Allen</v>
      </c>
      <c r="J17" s="227">
        <f>IFERROR(VLOOKUP($A17,SP_AcqTract_DB[],MATCH(J$2,SP_AcqTract_DB[#Headers],0),FALSE),"")</f>
        <v>0</v>
      </c>
      <c r="K17" s="227" t="str">
        <f>IFERROR(VLOOKUP($A17,SP_AcqTract_DB[],MATCH(K$2,SP_AcqTract_DB[#Headers],0),FALSE),"")</f>
        <v>Troy Q. Allen</v>
      </c>
      <c r="L17" s="227" t="str">
        <f>IFERROR(VLOOKUP($A17,SP_AcqTract_DB[],MATCH(L$2,SP_AcqTract_DB[#Headers],0),FALSE),"")</f>
        <v>1500 Camellia St</v>
      </c>
      <c r="M17" s="208" t="str">
        <f>IFERROR(VLOOKUP($A17,SP_AcqTract_DB[],MATCH(M$2,SP_AcqTract_DB[#Headers],0),FALSE),"")</f>
        <v>Wharton, TX</v>
      </c>
      <c r="N17" s="227" t="str">
        <f>IFERROR(VLOOKUP($A17,SP_AcqTract_DB[],MATCH(N$2,SP_AcqTract_DB[#Headers],0),FALSE),"")</f>
        <v>1617 Camelia St</v>
      </c>
      <c r="O17" s="220">
        <f>IFERROR(VLOOKUP($A17,SP_AcqTract_DB[],MATCH(O$2,SP_AcqTract_DB[#Headers],0),FALSE),"")</f>
        <v>0</v>
      </c>
      <c r="P17" s="220" t="str">
        <f>IFERROR(VLOOKUP($A17,SP_AcqTract_DB[],MATCH(P$2,SP_AcqTract_DB[#Headers],0),FALSE),"")</f>
        <v>X</v>
      </c>
      <c r="Q17" s="208" t="str">
        <f>IFERROR(VLOOKUP($A17,SP_AcqTract_DB[],MATCH(Q$2,SP_AcqTract_DB[#Headers],0),FALSE),"")</f>
        <v>2019-0809</v>
      </c>
      <c r="R17" s="250">
        <f>IFERROR(IF(VLOOKUP(CONCATENATE($A17,"_",R$1),SP_ACQ_Lib[],MATCH(R$2,SP_ACQ_Lib[#Headers],0),FALSE)=0,"",VLOOKUP(CONCATENATE($A17,"_",R$1),SP_ACQ_Lib[],MATCH(R$2,SP_ACQ_Lib[#Headers],0),FALSE)),"")</f>
        <v>43930</v>
      </c>
      <c r="S17" s="253">
        <f>IFERROR(IF(VLOOKUP(CONCATENATE($A17,"_",S$1),SP_ACQ_Lib[],MATCH(S$2,SP_ACQ_Lib[#Headers],0),FALSE)=0,"",VLOOKUP(CONCATENATE($A17,"_",S$1),SP_ACQ_Lib[],MATCH(S$2,SP_ACQ_Lib[#Headers],0),FALSE)),"")</f>
        <v>43941</v>
      </c>
      <c r="T17" s="205" t="str">
        <f>IFERROR(VLOOKUP(CONCATENATE($A17,"_",T$1),SP_ACQ_Lib[],MATCH(T$2,SP_ACQ_Lib[#Headers],0),FALSE),0)</f>
        <v>Superseded</v>
      </c>
      <c r="U17" s="250">
        <f>IFERROR(IF(VLOOKUP(CONCATENATE($A17,"_",U$1),SP_ACQ_Lib[],MATCH(U$2,SP_ACQ_Lib[#Headers],0),FALSE)=0,"",VLOOKUP(CONCATENATE($A17,"_",U$1),SP_ACQ_Lib[],MATCH(U$2,SP_ACQ_Lib[#Headers],0),FALSE)),"")</f>
        <v>43809</v>
      </c>
      <c r="V17" s="205" t="str">
        <f>IFERROR(VLOOKUP(CONCATENATE($A17,"_",V$1),SP_ACQ_Lib[],MATCH(V$2,SP_ACQ_Lib[#Headers],0),FALSE),0)</f>
        <v>Accepted</v>
      </c>
      <c r="W17" s="209">
        <f>IFERROR(VLOOKUP(CONCATENATE($A17,"_",W$1),SP_ACQ_Lib[],MATCH(W$2,SP_ACQ_Lib[#Headers],0),FALSE),0)</f>
        <v>0</v>
      </c>
      <c r="X17" s="250">
        <f>IFERROR(VLOOKUP($A17,SP_AcqTract_DB[],MATCH(X$2,SP_AcqTract_DB[#Headers],0),FALSE),"")</f>
        <v>43693</v>
      </c>
      <c r="Y17" s="237">
        <f>IFERROR(VLOOKUP($A17,SP_AcqTract_DB[],MATCH(Y$2,SP_AcqTract_DB[#Headers],0),FALSE),"")</f>
        <v>1.2039944903581301</v>
      </c>
      <c r="Z17" s="229">
        <f>IFERROR(VLOOKUP($A17,SP_AcqTract_DB[],MATCH(Z$2,SP_AcqTract_DB[#Headers],0),FALSE),"")</f>
        <v>52446</v>
      </c>
      <c r="AA17" s="229" t="str">
        <f>IFERROR(VLOOKUP($A17,SP_AcqTract_DB[],MATCH(AA$2,SP_AcqTract_DB[#Headers],0),FALSE),"")</f>
        <v>Yes</v>
      </c>
      <c r="AB17" s="250">
        <f>IFERROR(IF(VLOOKUP(CONCATENATE($A17,"_",AB$1),SP_ACQ_Lib[],MATCH(AB$2,SP_ACQ_Lib[#Headers],0),FALSE)=0,"",VLOOKUP(CONCATENATE($A17,"_",AB$1),SP_ACQ_Lib[],MATCH(AB$2,SP_ACQ_Lib[#Headers],0),FALSE)),"")</f>
        <v>43847</v>
      </c>
      <c r="AC17" s="250">
        <f>IFERROR(IF(VLOOKUP(CONCATENATE($A17,"_",AC$1),SP_ACQ_Lib[],MATCH(AC$2,SP_ACQ_Lib[#Headers],0),FALSE)=0,"",VLOOKUP(CONCATENATE($A17,"_",AC$1),SP_ACQ_Lib[],MATCH(AC$2,SP_ACQ_Lib[#Headers],0),FALSE)),"")</f>
        <v>43993</v>
      </c>
      <c r="AD17" s="229" t="str">
        <f>IFERROR(VLOOKUP($A17,SP_AcqTract_DB[],MATCH(AD$2,SP_AcqTract_DB[#Headers],0),FALSE),"")</f>
        <v>Yes</v>
      </c>
      <c r="AE17" s="250">
        <f>IFERROR(IF(VLOOKUP(CONCATENATE($A17,"_",AE$1),SP_ACQ_Lib[],MATCH(AE$2,SP_ACQ_Lib[#Headers],0),FALSE)=0,"",VLOOKUP(CONCATENATE($A17,"_",AE$1),SP_ACQ_Lib[],MATCH(AE$2,SP_ACQ_Lib[#Headers],0),FALSE)),"")</f>
        <v>43847</v>
      </c>
      <c r="AF17" s="250">
        <f>IFERROR(IF(VLOOKUP(CONCATENATE($A17,"_",AF$1),SP_ACQ_Lib[],MATCH(AF$2,SP_ACQ_Lib[#Headers],0),FALSE)=0,"",VLOOKUP(CONCATENATE($A17,"_",AF$1),SP_ACQ_Lib[],MATCH(AF$2,SP_ACQ_Lib[#Headers],0),FALSE)),"")</f>
        <v>43993</v>
      </c>
      <c r="AG17" s="250" t="str">
        <f>IFERROR(IF(VLOOKUP(CONCATENATE($A17,"_",AG$1),SP_ACQ_Lib[],MATCH(AG$2,SP_ACQ_Lib[#Headers],0),FALSE)=0,"",VLOOKUP(CONCATENATE($A17,"_",AG$1),SP_ACQ_Lib[],MATCH(AG$2,SP_ACQ_Lib[#Headers],0),FALSE)),"")</f>
        <v/>
      </c>
      <c r="AH17" s="250">
        <f>IFERROR(IF(VLOOKUP(CONCATENATE($A17,"_",AH$1),SP_ACQ_Lib[],MATCH(AH$2,SP_ACQ_Lib[#Headers],0),FALSE)=0,"",VLOOKUP(CONCATENATE($A17,"_",AH$1),SP_ACQ_Lib[],MATCH(AH$2,SP_ACQ_Lib[#Headers],0),FALSE)),"")</f>
        <v>43690</v>
      </c>
      <c r="AI17" s="249" t="str">
        <f>IFERROR(IF(VLOOKUP(CONCATENATE($A17,"_",AI$1),SP_ACQ_Lib[],MATCH(AI$2,SP_ACQ_Lib[#Headers],0),FALSE)=0,"",VLOOKUP(CONCATENATE($A17,"_",AI$1),SP_ACQ_Lib[],MATCH(AI$2,SP_ACQ_Lib[#Headers],0),FALSE)),"")</f>
        <v/>
      </c>
      <c r="AJ17" s="249" t="str">
        <f>IFERROR(IF(VLOOKUP(CONCATENATE($A17,"_",AJ$1),SP_ACQ_Lib[],MATCH(AJ$2,SP_ACQ_Lib[#Headers],0),FALSE)=0,"",VLOOKUP(CONCATENATE($A17,"_",AJ$1),SP_ACQ_Lib[],MATCH(AJ$2,SP_ACQ_Lib[#Headers],0),FALSE)),"")</f>
        <v/>
      </c>
      <c r="AK17" s="249" t="str">
        <f>IFERROR(IF(VLOOKUP(CONCATENATE($A17,"_",AK$1),SP_ACQ_Lib[],MATCH(AK$2,SP_ACQ_Lib[#Headers],0),FALSE)=0,"",VLOOKUP(CONCATENATE($A17,"_",AK$1),SP_ACQ_Lib[],MATCH(AK$2,SP_ACQ_Lib[#Headers],0),FALSE)),"")</f>
        <v/>
      </c>
      <c r="AL17" s="249">
        <f>IFERROR(VLOOKUP($A17,SP_AcqTract_DB[],MATCH(AL$2,SP_AcqTract_DB[#Headers],0),FALSE),"")</f>
        <v>43994</v>
      </c>
      <c r="AM17" s="227" t="str">
        <f>IFERROR(VLOOKUP($A17,SP_AcqTract_DB[],MATCH(AM$2,SP_AcqTract_DB[#Headers],0),FALSE),"")</f>
        <v>Cameron Boone</v>
      </c>
      <c r="AN17" s="227" t="str">
        <f>IFERROR(VLOOKUP($A17,SP_AcqTract_DB[],MATCH(AN$2,SP_AcqTract_DB[#Headers],0),FALSE),"")</f>
        <v>Lory Johnson, Atrium</v>
      </c>
      <c r="AO17" s="228">
        <f>IFERROR(VLOOKUP($A17,SP_AcqTract_DB[],MATCH(AO$2,SP_AcqTract_DB[#Headers],0),FALSE),"")</f>
        <v>0</v>
      </c>
      <c r="AP17" s="210" t="str">
        <f>IFERROR(VLOOKUP($A17,SP_AcqTract_DB[],MATCH(AP$2,SP_AcqTract_DB[#Headers],0),FALSE),"")</f>
        <v>C</v>
      </c>
      <c r="AQ17" s="252">
        <f>IFERROR(IF(VLOOKUP(CONCATENATE($A17,"_",AQ$1),SP_ACQ_Lib[],MATCH(AQ$2,SP_ACQ_Lib[#Headers],0),FALSE)=0,"",VLOOKUP(CONCATENATE($A17,"_",AQ$1),SP_ACQ_Lib[],MATCH(AQ$2,SP_ACQ_Lib[#Headers],0),FALSE)),"")</f>
        <v>43685</v>
      </c>
      <c r="AR17" s="250">
        <f>IFERROR(IF(VLOOKUP(CONCATENATE($A17,"_",AR$1),SP_ACQ_Lib[],MATCH(AR$2,SP_ACQ_Lib[#Headers],0),FALSE)=0,"",VLOOKUP(CONCATENATE($A17,"_",AR$1),SP_ACQ_Lib[],MATCH(AR$2,SP_ACQ_Lib[#Headers],0),FALSE)),"")</f>
        <v>43685</v>
      </c>
      <c r="AS17" s="249">
        <f>IFERROR(IF(VLOOKUP(CONCATENATE($A17,"_",AS$1),SP_ACQ_Lib[],MATCH(AS$2,SP_ACQ_Lib[#Headers],0),FALSE)=0,"",VLOOKUP(CONCATENATE($A17,"_",AS$1),SP_ACQ_Lib[],MATCH(AS$2,SP_ACQ_Lib[#Headers],0),FALSE)),"")</f>
        <v>43765</v>
      </c>
      <c r="AT17" s="251">
        <f>IFERROR(IF(VLOOKUP(CONCATENATE($A17,"_",AT$1),SP_ACQ_Lib[],MATCH(AT$2,SP_ACQ_Lib[#Headers],0),FALSE)=0,"",VLOOKUP(CONCATENATE($A17,"_",AT$1),SP_ACQ_Lib[],MATCH(AT$2,SP_ACQ_Lib[#Headers],0),FALSE)),"")</f>
        <v>43912</v>
      </c>
      <c r="AU17" s="251" t="str">
        <f>IFERROR(IF(VLOOKUP(CONCATENATE($A17,"_",AU$1),SP_ACQ_Lib[],MATCH(AU$2,SP_ACQ_Lib[#Headers],0),FALSE)=0,"",VLOOKUP(CONCATENATE($A17,"_",AU$1),SP_ACQ_Lib[],MATCH(AU$2,SP_ACQ_Lib[#Headers],0),FALSE)),"")</f>
        <v/>
      </c>
      <c r="AV17" s="225">
        <f>IFERROR(IF(VLOOKUP(CONCATENATE($A17,"_",AV$1),SP_ACQ_Lib[],MATCH(AV$2,SP_ACQ_Lib[#Headers],0),FALSE)=0,"",VLOOKUP(CONCATENATE($A17,"_",AV$1),SP_ACQ_Lib[],MATCH(AV$2,SP_ACQ_Lib[#Headers],0),FALSE)),"")</f>
        <v>87608</v>
      </c>
      <c r="AW17" s="251">
        <f>IFERROR(IF(VLOOKUP(CONCATENATE($A17,"_",AW$1),SP_ACQ_Lib[],MATCH(AW$2,SP_ACQ_Lib[#Headers],0),FALSE)=0,"",VLOOKUP(CONCATENATE($A17,"_",AW$1),SP_ACQ_Lib[],MATCH(AW$2,SP_ACQ_Lib[#Headers],0),FALSE)),"")</f>
        <v>44021</v>
      </c>
      <c r="AX17" s="251">
        <f>IFERROR(IF(VLOOKUP(CONCATENATE($A17,"_",AX$1),SP_ACQ_Lib[],MATCH(AX$2,SP_ACQ_Lib[#Headers],0),FALSE)=0,"",VLOOKUP(CONCATENATE($A17,"_",AX$1),SP_ACQ_Lib[],MATCH(AX$2,SP_ACQ_Lib[#Headers],0),FALSE)),"")</f>
        <v>44021</v>
      </c>
      <c r="AY17" s="251">
        <f>IFERROR(IF(VLOOKUP(CONCATENATE($A17,"_",AY$1),SP_ACQ_Lib[],MATCH(AY$2,SP_ACQ_Lib[#Headers],0),FALSE)=0,"",VLOOKUP(CONCATENATE($A17,"_",AY$1),SP_ACQ_Lib[],MATCH(AY$2,SP_ACQ_Lib[#Headers],0),FALSE)),"")</f>
        <v>44025</v>
      </c>
      <c r="AZ17" s="251" t="str">
        <f>IFERROR(IF(VLOOKUP(CONCATENATE($A17,"_",AZ$1),SP_ACQ_Lib[],MATCH(AZ$2,SP_ACQ_Lib[#Headers],0),FALSE)=0,"",VLOOKUP(CONCATENATE($A17,"_",AZ$1),SP_ACQ_Lib[],MATCH(AZ$2,SP_ACQ_Lib[#Headers],0),FALSE)),"")</f>
        <v/>
      </c>
      <c r="BA17" s="251" t="str">
        <f>IFERROR(IF(VLOOKUP(CONCATENATE($A17,"_",BA$1),SP_ACQ_Lib[],MATCH(BA$2,SP_ACQ_Lib[#Headers],0),FALSE)=0,"",VLOOKUP(CONCATENATE($A17,"_",BA$1),SP_ACQ_Lib[],MATCH(BA$2,SP_ACQ_Lib[#Headers],0),FALSE)),"")</f>
        <v/>
      </c>
      <c r="BB17" s="224">
        <f>IFERROR(VLOOKUP(CONCATENATE($A17,"_",BB$1),SP_ACQ_Lib[],MATCH(BB$2,SP_ACQ_Lib[#Headers],0),FALSE),0)</f>
        <v>0</v>
      </c>
      <c r="BC17" s="231">
        <f>IFERROR(VLOOKUP($A17,SP_AcqTract_DB[],MATCH(BC$2,SP_AcqTract_DB[#Headers],0),FALSE),"")</f>
        <v>0</v>
      </c>
      <c r="BD17" s="231">
        <f>IFERROR(VLOOKUP($A17,SP_AcqTract_DB[],MATCH(BD$2,SP_AcqTract_DB[#Headers],0),FALSE),"")</f>
        <v>0</v>
      </c>
      <c r="BE17" s="249" t="str">
        <f>IFERROR(IF(VLOOKUP(CONCATENATE($A17,"_",BE$1),SP_ACQ_Lib[],MATCH(BE$2,SP_ACQ_Lib[#Headers],0),FALSE)=0,"",VLOOKUP(CONCATENATE($A17,"_",BE$1),SP_ACQ_Lib[],MATCH(BE$2,SP_ACQ_Lib[#Headers],0),FALSE)),"")</f>
        <v/>
      </c>
      <c r="BF17" s="249" t="str">
        <f>IFERROR(IF(VLOOKUP(CONCATENATE($A17,"_",BF$1),SP_ACQ_Lib[],MATCH(BF$2,SP_ACQ_Lib[#Headers],0),FALSE)=0,"",VLOOKUP(CONCATENATE($A17,"_",BF$1),SP_ACQ_Lib[],MATCH(BF$2,SP_ACQ_Lib[#Headers],0),FALSE)),"")</f>
        <v/>
      </c>
      <c r="BG17" s="249" t="str">
        <f>IFERROR(IF(VLOOKUP(CONCATENATE($A17,"_",BG$1),SP_ACQ_Lib[],MATCH(BG$2,SP_ACQ_Lib[#Headers],0),FALSE)=0,"",VLOOKUP(CONCATENATE($A17,"_",BG$1),SP_ACQ_Lib[],MATCH(BG$2,SP_ACQ_Lib[#Headers],0),FALSE)),"")</f>
        <v/>
      </c>
      <c r="BH17" s="249" t="str">
        <f>IFERROR(IF(VLOOKUP(CONCATENATE($A17,"_",BH$1),SP_ACQ_Lib[],MATCH(BH$2,SP_ACQ_Lib[#Headers],0),FALSE)=0,"",VLOOKUP(CONCATENATE($A17,"_",BH$1),SP_ACQ_Lib[],MATCH(BH$2,SP_ACQ_Lib[#Headers],0),FALSE)),"")</f>
        <v/>
      </c>
      <c r="BI17" s="249" t="str">
        <f>IFERROR(IF(VLOOKUP(CONCATENATE($A17,"_",BI$1),SP_ACQ_Lib[],MATCH(BI$2,SP_ACQ_Lib[#Headers],0),FALSE)=0,"",VLOOKUP(CONCATENATE($A17,"_",BI$1),SP_ACQ_Lib[],MATCH(BI$2,SP_ACQ_Lib[#Headers],0),FALSE)),"")</f>
        <v/>
      </c>
      <c r="BJ17" s="249" t="str">
        <f>IFERROR(IF(VLOOKUP(CONCATENATE($A17,"_",BJ$1),SP_ACQ_Lib[],MATCH(BJ$2,SP_ACQ_Lib[#Headers],0),FALSE)=0,"",VLOOKUP(CONCATENATE($A17,"_",BJ$1),SP_ACQ_Lib[],MATCH(BJ$2,SP_ACQ_Lib[#Headers],0),FALSE)),"")</f>
        <v/>
      </c>
      <c r="BK17" s="250">
        <f>IFERROR(IF(VLOOKUP(CONCATENATE($A17,"_",BK$1),SP_ACQ_Lib[],MATCH(BK$2,SP_ACQ_Lib[#Headers],0),FALSE)=0,"",VLOOKUP(CONCATENATE($A17,"_",BK$1),SP_ACQ_Lib[],MATCH(BK$2,SP_ACQ_Lib[#Headers],0),FALSE)),"")</f>
        <v>43748</v>
      </c>
      <c r="BL17" s="249" t="str">
        <f>IFERROR(IF(VLOOKUP(CONCATENATE($A17,"_",BL$1),SP_ACQ_Lib[],MATCH(BL$2,SP_ACQ_Lib[#Headers],0),FALSE)=0,"",VLOOKUP(CONCATENATE($A17,"_",BL$1),SP_ACQ_Lib[],MATCH(BL$2,SP_ACQ_Lib[#Headers],0),FALSE)),"")</f>
        <v/>
      </c>
      <c r="BM17" s="249" t="str">
        <f>IFERROR(IF(VLOOKUP(CONCATENATE($A17,"_",BM$1),SP_ACQ_Lib[],MATCH(BM$2,SP_ACQ_Lib[#Headers],0),FALSE)=0,"",VLOOKUP(CONCATENATE($A17,"_",BM$1),SP_ACQ_Lib[],MATCH(BM$2,SP_ACQ_Lib[#Headers],0),FALSE)),"")</f>
        <v/>
      </c>
      <c r="BN17" s="249" t="str">
        <f>IFERROR(IF(VLOOKUP(CONCATENATE($A17,"_",BN$1),SP_ACQ_Lib[],MATCH(BN$2,SP_ACQ_Lib[#Headers],0),FALSE)=0,"",VLOOKUP(CONCATENATE($A17,"_",BN$1),SP_ACQ_Lib[],MATCH(BN$2,SP_ACQ_Lib[#Headers],0),FALSE)),"")</f>
        <v/>
      </c>
    </row>
    <row r="18" spans="1:66" s="226" customFormat="1" ht="38.25" x14ac:dyDescent="0.2">
      <c r="A18" s="192" t="s">
        <v>36</v>
      </c>
      <c r="B18" s="227" t="str">
        <f>IFERROR(VLOOKUP($A18,SP_AcqTract_DB[],MATCH(B$2,SP_AcqTract_DB[#Headers],0),FALSE),"")</f>
        <v>UNKN003</v>
      </c>
      <c r="C18" s="228" t="str">
        <f>IFERROR(VLOOKUP($A18,SP_AcqTract_DB[],MATCH(C$2,SP_AcqTract_DB[#Headers],0),FALSE),"")</f>
        <v>PH1</v>
      </c>
      <c r="D18" s="208" t="str">
        <f>IFERROR(VLOOKUP($A18,SP_AcqTract_DB[],MATCH(D$2,SP_AcqTract_DB[#Headers],0),FALSE),"")</f>
        <v>Active</v>
      </c>
      <c r="E18" s="208">
        <f>IFERROR(VLOOKUP($A18,SP_AcqTract_DB[],MATCH(E$2,SP_AcqTract_DB[#Headers],0),FALSE),"")</f>
        <v>2</v>
      </c>
      <c r="F18" s="227" t="str">
        <f>IFERROR(VLOOKUP($A18,SP_AcqTract_DB[],MATCH(F$2,SP_AcqTract_DB[#Headers],0),FALSE),"")</f>
        <v>Flowage Esmt/Levee Esmt</v>
      </c>
      <c r="G18" s="227">
        <f>IFERROR(VLOOKUP($A18,SP_AcqTract_DB[],MATCH(G$2,SP_AcqTract_DB[#Headers],0),FALSE),"")</f>
        <v>0</v>
      </c>
      <c r="H18" s="250" t="str">
        <f>IFERROR(IF(VLOOKUP(CONCATENATE($A18,"_",H$1),SP_ACQ_Lib[],MATCH(H$2,SP_ACQ_Lib[#Headers],0),FALSE)=0,"",VLOOKUP(CONCATENATE($A18,"_",H$1),SP_ACQ_Lib[],MATCH(H$2,SP_ACQ_Lib[#Headers],0),FALSE)),"")</f>
        <v/>
      </c>
      <c r="I18" s="227" t="str">
        <f>IFERROR(VLOOKUP($A18,SP_AcqTract_DB[],MATCH(I$2,SP_AcqTract_DB[#Headers],0),FALSE),"")</f>
        <v>City of  Wharton</v>
      </c>
      <c r="J18" s="227" t="str">
        <f>IFERROR(VLOOKUP($A18,SP_AcqTract_DB[],MATCH(J$2,SP_AcqTract_DB[#Headers],0),FALSE),"")</f>
        <v>City of Wharton</v>
      </c>
      <c r="K18" s="227" t="str">
        <f>IFERROR(VLOOKUP($A18,SP_AcqTract_DB[],MATCH(K$2,SP_AcqTract_DB[#Headers],0),FALSE),"")</f>
        <v>City of Wharton</v>
      </c>
      <c r="L18" s="227" t="str">
        <f>IFERROR(VLOOKUP($A18,SP_AcqTract_DB[],MATCH(L$2,SP_AcqTract_DB[#Headers],0),FALSE),"")</f>
        <v>120 E Caney</v>
      </c>
      <c r="M18" s="208" t="str">
        <f>IFERROR(VLOOKUP($A18,SP_AcqTract_DB[],MATCH(M$2,SP_AcqTract_DB[#Headers],0),FALSE),"")</f>
        <v>Wharton, TX</v>
      </c>
      <c r="N18" s="227" t="str">
        <f>IFERROR(VLOOKUP($A18,SP_AcqTract_DB[],MATCH(N$2,SP_AcqTract_DB[#Headers],0),FALSE),"")</f>
        <v>Camellia Ave</v>
      </c>
      <c r="O18" s="220">
        <f>IFERROR(VLOOKUP($A18,SP_AcqTract_DB[],MATCH(O$2,SP_AcqTract_DB[#Headers],0),FALSE),"")</f>
        <v>0</v>
      </c>
      <c r="P18" s="220">
        <f>IFERROR(VLOOKUP($A18,SP_AcqTract_DB[],MATCH(P$2,SP_AcqTract_DB[#Headers],0),FALSE),"")</f>
        <v>0</v>
      </c>
      <c r="Q18" s="208">
        <f>IFERROR(VLOOKUP($A18,SP_AcqTract_DB[],MATCH(Q$2,SP_AcqTract_DB[#Headers],0),FALSE),"")</f>
        <v>0</v>
      </c>
      <c r="R18" s="250" t="str">
        <f>IFERROR(IF(VLOOKUP(CONCATENATE($A18,"_",R$1),SP_ACQ_Lib[],MATCH(R$2,SP_ACQ_Lib[#Headers],0),FALSE)=0,"",VLOOKUP(CONCATENATE($A18,"_",R$1),SP_ACQ_Lib[],MATCH(R$2,SP_ACQ_Lib[#Headers],0),FALSE)),"")</f>
        <v/>
      </c>
      <c r="S18" s="253" t="str">
        <f>IFERROR(IF(VLOOKUP(CONCATENATE($A18,"_",S$1),SP_ACQ_Lib[],MATCH(S$2,SP_ACQ_Lib[#Headers],0),FALSE)=0,"",VLOOKUP(CONCATENATE($A18,"_",S$1),SP_ACQ_Lib[],MATCH(S$2,SP_ACQ_Lib[#Headers],0),FALSE)),"")</f>
        <v/>
      </c>
      <c r="T18" s="205">
        <f>IFERROR(VLOOKUP(CONCATENATE($A18,"_",T$1),SP_ACQ_Lib[],MATCH(T$2,SP_ACQ_Lib[#Headers],0),FALSE),0)</f>
        <v>0</v>
      </c>
      <c r="U18" s="250" t="str">
        <f>IFERROR(IF(VLOOKUP(CONCATENATE($A18,"_",U$1),SP_ACQ_Lib[],MATCH(U$2,SP_ACQ_Lib[#Headers],0),FALSE)=0,"",VLOOKUP(CONCATENATE($A18,"_",U$1),SP_ACQ_Lib[],MATCH(U$2,SP_ACQ_Lib[#Headers],0),FALSE)),"")</f>
        <v/>
      </c>
      <c r="V18" s="205">
        <f>IFERROR(VLOOKUP(CONCATENATE($A18,"_",V$1),SP_ACQ_Lib[],MATCH(V$2,SP_ACQ_Lib[#Headers],0),FALSE),0)</f>
        <v>0</v>
      </c>
      <c r="W18" s="209">
        <f>IFERROR(VLOOKUP(CONCATENATE($A18,"_",W$1),SP_ACQ_Lib[],MATCH(W$2,SP_ACQ_Lib[#Headers],0),FALSE),0)</f>
        <v>0</v>
      </c>
      <c r="X18" s="250">
        <f>IFERROR(VLOOKUP($A18,SP_AcqTract_DB[],MATCH(X$2,SP_AcqTract_DB[#Headers],0),FALSE),"")</f>
        <v>0</v>
      </c>
      <c r="Y18" s="237">
        <f>IFERROR(VLOOKUP($A18,SP_AcqTract_DB[],MATCH(Y$2,SP_AcqTract_DB[#Headers],0),FALSE),"")</f>
        <v>2.12</v>
      </c>
      <c r="Z18" s="229">
        <f>IFERROR(VLOOKUP($A18,SP_AcqTract_DB[],MATCH(Z$2,SP_AcqTract_DB[#Headers],0),FALSE),"")</f>
        <v>92347.199999999997</v>
      </c>
      <c r="AA18" s="229" t="str">
        <f>IFERROR(VLOOKUP($A18,SP_AcqTract_DB[],MATCH(AA$2,SP_AcqTract_DB[#Headers],0),FALSE),"")</f>
        <v>No</v>
      </c>
      <c r="AB18" s="250" t="str">
        <f>IFERROR(IF(VLOOKUP(CONCATENATE($A18,"_",AB$1),SP_ACQ_Lib[],MATCH(AB$2,SP_ACQ_Lib[#Headers],0),FALSE)=0,"",VLOOKUP(CONCATENATE($A18,"_",AB$1),SP_ACQ_Lib[],MATCH(AB$2,SP_ACQ_Lib[#Headers],0),FALSE)),"")</f>
        <v/>
      </c>
      <c r="AC18" s="250" t="str">
        <f>IFERROR(IF(VLOOKUP(CONCATENATE($A18,"_",AC$1),SP_ACQ_Lib[],MATCH(AC$2,SP_ACQ_Lib[#Headers],0),FALSE)=0,"",VLOOKUP(CONCATENATE($A18,"_",AC$1),SP_ACQ_Lib[],MATCH(AC$2,SP_ACQ_Lib[#Headers],0),FALSE)),"")</f>
        <v/>
      </c>
      <c r="AD18" s="229" t="str">
        <f>IFERROR(VLOOKUP($A18,SP_AcqTract_DB[],MATCH(AD$2,SP_AcqTract_DB[#Headers],0),FALSE),"")</f>
        <v>Yes</v>
      </c>
      <c r="AE18" s="250">
        <f>IFERROR(IF(VLOOKUP(CONCATENATE($A18,"_",AE$1),SP_ACQ_Lib[],MATCH(AE$2,SP_ACQ_Lib[#Headers],0),FALSE)=0,"",VLOOKUP(CONCATENATE($A18,"_",AE$1),SP_ACQ_Lib[],MATCH(AE$2,SP_ACQ_Lib[#Headers],0),FALSE)),"")</f>
        <v>43991</v>
      </c>
      <c r="AF18" s="250">
        <f>IFERROR(IF(VLOOKUP(CONCATENATE($A18,"_",AF$1),SP_ACQ_Lib[],MATCH(AF$2,SP_ACQ_Lib[#Headers],0),FALSE)=0,"",VLOOKUP(CONCATENATE($A18,"_",AF$1),SP_ACQ_Lib[],MATCH(AF$2,SP_ACQ_Lib[#Headers],0),FALSE)),"")</f>
        <v>43993</v>
      </c>
      <c r="AG18" s="250" t="str">
        <f>IFERROR(IF(VLOOKUP(CONCATENATE($A18,"_",AG$1),SP_ACQ_Lib[],MATCH(AG$2,SP_ACQ_Lib[#Headers],0),FALSE)=0,"",VLOOKUP(CONCATENATE($A18,"_",AG$1),SP_ACQ_Lib[],MATCH(AG$2,SP_ACQ_Lib[#Headers],0),FALSE)),"")</f>
        <v/>
      </c>
      <c r="AH18" s="250" t="str">
        <f>IFERROR(IF(VLOOKUP(CONCATENATE($A18,"_",AH$1),SP_ACQ_Lib[],MATCH(AH$2,SP_ACQ_Lib[#Headers],0),FALSE)=0,"",VLOOKUP(CONCATENATE($A18,"_",AH$1),SP_ACQ_Lib[],MATCH(AH$2,SP_ACQ_Lib[#Headers],0),FALSE)),"")</f>
        <v/>
      </c>
      <c r="AI18" s="249" t="str">
        <f>IFERROR(IF(VLOOKUP(CONCATENATE($A18,"_",AI$1),SP_ACQ_Lib[],MATCH(AI$2,SP_ACQ_Lib[#Headers],0),FALSE)=0,"",VLOOKUP(CONCATENATE($A18,"_",AI$1),SP_ACQ_Lib[],MATCH(AI$2,SP_ACQ_Lib[#Headers],0),FALSE)),"")</f>
        <v/>
      </c>
      <c r="AJ18" s="249" t="str">
        <f>IFERROR(IF(VLOOKUP(CONCATENATE($A18,"_",AJ$1),SP_ACQ_Lib[],MATCH(AJ$2,SP_ACQ_Lib[#Headers],0),FALSE)=0,"",VLOOKUP(CONCATENATE($A18,"_",AJ$1),SP_ACQ_Lib[],MATCH(AJ$2,SP_ACQ_Lib[#Headers],0),FALSE)),"")</f>
        <v/>
      </c>
      <c r="AK18" s="249" t="str">
        <f>IFERROR(IF(VLOOKUP(CONCATENATE($A18,"_",AK$1),SP_ACQ_Lib[],MATCH(AK$2,SP_ACQ_Lib[#Headers],0),FALSE)=0,"",VLOOKUP(CONCATENATE($A18,"_",AK$1),SP_ACQ_Lib[],MATCH(AK$2,SP_ACQ_Lib[#Headers],0),FALSE)),"")</f>
        <v/>
      </c>
      <c r="AL18" s="249">
        <f>IFERROR(VLOOKUP($A18,SP_AcqTract_DB[],MATCH(AL$2,SP_AcqTract_DB[#Headers],0),FALSE),"")</f>
        <v>0</v>
      </c>
      <c r="AM18" s="227">
        <f>IFERROR(VLOOKUP($A18,SP_AcqTract_DB[],MATCH(AM$2,SP_AcqTract_DB[#Headers],0),FALSE),"")</f>
        <v>0</v>
      </c>
      <c r="AN18" s="227">
        <f>IFERROR(VLOOKUP($A18,SP_AcqTract_DB[],MATCH(AN$2,SP_AcqTract_DB[#Headers],0),FALSE),"")</f>
        <v>0</v>
      </c>
      <c r="AO18" s="228">
        <f>IFERROR(VLOOKUP($A18,SP_AcqTract_DB[],MATCH(AO$2,SP_AcqTract_DB[#Headers],0),FALSE),"")</f>
        <v>0</v>
      </c>
      <c r="AP18" s="210">
        <f>IFERROR(VLOOKUP($A18,SP_AcqTract_DB[],MATCH(AP$2,SP_AcqTract_DB[#Headers],0),FALSE),"")</f>
        <v>0</v>
      </c>
      <c r="AQ18" s="252" t="str">
        <f>IFERROR(IF(VLOOKUP(CONCATENATE($A18,"_",AQ$1),SP_ACQ_Lib[],MATCH(AQ$2,SP_ACQ_Lib[#Headers],0),FALSE)=0,"",VLOOKUP(CONCATENATE($A18,"_",AQ$1),SP_ACQ_Lib[],MATCH(AQ$2,SP_ACQ_Lib[#Headers],0),FALSE)),"")</f>
        <v/>
      </c>
      <c r="AR18" s="250" t="str">
        <f>IFERROR(IF(VLOOKUP(CONCATENATE($A18,"_",AR$1),SP_ACQ_Lib[],MATCH(AR$2,SP_ACQ_Lib[#Headers],0),FALSE)=0,"",VLOOKUP(CONCATENATE($A18,"_",AR$1),SP_ACQ_Lib[],MATCH(AR$2,SP_ACQ_Lib[#Headers],0),FALSE)),"")</f>
        <v/>
      </c>
      <c r="AS18" s="249" t="str">
        <f>IFERROR(IF(VLOOKUP(CONCATENATE($A18,"_",AS$1),SP_ACQ_Lib[],MATCH(AS$2,SP_ACQ_Lib[#Headers],0),FALSE)=0,"",VLOOKUP(CONCATENATE($A18,"_",AS$1),SP_ACQ_Lib[],MATCH(AS$2,SP_ACQ_Lib[#Headers],0),FALSE)),"")</f>
        <v/>
      </c>
      <c r="AT18" s="251" t="str">
        <f>IFERROR(IF(VLOOKUP(CONCATENATE($A18,"_",AT$1),SP_ACQ_Lib[],MATCH(AT$2,SP_ACQ_Lib[#Headers],0),FALSE)=0,"",VLOOKUP(CONCATENATE($A18,"_",AT$1),SP_ACQ_Lib[],MATCH(AT$2,SP_ACQ_Lib[#Headers],0),FALSE)),"")</f>
        <v/>
      </c>
      <c r="AU18" s="251" t="str">
        <f>IFERROR(IF(VLOOKUP(CONCATENATE($A18,"_",AU$1),SP_ACQ_Lib[],MATCH(AU$2,SP_ACQ_Lib[#Headers],0),FALSE)=0,"",VLOOKUP(CONCATENATE($A18,"_",AU$1),SP_ACQ_Lib[],MATCH(AU$2,SP_ACQ_Lib[#Headers],0),FALSE)),"")</f>
        <v/>
      </c>
      <c r="AV18" s="225" t="str">
        <f>IFERROR(IF(VLOOKUP(CONCATENATE($A18,"_",AV$1),SP_ACQ_Lib[],MATCH(AV$2,SP_ACQ_Lib[#Headers],0),FALSE)=0,"",VLOOKUP(CONCATENATE($A18,"_",AV$1),SP_ACQ_Lib[],MATCH(AV$2,SP_ACQ_Lib[#Headers],0),FALSE)),"")</f>
        <v/>
      </c>
      <c r="AW18" s="251" t="str">
        <f>IFERROR(IF(VLOOKUP(CONCATENATE($A18,"_",AW$1),SP_ACQ_Lib[],MATCH(AW$2,SP_ACQ_Lib[#Headers],0),FALSE)=0,"",VLOOKUP(CONCATENATE($A18,"_",AW$1),SP_ACQ_Lib[],MATCH(AW$2,SP_ACQ_Lib[#Headers],0),FALSE)),"")</f>
        <v/>
      </c>
      <c r="AX18" s="251" t="str">
        <f>IFERROR(IF(VLOOKUP(CONCATENATE($A18,"_",AX$1),SP_ACQ_Lib[],MATCH(AX$2,SP_ACQ_Lib[#Headers],0),FALSE)=0,"",VLOOKUP(CONCATENATE($A18,"_",AX$1),SP_ACQ_Lib[],MATCH(AX$2,SP_ACQ_Lib[#Headers],0),FALSE)),"")</f>
        <v/>
      </c>
      <c r="AY18" s="251" t="str">
        <f>IFERROR(IF(VLOOKUP(CONCATENATE($A18,"_",AY$1),SP_ACQ_Lib[],MATCH(AY$2,SP_ACQ_Lib[#Headers],0),FALSE)=0,"",VLOOKUP(CONCATENATE($A18,"_",AY$1),SP_ACQ_Lib[],MATCH(AY$2,SP_ACQ_Lib[#Headers],0),FALSE)),"")</f>
        <v/>
      </c>
      <c r="AZ18" s="251" t="str">
        <f>IFERROR(IF(VLOOKUP(CONCATENATE($A18,"_",AZ$1),SP_ACQ_Lib[],MATCH(AZ$2,SP_ACQ_Lib[#Headers],0),FALSE)=0,"",VLOOKUP(CONCATENATE($A18,"_",AZ$1),SP_ACQ_Lib[],MATCH(AZ$2,SP_ACQ_Lib[#Headers],0),FALSE)),"")</f>
        <v/>
      </c>
      <c r="BA18" s="251" t="str">
        <f>IFERROR(IF(VLOOKUP(CONCATENATE($A18,"_",BA$1),SP_ACQ_Lib[],MATCH(BA$2,SP_ACQ_Lib[#Headers],0),FALSE)=0,"",VLOOKUP(CONCATENATE($A18,"_",BA$1),SP_ACQ_Lib[],MATCH(BA$2,SP_ACQ_Lib[#Headers],0),FALSE)),"")</f>
        <v/>
      </c>
      <c r="BB18" s="224">
        <f>IFERROR(VLOOKUP(CONCATENATE($A18,"_",BB$1),SP_ACQ_Lib[],MATCH(BB$2,SP_ACQ_Lib[#Headers],0),FALSE),0)</f>
        <v>0</v>
      </c>
      <c r="BC18" s="231">
        <f>IFERROR(VLOOKUP($A18,SP_AcqTract_DB[],MATCH(BC$2,SP_AcqTract_DB[#Headers],0),FALSE),"")</f>
        <v>0</v>
      </c>
      <c r="BD18" s="231">
        <f>IFERROR(VLOOKUP($A18,SP_AcqTract_DB[],MATCH(BD$2,SP_AcqTract_DB[#Headers],0),FALSE),"")</f>
        <v>0</v>
      </c>
      <c r="BE18" s="249" t="str">
        <f>IFERROR(IF(VLOOKUP(CONCATENATE($A18,"_",BE$1),SP_ACQ_Lib[],MATCH(BE$2,SP_ACQ_Lib[#Headers],0),FALSE)=0,"",VLOOKUP(CONCATENATE($A18,"_",BE$1),SP_ACQ_Lib[],MATCH(BE$2,SP_ACQ_Lib[#Headers],0),FALSE)),"")</f>
        <v/>
      </c>
      <c r="BF18" s="249" t="str">
        <f>IFERROR(IF(VLOOKUP(CONCATENATE($A18,"_",BF$1),SP_ACQ_Lib[],MATCH(BF$2,SP_ACQ_Lib[#Headers],0),FALSE)=0,"",VLOOKUP(CONCATENATE($A18,"_",BF$1),SP_ACQ_Lib[],MATCH(BF$2,SP_ACQ_Lib[#Headers],0),FALSE)),"")</f>
        <v/>
      </c>
      <c r="BG18" s="249" t="str">
        <f>IFERROR(IF(VLOOKUP(CONCATENATE($A18,"_",BG$1),SP_ACQ_Lib[],MATCH(BG$2,SP_ACQ_Lib[#Headers],0),FALSE)=0,"",VLOOKUP(CONCATENATE($A18,"_",BG$1),SP_ACQ_Lib[],MATCH(BG$2,SP_ACQ_Lib[#Headers],0),FALSE)),"")</f>
        <v/>
      </c>
      <c r="BH18" s="249" t="str">
        <f>IFERROR(IF(VLOOKUP(CONCATENATE($A18,"_",BH$1),SP_ACQ_Lib[],MATCH(BH$2,SP_ACQ_Lib[#Headers],0),FALSE)=0,"",VLOOKUP(CONCATENATE($A18,"_",BH$1),SP_ACQ_Lib[],MATCH(BH$2,SP_ACQ_Lib[#Headers],0),FALSE)),"")</f>
        <v/>
      </c>
      <c r="BI18" s="249" t="str">
        <f>IFERROR(IF(VLOOKUP(CONCATENATE($A18,"_",BI$1),SP_ACQ_Lib[],MATCH(BI$2,SP_ACQ_Lib[#Headers],0),FALSE)=0,"",VLOOKUP(CONCATENATE($A18,"_",BI$1),SP_ACQ_Lib[],MATCH(BI$2,SP_ACQ_Lib[#Headers],0),FALSE)),"")</f>
        <v/>
      </c>
      <c r="BJ18" s="249" t="str">
        <f>IFERROR(IF(VLOOKUP(CONCATENATE($A18,"_",BJ$1),SP_ACQ_Lib[],MATCH(BJ$2,SP_ACQ_Lib[#Headers],0),FALSE)=0,"",VLOOKUP(CONCATENATE($A18,"_",BJ$1),SP_ACQ_Lib[],MATCH(BJ$2,SP_ACQ_Lib[#Headers],0),FALSE)),"")</f>
        <v/>
      </c>
      <c r="BK18" s="250" t="str">
        <f>IFERROR(IF(VLOOKUP(CONCATENATE($A18,"_",BK$1),SP_ACQ_Lib[],MATCH(BK$2,SP_ACQ_Lib[#Headers],0),FALSE)=0,"",VLOOKUP(CONCATENATE($A18,"_",BK$1),SP_ACQ_Lib[],MATCH(BK$2,SP_ACQ_Lib[#Headers],0),FALSE)),"")</f>
        <v/>
      </c>
      <c r="BL18" s="249" t="str">
        <f>IFERROR(IF(VLOOKUP(CONCATENATE($A18,"_",BL$1),SP_ACQ_Lib[],MATCH(BL$2,SP_ACQ_Lib[#Headers],0),FALSE)=0,"",VLOOKUP(CONCATENATE($A18,"_",BL$1),SP_ACQ_Lib[],MATCH(BL$2,SP_ACQ_Lib[#Headers],0),FALSE)),"")</f>
        <v/>
      </c>
      <c r="BM18" s="249" t="str">
        <f>IFERROR(IF(VLOOKUP(CONCATENATE($A18,"_",BM$1),SP_ACQ_Lib[],MATCH(BM$2,SP_ACQ_Lib[#Headers],0),FALSE)=0,"",VLOOKUP(CONCATENATE($A18,"_",BM$1),SP_ACQ_Lib[],MATCH(BM$2,SP_ACQ_Lib[#Headers],0),FALSE)),"")</f>
        <v/>
      </c>
      <c r="BN18" s="249" t="str">
        <f>IFERROR(IF(VLOOKUP(CONCATENATE($A18,"_",BN$1),SP_ACQ_Lib[],MATCH(BN$2,SP_ACQ_Lib[#Headers],0),FALSE)=0,"",VLOOKUP(CONCATENATE($A18,"_",BN$1),SP_ACQ_Lib[],MATCH(BN$2,SP_ACQ_Lib[#Headers],0),FALSE)),"")</f>
        <v/>
      </c>
    </row>
    <row r="19" spans="1:66" s="226" customFormat="1" ht="38.25" x14ac:dyDescent="0.2">
      <c r="A19" s="192" t="s">
        <v>37</v>
      </c>
      <c r="B19" s="227" t="str">
        <f>IFERROR(VLOOKUP($A19,SP_AcqTract_DB[],MATCH(B$2,SP_AcqTract_DB[#Headers],0),FALSE),"")</f>
        <v>R023712</v>
      </c>
      <c r="C19" s="228" t="str">
        <f>IFERROR(VLOOKUP($A19,SP_AcqTract_DB[],MATCH(C$2,SP_AcqTract_DB[#Headers],0),FALSE),"")</f>
        <v>PH1</v>
      </c>
      <c r="D19" s="208" t="str">
        <f>IFERROR(VLOOKUP($A19,SP_AcqTract_DB[],MATCH(D$2,SP_AcqTract_DB[#Headers],0),FALSE),"")</f>
        <v>Active</v>
      </c>
      <c r="E19" s="208">
        <f>IFERROR(VLOOKUP($A19,SP_AcqTract_DB[],MATCH(E$2,SP_AcqTract_DB[#Headers],0),FALSE),"")</f>
        <v>2</v>
      </c>
      <c r="F19" s="227" t="str">
        <f>IFERROR(VLOOKUP($A19,SP_AcqTract_DB[],MATCH(F$2,SP_AcqTract_DB[#Headers],0),FALSE),"")</f>
        <v>Flowage Esmt/Levee Esmn</v>
      </c>
      <c r="G19" s="227" t="str">
        <f>IFERROR(VLOOKUP($A19,SP_AcqTract_DB[],MATCH(G$2,SP_AcqTract_DB[#Headers],0),FALSE),"")</f>
        <v>Lily Khan</v>
      </c>
      <c r="H19" s="250">
        <f>IFERROR(IF(VLOOKUP(CONCATENATE($A19,"_",H$1),SP_ACQ_Lib[],MATCH(H$2,SP_ACQ_Lib[#Headers],0),FALSE)=0,"",VLOOKUP(CONCATENATE($A19,"_",H$1),SP_ACQ_Lib[],MATCH(H$2,SP_ACQ_Lib[#Headers],0),FALSE)),"")</f>
        <v>44019.73228009259</v>
      </c>
      <c r="I19" s="227" t="str">
        <f>IFERROR(VLOOKUP($A19,SP_AcqTract_DB[],MATCH(I$2,SP_AcqTract_DB[#Headers],0),FALSE),"")</f>
        <v>Troy Q. Allen</v>
      </c>
      <c r="J19" s="227">
        <f>IFERROR(VLOOKUP($A19,SP_AcqTract_DB[],MATCH(J$2,SP_AcqTract_DB[#Headers],0),FALSE),"")</f>
        <v>0</v>
      </c>
      <c r="K19" s="227" t="str">
        <f>IFERROR(VLOOKUP($A19,SP_AcqTract_DB[],MATCH(K$2,SP_AcqTract_DB[#Headers],0),FALSE),"")</f>
        <v>Troy Q. Allen</v>
      </c>
      <c r="L19" s="227" t="str">
        <f>IFERROR(VLOOKUP($A19,SP_AcqTract_DB[],MATCH(L$2,SP_AcqTract_DB[#Headers],0),FALSE),"")</f>
        <v>1500 Camellia Ave.</v>
      </c>
      <c r="M19" s="208" t="str">
        <f>IFERROR(VLOOKUP($A19,SP_AcqTract_DB[],MATCH(M$2,SP_AcqTract_DB[#Headers],0),FALSE),"")</f>
        <v>Wharton, TX</v>
      </c>
      <c r="N19" s="227" t="str">
        <f>IFERROR(VLOOKUP($A19,SP_AcqTract_DB[],MATCH(N$2,SP_AcqTract_DB[#Headers],0),FALSE),"")</f>
        <v>0 Camellia Ave</v>
      </c>
      <c r="O19" s="220">
        <f>IFERROR(VLOOKUP($A19,SP_AcqTract_DB[],MATCH(O$2,SP_AcqTract_DB[#Headers],0),FALSE),"")</f>
        <v>0</v>
      </c>
      <c r="P19" s="220" t="str">
        <f>IFERROR(VLOOKUP($A19,SP_AcqTract_DB[],MATCH(P$2,SP_AcqTract_DB[#Headers],0),FALSE),"")</f>
        <v>X</v>
      </c>
      <c r="Q19" s="208" t="str">
        <f>IFERROR(VLOOKUP($A19,SP_AcqTract_DB[],MATCH(Q$2,SP_AcqTract_DB[#Headers],0),FALSE),"")</f>
        <v>2019-0809</v>
      </c>
      <c r="R19" s="250">
        <f>IFERROR(IF(VLOOKUP(CONCATENATE($A19,"_",R$1),SP_ACQ_Lib[],MATCH(R$2,SP_ACQ_Lib[#Headers],0),FALSE)=0,"",VLOOKUP(CONCATENATE($A19,"_",R$1),SP_ACQ_Lib[],MATCH(R$2,SP_ACQ_Lib[#Headers],0),FALSE)),"")</f>
        <v>43943</v>
      </c>
      <c r="S19" s="253">
        <f>IFERROR(IF(VLOOKUP(CONCATENATE($A19,"_",S$1),SP_ACQ_Lib[],MATCH(S$2,SP_ACQ_Lib[#Headers],0),FALSE)=0,"",VLOOKUP(CONCATENATE($A19,"_",S$1),SP_ACQ_Lib[],MATCH(S$2,SP_ACQ_Lib[#Headers],0),FALSE)),"")</f>
        <v>43951</v>
      </c>
      <c r="T19" s="205" t="str">
        <f>IFERROR(VLOOKUP(CONCATENATE($A19,"_",T$1),SP_ACQ_Lib[],MATCH(T$2,SP_ACQ_Lib[#Headers],0),FALSE),0)</f>
        <v>Accepted</v>
      </c>
      <c r="U19" s="250">
        <f>IFERROR(IF(VLOOKUP(CONCATENATE($A19,"_",U$1),SP_ACQ_Lib[],MATCH(U$2,SP_ACQ_Lib[#Headers],0),FALSE)=0,"",VLOOKUP(CONCATENATE($A19,"_",U$1),SP_ACQ_Lib[],MATCH(U$2,SP_ACQ_Lib[#Headers],0),FALSE)),"")</f>
        <v>43809</v>
      </c>
      <c r="V19" s="205" t="str">
        <f>IFERROR(VLOOKUP(CONCATENATE($A19,"_",V$1),SP_ACQ_Lib[],MATCH(V$2,SP_ACQ_Lib[#Headers],0),FALSE),0)</f>
        <v>Accepted</v>
      </c>
      <c r="W19" s="209">
        <f>IFERROR(VLOOKUP(CONCATENATE($A19,"_",W$1),SP_ACQ_Lib[],MATCH(W$2,SP_ACQ_Lib[#Headers],0),FALSE),0)</f>
        <v>0</v>
      </c>
      <c r="X19" s="250">
        <f>IFERROR(VLOOKUP($A19,SP_AcqTract_DB[],MATCH(X$2,SP_AcqTract_DB[#Headers],0),FALSE),"")</f>
        <v>43693</v>
      </c>
      <c r="Y19" s="237">
        <f>IFERROR(VLOOKUP($A19,SP_AcqTract_DB[],MATCH(Y$2,SP_AcqTract_DB[#Headers],0),FALSE),"")</f>
        <v>0.62766299357208399</v>
      </c>
      <c r="Z19" s="229">
        <f>IFERROR(VLOOKUP($A19,SP_AcqTract_DB[],MATCH(Z$2,SP_AcqTract_DB[#Headers],0),FALSE),"")</f>
        <v>27341</v>
      </c>
      <c r="AA19" s="229" t="str">
        <f>IFERROR(VLOOKUP($A19,SP_AcqTract_DB[],MATCH(AA$2,SP_AcqTract_DB[#Headers],0),FALSE),"")</f>
        <v>Yes</v>
      </c>
      <c r="AB19" s="250">
        <f>IFERROR(IF(VLOOKUP(CONCATENATE($A19,"_",AB$1),SP_ACQ_Lib[],MATCH(AB$2,SP_ACQ_Lib[#Headers],0),FALSE)=0,"",VLOOKUP(CONCATENATE($A19,"_",AB$1),SP_ACQ_Lib[],MATCH(AB$2,SP_ACQ_Lib[#Headers],0),FALSE)),"")</f>
        <v>43859</v>
      </c>
      <c r="AC19" s="250">
        <f>IFERROR(IF(VLOOKUP(CONCATENATE($A19,"_",AC$1),SP_ACQ_Lib[],MATCH(AC$2,SP_ACQ_Lib[#Headers],0),FALSE)=0,"",VLOOKUP(CONCATENATE($A19,"_",AC$1),SP_ACQ_Lib[],MATCH(AC$2,SP_ACQ_Lib[#Headers],0),FALSE)),"")</f>
        <v>43886</v>
      </c>
      <c r="AD19" s="229" t="str">
        <f>IFERROR(VLOOKUP($A19,SP_AcqTract_DB[],MATCH(AD$2,SP_AcqTract_DB[#Headers],0),FALSE),"")</f>
        <v>Yes</v>
      </c>
      <c r="AE19" s="250">
        <f>IFERROR(IF(VLOOKUP(CONCATENATE($A19,"_",AE$1),SP_ACQ_Lib[],MATCH(AE$2,SP_ACQ_Lib[#Headers],0),FALSE)=0,"",VLOOKUP(CONCATENATE($A19,"_",AE$1),SP_ACQ_Lib[],MATCH(AE$2,SP_ACQ_Lib[#Headers],0),FALSE)),"")</f>
        <v>43859</v>
      </c>
      <c r="AF19" s="250">
        <f>IFERROR(IF(VLOOKUP(CONCATENATE($A19,"_",AF$1),SP_ACQ_Lib[],MATCH(AF$2,SP_ACQ_Lib[#Headers],0),FALSE)=0,"",VLOOKUP(CONCATENATE($A19,"_",AF$1),SP_ACQ_Lib[],MATCH(AF$2,SP_ACQ_Lib[#Headers],0),FALSE)),"")</f>
        <v>43937</v>
      </c>
      <c r="AG19" s="250" t="str">
        <f>IFERROR(IF(VLOOKUP(CONCATENATE($A19,"_",AG$1),SP_ACQ_Lib[],MATCH(AG$2,SP_ACQ_Lib[#Headers],0),FALSE)=0,"",VLOOKUP(CONCATENATE($A19,"_",AG$1),SP_ACQ_Lib[],MATCH(AG$2,SP_ACQ_Lib[#Headers],0),FALSE)),"")</f>
        <v/>
      </c>
      <c r="AH19" s="250">
        <f>IFERROR(IF(VLOOKUP(CONCATENATE($A19,"_",AH$1),SP_ACQ_Lib[],MATCH(AH$2,SP_ACQ_Lib[#Headers],0),FALSE)=0,"",VLOOKUP(CONCATENATE($A19,"_",AH$1),SP_ACQ_Lib[],MATCH(AH$2,SP_ACQ_Lib[#Headers],0),FALSE)),"")</f>
        <v>43690</v>
      </c>
      <c r="AI19" s="249" t="str">
        <f>IFERROR(IF(VLOOKUP(CONCATENATE($A19,"_",AI$1),SP_ACQ_Lib[],MATCH(AI$2,SP_ACQ_Lib[#Headers],0),FALSE)=0,"",VLOOKUP(CONCATENATE($A19,"_",AI$1),SP_ACQ_Lib[],MATCH(AI$2,SP_ACQ_Lib[#Headers],0),FALSE)),"")</f>
        <v/>
      </c>
      <c r="AJ19" s="249" t="str">
        <f>IFERROR(IF(VLOOKUP(CONCATENATE($A19,"_",AJ$1),SP_ACQ_Lib[],MATCH(AJ$2,SP_ACQ_Lib[#Headers],0),FALSE)=0,"",VLOOKUP(CONCATENATE($A19,"_",AJ$1),SP_ACQ_Lib[],MATCH(AJ$2,SP_ACQ_Lib[#Headers],0),FALSE)),"")</f>
        <v/>
      </c>
      <c r="AK19" s="249" t="str">
        <f>IFERROR(IF(VLOOKUP(CONCATENATE($A19,"_",AK$1),SP_ACQ_Lib[],MATCH(AK$2,SP_ACQ_Lib[#Headers],0),FALSE)=0,"",VLOOKUP(CONCATENATE($A19,"_",AK$1),SP_ACQ_Lib[],MATCH(AK$2,SP_ACQ_Lib[#Headers],0),FALSE)),"")</f>
        <v/>
      </c>
      <c r="AL19" s="249">
        <f>IFERROR(VLOOKUP($A19,SP_AcqTract_DB[],MATCH(AL$2,SP_AcqTract_DB[#Headers],0),FALSE),"")</f>
        <v>43937</v>
      </c>
      <c r="AM19" s="227" t="str">
        <f>IFERROR(VLOOKUP($A19,SP_AcqTract_DB[],MATCH(AM$2,SP_AcqTract_DB[#Headers],0),FALSE),"")</f>
        <v>Cameron Boone</v>
      </c>
      <c r="AN19" s="227" t="str">
        <f>IFERROR(VLOOKUP($A19,SP_AcqTract_DB[],MATCH(AN$2,SP_AcqTract_DB[#Headers],0),FALSE),"")</f>
        <v>Lory Johnson, Atrium</v>
      </c>
      <c r="AO19" s="228">
        <f>IFERROR(VLOOKUP($A19,SP_AcqTract_DB[],MATCH(AO$2,SP_AcqTract_DB[#Headers],0),FALSE),"")</f>
        <v>0</v>
      </c>
      <c r="AP19" s="210" t="str">
        <f>IFERROR(VLOOKUP($A19,SP_AcqTract_DB[],MATCH(AP$2,SP_AcqTract_DB[#Headers],0),FALSE),"")</f>
        <v>V</v>
      </c>
      <c r="AQ19" s="252" t="str">
        <f>IFERROR(IF(VLOOKUP(CONCATENATE($A19,"_",AQ$1),SP_ACQ_Lib[],MATCH(AQ$2,SP_ACQ_Lib[#Headers],0),FALSE)=0,"",VLOOKUP(CONCATENATE($A19,"_",AQ$1),SP_ACQ_Lib[],MATCH(AQ$2,SP_ACQ_Lib[#Headers],0),FALSE)),"")</f>
        <v/>
      </c>
      <c r="AR19" s="250" t="str">
        <f>IFERROR(IF(VLOOKUP(CONCATENATE($A19,"_",AR$1),SP_ACQ_Lib[],MATCH(AR$2,SP_ACQ_Lib[#Headers],0),FALSE)=0,"",VLOOKUP(CONCATENATE($A19,"_",AR$1),SP_ACQ_Lib[],MATCH(AR$2,SP_ACQ_Lib[#Headers],0),FALSE)),"")</f>
        <v/>
      </c>
      <c r="AS19" s="249">
        <f>IFERROR(IF(VLOOKUP(CONCATENATE($A19,"_",AS$1),SP_ACQ_Lib[],MATCH(AS$2,SP_ACQ_Lib[#Headers],0),FALSE)=0,"",VLOOKUP(CONCATENATE($A19,"_",AS$1),SP_ACQ_Lib[],MATCH(AS$2,SP_ACQ_Lib[#Headers],0),FALSE)),"")</f>
        <v>43765</v>
      </c>
      <c r="AT19" s="251">
        <f>IFERROR(IF(VLOOKUP(CONCATENATE($A19,"_",AT$1),SP_ACQ_Lib[],MATCH(AT$2,SP_ACQ_Lib[#Headers],0),FALSE)=0,"",VLOOKUP(CONCATENATE($A19,"_",AT$1),SP_ACQ_Lib[],MATCH(AT$2,SP_ACQ_Lib[#Headers],0),FALSE)),"")</f>
        <v>43912</v>
      </c>
      <c r="AU19" s="251">
        <f>IFERROR(IF(VLOOKUP(CONCATENATE($A19,"_",AU$1),SP_ACQ_Lib[],MATCH(AU$2,SP_ACQ_Lib[#Headers],0),FALSE)=0,"",VLOOKUP(CONCATENATE($A19,"_",AU$1),SP_ACQ_Lib[],MATCH(AU$2,SP_ACQ_Lib[#Headers],0),FALSE)),"")</f>
        <v>44013</v>
      </c>
      <c r="AV19" s="225">
        <f>IFERROR(IF(VLOOKUP(CONCATENATE($A19,"_",AV$1),SP_ACQ_Lib[],MATCH(AV$2,SP_ACQ_Lib[#Headers],0),FALSE)=0,"",VLOOKUP(CONCATENATE($A19,"_",AV$1),SP_ACQ_Lib[],MATCH(AV$2,SP_ACQ_Lib[#Headers],0),FALSE)),"")</f>
        <v>12303</v>
      </c>
      <c r="AW19" s="251">
        <f>IFERROR(IF(VLOOKUP(CONCATENATE($A19,"_",AW$1),SP_ACQ_Lib[],MATCH(AW$2,SP_ACQ_Lib[#Headers],0),FALSE)=0,"",VLOOKUP(CONCATENATE($A19,"_",AW$1),SP_ACQ_Lib[],MATCH(AW$2,SP_ACQ_Lib[#Headers],0),FALSE)),"")</f>
        <v>44004</v>
      </c>
      <c r="AX19" s="251">
        <f>IFERROR(IF(VLOOKUP(CONCATENATE($A19,"_",AX$1),SP_ACQ_Lib[],MATCH(AX$2,SP_ACQ_Lib[#Headers],0),FALSE)=0,"",VLOOKUP(CONCATENATE($A19,"_",AX$1),SP_ACQ_Lib[],MATCH(AX$2,SP_ACQ_Lib[#Headers],0),FALSE)),"")</f>
        <v>44004</v>
      </c>
      <c r="AY19" s="251">
        <f>IFERROR(IF(VLOOKUP(CONCATENATE($A19,"_",AY$1),SP_ACQ_Lib[],MATCH(AY$2,SP_ACQ_Lib[#Headers],0),FALSE)=0,"",VLOOKUP(CONCATENATE($A19,"_",AY$1),SP_ACQ_Lib[],MATCH(AY$2,SP_ACQ_Lib[#Headers],0),FALSE)),"")</f>
        <v>44004</v>
      </c>
      <c r="AZ19" s="251">
        <f>IFERROR(IF(VLOOKUP(CONCATENATE($A19,"_",AZ$1),SP_ACQ_Lib[],MATCH(AZ$2,SP_ACQ_Lib[#Headers],0),FALSE)=0,"",VLOOKUP(CONCATENATE($A19,"_",AZ$1),SP_ACQ_Lib[],MATCH(AZ$2,SP_ACQ_Lib[#Headers],0),FALSE)),"")</f>
        <v>44012</v>
      </c>
      <c r="BA19" s="251">
        <f>IFERROR(IF(VLOOKUP(CONCATENATE($A19,"_",BA$1),SP_ACQ_Lib[],MATCH(BA$2,SP_ACQ_Lib[#Headers],0),FALSE)=0,"",VLOOKUP(CONCATENATE($A19,"_",BA$1),SP_ACQ_Lib[],MATCH(BA$2,SP_ACQ_Lib[#Headers],0),FALSE)),"")</f>
        <v>44012</v>
      </c>
      <c r="BB19" s="224">
        <f>IFERROR(VLOOKUP(CONCATENATE($A19,"_",BB$1),SP_ACQ_Lib[],MATCH(BB$2,SP_ACQ_Lib[#Headers],0),FALSE),0)</f>
        <v>0</v>
      </c>
      <c r="BC19" s="231">
        <f>IFERROR(VLOOKUP($A19,SP_AcqTract_DB[],MATCH(BC$2,SP_AcqTract_DB[#Headers],0),FALSE),"")</f>
        <v>44006</v>
      </c>
      <c r="BD19" s="231">
        <f>IFERROR(VLOOKUP($A19,SP_AcqTract_DB[],MATCH(BD$2,SP_AcqTract_DB[#Headers],0),FALSE),"")</f>
        <v>0</v>
      </c>
      <c r="BE19" s="249">
        <f>IFERROR(IF(VLOOKUP(CONCATENATE($A19,"_",BE$1),SP_ACQ_Lib[],MATCH(BE$2,SP_ACQ_Lib[#Headers],0),FALSE)=0,"",VLOOKUP(CONCATENATE($A19,"_",BE$1),SP_ACQ_Lib[],MATCH(BE$2,SP_ACQ_Lib[#Headers],0),FALSE)),"")</f>
        <v>44018</v>
      </c>
      <c r="BF19" s="249">
        <f>IFERROR(IF(VLOOKUP(CONCATENATE($A19,"_",BF$1),SP_ACQ_Lib[],MATCH(BF$2,SP_ACQ_Lib[#Headers],0),FALSE)=0,"",VLOOKUP(CONCATENATE($A19,"_",BF$1),SP_ACQ_Lib[],MATCH(BF$2,SP_ACQ_Lib[#Headers],0),FALSE)),"")</f>
        <v>44019</v>
      </c>
      <c r="BG19" s="249" t="str">
        <f>IFERROR(IF(VLOOKUP(CONCATENATE($A19,"_",BG$1),SP_ACQ_Lib[],MATCH(BG$2,SP_ACQ_Lib[#Headers],0),FALSE)=0,"",VLOOKUP(CONCATENATE($A19,"_",BG$1),SP_ACQ_Lib[],MATCH(BG$2,SP_ACQ_Lib[#Headers],0),FALSE)),"")</f>
        <v/>
      </c>
      <c r="BH19" s="249" t="str">
        <f>IFERROR(IF(VLOOKUP(CONCATENATE($A19,"_",BH$1),SP_ACQ_Lib[],MATCH(BH$2,SP_ACQ_Lib[#Headers],0),FALSE)=0,"",VLOOKUP(CONCATENATE($A19,"_",BH$1),SP_ACQ_Lib[],MATCH(BH$2,SP_ACQ_Lib[#Headers],0),FALSE)),"")</f>
        <v/>
      </c>
      <c r="BI19" s="249" t="str">
        <f>IFERROR(IF(VLOOKUP(CONCATENATE($A19,"_",BI$1),SP_ACQ_Lib[],MATCH(BI$2,SP_ACQ_Lib[#Headers],0),FALSE)=0,"",VLOOKUP(CONCATENATE($A19,"_",BI$1),SP_ACQ_Lib[],MATCH(BI$2,SP_ACQ_Lib[#Headers],0),FALSE)),"")</f>
        <v/>
      </c>
      <c r="BJ19" s="249" t="str">
        <f>IFERROR(IF(VLOOKUP(CONCATENATE($A19,"_",BJ$1),SP_ACQ_Lib[],MATCH(BJ$2,SP_ACQ_Lib[#Headers],0),FALSE)=0,"",VLOOKUP(CONCATENATE($A19,"_",BJ$1),SP_ACQ_Lib[],MATCH(BJ$2,SP_ACQ_Lib[#Headers],0),FALSE)),"")</f>
        <v/>
      </c>
      <c r="BK19" s="250">
        <f>IFERROR(IF(VLOOKUP(CONCATENATE($A19,"_",BK$1),SP_ACQ_Lib[],MATCH(BK$2,SP_ACQ_Lib[#Headers],0),FALSE)=0,"",VLOOKUP(CONCATENATE($A19,"_",BK$1),SP_ACQ_Lib[],MATCH(BK$2,SP_ACQ_Lib[#Headers],0),FALSE)),"")</f>
        <v>43748</v>
      </c>
      <c r="BL19" s="249" t="str">
        <f>IFERROR(IF(VLOOKUP(CONCATENATE($A19,"_",BL$1),SP_ACQ_Lib[],MATCH(BL$2,SP_ACQ_Lib[#Headers],0),FALSE)=0,"",VLOOKUP(CONCATENATE($A19,"_",BL$1),SP_ACQ_Lib[],MATCH(BL$2,SP_ACQ_Lib[#Headers],0),FALSE)),"")</f>
        <v/>
      </c>
      <c r="BM19" s="249" t="str">
        <f>IFERROR(IF(VLOOKUP(CONCATENATE($A19,"_",BM$1),SP_ACQ_Lib[],MATCH(BM$2,SP_ACQ_Lib[#Headers],0),FALSE)=0,"",VLOOKUP(CONCATENATE($A19,"_",BM$1),SP_ACQ_Lib[],MATCH(BM$2,SP_ACQ_Lib[#Headers],0),FALSE)),"")</f>
        <v/>
      </c>
      <c r="BN19" s="249" t="str">
        <f>IFERROR(IF(VLOOKUP(CONCATENATE($A19,"_",BN$1),SP_ACQ_Lib[],MATCH(BN$2,SP_ACQ_Lib[#Headers],0),FALSE)=0,"",VLOOKUP(CONCATENATE($A19,"_",BN$1),SP_ACQ_Lib[],MATCH(BN$2,SP_ACQ_Lib[#Headers],0),FALSE)),"")</f>
        <v/>
      </c>
    </row>
    <row r="20" spans="1:66" s="226" customFormat="1" ht="38.25" x14ac:dyDescent="0.2">
      <c r="A20" s="192" t="s">
        <v>38</v>
      </c>
      <c r="B20" s="227" t="str">
        <f>IFERROR(VLOOKUP($A20,SP_AcqTract_DB[],MATCH(B$2,SP_AcqTract_DB[#Headers],0),FALSE),"")</f>
        <v>R031204</v>
      </c>
      <c r="C20" s="228" t="str">
        <f>IFERROR(VLOOKUP($A20,SP_AcqTract_DB[],MATCH(C$2,SP_AcqTract_DB[#Headers],0),FALSE),"")</f>
        <v>PH1</v>
      </c>
      <c r="D20" s="208" t="str">
        <f>IFERROR(VLOOKUP($A20,SP_AcqTract_DB[],MATCH(D$2,SP_AcqTract_DB[#Headers],0),FALSE),"")</f>
        <v>Active</v>
      </c>
      <c r="E20" s="208">
        <f>IFERROR(VLOOKUP($A20,SP_AcqTract_DB[],MATCH(E$2,SP_AcqTract_DB[#Headers],0),FALSE),"")</f>
        <v>2</v>
      </c>
      <c r="F20" s="227" t="str">
        <f>IFERROR(VLOOKUP($A20,SP_AcqTract_DB[],MATCH(F$2,SP_AcqTract_DB[#Headers],0),FALSE),"")</f>
        <v>Sump Esmt/Levee Esmt</v>
      </c>
      <c r="G20" s="227" t="str">
        <f>IFERROR(VLOOKUP($A20,SP_AcqTract_DB[],MATCH(G$2,SP_AcqTract_DB[#Headers],0),FALSE),"")</f>
        <v>Erin Newberry</v>
      </c>
      <c r="H20" s="250">
        <f>IFERROR(IF(VLOOKUP(CONCATENATE($A20,"_",H$1),SP_ACQ_Lib[],MATCH(H$2,SP_ACQ_Lib[#Headers],0),FALSE)=0,"",VLOOKUP(CONCATENATE($A20,"_",H$1),SP_ACQ_Lib[],MATCH(H$2,SP_ACQ_Lib[#Headers],0),FALSE)),"")</f>
        <v>43937.748993055553</v>
      </c>
      <c r="I20" s="227" t="str">
        <f>IFERROR(VLOOKUP($A20,SP_AcqTract_DB[],MATCH(I$2,SP_AcqTract_DB[#Headers],0),FALSE),"")</f>
        <v>W. A. Harrison Agriculture, LTD.</v>
      </c>
      <c r="J20" s="227" t="str">
        <f>IFERROR(VLOOKUP($A20,SP_AcqTract_DB[],MATCH(J$2,SP_AcqTract_DB[#Headers],0),FALSE),"")</f>
        <v>W. A. Harrison Agriculture, LTD.</v>
      </c>
      <c r="K20" s="227" t="str">
        <f>IFERROR(VLOOKUP($A20,SP_AcqTract_DB[],MATCH(K$2,SP_AcqTract_DB[#Headers],0),FALSE),"")</f>
        <v>W. A. Harrison Agriculture, LTD.</v>
      </c>
      <c r="L20" s="227" t="str">
        <f>IFERROR(VLOOKUP($A20,SP_AcqTract_DB[],MATCH(L$2,SP_AcqTract_DB[#Headers],0),FALSE),"")</f>
        <v>5318 Inwood</v>
      </c>
      <c r="M20" s="208" t="str">
        <f>IFERROR(VLOOKUP($A20,SP_AcqTract_DB[],MATCH(M$2,SP_AcqTract_DB[#Headers],0),FALSE),"")</f>
        <v>Houston, TX</v>
      </c>
      <c r="N20" s="227" t="str">
        <f>IFERROR(VLOOKUP($A20,SP_AcqTract_DB[],MATCH(N$2,SP_AcqTract_DB[#Headers],0),FALSE),"")</f>
        <v>0 W Milam</v>
      </c>
      <c r="O20" s="220">
        <f>IFERROR(VLOOKUP($A20,SP_AcqTract_DB[],MATCH(O$2,SP_AcqTract_DB[#Headers],0),FALSE),"")</f>
        <v>0</v>
      </c>
      <c r="P20" s="220">
        <f>IFERROR(VLOOKUP($A20,SP_AcqTract_DB[],MATCH(P$2,SP_AcqTract_DB[#Headers],0),FALSE),"")</f>
        <v>0</v>
      </c>
      <c r="Q20" s="208" t="str">
        <f>IFERROR(VLOOKUP($A20,SP_AcqTract_DB[],MATCH(Q$2,SP_AcqTract_DB[#Headers],0),FALSE),"")</f>
        <v>2019-0757</v>
      </c>
      <c r="R20" s="250">
        <f>IFERROR(IF(VLOOKUP(CONCATENATE($A20,"_",R$1),SP_ACQ_Lib[],MATCH(R$2,SP_ACQ_Lib[#Headers],0),FALSE)=0,"",VLOOKUP(CONCATENATE($A20,"_",R$1),SP_ACQ_Lib[],MATCH(R$2,SP_ACQ_Lib[#Headers],0),FALSE)),"")</f>
        <v>43917</v>
      </c>
      <c r="S20" s="253">
        <f>IFERROR(IF(VLOOKUP(CONCATENATE($A20,"_",S$1),SP_ACQ_Lib[],MATCH(S$2,SP_ACQ_Lib[#Headers],0),FALSE)=0,"",VLOOKUP(CONCATENATE($A20,"_",S$1),SP_ACQ_Lib[],MATCH(S$2,SP_ACQ_Lib[#Headers],0),FALSE)),"")</f>
        <v>43928</v>
      </c>
      <c r="T20" s="205" t="str">
        <f>IFERROR(VLOOKUP(CONCATENATE($A20,"_",T$1),SP_ACQ_Lib[],MATCH(T$2,SP_ACQ_Lib[#Headers],0),FALSE),0)</f>
        <v>Accepted</v>
      </c>
      <c r="U20" s="250">
        <f>IFERROR(IF(VLOOKUP(CONCATENATE($A20,"_",U$1),SP_ACQ_Lib[],MATCH(U$2,SP_ACQ_Lib[#Headers],0),FALSE)=0,"",VLOOKUP(CONCATENATE($A20,"_",U$1),SP_ACQ_Lib[],MATCH(U$2,SP_ACQ_Lib[#Headers],0),FALSE)),"")</f>
        <v>43809</v>
      </c>
      <c r="V20" s="205" t="str">
        <f>IFERROR(VLOOKUP(CONCATENATE($A20,"_",V$1),SP_ACQ_Lib[],MATCH(V$2,SP_ACQ_Lib[#Headers],0),FALSE),0)</f>
        <v>Accepted</v>
      </c>
      <c r="W20" s="209" t="str">
        <f>IFERROR(VLOOKUP(CONCATENATE($A20,"_",W$1),SP_ACQ_Lib[],MATCH(W$2,SP_ACQ_Lib[#Headers],0),FALSE),0)</f>
        <v>Accepted</v>
      </c>
      <c r="X20" s="250">
        <f>IFERROR(VLOOKUP($A20,SP_AcqTract_DB[],MATCH(X$2,SP_AcqTract_DB[#Headers],0),FALSE),"")</f>
        <v>43693</v>
      </c>
      <c r="Y20" s="237">
        <f>IFERROR(VLOOKUP($A20,SP_AcqTract_DB[],MATCH(Y$2,SP_AcqTract_DB[#Headers],0),FALSE),"")</f>
        <v>27.7300045913682</v>
      </c>
      <c r="Z20" s="229">
        <f>IFERROR(VLOOKUP($A20,SP_AcqTract_DB[],MATCH(Z$2,SP_AcqTract_DB[#Headers],0),FALSE),"")</f>
        <v>1207919</v>
      </c>
      <c r="AA20" s="229" t="str">
        <f>IFERROR(VLOOKUP($A20,SP_AcqTract_DB[],MATCH(AA$2,SP_AcqTract_DB[#Headers],0),FALSE),"")</f>
        <v>Yes</v>
      </c>
      <c r="AB20" s="250">
        <f>IFERROR(IF(VLOOKUP(CONCATENATE($A20,"_",AB$1),SP_ACQ_Lib[],MATCH(AB$2,SP_ACQ_Lib[#Headers],0),FALSE)=0,"",VLOOKUP(CONCATENATE($A20,"_",AB$1),SP_ACQ_Lib[],MATCH(AB$2,SP_ACQ_Lib[#Headers],0),FALSE)),"")</f>
        <v>43840</v>
      </c>
      <c r="AC20" s="250">
        <f>IFERROR(IF(VLOOKUP(CONCATENATE($A20,"_",AC$1),SP_ACQ_Lib[],MATCH(AC$2,SP_ACQ_Lib[#Headers],0),FALSE)=0,"",VLOOKUP(CONCATENATE($A20,"_",AC$1),SP_ACQ_Lib[],MATCH(AC$2,SP_ACQ_Lib[#Headers],0),FALSE)),"")</f>
        <v>43926</v>
      </c>
      <c r="AD20" s="229" t="str">
        <f>IFERROR(VLOOKUP($A20,SP_AcqTract_DB[],MATCH(AD$2,SP_AcqTract_DB[#Headers],0),FALSE),"")</f>
        <v>Yes</v>
      </c>
      <c r="AE20" s="250">
        <f>IFERROR(IF(VLOOKUP(CONCATENATE($A20,"_",AE$1),SP_ACQ_Lib[],MATCH(AE$2,SP_ACQ_Lib[#Headers],0),FALSE)=0,"",VLOOKUP(CONCATENATE($A20,"_",AE$1),SP_ACQ_Lib[],MATCH(AE$2,SP_ACQ_Lib[#Headers],0),FALSE)),"")</f>
        <v>43991</v>
      </c>
      <c r="AF20" s="250">
        <f>IFERROR(IF(VLOOKUP(CONCATENATE($A20,"_",AF$1),SP_ACQ_Lib[],MATCH(AF$2,SP_ACQ_Lib[#Headers],0),FALSE)=0,"",VLOOKUP(CONCATENATE($A20,"_",AF$1),SP_ACQ_Lib[],MATCH(AF$2,SP_ACQ_Lib[#Headers],0),FALSE)),"")</f>
        <v>43993</v>
      </c>
      <c r="AG20" s="250" t="str">
        <f>IFERROR(IF(VLOOKUP(CONCATENATE($A20,"_",AG$1),SP_ACQ_Lib[],MATCH(AG$2,SP_ACQ_Lib[#Headers],0),FALSE)=0,"",VLOOKUP(CONCATENATE($A20,"_",AG$1),SP_ACQ_Lib[],MATCH(AG$2,SP_ACQ_Lib[#Headers],0),FALSE)),"")</f>
        <v/>
      </c>
      <c r="AH20" s="250">
        <f>IFERROR(IF(VLOOKUP(CONCATENATE($A20,"_",AH$1),SP_ACQ_Lib[],MATCH(AH$2,SP_ACQ_Lib[#Headers],0),FALSE)=0,"",VLOOKUP(CONCATENATE($A20,"_",AH$1),SP_ACQ_Lib[],MATCH(AH$2,SP_ACQ_Lib[#Headers],0),FALSE)),"")</f>
        <v>43613</v>
      </c>
      <c r="AI20" s="249" t="str">
        <f>IFERROR(IF(VLOOKUP(CONCATENATE($A20,"_",AI$1),SP_ACQ_Lib[],MATCH(AI$2,SP_ACQ_Lib[#Headers],0),FALSE)=0,"",VLOOKUP(CONCATENATE($A20,"_",AI$1),SP_ACQ_Lib[],MATCH(AI$2,SP_ACQ_Lib[#Headers],0),FALSE)),"")</f>
        <v/>
      </c>
      <c r="AJ20" s="249" t="str">
        <f>IFERROR(IF(VLOOKUP(CONCATENATE($A20,"_",AJ$1),SP_ACQ_Lib[],MATCH(AJ$2,SP_ACQ_Lib[#Headers],0),FALSE)=0,"",VLOOKUP(CONCATENATE($A20,"_",AJ$1),SP_ACQ_Lib[],MATCH(AJ$2,SP_ACQ_Lib[#Headers],0),FALSE)),"")</f>
        <v/>
      </c>
      <c r="AK20" s="249" t="str">
        <f>IFERROR(IF(VLOOKUP(CONCATENATE($A20,"_",AK$1),SP_ACQ_Lib[],MATCH(AK$2,SP_ACQ_Lib[#Headers],0),FALSE)=0,"",VLOOKUP(CONCATENATE($A20,"_",AK$1),SP_ACQ_Lib[],MATCH(AK$2,SP_ACQ_Lib[#Headers],0),FALSE)),"")</f>
        <v/>
      </c>
      <c r="AL20" s="249">
        <f>IFERROR(VLOOKUP($A20,SP_AcqTract_DB[],MATCH(AL$2,SP_AcqTract_DB[#Headers],0),FALSE),"")</f>
        <v>43994</v>
      </c>
      <c r="AM20" s="227" t="str">
        <f>IFERROR(VLOOKUP($A20,SP_AcqTract_DB[],MATCH(AM$2,SP_AcqTract_DB[#Headers],0),FALSE),"")</f>
        <v>Richard Hudgins</v>
      </c>
      <c r="AN20" s="227" t="str">
        <f>IFERROR(VLOOKUP($A20,SP_AcqTract_DB[],MATCH(AN$2,SP_AcqTract_DB[#Headers],0),FALSE),"")</f>
        <v>Lory Johnson, Atrium</v>
      </c>
      <c r="AO20" s="228">
        <f>IFERROR(VLOOKUP($A20,SP_AcqTract_DB[],MATCH(AO$2,SP_AcqTract_DB[#Headers],0),FALSE),"")</f>
        <v>0</v>
      </c>
      <c r="AP20" s="210" t="str">
        <f>IFERROR(VLOOKUP($A20,SP_AcqTract_DB[],MATCH(AP$2,SP_AcqTract_DB[#Headers],0),FALSE),"")</f>
        <v>A</v>
      </c>
      <c r="AQ20" s="252" t="str">
        <f>IFERROR(IF(VLOOKUP(CONCATENATE($A20,"_",AQ$1),SP_ACQ_Lib[],MATCH(AQ$2,SP_ACQ_Lib[#Headers],0),FALSE)=0,"",VLOOKUP(CONCATENATE($A20,"_",AQ$1),SP_ACQ_Lib[],MATCH(AQ$2,SP_ACQ_Lib[#Headers],0),FALSE)),"")</f>
        <v/>
      </c>
      <c r="AR20" s="250">
        <f>IFERROR(IF(VLOOKUP(CONCATENATE($A20,"_",AR$1),SP_ACQ_Lib[],MATCH(AR$2,SP_ACQ_Lib[#Headers],0),FALSE)=0,"",VLOOKUP(CONCATENATE($A20,"_",AR$1),SP_ACQ_Lib[],MATCH(AR$2,SP_ACQ_Lib[#Headers],0),FALSE)),"")</f>
        <v>43685</v>
      </c>
      <c r="AS20" s="249">
        <f>IFERROR(IF(VLOOKUP(CONCATENATE($A20,"_",AS$1),SP_ACQ_Lib[],MATCH(AS$2,SP_ACQ_Lib[#Headers],0),FALSE)=0,"",VLOOKUP(CONCATENATE($A20,"_",AS$1),SP_ACQ_Lib[],MATCH(AS$2,SP_ACQ_Lib[#Headers],0),FALSE)),"")</f>
        <v>43765</v>
      </c>
      <c r="AT20" s="251" t="str">
        <f>IFERROR(IF(VLOOKUP(CONCATENATE($A20,"_",AT$1),SP_ACQ_Lib[],MATCH(AT$2,SP_ACQ_Lib[#Headers],0),FALSE)=0,"",VLOOKUP(CONCATENATE($A20,"_",AT$1),SP_ACQ_Lib[],MATCH(AT$2,SP_ACQ_Lib[#Headers],0),FALSE)),"")</f>
        <v/>
      </c>
      <c r="AU20" s="251" t="str">
        <f>IFERROR(IF(VLOOKUP(CONCATENATE($A20,"_",AU$1),SP_ACQ_Lib[],MATCH(AU$2,SP_ACQ_Lib[#Headers],0),FALSE)=0,"",VLOOKUP(CONCATENATE($A20,"_",AU$1),SP_ACQ_Lib[],MATCH(AU$2,SP_ACQ_Lib[#Headers],0),FALSE)),"")</f>
        <v/>
      </c>
      <c r="AV20" s="225" t="str">
        <f>IFERROR(IF(VLOOKUP(CONCATENATE($A20,"_",AV$1),SP_ACQ_Lib[],MATCH(AV$2,SP_ACQ_Lib[#Headers],0),FALSE)=0,"",VLOOKUP(CONCATENATE($A20,"_",AV$1),SP_ACQ_Lib[],MATCH(AV$2,SP_ACQ_Lib[#Headers],0),FALSE)),"")</f>
        <v/>
      </c>
      <c r="AW20" s="251" t="str">
        <f>IFERROR(IF(VLOOKUP(CONCATENATE($A20,"_",AW$1),SP_ACQ_Lib[],MATCH(AW$2,SP_ACQ_Lib[#Headers],0),FALSE)=0,"",VLOOKUP(CONCATENATE($A20,"_",AW$1),SP_ACQ_Lib[],MATCH(AW$2,SP_ACQ_Lib[#Headers],0),FALSE)),"")</f>
        <v/>
      </c>
      <c r="AX20" s="251" t="str">
        <f>IFERROR(IF(VLOOKUP(CONCATENATE($A20,"_",AX$1),SP_ACQ_Lib[],MATCH(AX$2,SP_ACQ_Lib[#Headers],0),FALSE)=0,"",VLOOKUP(CONCATENATE($A20,"_",AX$1),SP_ACQ_Lib[],MATCH(AX$2,SP_ACQ_Lib[#Headers],0),FALSE)),"")</f>
        <v/>
      </c>
      <c r="AY20" s="251" t="str">
        <f>IFERROR(IF(VLOOKUP(CONCATENATE($A20,"_",AY$1),SP_ACQ_Lib[],MATCH(AY$2,SP_ACQ_Lib[#Headers],0),FALSE)=0,"",VLOOKUP(CONCATENATE($A20,"_",AY$1),SP_ACQ_Lib[],MATCH(AY$2,SP_ACQ_Lib[#Headers],0),FALSE)),"")</f>
        <v/>
      </c>
      <c r="AZ20" s="251" t="str">
        <f>IFERROR(IF(VLOOKUP(CONCATENATE($A20,"_",AZ$1),SP_ACQ_Lib[],MATCH(AZ$2,SP_ACQ_Lib[#Headers],0),FALSE)=0,"",VLOOKUP(CONCATENATE($A20,"_",AZ$1),SP_ACQ_Lib[],MATCH(AZ$2,SP_ACQ_Lib[#Headers],0),FALSE)),"")</f>
        <v/>
      </c>
      <c r="BA20" s="251" t="str">
        <f>IFERROR(IF(VLOOKUP(CONCATENATE($A20,"_",BA$1),SP_ACQ_Lib[],MATCH(BA$2,SP_ACQ_Lib[#Headers],0),FALSE)=0,"",VLOOKUP(CONCATENATE($A20,"_",BA$1),SP_ACQ_Lib[],MATCH(BA$2,SP_ACQ_Lib[#Headers],0),FALSE)),"")</f>
        <v/>
      </c>
      <c r="BB20" s="224">
        <f>IFERROR(VLOOKUP(CONCATENATE($A20,"_",BB$1),SP_ACQ_Lib[],MATCH(BB$2,SP_ACQ_Lib[#Headers],0),FALSE),0)</f>
        <v>0</v>
      </c>
      <c r="BC20" s="231">
        <f>IFERROR(VLOOKUP($A20,SP_AcqTract_DB[],MATCH(BC$2,SP_AcqTract_DB[#Headers],0),FALSE),"")</f>
        <v>0</v>
      </c>
      <c r="BD20" s="231">
        <f>IFERROR(VLOOKUP($A20,SP_AcqTract_DB[],MATCH(BD$2,SP_AcqTract_DB[#Headers],0),FALSE),"")</f>
        <v>0</v>
      </c>
      <c r="BE20" s="249" t="str">
        <f>IFERROR(IF(VLOOKUP(CONCATENATE($A20,"_",BE$1),SP_ACQ_Lib[],MATCH(BE$2,SP_ACQ_Lib[#Headers],0),FALSE)=0,"",VLOOKUP(CONCATENATE($A20,"_",BE$1),SP_ACQ_Lib[],MATCH(BE$2,SP_ACQ_Lib[#Headers],0),FALSE)),"")</f>
        <v/>
      </c>
      <c r="BF20" s="249" t="str">
        <f>IFERROR(IF(VLOOKUP(CONCATENATE($A20,"_",BF$1),SP_ACQ_Lib[],MATCH(BF$2,SP_ACQ_Lib[#Headers],0),FALSE)=0,"",VLOOKUP(CONCATENATE($A20,"_",BF$1),SP_ACQ_Lib[],MATCH(BF$2,SP_ACQ_Lib[#Headers],0),FALSE)),"")</f>
        <v/>
      </c>
      <c r="BG20" s="249" t="str">
        <f>IFERROR(IF(VLOOKUP(CONCATENATE($A20,"_",BG$1),SP_ACQ_Lib[],MATCH(BG$2,SP_ACQ_Lib[#Headers],0),FALSE)=0,"",VLOOKUP(CONCATENATE($A20,"_",BG$1),SP_ACQ_Lib[],MATCH(BG$2,SP_ACQ_Lib[#Headers],0),FALSE)),"")</f>
        <v/>
      </c>
      <c r="BH20" s="249" t="str">
        <f>IFERROR(IF(VLOOKUP(CONCATENATE($A20,"_",BH$1),SP_ACQ_Lib[],MATCH(BH$2,SP_ACQ_Lib[#Headers],0),FALSE)=0,"",VLOOKUP(CONCATENATE($A20,"_",BH$1),SP_ACQ_Lib[],MATCH(BH$2,SP_ACQ_Lib[#Headers],0),FALSE)),"")</f>
        <v/>
      </c>
      <c r="BI20" s="249" t="str">
        <f>IFERROR(IF(VLOOKUP(CONCATENATE($A20,"_",BI$1),SP_ACQ_Lib[],MATCH(BI$2,SP_ACQ_Lib[#Headers],0),FALSE)=0,"",VLOOKUP(CONCATENATE($A20,"_",BI$1),SP_ACQ_Lib[],MATCH(BI$2,SP_ACQ_Lib[#Headers],0),FALSE)),"")</f>
        <v/>
      </c>
      <c r="BJ20" s="249" t="str">
        <f>IFERROR(IF(VLOOKUP(CONCATENATE($A20,"_",BJ$1),SP_ACQ_Lib[],MATCH(BJ$2,SP_ACQ_Lib[#Headers],0),FALSE)=0,"",VLOOKUP(CONCATENATE($A20,"_",BJ$1),SP_ACQ_Lib[],MATCH(BJ$2,SP_ACQ_Lib[#Headers],0),FALSE)),"")</f>
        <v/>
      </c>
      <c r="BK20" s="250">
        <f>IFERROR(IF(VLOOKUP(CONCATENATE($A20,"_",BK$1),SP_ACQ_Lib[],MATCH(BK$2,SP_ACQ_Lib[#Headers],0),FALSE)=0,"",VLOOKUP(CONCATENATE($A20,"_",BK$1),SP_ACQ_Lib[],MATCH(BK$2,SP_ACQ_Lib[#Headers],0),FALSE)),"")</f>
        <v>43748</v>
      </c>
      <c r="BL20" s="249" t="str">
        <f>IFERROR(IF(VLOOKUP(CONCATENATE($A20,"_",BL$1),SP_ACQ_Lib[],MATCH(BL$2,SP_ACQ_Lib[#Headers],0),FALSE)=0,"",VLOOKUP(CONCATENATE($A20,"_",BL$1),SP_ACQ_Lib[],MATCH(BL$2,SP_ACQ_Lib[#Headers],0),FALSE)),"")</f>
        <v/>
      </c>
      <c r="BM20" s="249" t="str">
        <f>IFERROR(IF(VLOOKUP(CONCATENATE($A20,"_",BM$1),SP_ACQ_Lib[],MATCH(BM$2,SP_ACQ_Lib[#Headers],0),FALSE)=0,"",VLOOKUP(CONCATENATE($A20,"_",BM$1),SP_ACQ_Lib[],MATCH(BM$2,SP_ACQ_Lib[#Headers],0),FALSE)),"")</f>
        <v/>
      </c>
      <c r="BN20" s="249" t="str">
        <f>IFERROR(IF(VLOOKUP(CONCATENATE($A20,"_",BN$1),SP_ACQ_Lib[],MATCH(BN$2,SP_ACQ_Lib[#Headers],0),FALSE)=0,"",VLOOKUP(CONCATENATE($A20,"_",BN$1),SP_ACQ_Lib[],MATCH(BN$2,SP_ACQ_Lib[#Headers],0),FALSE)),"")</f>
        <v/>
      </c>
    </row>
    <row r="21" spans="1:66" s="226" customFormat="1" ht="51" x14ac:dyDescent="0.2">
      <c r="A21" s="192" t="s">
        <v>39</v>
      </c>
      <c r="B21" s="227" t="str">
        <f>IFERROR(VLOOKUP($A21,SP_AcqTract_DB[],MATCH(B$2,SP_AcqTract_DB[#Headers],0),FALSE),"")</f>
        <v>R018520</v>
      </c>
      <c r="C21" s="228" t="str">
        <f>IFERROR(VLOOKUP($A21,SP_AcqTract_DB[],MATCH(C$2,SP_AcqTract_DB[#Headers],0),FALSE),"")</f>
        <v>PH1</v>
      </c>
      <c r="D21" s="208" t="str">
        <f>IFERROR(VLOOKUP($A21,SP_AcqTract_DB[],MATCH(D$2,SP_AcqTract_DB[#Headers],0),FALSE),"")</f>
        <v>Active</v>
      </c>
      <c r="E21" s="208">
        <f>IFERROR(VLOOKUP($A21,SP_AcqTract_DB[],MATCH(E$2,SP_AcqTract_DB[#Headers],0),FALSE),"")</f>
        <v>4</v>
      </c>
      <c r="F21" s="227" t="str">
        <f>IFERROR(VLOOKUP($A21,SP_AcqTract_DB[],MATCH(F$2,SP_AcqTract_DB[#Headers],0),FALSE),"")</f>
        <v>Sump-Flowage Esmt/Levee Esmt/Drainage Esmt</v>
      </c>
      <c r="G21" s="227">
        <f>IFERROR(VLOOKUP($A21,SP_AcqTract_DB[],MATCH(G$2,SP_AcqTract_DB[#Headers],0),FALSE),"")</f>
        <v>0</v>
      </c>
      <c r="H21" s="250">
        <f>IFERROR(IF(VLOOKUP(CONCATENATE($A21,"_",H$1),SP_ACQ_Lib[],MATCH(H$2,SP_ACQ_Lib[#Headers],0),FALSE)=0,"",VLOOKUP(CONCATENATE($A21,"_",H$1),SP_ACQ_Lib[],MATCH(H$2,SP_ACQ_Lib[#Headers],0),FALSE)),"")</f>
        <v>43872.544270833336</v>
      </c>
      <c r="I21" s="227" t="str">
        <f>IFERROR(VLOOKUP($A21,SP_AcqTract_DB[],MATCH(I$2,SP_AcqTract_DB[#Headers],0),FALSE),"")</f>
        <v>City of  Wharton</v>
      </c>
      <c r="J21" s="227" t="str">
        <f>IFERROR(VLOOKUP($A21,SP_AcqTract_DB[],MATCH(J$2,SP_AcqTract_DB[#Headers],0),FALSE),"")</f>
        <v>City of Wharton</v>
      </c>
      <c r="K21" s="227" t="str">
        <f>IFERROR(VLOOKUP($A21,SP_AcqTract_DB[],MATCH(K$2,SP_AcqTract_DB[#Headers],0),FALSE),"")</f>
        <v>City of Wharton</v>
      </c>
      <c r="L21" s="227" t="str">
        <f>IFERROR(VLOOKUP($A21,SP_AcqTract_DB[],MATCH(L$2,SP_AcqTract_DB[#Headers],0),FALSE),"")</f>
        <v>120 E Caney</v>
      </c>
      <c r="M21" s="208" t="str">
        <f>IFERROR(VLOOKUP($A21,SP_AcqTract_DB[],MATCH(M$2,SP_AcqTract_DB[#Headers],0),FALSE),"")</f>
        <v>Wharton, TX</v>
      </c>
      <c r="N21" s="227" t="str">
        <f>IFERROR(VLOOKUP($A21,SP_AcqTract_DB[],MATCH(N$2,SP_AcqTract_DB[#Headers],0),FALSE),"")</f>
        <v>0 Sheppard</v>
      </c>
      <c r="O21" s="220">
        <f>IFERROR(VLOOKUP($A21,SP_AcqTract_DB[],MATCH(O$2,SP_AcqTract_DB[#Headers],0),FALSE),"")</f>
        <v>0</v>
      </c>
      <c r="P21" s="220">
        <f>IFERROR(VLOOKUP($A21,SP_AcqTract_DB[],MATCH(P$2,SP_AcqTract_DB[#Headers],0),FALSE),"")</f>
        <v>0</v>
      </c>
      <c r="Q21" s="208" t="str">
        <f>IFERROR(VLOOKUP($A21,SP_AcqTract_DB[],MATCH(Q$2,SP_AcqTract_DB[#Headers],0),FALSE),"")</f>
        <v>2019-1001</v>
      </c>
      <c r="R21" s="250">
        <f>IFERROR(IF(VLOOKUP(CONCATENATE($A21,"_",R$1),SP_ACQ_Lib[],MATCH(R$2,SP_ACQ_Lib[#Headers],0),FALSE)=0,"",VLOOKUP(CONCATENATE($A21,"_",R$1),SP_ACQ_Lib[],MATCH(R$2,SP_ACQ_Lib[#Headers],0),FALSE)),"")</f>
        <v>43812</v>
      </c>
      <c r="S21" s="253">
        <f>IFERROR(IF(VLOOKUP(CONCATENATE($A21,"_",S$1),SP_ACQ_Lib[],MATCH(S$2,SP_ACQ_Lib[#Headers],0),FALSE)=0,"",VLOOKUP(CONCATENATE($A21,"_",S$1),SP_ACQ_Lib[],MATCH(S$2,SP_ACQ_Lib[#Headers],0),FALSE)),"")</f>
        <v>43826</v>
      </c>
      <c r="T21" s="205" t="str">
        <f>IFERROR(VLOOKUP(CONCATENATE($A21,"_",T$1),SP_ACQ_Lib[],MATCH(T$2,SP_ACQ_Lib[#Headers],0),FALSE),0)</f>
        <v>Accepted</v>
      </c>
      <c r="U21" s="250">
        <f>IFERROR(IF(VLOOKUP(CONCATENATE($A21,"_",U$1),SP_ACQ_Lib[],MATCH(U$2,SP_ACQ_Lib[#Headers],0),FALSE)=0,"",VLOOKUP(CONCATENATE($A21,"_",U$1),SP_ACQ_Lib[],MATCH(U$2,SP_ACQ_Lib[#Headers],0),FALSE)),"")</f>
        <v>43832</v>
      </c>
      <c r="V21" s="205" t="str">
        <f>IFERROR(VLOOKUP(CONCATENATE($A21,"_",V$1),SP_ACQ_Lib[],MATCH(V$2,SP_ACQ_Lib[#Headers],0),FALSE),0)</f>
        <v>Accepted</v>
      </c>
      <c r="W21" s="209">
        <f>IFERROR(VLOOKUP(CONCATENATE($A21,"_",W$1),SP_ACQ_Lib[],MATCH(W$2,SP_ACQ_Lib[#Headers],0),FALSE),0)</f>
        <v>0</v>
      </c>
      <c r="X21" s="250">
        <f>IFERROR(VLOOKUP($A21,SP_AcqTract_DB[],MATCH(X$2,SP_AcqTract_DB[#Headers],0),FALSE),"")</f>
        <v>0</v>
      </c>
      <c r="Y21" s="237">
        <f>IFERROR(VLOOKUP($A21,SP_AcqTract_DB[],MATCH(Y$2,SP_AcqTract_DB[#Headers],0),FALSE),"")</f>
        <v>13.541700000000001</v>
      </c>
      <c r="Z21" s="229">
        <f>IFERROR(VLOOKUP($A21,SP_AcqTract_DB[],MATCH(Z$2,SP_AcqTract_DB[#Headers],0),FALSE),"")</f>
        <v>589876.45200000005</v>
      </c>
      <c r="AA21" s="229" t="str">
        <f>IFERROR(VLOOKUP($A21,SP_AcqTract_DB[],MATCH(AA$2,SP_AcqTract_DB[#Headers],0),FALSE),"")</f>
        <v>No</v>
      </c>
      <c r="AB21" s="250" t="str">
        <f>IFERROR(IF(VLOOKUP(CONCATENATE($A21,"_",AB$1),SP_ACQ_Lib[],MATCH(AB$2,SP_ACQ_Lib[#Headers],0),FALSE)=0,"",VLOOKUP(CONCATENATE($A21,"_",AB$1),SP_ACQ_Lib[],MATCH(AB$2,SP_ACQ_Lib[#Headers],0),FALSE)),"")</f>
        <v/>
      </c>
      <c r="AC21" s="250" t="str">
        <f>IFERROR(IF(VLOOKUP(CONCATENATE($A21,"_",AC$1),SP_ACQ_Lib[],MATCH(AC$2,SP_ACQ_Lib[#Headers],0),FALSE)=0,"",VLOOKUP(CONCATENATE($A21,"_",AC$1),SP_ACQ_Lib[],MATCH(AC$2,SP_ACQ_Lib[#Headers],0),FALSE)),"")</f>
        <v/>
      </c>
      <c r="AD21" s="229" t="str">
        <f>IFERROR(VLOOKUP($A21,SP_AcqTract_DB[],MATCH(AD$2,SP_AcqTract_DB[#Headers],0),FALSE),"")</f>
        <v>Yes</v>
      </c>
      <c r="AE21" s="250">
        <f>IFERROR(IF(VLOOKUP(CONCATENATE($A21,"_",AE$1),SP_ACQ_Lib[],MATCH(AE$2,SP_ACQ_Lib[#Headers],0),FALSE)=0,"",VLOOKUP(CONCATENATE($A21,"_",AE$1),SP_ACQ_Lib[],MATCH(AE$2,SP_ACQ_Lib[#Headers],0),FALSE)),"")</f>
        <v>43936</v>
      </c>
      <c r="AF21" s="250">
        <f>IFERROR(IF(VLOOKUP(CONCATENATE($A21,"_",AF$1),SP_ACQ_Lib[],MATCH(AF$2,SP_ACQ_Lib[#Headers],0),FALSE)=0,"",VLOOKUP(CONCATENATE($A21,"_",AF$1),SP_ACQ_Lib[],MATCH(AF$2,SP_ACQ_Lib[#Headers],0),FALSE)),"")</f>
        <v>43993</v>
      </c>
      <c r="AG21" s="250" t="str">
        <f>IFERROR(IF(VLOOKUP(CONCATENATE($A21,"_",AG$1),SP_ACQ_Lib[],MATCH(AG$2,SP_ACQ_Lib[#Headers],0),FALSE)=0,"",VLOOKUP(CONCATENATE($A21,"_",AG$1),SP_ACQ_Lib[],MATCH(AG$2,SP_ACQ_Lib[#Headers],0),FALSE)),"")</f>
        <v/>
      </c>
      <c r="AH21" s="250" t="str">
        <f>IFERROR(IF(VLOOKUP(CONCATENATE($A21,"_",AH$1),SP_ACQ_Lib[],MATCH(AH$2,SP_ACQ_Lib[#Headers],0),FALSE)=0,"",VLOOKUP(CONCATENATE($A21,"_",AH$1),SP_ACQ_Lib[],MATCH(AH$2,SP_ACQ_Lib[#Headers],0),FALSE)),"")</f>
        <v/>
      </c>
      <c r="AI21" s="249" t="str">
        <f>IFERROR(IF(VLOOKUP(CONCATENATE($A21,"_",AI$1),SP_ACQ_Lib[],MATCH(AI$2,SP_ACQ_Lib[#Headers],0),FALSE)=0,"",VLOOKUP(CONCATENATE($A21,"_",AI$1),SP_ACQ_Lib[],MATCH(AI$2,SP_ACQ_Lib[#Headers],0),FALSE)),"")</f>
        <v/>
      </c>
      <c r="AJ21" s="249" t="str">
        <f>IFERROR(IF(VLOOKUP(CONCATENATE($A21,"_",AJ$1),SP_ACQ_Lib[],MATCH(AJ$2,SP_ACQ_Lib[#Headers],0),FALSE)=0,"",VLOOKUP(CONCATENATE($A21,"_",AJ$1),SP_ACQ_Lib[],MATCH(AJ$2,SP_ACQ_Lib[#Headers],0),FALSE)),"")</f>
        <v/>
      </c>
      <c r="AK21" s="249" t="str">
        <f>IFERROR(IF(VLOOKUP(CONCATENATE($A21,"_",AK$1),SP_ACQ_Lib[],MATCH(AK$2,SP_ACQ_Lib[#Headers],0),FALSE)=0,"",VLOOKUP(CONCATENATE($A21,"_",AK$1),SP_ACQ_Lib[],MATCH(AK$2,SP_ACQ_Lib[#Headers],0),FALSE)),"")</f>
        <v/>
      </c>
      <c r="AL21" s="249">
        <f>IFERROR(VLOOKUP($A21,SP_AcqTract_DB[],MATCH(AL$2,SP_AcqTract_DB[#Headers],0),FALSE),"")</f>
        <v>0</v>
      </c>
      <c r="AM21" s="227">
        <f>IFERROR(VLOOKUP($A21,SP_AcqTract_DB[],MATCH(AM$2,SP_AcqTract_DB[#Headers],0),FALSE),"")</f>
        <v>0</v>
      </c>
      <c r="AN21" s="227">
        <f>IFERROR(VLOOKUP($A21,SP_AcqTract_DB[],MATCH(AN$2,SP_AcqTract_DB[#Headers],0),FALSE),"")</f>
        <v>0</v>
      </c>
      <c r="AO21" s="228">
        <f>IFERROR(VLOOKUP($A21,SP_AcqTract_DB[],MATCH(AO$2,SP_AcqTract_DB[#Headers],0),FALSE),"")</f>
        <v>0</v>
      </c>
      <c r="AP21" s="210">
        <f>IFERROR(VLOOKUP($A21,SP_AcqTract_DB[],MATCH(AP$2,SP_AcqTract_DB[#Headers],0),FALSE),"")</f>
        <v>0</v>
      </c>
      <c r="AQ21" s="252" t="str">
        <f>IFERROR(IF(VLOOKUP(CONCATENATE($A21,"_",AQ$1),SP_ACQ_Lib[],MATCH(AQ$2,SP_ACQ_Lib[#Headers],0),FALSE)=0,"",VLOOKUP(CONCATENATE($A21,"_",AQ$1),SP_ACQ_Lib[],MATCH(AQ$2,SP_ACQ_Lib[#Headers],0),FALSE)),"")</f>
        <v/>
      </c>
      <c r="AR21" s="250" t="str">
        <f>IFERROR(IF(VLOOKUP(CONCATENATE($A21,"_",AR$1),SP_ACQ_Lib[],MATCH(AR$2,SP_ACQ_Lib[#Headers],0),FALSE)=0,"",VLOOKUP(CONCATENATE($A21,"_",AR$1),SP_ACQ_Lib[],MATCH(AR$2,SP_ACQ_Lib[#Headers],0),FALSE)),"")</f>
        <v/>
      </c>
      <c r="AS21" s="249" t="str">
        <f>IFERROR(IF(VLOOKUP(CONCATENATE($A21,"_",AS$1),SP_ACQ_Lib[],MATCH(AS$2,SP_ACQ_Lib[#Headers],0),FALSE)=0,"",VLOOKUP(CONCATENATE($A21,"_",AS$1),SP_ACQ_Lib[],MATCH(AS$2,SP_ACQ_Lib[#Headers],0),FALSE)),"")</f>
        <v/>
      </c>
      <c r="AT21" s="251" t="str">
        <f>IFERROR(IF(VLOOKUP(CONCATENATE($A21,"_",AT$1),SP_ACQ_Lib[],MATCH(AT$2,SP_ACQ_Lib[#Headers],0),FALSE)=0,"",VLOOKUP(CONCATENATE($A21,"_",AT$1),SP_ACQ_Lib[],MATCH(AT$2,SP_ACQ_Lib[#Headers],0),FALSE)),"")</f>
        <v/>
      </c>
      <c r="AU21" s="251" t="str">
        <f>IFERROR(IF(VLOOKUP(CONCATENATE($A21,"_",AU$1),SP_ACQ_Lib[],MATCH(AU$2,SP_ACQ_Lib[#Headers],0),FALSE)=0,"",VLOOKUP(CONCATENATE($A21,"_",AU$1),SP_ACQ_Lib[],MATCH(AU$2,SP_ACQ_Lib[#Headers],0),FALSE)),"")</f>
        <v/>
      </c>
      <c r="AV21" s="225" t="str">
        <f>IFERROR(IF(VLOOKUP(CONCATENATE($A21,"_",AV$1),SP_ACQ_Lib[],MATCH(AV$2,SP_ACQ_Lib[#Headers],0),FALSE)=0,"",VLOOKUP(CONCATENATE($A21,"_",AV$1),SP_ACQ_Lib[],MATCH(AV$2,SP_ACQ_Lib[#Headers],0),FALSE)),"")</f>
        <v/>
      </c>
      <c r="AW21" s="251" t="str">
        <f>IFERROR(IF(VLOOKUP(CONCATENATE($A21,"_",AW$1),SP_ACQ_Lib[],MATCH(AW$2,SP_ACQ_Lib[#Headers],0),FALSE)=0,"",VLOOKUP(CONCATENATE($A21,"_",AW$1),SP_ACQ_Lib[],MATCH(AW$2,SP_ACQ_Lib[#Headers],0),FALSE)),"")</f>
        <v/>
      </c>
      <c r="AX21" s="251" t="str">
        <f>IFERROR(IF(VLOOKUP(CONCATENATE($A21,"_",AX$1),SP_ACQ_Lib[],MATCH(AX$2,SP_ACQ_Lib[#Headers],0),FALSE)=0,"",VLOOKUP(CONCATENATE($A21,"_",AX$1),SP_ACQ_Lib[],MATCH(AX$2,SP_ACQ_Lib[#Headers],0),FALSE)),"")</f>
        <v/>
      </c>
      <c r="AY21" s="251" t="str">
        <f>IFERROR(IF(VLOOKUP(CONCATENATE($A21,"_",AY$1),SP_ACQ_Lib[],MATCH(AY$2,SP_ACQ_Lib[#Headers],0),FALSE)=0,"",VLOOKUP(CONCATENATE($A21,"_",AY$1),SP_ACQ_Lib[],MATCH(AY$2,SP_ACQ_Lib[#Headers],0),FALSE)),"")</f>
        <v/>
      </c>
      <c r="AZ21" s="251" t="str">
        <f>IFERROR(IF(VLOOKUP(CONCATENATE($A21,"_",AZ$1),SP_ACQ_Lib[],MATCH(AZ$2,SP_ACQ_Lib[#Headers],0),FALSE)=0,"",VLOOKUP(CONCATENATE($A21,"_",AZ$1),SP_ACQ_Lib[],MATCH(AZ$2,SP_ACQ_Lib[#Headers],0),FALSE)),"")</f>
        <v/>
      </c>
      <c r="BA21" s="251" t="str">
        <f>IFERROR(IF(VLOOKUP(CONCATENATE($A21,"_",BA$1),SP_ACQ_Lib[],MATCH(BA$2,SP_ACQ_Lib[#Headers],0),FALSE)=0,"",VLOOKUP(CONCATENATE($A21,"_",BA$1),SP_ACQ_Lib[],MATCH(BA$2,SP_ACQ_Lib[#Headers],0),FALSE)),"")</f>
        <v/>
      </c>
      <c r="BB21" s="224">
        <f>IFERROR(VLOOKUP(CONCATENATE($A21,"_",BB$1),SP_ACQ_Lib[],MATCH(BB$2,SP_ACQ_Lib[#Headers],0),FALSE),0)</f>
        <v>0</v>
      </c>
      <c r="BC21" s="231">
        <f>IFERROR(VLOOKUP($A21,SP_AcqTract_DB[],MATCH(BC$2,SP_AcqTract_DB[#Headers],0),FALSE),"")</f>
        <v>0</v>
      </c>
      <c r="BD21" s="231">
        <f>IFERROR(VLOOKUP($A21,SP_AcqTract_DB[],MATCH(BD$2,SP_AcqTract_DB[#Headers],0),FALSE),"")</f>
        <v>0</v>
      </c>
      <c r="BE21" s="249" t="str">
        <f>IFERROR(IF(VLOOKUP(CONCATENATE($A21,"_",BE$1),SP_ACQ_Lib[],MATCH(BE$2,SP_ACQ_Lib[#Headers],0),FALSE)=0,"",VLOOKUP(CONCATENATE($A21,"_",BE$1),SP_ACQ_Lib[],MATCH(BE$2,SP_ACQ_Lib[#Headers],0),FALSE)),"")</f>
        <v/>
      </c>
      <c r="BF21" s="249" t="str">
        <f>IFERROR(IF(VLOOKUP(CONCATENATE($A21,"_",BF$1),SP_ACQ_Lib[],MATCH(BF$2,SP_ACQ_Lib[#Headers],0),FALSE)=0,"",VLOOKUP(CONCATENATE($A21,"_",BF$1),SP_ACQ_Lib[],MATCH(BF$2,SP_ACQ_Lib[#Headers],0),FALSE)),"")</f>
        <v/>
      </c>
      <c r="BG21" s="249" t="str">
        <f>IFERROR(IF(VLOOKUP(CONCATENATE($A21,"_",BG$1),SP_ACQ_Lib[],MATCH(BG$2,SP_ACQ_Lib[#Headers],0),FALSE)=0,"",VLOOKUP(CONCATENATE($A21,"_",BG$1),SP_ACQ_Lib[],MATCH(BG$2,SP_ACQ_Lib[#Headers],0),FALSE)),"")</f>
        <v/>
      </c>
      <c r="BH21" s="249" t="str">
        <f>IFERROR(IF(VLOOKUP(CONCATENATE($A21,"_",BH$1),SP_ACQ_Lib[],MATCH(BH$2,SP_ACQ_Lib[#Headers],0),FALSE)=0,"",VLOOKUP(CONCATENATE($A21,"_",BH$1),SP_ACQ_Lib[],MATCH(BH$2,SP_ACQ_Lib[#Headers],0),FALSE)),"")</f>
        <v/>
      </c>
      <c r="BI21" s="249" t="str">
        <f>IFERROR(IF(VLOOKUP(CONCATENATE($A21,"_",BI$1),SP_ACQ_Lib[],MATCH(BI$2,SP_ACQ_Lib[#Headers],0),FALSE)=0,"",VLOOKUP(CONCATENATE($A21,"_",BI$1),SP_ACQ_Lib[],MATCH(BI$2,SP_ACQ_Lib[#Headers],0),FALSE)),"")</f>
        <v/>
      </c>
      <c r="BJ21" s="249" t="str">
        <f>IFERROR(IF(VLOOKUP(CONCATENATE($A21,"_",BJ$1),SP_ACQ_Lib[],MATCH(BJ$2,SP_ACQ_Lib[#Headers],0),FALSE)=0,"",VLOOKUP(CONCATENATE($A21,"_",BJ$1),SP_ACQ_Lib[],MATCH(BJ$2,SP_ACQ_Lib[#Headers],0),FALSE)),"")</f>
        <v/>
      </c>
      <c r="BK21" s="250">
        <f>IFERROR(IF(VLOOKUP(CONCATENATE($A21,"_",BK$1),SP_ACQ_Lib[],MATCH(BK$2,SP_ACQ_Lib[#Headers],0),FALSE)=0,"",VLOOKUP(CONCATENATE($A21,"_",BK$1),SP_ACQ_Lib[],MATCH(BK$2,SP_ACQ_Lib[#Headers],0),FALSE)),"")</f>
        <v>43748</v>
      </c>
      <c r="BL21" s="249" t="str">
        <f>IFERROR(IF(VLOOKUP(CONCATENATE($A21,"_",BL$1),SP_ACQ_Lib[],MATCH(BL$2,SP_ACQ_Lib[#Headers],0),FALSE)=0,"",VLOOKUP(CONCATENATE($A21,"_",BL$1),SP_ACQ_Lib[],MATCH(BL$2,SP_ACQ_Lib[#Headers],0),FALSE)),"")</f>
        <v/>
      </c>
      <c r="BM21" s="249" t="str">
        <f>IFERROR(IF(VLOOKUP(CONCATENATE($A21,"_",BM$1),SP_ACQ_Lib[],MATCH(BM$2,SP_ACQ_Lib[#Headers],0),FALSE)=0,"",VLOOKUP(CONCATENATE($A21,"_",BM$1),SP_ACQ_Lib[],MATCH(BM$2,SP_ACQ_Lib[#Headers],0),FALSE)),"")</f>
        <v/>
      </c>
      <c r="BN21" s="249" t="str">
        <f>IFERROR(IF(VLOOKUP(CONCATENATE($A21,"_",BN$1),SP_ACQ_Lib[],MATCH(BN$2,SP_ACQ_Lib[#Headers],0),FALSE)=0,"",VLOOKUP(CONCATENATE($A21,"_",BN$1),SP_ACQ_Lib[],MATCH(BN$2,SP_ACQ_Lib[#Headers],0),FALSE)),"")</f>
        <v/>
      </c>
    </row>
    <row r="22" spans="1:66" s="226" customFormat="1" ht="25.5" x14ac:dyDescent="0.2">
      <c r="A22" s="192" t="s">
        <v>40</v>
      </c>
      <c r="B22" s="227" t="str">
        <f>IFERROR(VLOOKUP($A22,SP_AcqTract_DB[],MATCH(B$2,SP_AcqTract_DB[#Headers],0),FALSE),"")</f>
        <v>R019378;R050285</v>
      </c>
      <c r="C22" s="228" t="str">
        <f>IFERROR(VLOOKUP($A22,SP_AcqTract_DB[],MATCH(C$2,SP_AcqTract_DB[#Headers],0),FALSE),"")</f>
        <v>PH1</v>
      </c>
      <c r="D22" s="208" t="str">
        <f>IFERROR(VLOOKUP($A22,SP_AcqTract_DB[],MATCH(D$2,SP_AcqTract_DB[#Headers],0),FALSE),"")</f>
        <v>Active</v>
      </c>
      <c r="E22" s="208">
        <f>IFERROR(VLOOKUP($A22,SP_AcqTract_DB[],MATCH(E$2,SP_AcqTract_DB[#Headers],0),FALSE),"")</f>
        <v>1</v>
      </c>
      <c r="F22" s="227" t="str">
        <f>IFERROR(VLOOKUP($A22,SP_AcqTract_DB[],MATCH(F$2,SP_AcqTract_DB[#Headers],0),FALSE),"")</f>
        <v>Levee Esmt</v>
      </c>
      <c r="G22" s="227" t="str">
        <f>IFERROR(VLOOKUP($A22,SP_AcqTract_DB[],MATCH(G$2,SP_AcqTract_DB[#Headers],0),FALSE),"")</f>
        <v>Lily Khan</v>
      </c>
      <c r="H22" s="250">
        <f>IFERROR(IF(VLOOKUP(CONCATENATE($A22,"_",H$1),SP_ACQ_Lib[],MATCH(H$2,SP_ACQ_Lib[#Headers],0),FALSE)=0,"",VLOOKUP(CONCATENATE($A22,"_",H$1),SP_ACQ_Lib[],MATCH(H$2,SP_ACQ_Lib[#Headers],0),FALSE)),"")</f>
        <v>43998.603750000002</v>
      </c>
      <c r="I22" s="227" t="str">
        <f>IFERROR(VLOOKUP($A22,SP_AcqTract_DB[],MATCH(I$2,SP_AcqTract_DB[#Headers],0),FALSE),"")</f>
        <v>Curtis Wade Evans</v>
      </c>
      <c r="J22" s="227">
        <f>IFERROR(VLOOKUP($A22,SP_AcqTract_DB[],MATCH(J$2,SP_AcqTract_DB[#Headers],0),FALSE),"")</f>
        <v>0</v>
      </c>
      <c r="K22" s="227" t="str">
        <f>IFERROR(VLOOKUP($A22,SP_AcqTract_DB[],MATCH(K$2,SP_AcqTract_DB[#Headers],0),FALSE),"")</f>
        <v>Curtis Wade Evans</v>
      </c>
      <c r="L22" s="227" t="str">
        <f>IFERROR(VLOOKUP($A22,SP_AcqTract_DB[],MATCH(L$2,SP_AcqTract_DB[#Headers],0),FALSE),"")</f>
        <v>436 S Sheppard</v>
      </c>
      <c r="M22" s="208" t="str">
        <f>IFERROR(VLOOKUP($A22,SP_AcqTract_DB[],MATCH(M$2,SP_AcqTract_DB[#Headers],0),FALSE),"")</f>
        <v>Wharton, TX   77488</v>
      </c>
      <c r="N22" s="227" t="str">
        <f>IFERROR(VLOOKUP($A22,SP_AcqTract_DB[],MATCH(N$2,SP_AcqTract_DB[#Headers],0),FALSE),"")</f>
        <v>420 &amp; 436 S Sheppard</v>
      </c>
      <c r="O22" s="220">
        <f>IFERROR(VLOOKUP($A22,SP_AcqTract_DB[],MATCH(O$2,SP_AcqTract_DB[#Headers],0),FALSE),"")</f>
        <v>0</v>
      </c>
      <c r="P22" s="220" t="str">
        <f>IFERROR(VLOOKUP($A22,SP_AcqTract_DB[],MATCH(P$2,SP_AcqTract_DB[#Headers],0),FALSE),"")</f>
        <v>X</v>
      </c>
      <c r="Q22" s="208" t="str">
        <f>IFERROR(VLOOKUP($A22,SP_AcqTract_DB[],MATCH(Q$2,SP_AcqTract_DB[#Headers],0),FALSE),"")</f>
        <v>2019-0810</v>
      </c>
      <c r="R22" s="250">
        <f>IFERROR(IF(VLOOKUP(CONCATENATE($A22,"_",R$1),SP_ACQ_Lib[],MATCH(R$2,SP_ACQ_Lib[#Headers],0),FALSE)=0,"",VLOOKUP(CONCATENATE($A22,"_",R$1),SP_ACQ_Lib[],MATCH(R$2,SP_ACQ_Lib[#Headers],0),FALSE)),"")</f>
        <v>43943</v>
      </c>
      <c r="S22" s="253">
        <f>IFERROR(IF(VLOOKUP(CONCATENATE($A22,"_",S$1),SP_ACQ_Lib[],MATCH(S$2,SP_ACQ_Lib[#Headers],0),FALSE)=0,"",VLOOKUP(CONCATENATE($A22,"_",S$1),SP_ACQ_Lib[],MATCH(S$2,SP_ACQ_Lib[#Headers],0),FALSE)),"")</f>
        <v>43951</v>
      </c>
      <c r="T22" s="205" t="str">
        <f>IFERROR(VLOOKUP(CONCATENATE($A22,"_",T$1),SP_ACQ_Lib[],MATCH(T$2,SP_ACQ_Lib[#Headers],0),FALSE),0)</f>
        <v>Accepted</v>
      </c>
      <c r="U22" s="250">
        <f>IFERROR(IF(VLOOKUP(CONCATENATE($A22,"_",U$1),SP_ACQ_Lib[],MATCH(U$2,SP_ACQ_Lib[#Headers],0),FALSE)=0,"",VLOOKUP(CONCATENATE($A22,"_",U$1),SP_ACQ_Lib[],MATCH(U$2,SP_ACQ_Lib[#Headers],0),FALSE)),"")</f>
        <v>43809</v>
      </c>
      <c r="V22" s="205" t="str">
        <f>IFERROR(VLOOKUP(CONCATENATE($A22,"_",V$1),SP_ACQ_Lib[],MATCH(V$2,SP_ACQ_Lib[#Headers],0),FALSE),0)</f>
        <v>Accepted</v>
      </c>
      <c r="W22" s="209">
        <f>IFERROR(VLOOKUP(CONCATENATE($A22,"_",W$1),SP_ACQ_Lib[],MATCH(W$2,SP_ACQ_Lib[#Headers],0),FALSE),0)</f>
        <v>0</v>
      </c>
      <c r="X22" s="250">
        <f>IFERROR(VLOOKUP($A22,SP_AcqTract_DB[],MATCH(X$2,SP_AcqTract_DB[#Headers],0),FALSE),"")</f>
        <v>43693</v>
      </c>
      <c r="Y22" s="237">
        <f>IFERROR(VLOOKUP($A22,SP_AcqTract_DB[],MATCH(Y$2,SP_AcqTract_DB[#Headers],0),FALSE),"")</f>
        <v>0.51154729109274599</v>
      </c>
      <c r="Z22" s="229">
        <f>IFERROR(VLOOKUP($A22,SP_AcqTract_DB[],MATCH(Z$2,SP_AcqTract_DB[#Headers],0),FALSE),"")</f>
        <v>22283</v>
      </c>
      <c r="AA22" s="229" t="str">
        <f>IFERROR(VLOOKUP($A22,SP_AcqTract_DB[],MATCH(AA$2,SP_AcqTract_DB[#Headers],0),FALSE),"")</f>
        <v>Yes</v>
      </c>
      <c r="AB22" s="250">
        <f>IFERROR(IF(VLOOKUP(CONCATENATE($A22,"_",AB$1),SP_ACQ_Lib[],MATCH(AB$2,SP_ACQ_Lib[#Headers],0),FALSE)=0,"",VLOOKUP(CONCATENATE($A22,"_",AB$1),SP_ACQ_Lib[],MATCH(AB$2,SP_ACQ_Lib[#Headers],0),FALSE)),"")</f>
        <v>43899</v>
      </c>
      <c r="AC22" s="250">
        <f>IFERROR(IF(VLOOKUP(CONCATENATE($A22,"_",AC$1),SP_ACQ_Lib[],MATCH(AC$2,SP_ACQ_Lib[#Headers],0),FALSE)=0,"",VLOOKUP(CONCATENATE($A22,"_",AC$1),SP_ACQ_Lib[],MATCH(AC$2,SP_ACQ_Lib[#Headers],0),FALSE)),"")</f>
        <v>43900</v>
      </c>
      <c r="AD22" s="229" t="str">
        <f>IFERROR(VLOOKUP($A22,SP_AcqTract_DB[],MATCH(AD$2,SP_AcqTract_DB[#Headers],0),FALSE),"")</f>
        <v>Yes</v>
      </c>
      <c r="AE22" s="250">
        <f>IFERROR(IF(VLOOKUP(CONCATENATE($A22,"_",AE$1),SP_ACQ_Lib[],MATCH(AE$2,SP_ACQ_Lib[#Headers],0),FALSE)=0,"",VLOOKUP(CONCATENATE($A22,"_",AE$1),SP_ACQ_Lib[],MATCH(AE$2,SP_ACQ_Lib[#Headers],0),FALSE)),"")</f>
        <v>43852</v>
      </c>
      <c r="AF22" s="250">
        <f>IFERROR(IF(VLOOKUP(CONCATENATE($A22,"_",AF$1),SP_ACQ_Lib[],MATCH(AF$2,SP_ACQ_Lib[#Headers],0),FALSE)=0,"",VLOOKUP(CONCATENATE($A22,"_",AF$1),SP_ACQ_Lib[],MATCH(AF$2,SP_ACQ_Lib[#Headers],0),FALSE)),"")</f>
        <v>43937</v>
      </c>
      <c r="AG22" s="250">
        <f>IFERROR(IF(VLOOKUP(CONCATENATE($A22,"_",AG$1),SP_ACQ_Lib[],MATCH(AG$2,SP_ACQ_Lib[#Headers],0),FALSE)=0,"",VLOOKUP(CONCATENATE($A22,"_",AG$1),SP_ACQ_Lib[],MATCH(AG$2,SP_ACQ_Lib[#Headers],0),FALSE)),"")</f>
        <v>43684</v>
      </c>
      <c r="AH22" s="250">
        <f>IFERROR(IF(VLOOKUP(CONCATENATE($A22,"_",AH$1),SP_ACQ_Lib[],MATCH(AH$2,SP_ACQ_Lib[#Headers],0),FALSE)=0,"",VLOOKUP(CONCATENATE($A22,"_",AH$1),SP_ACQ_Lib[],MATCH(AH$2,SP_ACQ_Lib[#Headers],0),FALSE)),"")</f>
        <v>43690</v>
      </c>
      <c r="AI22" s="249" t="str">
        <f>IFERROR(IF(VLOOKUP(CONCATENATE($A22,"_",AI$1),SP_ACQ_Lib[],MATCH(AI$2,SP_ACQ_Lib[#Headers],0),FALSE)=0,"",VLOOKUP(CONCATENATE($A22,"_",AI$1),SP_ACQ_Lib[],MATCH(AI$2,SP_ACQ_Lib[#Headers],0),FALSE)),"")</f>
        <v/>
      </c>
      <c r="AJ22" s="249" t="str">
        <f>IFERROR(IF(VLOOKUP(CONCATENATE($A22,"_",AJ$1),SP_ACQ_Lib[],MATCH(AJ$2,SP_ACQ_Lib[#Headers],0),FALSE)=0,"",VLOOKUP(CONCATENATE($A22,"_",AJ$1),SP_ACQ_Lib[],MATCH(AJ$2,SP_ACQ_Lib[#Headers],0),FALSE)),"")</f>
        <v/>
      </c>
      <c r="AK22" s="249" t="str">
        <f>IFERROR(IF(VLOOKUP(CONCATENATE($A22,"_",AK$1),SP_ACQ_Lib[],MATCH(AK$2,SP_ACQ_Lib[#Headers],0),FALSE)=0,"",VLOOKUP(CONCATENATE($A22,"_",AK$1),SP_ACQ_Lib[],MATCH(AK$2,SP_ACQ_Lib[#Headers],0),FALSE)),"")</f>
        <v/>
      </c>
      <c r="AL22" s="249">
        <f>IFERROR(VLOOKUP($A22,SP_AcqTract_DB[],MATCH(AL$2,SP_AcqTract_DB[#Headers],0),FALSE),"")</f>
        <v>43937</v>
      </c>
      <c r="AM22" s="227" t="str">
        <f>IFERROR(VLOOKUP($A22,SP_AcqTract_DB[],MATCH(AM$2,SP_AcqTract_DB[#Headers],0),FALSE),"")</f>
        <v>Cameron Boone</v>
      </c>
      <c r="AN22" s="227" t="str">
        <f>IFERROR(VLOOKUP($A22,SP_AcqTract_DB[],MATCH(AN$2,SP_AcqTract_DB[#Headers],0),FALSE),"")</f>
        <v>Richard McGee</v>
      </c>
      <c r="AO22" s="228">
        <f>IFERROR(VLOOKUP($A22,SP_AcqTract_DB[],MATCH(AO$2,SP_AcqTract_DB[#Headers],0),FALSE),"")</f>
        <v>0</v>
      </c>
      <c r="AP22" s="210" t="str">
        <f>IFERROR(VLOOKUP($A22,SP_AcqTract_DB[],MATCH(AP$2,SP_AcqTract_DB[#Headers],0),FALSE),"")</f>
        <v>R</v>
      </c>
      <c r="AQ22" s="252" t="str">
        <f>IFERROR(IF(VLOOKUP(CONCATENATE($A22,"_",AQ$1),SP_ACQ_Lib[],MATCH(AQ$2,SP_ACQ_Lib[#Headers],0),FALSE)=0,"",VLOOKUP(CONCATENATE($A22,"_",AQ$1),SP_ACQ_Lib[],MATCH(AQ$2,SP_ACQ_Lib[#Headers],0),FALSE)),"")</f>
        <v/>
      </c>
      <c r="AR22" s="250">
        <f>IFERROR(IF(VLOOKUP(CONCATENATE($A22,"_",AR$1),SP_ACQ_Lib[],MATCH(AR$2,SP_ACQ_Lib[#Headers],0),FALSE)=0,"",VLOOKUP(CONCATENATE($A22,"_",AR$1),SP_ACQ_Lib[],MATCH(AR$2,SP_ACQ_Lib[#Headers],0),FALSE)),"")</f>
        <v>43685</v>
      </c>
      <c r="AS22" s="249" t="str">
        <f>IFERROR(IF(VLOOKUP(CONCATENATE($A22,"_",AS$1),SP_ACQ_Lib[],MATCH(AS$2,SP_ACQ_Lib[#Headers],0),FALSE)=0,"",VLOOKUP(CONCATENATE($A22,"_",AS$1),SP_ACQ_Lib[],MATCH(AS$2,SP_ACQ_Lib[#Headers],0),FALSE)),"")</f>
        <v/>
      </c>
      <c r="AT22" s="251">
        <f>IFERROR(IF(VLOOKUP(CONCATENATE($A22,"_",AT$1),SP_ACQ_Lib[],MATCH(AT$2,SP_ACQ_Lib[#Headers],0),FALSE)=0,"",VLOOKUP(CONCATENATE($A22,"_",AT$1),SP_ACQ_Lib[],MATCH(AT$2,SP_ACQ_Lib[#Headers],0),FALSE)),"")</f>
        <v>43912</v>
      </c>
      <c r="AU22" s="251">
        <f>IFERROR(IF(VLOOKUP(CONCATENATE($A22,"_",AU$1),SP_ACQ_Lib[],MATCH(AU$2,SP_ACQ_Lib[#Headers],0),FALSE)=0,"",VLOOKUP(CONCATENATE($A22,"_",AU$1),SP_ACQ_Lib[],MATCH(AU$2,SP_ACQ_Lib[#Headers],0),FALSE)),"")</f>
        <v>44013</v>
      </c>
      <c r="AV22" s="225">
        <f>IFERROR(IF(VLOOKUP(CONCATENATE($A22,"_",AV$1),SP_ACQ_Lib[],MATCH(AV$2,SP_ACQ_Lib[#Headers],0),FALSE)=0,"",VLOOKUP(CONCATENATE($A22,"_",AV$1),SP_ACQ_Lib[],MATCH(AV$2,SP_ACQ_Lib[#Headers],0),FALSE)),"")</f>
        <v>88400</v>
      </c>
      <c r="AW22" s="251">
        <f>IFERROR(IF(VLOOKUP(CONCATENATE($A22,"_",AW$1),SP_ACQ_Lib[],MATCH(AW$2,SP_ACQ_Lib[#Headers],0),FALSE)=0,"",VLOOKUP(CONCATENATE($A22,"_",AW$1),SP_ACQ_Lib[],MATCH(AW$2,SP_ACQ_Lib[#Headers],0),FALSE)),"")</f>
        <v>43998</v>
      </c>
      <c r="AX22" s="251">
        <f>IFERROR(IF(VLOOKUP(CONCATENATE($A22,"_",AX$1),SP_ACQ_Lib[],MATCH(AX$2,SP_ACQ_Lib[#Headers],0),FALSE)=0,"",VLOOKUP(CONCATENATE($A22,"_",AX$1),SP_ACQ_Lib[],MATCH(AX$2,SP_ACQ_Lib[#Headers],0),FALSE)),"")</f>
        <v>43998</v>
      </c>
      <c r="AY22" s="251">
        <f>IFERROR(IF(VLOOKUP(CONCATENATE($A22,"_",AY$1),SP_ACQ_Lib[],MATCH(AY$2,SP_ACQ_Lib[#Headers],0),FALSE)=0,"",VLOOKUP(CONCATENATE($A22,"_",AY$1),SP_ACQ_Lib[],MATCH(AY$2,SP_ACQ_Lib[#Headers],0),FALSE)),"")</f>
        <v>43998</v>
      </c>
      <c r="AZ22" s="251">
        <f>IFERROR(IF(VLOOKUP(CONCATENATE($A22,"_",AZ$1),SP_ACQ_Lib[],MATCH(AZ$2,SP_ACQ_Lib[#Headers],0),FALSE)=0,"",VLOOKUP(CONCATENATE($A22,"_",AZ$1),SP_ACQ_Lib[],MATCH(AZ$2,SP_ACQ_Lib[#Headers],0),FALSE)),"")</f>
        <v>44012</v>
      </c>
      <c r="BA22" s="251">
        <f>IFERROR(IF(VLOOKUP(CONCATENATE($A22,"_",BA$1),SP_ACQ_Lib[],MATCH(BA$2,SP_ACQ_Lib[#Headers],0),FALSE)=0,"",VLOOKUP(CONCATENATE($A22,"_",BA$1),SP_ACQ_Lib[],MATCH(BA$2,SP_ACQ_Lib[#Headers],0),FALSE)),"")</f>
        <v>44012</v>
      </c>
      <c r="BB22" s="224">
        <f>IFERROR(VLOOKUP(CONCATENATE($A22,"_",BB$1),SP_ACQ_Lib[],MATCH(BB$2,SP_ACQ_Lib[#Headers],0),FALSE),0)</f>
        <v>0</v>
      </c>
      <c r="BC22" s="231">
        <f>IFERROR(VLOOKUP($A22,SP_AcqTract_DB[],MATCH(BC$2,SP_AcqTract_DB[#Headers],0),FALSE),"")</f>
        <v>43999</v>
      </c>
      <c r="BD22" s="231">
        <f>IFERROR(VLOOKUP($A22,SP_AcqTract_DB[],MATCH(BD$2,SP_AcqTract_DB[#Headers],0),FALSE),"")</f>
        <v>0</v>
      </c>
      <c r="BE22" s="249" t="str">
        <f>IFERROR(IF(VLOOKUP(CONCATENATE($A22,"_",BE$1),SP_ACQ_Lib[],MATCH(BE$2,SP_ACQ_Lib[#Headers],0),FALSE)=0,"",VLOOKUP(CONCATENATE($A22,"_",BE$1),SP_ACQ_Lib[],MATCH(BE$2,SP_ACQ_Lib[#Headers],0),FALSE)),"")</f>
        <v/>
      </c>
      <c r="BF22" s="249" t="str">
        <f>IFERROR(IF(VLOOKUP(CONCATENATE($A22,"_",BF$1),SP_ACQ_Lib[],MATCH(BF$2,SP_ACQ_Lib[#Headers],0),FALSE)=0,"",VLOOKUP(CONCATENATE($A22,"_",BF$1),SP_ACQ_Lib[],MATCH(BF$2,SP_ACQ_Lib[#Headers],0),FALSE)),"")</f>
        <v/>
      </c>
      <c r="BG22" s="249" t="str">
        <f>IFERROR(IF(VLOOKUP(CONCATENATE($A22,"_",BG$1),SP_ACQ_Lib[],MATCH(BG$2,SP_ACQ_Lib[#Headers],0),FALSE)=0,"",VLOOKUP(CONCATENATE($A22,"_",BG$1),SP_ACQ_Lib[],MATCH(BG$2,SP_ACQ_Lib[#Headers],0),FALSE)),"")</f>
        <v/>
      </c>
      <c r="BH22" s="249" t="str">
        <f>IFERROR(IF(VLOOKUP(CONCATENATE($A22,"_",BH$1),SP_ACQ_Lib[],MATCH(BH$2,SP_ACQ_Lib[#Headers],0),FALSE)=0,"",VLOOKUP(CONCATENATE($A22,"_",BH$1),SP_ACQ_Lib[],MATCH(BH$2,SP_ACQ_Lib[#Headers],0),FALSE)),"")</f>
        <v/>
      </c>
      <c r="BI22" s="249" t="str">
        <f>IFERROR(IF(VLOOKUP(CONCATENATE($A22,"_",BI$1),SP_ACQ_Lib[],MATCH(BI$2,SP_ACQ_Lib[#Headers],0),FALSE)=0,"",VLOOKUP(CONCATENATE($A22,"_",BI$1),SP_ACQ_Lib[],MATCH(BI$2,SP_ACQ_Lib[#Headers],0),FALSE)),"")</f>
        <v/>
      </c>
      <c r="BJ22" s="249" t="str">
        <f>IFERROR(IF(VLOOKUP(CONCATENATE($A22,"_",BJ$1),SP_ACQ_Lib[],MATCH(BJ$2,SP_ACQ_Lib[#Headers],0),FALSE)=0,"",VLOOKUP(CONCATENATE($A22,"_",BJ$1),SP_ACQ_Lib[],MATCH(BJ$2,SP_ACQ_Lib[#Headers],0),FALSE)),"")</f>
        <v/>
      </c>
      <c r="BK22" s="250">
        <f>IFERROR(IF(VLOOKUP(CONCATENATE($A22,"_",BK$1),SP_ACQ_Lib[],MATCH(BK$2,SP_ACQ_Lib[#Headers],0),FALSE)=0,"",VLOOKUP(CONCATENATE($A22,"_",BK$1),SP_ACQ_Lib[],MATCH(BK$2,SP_ACQ_Lib[#Headers],0),FALSE)),"")</f>
        <v>43748</v>
      </c>
      <c r="BL22" s="249" t="str">
        <f>IFERROR(IF(VLOOKUP(CONCATENATE($A22,"_",BL$1),SP_ACQ_Lib[],MATCH(BL$2,SP_ACQ_Lib[#Headers],0),FALSE)=0,"",VLOOKUP(CONCATENATE($A22,"_",BL$1),SP_ACQ_Lib[],MATCH(BL$2,SP_ACQ_Lib[#Headers],0),FALSE)),"")</f>
        <v/>
      </c>
      <c r="BM22" s="249" t="str">
        <f>IFERROR(IF(VLOOKUP(CONCATENATE($A22,"_",BM$1),SP_ACQ_Lib[],MATCH(BM$2,SP_ACQ_Lib[#Headers],0),FALSE)=0,"",VLOOKUP(CONCATENATE($A22,"_",BM$1),SP_ACQ_Lib[],MATCH(BM$2,SP_ACQ_Lib[#Headers],0),FALSE)),"")</f>
        <v/>
      </c>
      <c r="BN22" s="249" t="str">
        <f>IFERROR(IF(VLOOKUP(CONCATENATE($A22,"_",BN$1),SP_ACQ_Lib[],MATCH(BN$2,SP_ACQ_Lib[#Headers],0),FALSE)=0,"",VLOOKUP(CONCATENATE($A22,"_",BN$1),SP_ACQ_Lib[],MATCH(BN$2,SP_ACQ_Lib[#Headers],0),FALSE)),"")</f>
        <v/>
      </c>
    </row>
    <row r="23" spans="1:66" s="226" customFormat="1" ht="38.25" x14ac:dyDescent="0.2">
      <c r="A23" s="192" t="s">
        <v>41</v>
      </c>
      <c r="B23" s="227" t="str">
        <f>IFERROR(VLOOKUP($A23,SP_AcqTract_DB[],MATCH(B$2,SP_AcqTract_DB[#Headers],0),FALSE),"")</f>
        <v>R019377</v>
      </c>
      <c r="C23" s="228" t="str">
        <f>IFERROR(VLOOKUP($A23,SP_AcqTract_DB[],MATCH(C$2,SP_AcqTract_DB[#Headers],0),FALSE),"")</f>
        <v>PH1</v>
      </c>
      <c r="D23" s="208" t="str">
        <f>IFERROR(VLOOKUP($A23,SP_AcqTract_DB[],MATCH(D$2,SP_AcqTract_DB[#Headers],0),FALSE),"")</f>
        <v>Active</v>
      </c>
      <c r="E23" s="208">
        <f>IFERROR(VLOOKUP($A23,SP_AcqTract_DB[],MATCH(E$2,SP_AcqTract_DB[#Headers],0),FALSE),"")</f>
        <v>2</v>
      </c>
      <c r="F23" s="227" t="str">
        <f>IFERROR(VLOOKUP($A23,SP_AcqTract_DB[],MATCH(F$2,SP_AcqTract_DB[#Headers],0),FALSE),"")</f>
        <v>Flowage Esmt/Levee Esmt</v>
      </c>
      <c r="G23" s="227" t="str">
        <f>IFERROR(VLOOKUP($A23,SP_AcqTract_DB[],MATCH(G$2,SP_AcqTract_DB[#Headers],0),FALSE),"")</f>
        <v>Lily Khan</v>
      </c>
      <c r="H23" s="250">
        <f>IFERROR(IF(VLOOKUP(CONCATENATE($A23,"_",H$1),SP_ACQ_Lib[],MATCH(H$2,SP_ACQ_Lib[#Headers],0),FALSE)=0,"",VLOOKUP(CONCATENATE($A23,"_",H$1),SP_ACQ_Lib[],MATCH(H$2,SP_ACQ_Lib[#Headers],0),FALSE)),"")</f>
        <v>44007.662615740737</v>
      </c>
      <c r="I23" s="227" t="str">
        <f>IFERROR(VLOOKUP($A23,SP_AcqTract_DB[],MATCH(I$2,SP_AcqTract_DB[#Headers],0),FALSE),"")</f>
        <v>Marchette Marks</v>
      </c>
      <c r="J23" s="227">
        <f>IFERROR(VLOOKUP($A23,SP_AcqTract_DB[],MATCH(J$2,SP_AcqTract_DB[#Headers],0),FALSE),"")</f>
        <v>0</v>
      </c>
      <c r="K23" s="227" t="str">
        <f>IFERROR(VLOOKUP($A23,SP_AcqTract_DB[],MATCH(K$2,SP_AcqTract_DB[#Headers],0),FALSE),"")</f>
        <v>Marchette Marks</v>
      </c>
      <c r="L23" s="227" t="str">
        <f>IFERROR(VLOOKUP($A23,SP_AcqTract_DB[],MATCH(L$2,SP_AcqTract_DB[#Headers],0),FALSE),"")</f>
        <v>418 S Sheppard</v>
      </c>
      <c r="M23" s="208" t="str">
        <f>IFERROR(VLOOKUP($A23,SP_AcqTract_DB[],MATCH(M$2,SP_AcqTract_DB[#Headers],0),FALSE),"")</f>
        <v>Wharton, TX  77488</v>
      </c>
      <c r="N23" s="227" t="str">
        <f>IFERROR(VLOOKUP($A23,SP_AcqTract_DB[],MATCH(N$2,SP_AcqTract_DB[#Headers],0),FALSE),"")</f>
        <v>418 S Sheppard</v>
      </c>
      <c r="O23" s="220">
        <f>IFERROR(VLOOKUP($A23,SP_AcqTract_DB[],MATCH(O$2,SP_AcqTract_DB[#Headers],0),FALSE),"")</f>
        <v>0</v>
      </c>
      <c r="P23" s="220">
        <f>IFERROR(VLOOKUP($A23,SP_AcqTract_DB[],MATCH(P$2,SP_AcqTract_DB[#Headers],0),FALSE),"")</f>
        <v>0</v>
      </c>
      <c r="Q23" s="208" t="str">
        <f>IFERROR(VLOOKUP($A23,SP_AcqTract_DB[],MATCH(Q$2,SP_AcqTract_DB[#Headers],0),FALSE),"")</f>
        <v>2019-0811</v>
      </c>
      <c r="R23" s="250">
        <f>IFERROR(IF(VLOOKUP(CONCATENATE($A23,"_",R$1),SP_ACQ_Lib[],MATCH(R$2,SP_ACQ_Lib[#Headers],0),FALSE)=0,"",VLOOKUP(CONCATENATE($A23,"_",R$1),SP_ACQ_Lib[],MATCH(R$2,SP_ACQ_Lib[#Headers],0),FALSE)),"")</f>
        <v>43875</v>
      </c>
      <c r="S23" s="253">
        <f>IFERROR(IF(VLOOKUP(CONCATENATE($A23,"_",S$1),SP_ACQ_Lib[],MATCH(S$2,SP_ACQ_Lib[#Headers],0),FALSE)=0,"",VLOOKUP(CONCATENATE($A23,"_",S$1),SP_ACQ_Lib[],MATCH(S$2,SP_ACQ_Lib[#Headers],0),FALSE)),"")</f>
        <v>43888</v>
      </c>
      <c r="T23" s="205" t="str">
        <f>IFERROR(VLOOKUP(CONCATENATE($A23,"_",T$1),SP_ACQ_Lib[],MATCH(T$2,SP_ACQ_Lib[#Headers],0),FALSE),0)</f>
        <v>Accepted</v>
      </c>
      <c r="U23" s="250">
        <f>IFERROR(IF(VLOOKUP(CONCATENATE($A23,"_",U$1),SP_ACQ_Lib[],MATCH(U$2,SP_ACQ_Lib[#Headers],0),FALSE)=0,"",VLOOKUP(CONCATENATE($A23,"_",U$1),SP_ACQ_Lib[],MATCH(U$2,SP_ACQ_Lib[#Headers],0),FALSE)),"")</f>
        <v>43809</v>
      </c>
      <c r="V23" s="205" t="str">
        <f>IFERROR(VLOOKUP(CONCATENATE($A23,"_",V$1),SP_ACQ_Lib[],MATCH(V$2,SP_ACQ_Lib[#Headers],0),FALSE),0)</f>
        <v>Accepted</v>
      </c>
      <c r="W23" s="209">
        <f>IFERROR(VLOOKUP(CONCATENATE($A23,"_",W$1),SP_ACQ_Lib[],MATCH(W$2,SP_ACQ_Lib[#Headers],0),FALSE),0)</f>
        <v>0</v>
      </c>
      <c r="X23" s="250">
        <f>IFERROR(VLOOKUP($A23,SP_AcqTract_DB[],MATCH(X$2,SP_AcqTract_DB[#Headers],0),FALSE),"")</f>
        <v>43693</v>
      </c>
      <c r="Y23" s="237">
        <f>IFERROR(VLOOKUP($A23,SP_AcqTract_DB[],MATCH(Y$2,SP_AcqTract_DB[#Headers],0),FALSE),"")</f>
        <v>0.173025711662075</v>
      </c>
      <c r="Z23" s="229">
        <f>IFERROR(VLOOKUP($A23,SP_AcqTract_DB[],MATCH(Z$2,SP_AcqTract_DB[#Headers],0),FALSE),"")</f>
        <v>7537</v>
      </c>
      <c r="AA23" s="229" t="str">
        <f>IFERROR(VLOOKUP($A23,SP_AcqTract_DB[],MATCH(AA$2,SP_AcqTract_DB[#Headers],0),FALSE),"")</f>
        <v>Yes</v>
      </c>
      <c r="AB23" s="250">
        <f>IFERROR(IF(VLOOKUP(CONCATENATE($A23,"_",AB$1),SP_ACQ_Lib[],MATCH(AB$2,SP_ACQ_Lib[#Headers],0),FALSE)=0,"",VLOOKUP(CONCATENATE($A23,"_",AB$1),SP_ACQ_Lib[],MATCH(AB$2,SP_ACQ_Lib[#Headers],0),FALSE)),"")</f>
        <v>43899</v>
      </c>
      <c r="AC23" s="250">
        <f>IFERROR(IF(VLOOKUP(CONCATENATE($A23,"_",AC$1),SP_ACQ_Lib[],MATCH(AC$2,SP_ACQ_Lib[#Headers],0),FALSE)=0,"",VLOOKUP(CONCATENATE($A23,"_",AC$1),SP_ACQ_Lib[],MATCH(AC$2,SP_ACQ_Lib[#Headers],0),FALSE)),"")</f>
        <v>43900</v>
      </c>
      <c r="AD23" s="229" t="str">
        <f>IFERROR(VLOOKUP($A23,SP_AcqTract_DB[],MATCH(AD$2,SP_AcqTract_DB[#Headers],0),FALSE),"")</f>
        <v>Yes</v>
      </c>
      <c r="AE23" s="250">
        <f>IFERROR(IF(VLOOKUP(CONCATENATE($A23,"_",AE$1),SP_ACQ_Lib[],MATCH(AE$2,SP_ACQ_Lib[#Headers],0),FALSE)=0,"",VLOOKUP(CONCATENATE($A23,"_",AE$1),SP_ACQ_Lib[],MATCH(AE$2,SP_ACQ_Lib[#Headers],0),FALSE)),"")</f>
        <v>43767</v>
      </c>
      <c r="AF23" s="250">
        <f>IFERROR(IF(VLOOKUP(CONCATENATE($A23,"_",AF$1),SP_ACQ_Lib[],MATCH(AF$2,SP_ACQ_Lib[#Headers],0),FALSE)=0,"",VLOOKUP(CONCATENATE($A23,"_",AF$1),SP_ACQ_Lib[],MATCH(AF$2,SP_ACQ_Lib[#Headers],0),FALSE)),"")</f>
        <v>43937</v>
      </c>
      <c r="AG23" s="250" t="str">
        <f>IFERROR(IF(VLOOKUP(CONCATENATE($A23,"_",AG$1),SP_ACQ_Lib[],MATCH(AG$2,SP_ACQ_Lib[#Headers],0),FALSE)=0,"",VLOOKUP(CONCATENATE($A23,"_",AG$1),SP_ACQ_Lib[],MATCH(AG$2,SP_ACQ_Lib[#Headers],0),FALSE)),"")</f>
        <v/>
      </c>
      <c r="AH23" s="250">
        <f>IFERROR(IF(VLOOKUP(CONCATENATE($A23,"_",AH$1),SP_ACQ_Lib[],MATCH(AH$2,SP_ACQ_Lib[#Headers],0),FALSE)=0,"",VLOOKUP(CONCATENATE($A23,"_",AH$1),SP_ACQ_Lib[],MATCH(AH$2,SP_ACQ_Lib[#Headers],0),FALSE)),"")</f>
        <v>43690</v>
      </c>
      <c r="AI23" s="249" t="str">
        <f>IFERROR(IF(VLOOKUP(CONCATENATE($A23,"_",AI$1),SP_ACQ_Lib[],MATCH(AI$2,SP_ACQ_Lib[#Headers],0),FALSE)=0,"",VLOOKUP(CONCATENATE($A23,"_",AI$1),SP_ACQ_Lib[],MATCH(AI$2,SP_ACQ_Lib[#Headers],0),FALSE)),"")</f>
        <v/>
      </c>
      <c r="AJ23" s="249" t="str">
        <f>IFERROR(IF(VLOOKUP(CONCATENATE($A23,"_",AJ$1),SP_ACQ_Lib[],MATCH(AJ$2,SP_ACQ_Lib[#Headers],0),FALSE)=0,"",VLOOKUP(CONCATENATE($A23,"_",AJ$1),SP_ACQ_Lib[],MATCH(AJ$2,SP_ACQ_Lib[#Headers],0),FALSE)),"")</f>
        <v/>
      </c>
      <c r="AK23" s="249" t="str">
        <f>IFERROR(IF(VLOOKUP(CONCATENATE($A23,"_",AK$1),SP_ACQ_Lib[],MATCH(AK$2,SP_ACQ_Lib[#Headers],0),FALSE)=0,"",VLOOKUP(CONCATENATE($A23,"_",AK$1),SP_ACQ_Lib[],MATCH(AK$2,SP_ACQ_Lib[#Headers],0),FALSE)),"")</f>
        <v/>
      </c>
      <c r="AL23" s="249">
        <f>IFERROR(VLOOKUP($A23,SP_AcqTract_DB[],MATCH(AL$2,SP_AcqTract_DB[#Headers],0),FALSE),"")</f>
        <v>43937</v>
      </c>
      <c r="AM23" s="227" t="str">
        <f>IFERROR(VLOOKUP($A23,SP_AcqTract_DB[],MATCH(AM$2,SP_AcqTract_DB[#Headers],0),FALSE),"")</f>
        <v>Cameron Boone</v>
      </c>
      <c r="AN23" s="227" t="str">
        <f>IFERROR(VLOOKUP($A23,SP_AcqTract_DB[],MATCH(AN$2,SP_AcqTract_DB[#Headers],0),FALSE),"")</f>
        <v>Richard McGee</v>
      </c>
      <c r="AO23" s="228">
        <f>IFERROR(VLOOKUP($A23,SP_AcqTract_DB[],MATCH(AO$2,SP_AcqTract_DB[#Headers],0),FALSE),"")</f>
        <v>0</v>
      </c>
      <c r="AP23" s="210" t="str">
        <f>IFERROR(VLOOKUP($A23,SP_AcqTract_DB[],MATCH(AP$2,SP_AcqTract_DB[#Headers],0),FALSE),"")</f>
        <v>R</v>
      </c>
      <c r="AQ23" s="252" t="str">
        <f>IFERROR(IF(VLOOKUP(CONCATENATE($A23,"_",AQ$1),SP_ACQ_Lib[],MATCH(AQ$2,SP_ACQ_Lib[#Headers],0),FALSE)=0,"",VLOOKUP(CONCATENATE($A23,"_",AQ$1),SP_ACQ_Lib[],MATCH(AQ$2,SP_ACQ_Lib[#Headers],0),FALSE)),"")</f>
        <v/>
      </c>
      <c r="AR23" s="250">
        <f>IFERROR(IF(VLOOKUP(CONCATENATE($A23,"_",AR$1),SP_ACQ_Lib[],MATCH(AR$2,SP_ACQ_Lib[#Headers],0),FALSE)=0,"",VLOOKUP(CONCATENATE($A23,"_",AR$1),SP_ACQ_Lib[],MATCH(AR$2,SP_ACQ_Lib[#Headers],0),FALSE)),"")</f>
        <v>43685</v>
      </c>
      <c r="AS23" s="249">
        <f>IFERROR(IF(VLOOKUP(CONCATENATE($A23,"_",AS$1),SP_ACQ_Lib[],MATCH(AS$2,SP_ACQ_Lib[#Headers],0),FALSE)=0,"",VLOOKUP(CONCATENATE($A23,"_",AS$1),SP_ACQ_Lib[],MATCH(AS$2,SP_ACQ_Lib[#Headers],0),FALSE)),"")</f>
        <v>43765</v>
      </c>
      <c r="AT23" s="251">
        <f>IFERROR(IF(VLOOKUP(CONCATENATE($A23,"_",AT$1),SP_ACQ_Lib[],MATCH(AT$2,SP_ACQ_Lib[#Headers],0),FALSE)=0,"",VLOOKUP(CONCATENATE($A23,"_",AT$1),SP_ACQ_Lib[],MATCH(AT$2,SP_ACQ_Lib[#Headers],0),FALSE)),"")</f>
        <v>43912</v>
      </c>
      <c r="AU23" s="251">
        <f>IFERROR(IF(VLOOKUP(CONCATENATE($A23,"_",AU$1),SP_ACQ_Lib[],MATCH(AU$2,SP_ACQ_Lib[#Headers],0),FALSE)=0,"",VLOOKUP(CONCATENATE($A23,"_",AU$1),SP_ACQ_Lib[],MATCH(AU$2,SP_ACQ_Lib[#Headers],0),FALSE)),"")</f>
        <v>43986</v>
      </c>
      <c r="AV23" s="225">
        <f>IFERROR(IF(VLOOKUP(CONCATENATE($A23,"_",AV$1),SP_ACQ_Lib[],MATCH(AV$2,SP_ACQ_Lib[#Headers],0),FALSE)=0,"",VLOOKUP(CONCATENATE($A23,"_",AV$1),SP_ACQ_Lib[],MATCH(AV$2,SP_ACQ_Lib[#Headers],0),FALSE)),"")</f>
        <v>97950</v>
      </c>
      <c r="AW23" s="251">
        <f>IFERROR(IF(VLOOKUP(CONCATENATE($A23,"_",AW$1),SP_ACQ_Lib[],MATCH(AW$2,SP_ACQ_Lib[#Headers],0),FALSE)=0,"",VLOOKUP(CONCATENATE($A23,"_",AW$1),SP_ACQ_Lib[],MATCH(AW$2,SP_ACQ_Lib[#Headers],0),FALSE)),"")</f>
        <v>43990</v>
      </c>
      <c r="AX23" s="251">
        <f>IFERROR(IF(VLOOKUP(CONCATENATE($A23,"_",AX$1),SP_ACQ_Lib[],MATCH(AX$2,SP_ACQ_Lib[#Headers],0),FALSE)=0,"",VLOOKUP(CONCATENATE($A23,"_",AX$1),SP_ACQ_Lib[],MATCH(AX$2,SP_ACQ_Lib[#Headers],0),FALSE)),"")</f>
        <v>43990</v>
      </c>
      <c r="AY23" s="251">
        <f>IFERROR(IF(VLOOKUP(CONCATENATE($A23,"_",AY$1),SP_ACQ_Lib[],MATCH(AY$2,SP_ACQ_Lib[#Headers],0),FALSE)=0,"",VLOOKUP(CONCATENATE($A23,"_",AY$1),SP_ACQ_Lib[],MATCH(AY$2,SP_ACQ_Lib[#Headers],0),FALSE)),"")</f>
        <v>43990</v>
      </c>
      <c r="AZ23" s="251">
        <f>IFERROR(IF(VLOOKUP(CONCATENATE($A23,"_",AZ$1),SP_ACQ_Lib[],MATCH(AZ$2,SP_ACQ_Lib[#Headers],0),FALSE)=0,"",VLOOKUP(CONCATENATE($A23,"_",AZ$1),SP_ACQ_Lib[],MATCH(AZ$2,SP_ACQ_Lib[#Headers],0),FALSE)),"")</f>
        <v>44004</v>
      </c>
      <c r="BA23" s="251">
        <f>IFERROR(IF(VLOOKUP(CONCATENATE($A23,"_",BA$1),SP_ACQ_Lib[],MATCH(BA$2,SP_ACQ_Lib[#Headers],0),FALSE)=0,"",VLOOKUP(CONCATENATE($A23,"_",BA$1),SP_ACQ_Lib[],MATCH(BA$2,SP_ACQ_Lib[#Headers],0),FALSE)),"")</f>
        <v>44000</v>
      </c>
      <c r="BB23" s="224">
        <f>IFERROR(VLOOKUP(CONCATENATE($A23,"_",BB$1),SP_ACQ_Lib[],MATCH(BB$2,SP_ACQ_Lib[#Headers],0),FALSE),0)</f>
        <v>0</v>
      </c>
      <c r="BC23" s="231">
        <f>IFERROR(VLOOKUP($A23,SP_AcqTract_DB[],MATCH(BC$2,SP_AcqTract_DB[#Headers],0),FALSE),"")</f>
        <v>43991</v>
      </c>
      <c r="BD23" s="231">
        <f>IFERROR(VLOOKUP($A23,SP_AcqTract_DB[],MATCH(BD$2,SP_AcqTract_DB[#Headers],0),FALSE),"")</f>
        <v>0</v>
      </c>
      <c r="BE23" s="249" t="str">
        <f>IFERROR(IF(VLOOKUP(CONCATENATE($A23,"_",BE$1),SP_ACQ_Lib[],MATCH(BE$2,SP_ACQ_Lib[#Headers],0),FALSE)=0,"",VLOOKUP(CONCATENATE($A23,"_",BE$1),SP_ACQ_Lib[],MATCH(BE$2,SP_ACQ_Lib[#Headers],0),FALSE)),"")</f>
        <v/>
      </c>
      <c r="BF23" s="249" t="str">
        <f>IFERROR(IF(VLOOKUP(CONCATENATE($A23,"_",BF$1),SP_ACQ_Lib[],MATCH(BF$2,SP_ACQ_Lib[#Headers],0),FALSE)=0,"",VLOOKUP(CONCATENATE($A23,"_",BF$1),SP_ACQ_Lib[],MATCH(BF$2,SP_ACQ_Lib[#Headers],0),FALSE)),"")</f>
        <v/>
      </c>
      <c r="BG23" s="249" t="str">
        <f>IFERROR(IF(VLOOKUP(CONCATENATE($A23,"_",BG$1),SP_ACQ_Lib[],MATCH(BG$2,SP_ACQ_Lib[#Headers],0),FALSE)=0,"",VLOOKUP(CONCATENATE($A23,"_",BG$1),SP_ACQ_Lib[],MATCH(BG$2,SP_ACQ_Lib[#Headers],0),FALSE)),"")</f>
        <v/>
      </c>
      <c r="BH23" s="249" t="str">
        <f>IFERROR(IF(VLOOKUP(CONCATENATE($A23,"_",BH$1),SP_ACQ_Lib[],MATCH(BH$2,SP_ACQ_Lib[#Headers],0),FALSE)=0,"",VLOOKUP(CONCATENATE($A23,"_",BH$1),SP_ACQ_Lib[],MATCH(BH$2,SP_ACQ_Lib[#Headers],0),FALSE)),"")</f>
        <v/>
      </c>
      <c r="BI23" s="249" t="str">
        <f>IFERROR(IF(VLOOKUP(CONCATENATE($A23,"_",BI$1),SP_ACQ_Lib[],MATCH(BI$2,SP_ACQ_Lib[#Headers],0),FALSE)=0,"",VLOOKUP(CONCATENATE($A23,"_",BI$1),SP_ACQ_Lib[],MATCH(BI$2,SP_ACQ_Lib[#Headers],0),FALSE)),"")</f>
        <v/>
      </c>
      <c r="BJ23" s="249" t="str">
        <f>IFERROR(IF(VLOOKUP(CONCATENATE($A23,"_",BJ$1),SP_ACQ_Lib[],MATCH(BJ$2,SP_ACQ_Lib[#Headers],0),FALSE)=0,"",VLOOKUP(CONCATENATE($A23,"_",BJ$1),SP_ACQ_Lib[],MATCH(BJ$2,SP_ACQ_Lib[#Headers],0),FALSE)),"")</f>
        <v/>
      </c>
      <c r="BK23" s="250">
        <f>IFERROR(IF(VLOOKUP(CONCATENATE($A23,"_",BK$1),SP_ACQ_Lib[],MATCH(BK$2,SP_ACQ_Lib[#Headers],0),FALSE)=0,"",VLOOKUP(CONCATENATE($A23,"_",BK$1),SP_ACQ_Lib[],MATCH(BK$2,SP_ACQ_Lib[#Headers],0),FALSE)),"")</f>
        <v>43748</v>
      </c>
      <c r="BL23" s="249" t="str">
        <f>IFERROR(IF(VLOOKUP(CONCATENATE($A23,"_",BL$1),SP_ACQ_Lib[],MATCH(BL$2,SP_ACQ_Lib[#Headers],0),FALSE)=0,"",VLOOKUP(CONCATENATE($A23,"_",BL$1),SP_ACQ_Lib[],MATCH(BL$2,SP_ACQ_Lib[#Headers],0),FALSE)),"")</f>
        <v/>
      </c>
      <c r="BM23" s="249" t="str">
        <f>IFERROR(IF(VLOOKUP(CONCATENATE($A23,"_",BM$1),SP_ACQ_Lib[],MATCH(BM$2,SP_ACQ_Lib[#Headers],0),FALSE)=0,"",VLOOKUP(CONCATENATE($A23,"_",BM$1),SP_ACQ_Lib[],MATCH(BM$2,SP_ACQ_Lib[#Headers],0),FALSE)),"")</f>
        <v/>
      </c>
      <c r="BN23" s="249" t="str">
        <f>IFERROR(IF(VLOOKUP(CONCATENATE($A23,"_",BN$1),SP_ACQ_Lib[],MATCH(BN$2,SP_ACQ_Lib[#Headers],0),FALSE)=0,"",VLOOKUP(CONCATENATE($A23,"_",BN$1),SP_ACQ_Lib[],MATCH(BN$2,SP_ACQ_Lib[#Headers],0),FALSE)),"")</f>
        <v/>
      </c>
    </row>
    <row r="24" spans="1:66" s="226" customFormat="1" ht="63.75" x14ac:dyDescent="0.2">
      <c r="A24" s="192" t="s">
        <v>42</v>
      </c>
      <c r="B24" s="227" t="str">
        <f>IFERROR(VLOOKUP($A24,SP_AcqTract_DB[],MATCH(B$2,SP_AcqTract_DB[#Headers],0),FALSE),"")</f>
        <v>R019376</v>
      </c>
      <c r="C24" s="228" t="str">
        <f>IFERROR(VLOOKUP($A24,SP_AcqTract_DB[],MATCH(C$2,SP_AcqTract_DB[#Headers],0),FALSE),"")</f>
        <v>PH1</v>
      </c>
      <c r="D24" s="208" t="str">
        <f>IFERROR(VLOOKUP($A24,SP_AcqTract_DB[],MATCH(D$2,SP_AcqTract_DB[#Headers],0),FALSE),"")</f>
        <v>Active</v>
      </c>
      <c r="E24" s="208">
        <f>IFERROR(VLOOKUP($A24,SP_AcqTract_DB[],MATCH(E$2,SP_AcqTract_DB[#Headers],0),FALSE),"")</f>
        <v>2</v>
      </c>
      <c r="F24" s="227" t="str">
        <f>IFERROR(VLOOKUP($A24,SP_AcqTract_DB[],MATCH(F$2,SP_AcqTract_DB[#Headers],0),FALSE),"")</f>
        <v>Flowage Esmt/Levee Esmt</v>
      </c>
      <c r="G24" s="227" t="str">
        <f>IFERROR(VLOOKUP($A24,SP_AcqTract_DB[],MATCH(G$2,SP_AcqTract_DB[#Headers],0),FALSE),"")</f>
        <v>Lily Khan</v>
      </c>
      <c r="H24" s="250">
        <f>IFERROR(IF(VLOOKUP(CONCATENATE($A24,"_",H$1),SP_ACQ_Lib[],MATCH(H$2,SP_ACQ_Lib[#Headers],0),FALSE)=0,"",VLOOKUP(CONCATENATE($A24,"_",H$1),SP_ACQ_Lib[],MATCH(H$2,SP_ACQ_Lib[#Headers],0),FALSE)),"")</f>
        <v>43909.814629629633</v>
      </c>
      <c r="I24" s="227" t="str">
        <f>IFERROR(VLOOKUP($A24,SP_AcqTract_DB[],MATCH(I$2,SP_AcqTract_DB[#Headers],0),FALSE),"")</f>
        <v>Eva Angeline Muniz, Elizabeth Silva, Olga Rivera, Joe Ramirez, Oscar Ramirez, Jerry Rameriz, Brenda Jeanette Chavana, and Ruth Ann Gonzales</v>
      </c>
      <c r="J24" s="227">
        <f>IFERROR(VLOOKUP($A24,SP_AcqTract_DB[],MATCH(J$2,SP_AcqTract_DB[#Headers],0),FALSE),"")</f>
        <v>0</v>
      </c>
      <c r="K24" s="227">
        <f>IFERROR(VLOOKUP($A24,SP_AcqTract_DB[],MATCH(K$2,SP_AcqTract_DB[#Headers],0),FALSE),"")</f>
        <v>0</v>
      </c>
      <c r="L24" s="227" t="str">
        <f>IFERROR(VLOOKUP($A24,SP_AcqTract_DB[],MATCH(L$2,SP_AcqTract_DB[#Headers],0),FALSE),"")</f>
        <v>416 S Sheppard</v>
      </c>
      <c r="M24" s="208" t="str">
        <f>IFERROR(VLOOKUP($A24,SP_AcqTract_DB[],MATCH(M$2,SP_AcqTract_DB[#Headers],0),FALSE),"")</f>
        <v>Wharton, TX  77488</v>
      </c>
      <c r="N24" s="227" t="str">
        <f>IFERROR(VLOOKUP($A24,SP_AcqTract_DB[],MATCH(N$2,SP_AcqTract_DB[#Headers],0),FALSE),"")</f>
        <v>416 S Sheppard</v>
      </c>
      <c r="O24" s="220">
        <f>IFERROR(VLOOKUP($A24,SP_AcqTract_DB[],MATCH(O$2,SP_AcqTract_DB[#Headers],0),FALSE),"")</f>
        <v>0</v>
      </c>
      <c r="P24" s="220">
        <f>IFERROR(VLOOKUP($A24,SP_AcqTract_DB[],MATCH(P$2,SP_AcqTract_DB[#Headers],0),FALSE),"")</f>
        <v>0</v>
      </c>
      <c r="Q24" s="208" t="str">
        <f>IFERROR(VLOOKUP($A24,SP_AcqTract_DB[],MATCH(Q$2,SP_AcqTract_DB[#Headers],0),FALSE),"")</f>
        <v>2019-0812</v>
      </c>
      <c r="R24" s="250">
        <f>IFERROR(IF(VLOOKUP(CONCATENATE($A24,"_",R$1),SP_ACQ_Lib[],MATCH(R$2,SP_ACQ_Lib[#Headers],0),FALSE)=0,"",VLOOKUP(CONCATENATE($A24,"_",R$1),SP_ACQ_Lib[],MATCH(R$2,SP_ACQ_Lib[#Headers],0),FALSE)),"")</f>
        <v>44013</v>
      </c>
      <c r="S24" s="253">
        <f>IFERROR(IF(VLOOKUP(CONCATENATE($A24,"_",S$1),SP_ACQ_Lib[],MATCH(S$2,SP_ACQ_Lib[#Headers],0),FALSE)=0,"",VLOOKUP(CONCATENATE($A24,"_",S$1),SP_ACQ_Lib[],MATCH(S$2,SP_ACQ_Lib[#Headers],0),FALSE)),"")</f>
        <v>44014</v>
      </c>
      <c r="T24" s="205" t="str">
        <f>IFERROR(VLOOKUP(CONCATENATE($A24,"_",T$1),SP_ACQ_Lib[],MATCH(T$2,SP_ACQ_Lib[#Headers],0),FALSE),0)</f>
        <v>Accepted</v>
      </c>
      <c r="U24" s="250">
        <f>IFERROR(IF(VLOOKUP(CONCATENATE($A24,"_",U$1),SP_ACQ_Lib[],MATCH(U$2,SP_ACQ_Lib[#Headers],0),FALSE)=0,"",VLOOKUP(CONCATENATE($A24,"_",U$1),SP_ACQ_Lib[],MATCH(U$2,SP_ACQ_Lib[#Headers],0),FALSE)),"")</f>
        <v>43809</v>
      </c>
      <c r="V24" s="205" t="str">
        <f>IFERROR(VLOOKUP(CONCATENATE($A24,"_",V$1),SP_ACQ_Lib[],MATCH(V$2,SP_ACQ_Lib[#Headers],0),FALSE),0)</f>
        <v>Accepted</v>
      </c>
      <c r="W24" s="209">
        <f>IFERROR(VLOOKUP(CONCATENATE($A24,"_",W$1),SP_ACQ_Lib[],MATCH(W$2,SP_ACQ_Lib[#Headers],0),FALSE),0)</f>
        <v>0</v>
      </c>
      <c r="X24" s="250">
        <f>IFERROR(VLOOKUP($A24,SP_AcqTract_DB[],MATCH(X$2,SP_AcqTract_DB[#Headers],0),FALSE),"")</f>
        <v>43693</v>
      </c>
      <c r="Y24" s="237">
        <f>IFERROR(VLOOKUP($A24,SP_AcqTract_DB[],MATCH(Y$2,SP_AcqTract_DB[#Headers],0),FALSE),"")</f>
        <v>0.17431129476584001</v>
      </c>
      <c r="Z24" s="229">
        <f>IFERROR(VLOOKUP($A24,SP_AcqTract_DB[],MATCH(Z$2,SP_AcqTract_DB[#Headers],0),FALSE),"")</f>
        <v>7593</v>
      </c>
      <c r="AA24" s="229" t="str">
        <f>IFERROR(VLOOKUP($A24,SP_AcqTract_DB[],MATCH(AA$2,SP_AcqTract_DB[#Headers],0),FALSE),"")</f>
        <v>Yes</v>
      </c>
      <c r="AB24" s="250">
        <f>IFERROR(IF(VLOOKUP(CONCATENATE($A24,"_",AB$1),SP_ACQ_Lib[],MATCH(AB$2,SP_ACQ_Lib[#Headers],0),FALSE)=0,"",VLOOKUP(CONCATENATE($A24,"_",AB$1),SP_ACQ_Lib[],MATCH(AB$2,SP_ACQ_Lib[#Headers],0),FALSE)),"")</f>
        <v>43767</v>
      </c>
      <c r="AC24" s="250">
        <f>IFERROR(IF(VLOOKUP(CONCATENATE($A24,"_",AC$1),SP_ACQ_Lib[],MATCH(AC$2,SP_ACQ_Lib[#Headers],0),FALSE)=0,"",VLOOKUP(CONCATENATE($A24,"_",AC$1),SP_ACQ_Lib[],MATCH(AC$2,SP_ACQ_Lib[#Headers],0),FALSE)),"")</f>
        <v>43886</v>
      </c>
      <c r="AD24" s="229" t="str">
        <f>IFERROR(VLOOKUP($A24,SP_AcqTract_DB[],MATCH(AD$2,SP_AcqTract_DB[#Headers],0),FALSE),"")</f>
        <v>Yes</v>
      </c>
      <c r="AE24" s="250">
        <f>IFERROR(IF(VLOOKUP(CONCATENATE($A24,"_",AE$1),SP_ACQ_Lib[],MATCH(AE$2,SP_ACQ_Lib[#Headers],0),FALSE)=0,"",VLOOKUP(CONCATENATE($A24,"_",AE$1),SP_ACQ_Lib[],MATCH(AE$2,SP_ACQ_Lib[#Headers],0),FALSE)),"")</f>
        <v>43991</v>
      </c>
      <c r="AF24" s="250">
        <f>IFERROR(IF(VLOOKUP(CONCATENATE($A24,"_",AF$1),SP_ACQ_Lib[],MATCH(AF$2,SP_ACQ_Lib[#Headers],0),FALSE)=0,"",VLOOKUP(CONCATENATE($A24,"_",AF$1),SP_ACQ_Lib[],MATCH(AF$2,SP_ACQ_Lib[#Headers],0),FALSE)),"")</f>
        <v>43993</v>
      </c>
      <c r="AG24" s="250" t="str">
        <f>IFERROR(IF(VLOOKUP(CONCATENATE($A24,"_",AG$1),SP_ACQ_Lib[],MATCH(AG$2,SP_ACQ_Lib[#Headers],0),FALSE)=0,"",VLOOKUP(CONCATENATE($A24,"_",AG$1),SP_ACQ_Lib[],MATCH(AG$2,SP_ACQ_Lib[#Headers],0),FALSE)),"")</f>
        <v/>
      </c>
      <c r="AH24" s="250">
        <f>IFERROR(IF(VLOOKUP(CONCATENATE($A24,"_",AH$1),SP_ACQ_Lib[],MATCH(AH$2,SP_ACQ_Lib[#Headers],0),FALSE)=0,"",VLOOKUP(CONCATENATE($A24,"_",AH$1),SP_ACQ_Lib[],MATCH(AH$2,SP_ACQ_Lib[#Headers],0),FALSE)),"")</f>
        <v>43676</v>
      </c>
      <c r="AI24" s="249" t="str">
        <f>IFERROR(IF(VLOOKUP(CONCATENATE($A24,"_",AI$1),SP_ACQ_Lib[],MATCH(AI$2,SP_ACQ_Lib[#Headers],0),FALSE)=0,"",VLOOKUP(CONCATENATE($A24,"_",AI$1),SP_ACQ_Lib[],MATCH(AI$2,SP_ACQ_Lib[#Headers],0),FALSE)),"")</f>
        <v/>
      </c>
      <c r="AJ24" s="249" t="str">
        <f>IFERROR(IF(VLOOKUP(CONCATENATE($A24,"_",AJ$1),SP_ACQ_Lib[],MATCH(AJ$2,SP_ACQ_Lib[#Headers],0),FALSE)=0,"",VLOOKUP(CONCATENATE($A24,"_",AJ$1),SP_ACQ_Lib[],MATCH(AJ$2,SP_ACQ_Lib[#Headers],0),FALSE)),"")</f>
        <v/>
      </c>
      <c r="AK24" s="249" t="str">
        <f>IFERROR(IF(VLOOKUP(CONCATENATE($A24,"_",AK$1),SP_ACQ_Lib[],MATCH(AK$2,SP_ACQ_Lib[#Headers],0),FALSE)=0,"",VLOOKUP(CONCATENATE($A24,"_",AK$1),SP_ACQ_Lib[],MATCH(AK$2,SP_ACQ_Lib[#Headers],0),FALSE)),"")</f>
        <v/>
      </c>
      <c r="AL24" s="249">
        <f>IFERROR(VLOOKUP($A24,SP_AcqTract_DB[],MATCH(AL$2,SP_AcqTract_DB[#Headers],0),FALSE),"")</f>
        <v>43994</v>
      </c>
      <c r="AM24" s="227" t="str">
        <f>IFERROR(VLOOKUP($A24,SP_AcqTract_DB[],MATCH(AM$2,SP_AcqTract_DB[#Headers],0),FALSE),"")</f>
        <v>Cameron Boone</v>
      </c>
      <c r="AN24" s="227" t="str">
        <f>IFERROR(VLOOKUP($A24,SP_AcqTract_DB[],MATCH(AN$2,SP_AcqTract_DB[#Headers],0),FALSE),"")</f>
        <v>Richard McGee</v>
      </c>
      <c r="AO24" s="228">
        <f>IFERROR(VLOOKUP($A24,SP_AcqTract_DB[],MATCH(AO$2,SP_AcqTract_DB[#Headers],0),FALSE),"")</f>
        <v>0</v>
      </c>
      <c r="AP24" s="210" t="str">
        <f>IFERROR(VLOOKUP($A24,SP_AcqTract_DB[],MATCH(AP$2,SP_AcqTract_DB[#Headers],0),FALSE),"")</f>
        <v>R</v>
      </c>
      <c r="AQ24" s="252" t="str">
        <f>IFERROR(IF(VLOOKUP(CONCATENATE($A24,"_",AQ$1),SP_ACQ_Lib[],MATCH(AQ$2,SP_ACQ_Lib[#Headers],0),FALSE)=0,"",VLOOKUP(CONCATENATE($A24,"_",AQ$1),SP_ACQ_Lib[],MATCH(AQ$2,SP_ACQ_Lib[#Headers],0),FALSE)),"")</f>
        <v/>
      </c>
      <c r="AR24" s="250" t="str">
        <f>IFERROR(IF(VLOOKUP(CONCATENATE($A24,"_",AR$1),SP_ACQ_Lib[],MATCH(AR$2,SP_ACQ_Lib[#Headers],0),FALSE)=0,"",VLOOKUP(CONCATENATE($A24,"_",AR$1),SP_ACQ_Lib[],MATCH(AR$2,SP_ACQ_Lib[#Headers],0),FALSE)),"")</f>
        <v/>
      </c>
      <c r="AS24" s="249">
        <f>IFERROR(IF(VLOOKUP(CONCATENATE($A24,"_",AS$1),SP_ACQ_Lib[],MATCH(AS$2,SP_ACQ_Lib[#Headers],0),FALSE)=0,"",VLOOKUP(CONCATENATE($A24,"_",AS$1),SP_ACQ_Lib[],MATCH(AS$2,SP_ACQ_Lib[#Headers],0),FALSE)),"")</f>
        <v>43765</v>
      </c>
      <c r="AT24" s="251">
        <f>IFERROR(IF(VLOOKUP(CONCATENATE($A24,"_",AT$1),SP_ACQ_Lib[],MATCH(AT$2,SP_ACQ_Lib[#Headers],0),FALSE)=0,"",VLOOKUP(CONCATENATE($A24,"_",AT$1),SP_ACQ_Lib[],MATCH(AT$2,SP_ACQ_Lib[#Headers],0),FALSE)),"")</f>
        <v>43912</v>
      </c>
      <c r="AU24" s="251" t="str">
        <f>IFERROR(IF(VLOOKUP(CONCATENATE($A24,"_",AU$1),SP_ACQ_Lib[],MATCH(AU$2,SP_ACQ_Lib[#Headers],0),FALSE)=0,"",VLOOKUP(CONCATENATE($A24,"_",AU$1),SP_ACQ_Lib[],MATCH(AU$2,SP_ACQ_Lib[#Headers],0),FALSE)),"")</f>
        <v/>
      </c>
      <c r="AV24" s="225">
        <f>IFERROR(IF(VLOOKUP(CONCATENATE($A24,"_",AV$1),SP_ACQ_Lib[],MATCH(AV$2,SP_ACQ_Lib[#Headers],0),FALSE)=0,"",VLOOKUP(CONCATENATE($A24,"_",AV$1),SP_ACQ_Lib[],MATCH(AV$2,SP_ACQ_Lib[#Headers],0),FALSE)),"")</f>
        <v>76800</v>
      </c>
      <c r="AW24" s="251">
        <f>IFERROR(IF(VLOOKUP(CONCATENATE($A24,"_",AW$1),SP_ACQ_Lib[],MATCH(AW$2,SP_ACQ_Lib[#Headers],0),FALSE)=0,"",VLOOKUP(CONCATENATE($A24,"_",AW$1),SP_ACQ_Lib[],MATCH(AW$2,SP_ACQ_Lib[#Headers],0),FALSE)),"")</f>
        <v>44013</v>
      </c>
      <c r="AX24" s="251">
        <f>IFERROR(IF(VLOOKUP(CONCATENATE($A24,"_",AX$1),SP_ACQ_Lib[],MATCH(AX$2,SP_ACQ_Lib[#Headers],0),FALSE)=0,"",VLOOKUP(CONCATENATE($A24,"_",AX$1),SP_ACQ_Lib[],MATCH(AX$2,SP_ACQ_Lib[#Headers],0),FALSE)),"")</f>
        <v>44013</v>
      </c>
      <c r="AY24" s="251">
        <f>IFERROR(IF(VLOOKUP(CONCATENATE($A24,"_",AY$1),SP_ACQ_Lib[],MATCH(AY$2,SP_ACQ_Lib[#Headers],0),FALSE)=0,"",VLOOKUP(CONCATENATE($A24,"_",AY$1),SP_ACQ_Lib[],MATCH(AY$2,SP_ACQ_Lib[#Headers],0),FALSE)),"")</f>
        <v>44013</v>
      </c>
      <c r="AZ24" s="251" t="str">
        <f>IFERROR(IF(VLOOKUP(CONCATENATE($A24,"_",AZ$1),SP_ACQ_Lib[],MATCH(AZ$2,SP_ACQ_Lib[#Headers],0),FALSE)=0,"",VLOOKUP(CONCATENATE($A24,"_",AZ$1),SP_ACQ_Lib[],MATCH(AZ$2,SP_ACQ_Lib[#Headers],0),FALSE)),"")</f>
        <v/>
      </c>
      <c r="BA24" s="251" t="str">
        <f>IFERROR(IF(VLOOKUP(CONCATENATE($A24,"_",BA$1),SP_ACQ_Lib[],MATCH(BA$2,SP_ACQ_Lib[#Headers],0),FALSE)=0,"",VLOOKUP(CONCATENATE($A24,"_",BA$1),SP_ACQ_Lib[],MATCH(BA$2,SP_ACQ_Lib[#Headers],0),FALSE)),"")</f>
        <v/>
      </c>
      <c r="BB24" s="224">
        <f>IFERROR(VLOOKUP(CONCATENATE($A24,"_",BB$1),SP_ACQ_Lib[],MATCH(BB$2,SP_ACQ_Lib[#Headers],0),FALSE),0)</f>
        <v>0</v>
      </c>
      <c r="BC24" s="231">
        <f>IFERROR(VLOOKUP($A24,SP_AcqTract_DB[],MATCH(BC$2,SP_AcqTract_DB[#Headers],0),FALSE),"")</f>
        <v>0</v>
      </c>
      <c r="BD24" s="231">
        <f>IFERROR(VLOOKUP($A24,SP_AcqTract_DB[],MATCH(BD$2,SP_AcqTract_DB[#Headers],0),FALSE),"")</f>
        <v>0</v>
      </c>
      <c r="BE24" s="249" t="str">
        <f>IFERROR(IF(VLOOKUP(CONCATENATE($A24,"_",BE$1),SP_ACQ_Lib[],MATCH(BE$2,SP_ACQ_Lib[#Headers],0),FALSE)=0,"",VLOOKUP(CONCATENATE($A24,"_",BE$1),SP_ACQ_Lib[],MATCH(BE$2,SP_ACQ_Lib[#Headers],0),FALSE)),"")</f>
        <v/>
      </c>
      <c r="BF24" s="249" t="str">
        <f>IFERROR(IF(VLOOKUP(CONCATENATE($A24,"_",BF$1),SP_ACQ_Lib[],MATCH(BF$2,SP_ACQ_Lib[#Headers],0),FALSE)=0,"",VLOOKUP(CONCATENATE($A24,"_",BF$1),SP_ACQ_Lib[],MATCH(BF$2,SP_ACQ_Lib[#Headers],0),FALSE)),"")</f>
        <v/>
      </c>
      <c r="BG24" s="249" t="str">
        <f>IFERROR(IF(VLOOKUP(CONCATENATE($A24,"_",BG$1),SP_ACQ_Lib[],MATCH(BG$2,SP_ACQ_Lib[#Headers],0),FALSE)=0,"",VLOOKUP(CONCATENATE($A24,"_",BG$1),SP_ACQ_Lib[],MATCH(BG$2,SP_ACQ_Lib[#Headers],0),FALSE)),"")</f>
        <v/>
      </c>
      <c r="BH24" s="249" t="str">
        <f>IFERROR(IF(VLOOKUP(CONCATENATE($A24,"_",BH$1),SP_ACQ_Lib[],MATCH(BH$2,SP_ACQ_Lib[#Headers],0),FALSE)=0,"",VLOOKUP(CONCATENATE($A24,"_",BH$1),SP_ACQ_Lib[],MATCH(BH$2,SP_ACQ_Lib[#Headers],0),FALSE)),"")</f>
        <v/>
      </c>
      <c r="BI24" s="249" t="str">
        <f>IFERROR(IF(VLOOKUP(CONCATENATE($A24,"_",BI$1),SP_ACQ_Lib[],MATCH(BI$2,SP_ACQ_Lib[#Headers],0),FALSE)=0,"",VLOOKUP(CONCATENATE($A24,"_",BI$1),SP_ACQ_Lib[],MATCH(BI$2,SP_ACQ_Lib[#Headers],0),FALSE)),"")</f>
        <v/>
      </c>
      <c r="BJ24" s="249" t="str">
        <f>IFERROR(IF(VLOOKUP(CONCATENATE($A24,"_",BJ$1),SP_ACQ_Lib[],MATCH(BJ$2,SP_ACQ_Lib[#Headers],0),FALSE)=0,"",VLOOKUP(CONCATENATE($A24,"_",BJ$1),SP_ACQ_Lib[],MATCH(BJ$2,SP_ACQ_Lib[#Headers],0),FALSE)),"")</f>
        <v/>
      </c>
      <c r="BK24" s="250">
        <f>IFERROR(IF(VLOOKUP(CONCATENATE($A24,"_",BK$1),SP_ACQ_Lib[],MATCH(BK$2,SP_ACQ_Lib[#Headers],0),FALSE)=0,"",VLOOKUP(CONCATENATE($A24,"_",BK$1),SP_ACQ_Lib[],MATCH(BK$2,SP_ACQ_Lib[#Headers],0),FALSE)),"")</f>
        <v>43748</v>
      </c>
      <c r="BL24" s="249" t="str">
        <f>IFERROR(IF(VLOOKUP(CONCATENATE($A24,"_",BL$1),SP_ACQ_Lib[],MATCH(BL$2,SP_ACQ_Lib[#Headers],0),FALSE)=0,"",VLOOKUP(CONCATENATE($A24,"_",BL$1),SP_ACQ_Lib[],MATCH(BL$2,SP_ACQ_Lib[#Headers],0),FALSE)),"")</f>
        <v/>
      </c>
      <c r="BM24" s="249" t="str">
        <f>IFERROR(IF(VLOOKUP(CONCATENATE($A24,"_",BM$1),SP_ACQ_Lib[],MATCH(BM$2,SP_ACQ_Lib[#Headers],0),FALSE)=0,"",VLOOKUP(CONCATENATE($A24,"_",BM$1),SP_ACQ_Lib[],MATCH(BM$2,SP_ACQ_Lib[#Headers],0),FALSE)),"")</f>
        <v/>
      </c>
      <c r="BN24" s="249" t="str">
        <f>IFERROR(IF(VLOOKUP(CONCATENATE($A24,"_",BN$1),SP_ACQ_Lib[],MATCH(BN$2,SP_ACQ_Lib[#Headers],0),FALSE)=0,"",VLOOKUP(CONCATENATE($A24,"_",BN$1),SP_ACQ_Lib[],MATCH(BN$2,SP_ACQ_Lib[#Headers],0),FALSE)),"")</f>
        <v/>
      </c>
    </row>
    <row r="25" spans="1:66" s="226" customFormat="1" ht="38.25" x14ac:dyDescent="0.2">
      <c r="A25" s="192" t="s">
        <v>43</v>
      </c>
      <c r="B25" s="227" t="str">
        <f>IFERROR(VLOOKUP($A25,SP_AcqTract_DB[],MATCH(B$2,SP_AcqTract_DB[#Headers],0),FALSE),"")</f>
        <v>R019375</v>
      </c>
      <c r="C25" s="228" t="str">
        <f>IFERROR(VLOOKUP($A25,SP_AcqTract_DB[],MATCH(C$2,SP_AcqTract_DB[#Headers],0),FALSE),"")</f>
        <v>PH1</v>
      </c>
      <c r="D25" s="208" t="str">
        <f>IFERROR(VLOOKUP($A25,SP_AcqTract_DB[],MATCH(D$2,SP_AcqTract_DB[#Headers],0),FALSE),"")</f>
        <v>Active</v>
      </c>
      <c r="E25" s="208">
        <f>IFERROR(VLOOKUP($A25,SP_AcqTract_DB[],MATCH(E$2,SP_AcqTract_DB[#Headers],0),FALSE),"")</f>
        <v>2</v>
      </c>
      <c r="F25" s="227" t="str">
        <f>IFERROR(VLOOKUP($A25,SP_AcqTract_DB[],MATCH(F$2,SP_AcqTract_DB[#Headers],0),FALSE),"")</f>
        <v>Flowage Esmt/Levee Esmt</v>
      </c>
      <c r="G25" s="227" t="str">
        <f>IFERROR(VLOOKUP($A25,SP_AcqTract_DB[],MATCH(G$2,SP_AcqTract_DB[#Headers],0),FALSE),"")</f>
        <v>Melissa DeLeon</v>
      </c>
      <c r="H25" s="250">
        <f>IFERROR(IF(VLOOKUP(CONCATENATE($A25,"_",H$1),SP_ACQ_Lib[],MATCH(H$2,SP_ACQ_Lib[#Headers],0),FALSE)=0,"",VLOOKUP(CONCATENATE($A25,"_",H$1),SP_ACQ_Lib[],MATCH(H$2,SP_ACQ_Lib[#Headers],0),FALSE)),"")</f>
        <v>44000.896296296298</v>
      </c>
      <c r="I25" s="227" t="str">
        <f>IFERROR(VLOOKUP($A25,SP_AcqTract_DB[],MATCH(I$2,SP_AcqTract_DB[#Headers],0),FALSE),"")</f>
        <v>Wharton County Recovery Team</v>
      </c>
      <c r="J25" s="227">
        <f>IFERROR(VLOOKUP($A25,SP_AcqTract_DB[],MATCH(J$2,SP_AcqTract_DB[#Headers],0),FALSE),"")</f>
        <v>0</v>
      </c>
      <c r="K25" s="227" t="str">
        <f>IFERROR(VLOOKUP($A25,SP_AcqTract_DB[],MATCH(K$2,SP_AcqTract_DB[#Headers],0),FALSE),"")</f>
        <v>Wharton County Recovery Team</v>
      </c>
      <c r="L25" s="227" t="str">
        <f>IFERROR(VLOOKUP($A25,SP_AcqTract_DB[],MATCH(L$2,SP_AcqTract_DB[#Headers],0),FALSE),"")</f>
        <v>PO Box 641</v>
      </c>
      <c r="M25" s="208" t="str">
        <f>IFERROR(VLOOKUP($A25,SP_AcqTract_DB[],MATCH(M$2,SP_AcqTract_DB[#Headers],0),FALSE),"")</f>
        <v>Wharton, TX  77488</v>
      </c>
      <c r="N25" s="227" t="str">
        <f>IFERROR(VLOOKUP($A25,SP_AcqTract_DB[],MATCH(N$2,SP_AcqTract_DB[#Headers],0),FALSE),"")</f>
        <v>412 S Sheppard</v>
      </c>
      <c r="O25" s="220">
        <f>IFERROR(VLOOKUP($A25,SP_AcqTract_DB[],MATCH(O$2,SP_AcqTract_DB[#Headers],0),FALSE),"")</f>
        <v>0</v>
      </c>
      <c r="P25" s="220">
        <f>IFERROR(VLOOKUP($A25,SP_AcqTract_DB[],MATCH(P$2,SP_AcqTract_DB[#Headers],0),FALSE),"")</f>
        <v>0</v>
      </c>
      <c r="Q25" s="208" t="str">
        <f>IFERROR(VLOOKUP($A25,SP_AcqTract_DB[],MATCH(Q$2,SP_AcqTract_DB[#Headers],0),FALSE),"")</f>
        <v>2019-0813</v>
      </c>
      <c r="R25" s="250">
        <f>IFERROR(IF(VLOOKUP(CONCATENATE($A25,"_",R$1),SP_ACQ_Lib[],MATCH(R$2,SP_ACQ_Lib[#Headers],0),FALSE)=0,"",VLOOKUP(CONCATENATE($A25,"_",R$1),SP_ACQ_Lib[],MATCH(R$2,SP_ACQ_Lib[#Headers],0),FALSE)),"")</f>
        <v>43943</v>
      </c>
      <c r="S25" s="253">
        <f>IFERROR(IF(VLOOKUP(CONCATENATE($A25,"_",S$1),SP_ACQ_Lib[],MATCH(S$2,SP_ACQ_Lib[#Headers],0),FALSE)=0,"",VLOOKUP(CONCATENATE($A25,"_",S$1),SP_ACQ_Lib[],MATCH(S$2,SP_ACQ_Lib[#Headers],0),FALSE)),"")</f>
        <v>43951</v>
      </c>
      <c r="T25" s="205" t="str">
        <f>IFERROR(VLOOKUP(CONCATENATE($A25,"_",T$1),SP_ACQ_Lib[],MATCH(T$2,SP_ACQ_Lib[#Headers],0),FALSE),0)</f>
        <v>Accepted</v>
      </c>
      <c r="U25" s="250">
        <f>IFERROR(IF(VLOOKUP(CONCATENATE($A25,"_",U$1),SP_ACQ_Lib[],MATCH(U$2,SP_ACQ_Lib[#Headers],0),FALSE)=0,"",VLOOKUP(CONCATENATE($A25,"_",U$1),SP_ACQ_Lib[],MATCH(U$2,SP_ACQ_Lib[#Headers],0),FALSE)),"")</f>
        <v>43809</v>
      </c>
      <c r="V25" s="205" t="str">
        <f>IFERROR(VLOOKUP(CONCATENATE($A25,"_",V$1),SP_ACQ_Lib[],MATCH(V$2,SP_ACQ_Lib[#Headers],0),FALSE),0)</f>
        <v>Accepted</v>
      </c>
      <c r="W25" s="209">
        <f>IFERROR(VLOOKUP(CONCATENATE($A25,"_",W$1),SP_ACQ_Lib[],MATCH(W$2,SP_ACQ_Lib[#Headers],0),FALSE),0)</f>
        <v>0</v>
      </c>
      <c r="X25" s="250">
        <f>IFERROR(VLOOKUP($A25,SP_AcqTract_DB[],MATCH(X$2,SP_AcqTract_DB[#Headers],0),FALSE),"")</f>
        <v>43704</v>
      </c>
      <c r="Y25" s="237">
        <f>IFERROR(VLOOKUP($A25,SP_AcqTract_DB[],MATCH(Y$2,SP_AcqTract_DB[#Headers],0),FALSE),"")</f>
        <v>0.17552800734618901</v>
      </c>
      <c r="Z25" s="229">
        <f>IFERROR(VLOOKUP($A25,SP_AcqTract_DB[],MATCH(Z$2,SP_AcqTract_DB[#Headers],0),FALSE),"")</f>
        <v>7646</v>
      </c>
      <c r="AA25" s="229" t="str">
        <f>IFERROR(VLOOKUP($A25,SP_AcqTract_DB[],MATCH(AA$2,SP_AcqTract_DB[#Headers],0),FALSE),"")</f>
        <v>Yes</v>
      </c>
      <c r="AB25" s="250">
        <f>IFERROR(IF(VLOOKUP(CONCATENATE($A25,"_",AB$1),SP_ACQ_Lib[],MATCH(AB$2,SP_ACQ_Lib[#Headers],0),FALSE)=0,"",VLOOKUP(CONCATENATE($A25,"_",AB$1),SP_ACQ_Lib[],MATCH(AB$2,SP_ACQ_Lib[#Headers],0),FALSE)),"")</f>
        <v>43767</v>
      </c>
      <c r="AC25" s="250">
        <f>IFERROR(IF(VLOOKUP(CONCATENATE($A25,"_",AC$1),SP_ACQ_Lib[],MATCH(AC$2,SP_ACQ_Lib[#Headers],0),FALSE)=0,"",VLOOKUP(CONCATENATE($A25,"_",AC$1),SP_ACQ_Lib[],MATCH(AC$2,SP_ACQ_Lib[#Headers],0),FALSE)),"")</f>
        <v>43886</v>
      </c>
      <c r="AD25" s="229" t="str">
        <f>IFERROR(VLOOKUP($A25,SP_AcqTract_DB[],MATCH(AD$2,SP_AcqTract_DB[#Headers],0),FALSE),"")</f>
        <v>Yes</v>
      </c>
      <c r="AE25" s="250">
        <f>IFERROR(IF(VLOOKUP(CONCATENATE($A25,"_",AE$1),SP_ACQ_Lib[],MATCH(AE$2,SP_ACQ_Lib[#Headers],0),FALSE)=0,"",VLOOKUP(CONCATENATE($A25,"_",AE$1),SP_ACQ_Lib[],MATCH(AE$2,SP_ACQ_Lib[#Headers],0),FALSE)),"")</f>
        <v>43767</v>
      </c>
      <c r="AF25" s="250">
        <f>IFERROR(IF(VLOOKUP(CONCATENATE($A25,"_",AF$1),SP_ACQ_Lib[],MATCH(AF$2,SP_ACQ_Lib[#Headers],0),FALSE)=0,"",VLOOKUP(CONCATENATE($A25,"_",AF$1),SP_ACQ_Lib[],MATCH(AF$2,SP_ACQ_Lib[#Headers],0),FALSE)),"")</f>
        <v>43948</v>
      </c>
      <c r="AG25" s="250" t="str">
        <f>IFERROR(IF(VLOOKUP(CONCATENATE($A25,"_",AG$1),SP_ACQ_Lib[],MATCH(AG$2,SP_ACQ_Lib[#Headers],0),FALSE)=0,"",VLOOKUP(CONCATENATE($A25,"_",AG$1),SP_ACQ_Lib[],MATCH(AG$2,SP_ACQ_Lib[#Headers],0),FALSE)),"")</f>
        <v/>
      </c>
      <c r="AH25" s="250">
        <f>IFERROR(IF(VLOOKUP(CONCATENATE($A25,"_",AH$1),SP_ACQ_Lib[],MATCH(AH$2,SP_ACQ_Lib[#Headers],0),FALSE)=0,"",VLOOKUP(CONCATENATE($A25,"_",AH$1),SP_ACQ_Lib[],MATCH(AH$2,SP_ACQ_Lib[#Headers],0),FALSE)),"")</f>
        <v>43698</v>
      </c>
      <c r="AI25" s="249" t="str">
        <f>IFERROR(IF(VLOOKUP(CONCATENATE($A25,"_",AI$1),SP_ACQ_Lib[],MATCH(AI$2,SP_ACQ_Lib[#Headers],0),FALSE)=0,"",VLOOKUP(CONCATENATE($A25,"_",AI$1),SP_ACQ_Lib[],MATCH(AI$2,SP_ACQ_Lib[#Headers],0),FALSE)),"")</f>
        <v/>
      </c>
      <c r="AJ25" s="249" t="str">
        <f>IFERROR(IF(VLOOKUP(CONCATENATE($A25,"_",AJ$1),SP_ACQ_Lib[],MATCH(AJ$2,SP_ACQ_Lib[#Headers],0),FALSE)=0,"",VLOOKUP(CONCATENATE($A25,"_",AJ$1),SP_ACQ_Lib[],MATCH(AJ$2,SP_ACQ_Lib[#Headers],0),FALSE)),"")</f>
        <v/>
      </c>
      <c r="AK25" s="249" t="str">
        <f>IFERROR(IF(VLOOKUP(CONCATENATE($A25,"_",AK$1),SP_ACQ_Lib[],MATCH(AK$2,SP_ACQ_Lib[#Headers],0),FALSE)=0,"",VLOOKUP(CONCATENATE($A25,"_",AK$1),SP_ACQ_Lib[],MATCH(AK$2,SP_ACQ_Lib[#Headers],0),FALSE)),"")</f>
        <v/>
      </c>
      <c r="AL25" s="249">
        <f>IFERROR(VLOOKUP($A25,SP_AcqTract_DB[],MATCH(AL$2,SP_AcqTract_DB[#Headers],0),FALSE),"")</f>
        <v>43950</v>
      </c>
      <c r="AM25" s="227" t="str">
        <f>IFERROR(VLOOKUP($A25,SP_AcqTract_DB[],MATCH(AM$2,SP_AcqTract_DB[#Headers],0),FALSE),"")</f>
        <v>Richard Hudgins</v>
      </c>
      <c r="AN25" s="227" t="str">
        <f>IFERROR(VLOOKUP($A25,SP_AcqTract_DB[],MATCH(AN$2,SP_AcqTract_DB[#Headers],0),FALSE),"")</f>
        <v>Richard McGee</v>
      </c>
      <c r="AO25" s="228">
        <f>IFERROR(VLOOKUP($A25,SP_AcqTract_DB[],MATCH(AO$2,SP_AcqTract_DB[#Headers],0),FALSE),"")</f>
        <v>0</v>
      </c>
      <c r="AP25" s="210" t="str">
        <f>IFERROR(VLOOKUP($A25,SP_AcqTract_DB[],MATCH(AP$2,SP_AcqTract_DB[#Headers],0),FALSE),"")</f>
        <v>V</v>
      </c>
      <c r="AQ25" s="252" t="str">
        <f>IFERROR(IF(VLOOKUP(CONCATENATE($A25,"_",AQ$1),SP_ACQ_Lib[],MATCH(AQ$2,SP_ACQ_Lib[#Headers],0),FALSE)=0,"",VLOOKUP(CONCATENATE($A25,"_",AQ$1),SP_ACQ_Lib[],MATCH(AQ$2,SP_ACQ_Lib[#Headers],0),FALSE)),"")</f>
        <v/>
      </c>
      <c r="AR25" s="250" t="str">
        <f>IFERROR(IF(VLOOKUP(CONCATENATE($A25,"_",AR$1),SP_ACQ_Lib[],MATCH(AR$2,SP_ACQ_Lib[#Headers],0),FALSE)=0,"",VLOOKUP(CONCATENATE($A25,"_",AR$1),SP_ACQ_Lib[],MATCH(AR$2,SP_ACQ_Lib[#Headers],0),FALSE)),"")</f>
        <v/>
      </c>
      <c r="AS25" s="249">
        <f>IFERROR(IF(VLOOKUP(CONCATENATE($A25,"_",AS$1),SP_ACQ_Lib[],MATCH(AS$2,SP_ACQ_Lib[#Headers],0),FALSE)=0,"",VLOOKUP(CONCATENATE($A25,"_",AS$1),SP_ACQ_Lib[],MATCH(AS$2,SP_ACQ_Lib[#Headers],0),FALSE)),"")</f>
        <v>43765</v>
      </c>
      <c r="AT25" s="251">
        <f>IFERROR(IF(VLOOKUP(CONCATENATE($A25,"_",AT$1),SP_ACQ_Lib[],MATCH(AT$2,SP_ACQ_Lib[#Headers],0),FALSE)=0,"",VLOOKUP(CONCATENATE($A25,"_",AT$1),SP_ACQ_Lib[],MATCH(AT$2,SP_ACQ_Lib[#Headers],0),FALSE)),"")</f>
        <v>43962</v>
      </c>
      <c r="AU25" s="251" t="str">
        <f>IFERROR(IF(VLOOKUP(CONCATENATE($A25,"_",AU$1),SP_ACQ_Lib[],MATCH(AU$2,SP_ACQ_Lib[#Headers],0),FALSE)=0,"",VLOOKUP(CONCATENATE($A25,"_",AU$1),SP_ACQ_Lib[],MATCH(AU$2,SP_ACQ_Lib[#Headers],0),FALSE)),"")</f>
        <v/>
      </c>
      <c r="AV25" s="225">
        <f>IFERROR(IF(VLOOKUP(CONCATENATE($A25,"_",AV$1),SP_ACQ_Lib[],MATCH(AV$2,SP_ACQ_Lib[#Headers],0),FALSE)=0,"",VLOOKUP(CONCATENATE($A25,"_",AV$1),SP_ACQ_Lib[],MATCH(AV$2,SP_ACQ_Lib[#Headers],0),FALSE)),"")</f>
        <v>5735</v>
      </c>
      <c r="AW25" s="251">
        <f>IFERROR(IF(VLOOKUP(CONCATENATE($A25,"_",AW$1),SP_ACQ_Lib[],MATCH(AW$2,SP_ACQ_Lib[#Headers],0),FALSE)=0,"",VLOOKUP(CONCATENATE($A25,"_",AW$1),SP_ACQ_Lib[],MATCH(AW$2,SP_ACQ_Lib[#Headers],0),FALSE)),"")</f>
        <v>43991</v>
      </c>
      <c r="AX25" s="251">
        <f>IFERROR(IF(VLOOKUP(CONCATENATE($A25,"_",AX$1),SP_ACQ_Lib[],MATCH(AX$2,SP_ACQ_Lib[#Headers],0),FALSE)=0,"",VLOOKUP(CONCATENATE($A25,"_",AX$1),SP_ACQ_Lib[],MATCH(AX$2,SP_ACQ_Lib[#Headers],0),FALSE)),"")</f>
        <v>43990</v>
      </c>
      <c r="AY25" s="251">
        <f>IFERROR(IF(VLOOKUP(CONCATENATE($A25,"_",AY$1),SP_ACQ_Lib[],MATCH(AY$2,SP_ACQ_Lib[#Headers],0),FALSE)=0,"",VLOOKUP(CONCATENATE($A25,"_",AY$1),SP_ACQ_Lib[],MATCH(AY$2,SP_ACQ_Lib[#Headers],0),FALSE)),"")</f>
        <v>43990</v>
      </c>
      <c r="AZ25" s="251" t="str">
        <f>IFERROR(IF(VLOOKUP(CONCATENATE($A25,"_",AZ$1),SP_ACQ_Lib[],MATCH(AZ$2,SP_ACQ_Lib[#Headers],0),FALSE)=0,"",VLOOKUP(CONCATENATE($A25,"_",AZ$1),SP_ACQ_Lib[],MATCH(AZ$2,SP_ACQ_Lib[#Headers],0),FALSE)),"")</f>
        <v/>
      </c>
      <c r="BA25" s="251" t="str">
        <f>IFERROR(IF(VLOOKUP(CONCATENATE($A25,"_",BA$1),SP_ACQ_Lib[],MATCH(BA$2,SP_ACQ_Lib[#Headers],0),FALSE)=0,"",VLOOKUP(CONCATENATE($A25,"_",BA$1),SP_ACQ_Lib[],MATCH(BA$2,SP_ACQ_Lib[#Headers],0),FALSE)),"")</f>
        <v/>
      </c>
      <c r="BB25" s="224">
        <f>IFERROR(VLOOKUP(CONCATENATE($A25,"_",BB$1),SP_ACQ_Lib[],MATCH(BB$2,SP_ACQ_Lib[#Headers],0),FALSE),0)</f>
        <v>0</v>
      </c>
      <c r="BC25" s="231">
        <f>IFERROR(VLOOKUP($A25,SP_AcqTract_DB[],MATCH(BC$2,SP_AcqTract_DB[#Headers],0),FALSE),"")</f>
        <v>43991</v>
      </c>
      <c r="BD25" s="231">
        <f>IFERROR(VLOOKUP($A25,SP_AcqTract_DB[],MATCH(BD$2,SP_AcqTract_DB[#Headers],0),FALSE),"")</f>
        <v>0</v>
      </c>
      <c r="BE25" s="249" t="str">
        <f>IFERROR(IF(VLOOKUP(CONCATENATE($A25,"_",BE$1),SP_ACQ_Lib[],MATCH(BE$2,SP_ACQ_Lib[#Headers],0),FALSE)=0,"",VLOOKUP(CONCATENATE($A25,"_",BE$1),SP_ACQ_Lib[],MATCH(BE$2,SP_ACQ_Lib[#Headers],0),FALSE)),"")</f>
        <v/>
      </c>
      <c r="BF25" s="249" t="str">
        <f>IFERROR(IF(VLOOKUP(CONCATENATE($A25,"_",BF$1),SP_ACQ_Lib[],MATCH(BF$2,SP_ACQ_Lib[#Headers],0),FALSE)=0,"",VLOOKUP(CONCATENATE($A25,"_",BF$1),SP_ACQ_Lib[],MATCH(BF$2,SP_ACQ_Lib[#Headers],0),FALSE)),"")</f>
        <v/>
      </c>
      <c r="BG25" s="249" t="str">
        <f>IFERROR(IF(VLOOKUP(CONCATENATE($A25,"_",BG$1),SP_ACQ_Lib[],MATCH(BG$2,SP_ACQ_Lib[#Headers],0),FALSE)=0,"",VLOOKUP(CONCATENATE($A25,"_",BG$1),SP_ACQ_Lib[],MATCH(BG$2,SP_ACQ_Lib[#Headers],0),FALSE)),"")</f>
        <v/>
      </c>
      <c r="BH25" s="249" t="str">
        <f>IFERROR(IF(VLOOKUP(CONCATENATE($A25,"_",BH$1),SP_ACQ_Lib[],MATCH(BH$2,SP_ACQ_Lib[#Headers],0),FALSE)=0,"",VLOOKUP(CONCATENATE($A25,"_",BH$1),SP_ACQ_Lib[],MATCH(BH$2,SP_ACQ_Lib[#Headers],0),FALSE)),"")</f>
        <v/>
      </c>
      <c r="BI25" s="249" t="str">
        <f>IFERROR(IF(VLOOKUP(CONCATENATE($A25,"_",BI$1),SP_ACQ_Lib[],MATCH(BI$2,SP_ACQ_Lib[#Headers],0),FALSE)=0,"",VLOOKUP(CONCATENATE($A25,"_",BI$1),SP_ACQ_Lib[],MATCH(BI$2,SP_ACQ_Lib[#Headers],0),FALSE)),"")</f>
        <v/>
      </c>
      <c r="BJ25" s="249" t="str">
        <f>IFERROR(IF(VLOOKUP(CONCATENATE($A25,"_",BJ$1),SP_ACQ_Lib[],MATCH(BJ$2,SP_ACQ_Lib[#Headers],0),FALSE)=0,"",VLOOKUP(CONCATENATE($A25,"_",BJ$1),SP_ACQ_Lib[],MATCH(BJ$2,SP_ACQ_Lib[#Headers],0),FALSE)),"")</f>
        <v/>
      </c>
      <c r="BK25" s="250">
        <f>IFERROR(IF(VLOOKUP(CONCATENATE($A25,"_",BK$1),SP_ACQ_Lib[],MATCH(BK$2,SP_ACQ_Lib[#Headers],0),FALSE)=0,"",VLOOKUP(CONCATENATE($A25,"_",BK$1),SP_ACQ_Lib[],MATCH(BK$2,SP_ACQ_Lib[#Headers],0),FALSE)),"")</f>
        <v>43748</v>
      </c>
      <c r="BL25" s="249" t="str">
        <f>IFERROR(IF(VLOOKUP(CONCATENATE($A25,"_",BL$1),SP_ACQ_Lib[],MATCH(BL$2,SP_ACQ_Lib[#Headers],0),FALSE)=0,"",VLOOKUP(CONCATENATE($A25,"_",BL$1),SP_ACQ_Lib[],MATCH(BL$2,SP_ACQ_Lib[#Headers],0),FALSE)),"")</f>
        <v/>
      </c>
      <c r="BM25" s="249" t="str">
        <f>IFERROR(IF(VLOOKUP(CONCATENATE($A25,"_",BM$1),SP_ACQ_Lib[],MATCH(BM$2,SP_ACQ_Lib[#Headers],0),FALSE)=0,"",VLOOKUP(CONCATENATE($A25,"_",BM$1),SP_ACQ_Lib[],MATCH(BM$2,SP_ACQ_Lib[#Headers],0),FALSE)),"")</f>
        <v/>
      </c>
      <c r="BN25" s="249" t="str">
        <f>IFERROR(IF(VLOOKUP(CONCATENATE($A25,"_",BN$1),SP_ACQ_Lib[],MATCH(BN$2,SP_ACQ_Lib[#Headers],0),FALSE)=0,"",VLOOKUP(CONCATENATE($A25,"_",BN$1),SP_ACQ_Lib[],MATCH(BN$2,SP_ACQ_Lib[#Headers],0),FALSE)),"")</f>
        <v/>
      </c>
    </row>
    <row r="26" spans="1:66" s="226" customFormat="1" ht="25.5" x14ac:dyDescent="0.2">
      <c r="A26" s="192" t="s">
        <v>132</v>
      </c>
      <c r="B26" s="227" t="str">
        <f>IFERROR(VLOOKUP($A26,SP_AcqTract_DB[],MATCH(B$2,SP_AcqTract_DB[#Headers],0),FALSE),"")</f>
        <v>R061992</v>
      </c>
      <c r="C26" s="228" t="str">
        <f>IFERROR(VLOOKUP($A26,SP_AcqTract_DB[],MATCH(C$2,SP_AcqTract_DB[#Headers],0),FALSE),"")</f>
        <v>PH1</v>
      </c>
      <c r="D26" s="208" t="str">
        <f>IFERROR(VLOOKUP($A26,SP_AcqTract_DB[],MATCH(D$2,SP_AcqTract_DB[#Headers],0),FALSE),"")</f>
        <v>Active</v>
      </c>
      <c r="E26" s="208">
        <f>IFERROR(VLOOKUP($A26,SP_AcqTract_DB[],MATCH(E$2,SP_AcqTract_DB[#Headers],0),FALSE),"")</f>
        <v>1</v>
      </c>
      <c r="F26" s="227" t="str">
        <f>IFERROR(VLOOKUP($A26,SP_AcqTract_DB[],MATCH(F$2,SP_AcqTract_DB[#Headers],0),FALSE),"")</f>
        <v>Flowage Esmt</v>
      </c>
      <c r="G26" s="227" t="str">
        <f>IFERROR(VLOOKUP($A26,SP_AcqTract_DB[],MATCH(G$2,SP_AcqTract_DB[#Headers],0),FALSE),"")</f>
        <v>Lily Khan</v>
      </c>
      <c r="H26" s="250">
        <f>IFERROR(IF(VLOOKUP(CONCATENATE($A26,"_",H$1),SP_ACQ_Lib[],MATCH(H$2,SP_ACQ_Lib[#Headers],0),FALSE)=0,"",VLOOKUP(CONCATENATE($A26,"_",H$1),SP_ACQ_Lib[],MATCH(H$2,SP_ACQ_Lib[#Headers],0),FALSE)),"")</f>
        <v>44006.609236111108</v>
      </c>
      <c r="I26" s="227" t="str">
        <f>IFERROR(VLOOKUP($A26,SP_AcqTract_DB[],MATCH(I$2,SP_AcqTract_DB[#Headers],0),FALSE),"")</f>
        <v>Clarence Manciaz, Sr.</v>
      </c>
      <c r="J26" s="227">
        <f>IFERROR(VLOOKUP($A26,SP_AcqTract_DB[],MATCH(J$2,SP_AcqTract_DB[#Headers],0),FALSE),"")</f>
        <v>0</v>
      </c>
      <c r="K26" s="227" t="str">
        <f>IFERROR(VLOOKUP($A26,SP_AcqTract_DB[],MATCH(K$2,SP_AcqTract_DB[#Headers],0),FALSE),"")</f>
        <v>Clarence Manciaz, Sr.</v>
      </c>
      <c r="L26" s="227" t="str">
        <f>IFERROR(VLOOKUP($A26,SP_AcqTract_DB[],MATCH(L$2,SP_AcqTract_DB[#Headers],0),FALSE),"")</f>
        <v>410 S Sheppard</v>
      </c>
      <c r="M26" s="208" t="str">
        <f>IFERROR(VLOOKUP($A26,SP_AcqTract_DB[],MATCH(M$2,SP_AcqTract_DB[#Headers],0),FALSE),"")</f>
        <v>Wharton, TX  77488</v>
      </c>
      <c r="N26" s="227" t="str">
        <f>IFERROR(VLOOKUP($A26,SP_AcqTract_DB[],MATCH(N$2,SP_AcqTract_DB[#Headers],0),FALSE),"")</f>
        <v>410 S Sheppard</v>
      </c>
      <c r="O26" s="220" t="str">
        <f>IFERROR(VLOOKUP($A26,SP_AcqTract_DB[],MATCH(O$2,SP_AcqTract_DB[#Headers],0),FALSE),"")</f>
        <v>Sanitary Sewer</v>
      </c>
      <c r="P26" s="220" t="str">
        <f>IFERROR(VLOOKUP($A26,SP_AcqTract_DB[],MATCH(P$2,SP_AcqTract_DB[#Headers],0),FALSE),"")</f>
        <v>X</v>
      </c>
      <c r="Q26" s="208" t="str">
        <f>IFERROR(VLOOKUP($A26,SP_AcqTract_DB[],MATCH(Q$2,SP_AcqTract_DB[#Headers],0),FALSE),"")</f>
        <v>2019-0814</v>
      </c>
      <c r="R26" s="250">
        <f>IFERROR(IF(VLOOKUP(CONCATENATE($A26,"_",R$1),SP_ACQ_Lib[],MATCH(R$2,SP_ACQ_Lib[#Headers],0),FALSE)=0,"",VLOOKUP(CONCATENATE($A26,"_",R$1),SP_ACQ_Lib[],MATCH(R$2,SP_ACQ_Lib[#Headers],0),FALSE)),"")</f>
        <v>43875</v>
      </c>
      <c r="S26" s="253">
        <f>IFERROR(IF(VLOOKUP(CONCATENATE($A26,"_",S$1),SP_ACQ_Lib[],MATCH(S$2,SP_ACQ_Lib[#Headers],0),FALSE)=0,"",VLOOKUP(CONCATENATE($A26,"_",S$1),SP_ACQ_Lib[],MATCH(S$2,SP_ACQ_Lib[#Headers],0),FALSE)),"")</f>
        <v>43888</v>
      </c>
      <c r="T26" s="205" t="str">
        <f>IFERROR(VLOOKUP(CONCATENATE($A26,"_",T$1),SP_ACQ_Lib[],MATCH(T$2,SP_ACQ_Lib[#Headers],0),FALSE),0)</f>
        <v>Accepted</v>
      </c>
      <c r="U26" s="250">
        <f>IFERROR(IF(VLOOKUP(CONCATENATE($A26,"_",U$1),SP_ACQ_Lib[],MATCH(U$2,SP_ACQ_Lib[#Headers],0),FALSE)=0,"",VLOOKUP(CONCATENATE($A26,"_",U$1),SP_ACQ_Lib[],MATCH(U$2,SP_ACQ_Lib[#Headers],0),FALSE)),"")</f>
        <v>43809</v>
      </c>
      <c r="V26" s="205" t="str">
        <f>IFERROR(VLOOKUP(CONCATENATE($A26,"_",V$1),SP_ACQ_Lib[],MATCH(V$2,SP_ACQ_Lib[#Headers],0),FALSE),0)</f>
        <v>Accepted</v>
      </c>
      <c r="W26" s="209">
        <f>IFERROR(VLOOKUP(CONCATENATE($A26,"_",W$1),SP_ACQ_Lib[],MATCH(W$2,SP_ACQ_Lib[#Headers],0),FALSE),0)</f>
        <v>0</v>
      </c>
      <c r="X26" s="250">
        <f>IFERROR(VLOOKUP($A26,SP_AcqTract_DB[],MATCH(X$2,SP_AcqTract_DB[#Headers],0),FALSE),"")</f>
        <v>43693</v>
      </c>
      <c r="Y26" s="237">
        <f>IFERROR(VLOOKUP($A26,SP_AcqTract_DB[],MATCH(Y$2,SP_AcqTract_DB[#Headers],0),FALSE),"")</f>
        <v>0.23748852157943101</v>
      </c>
      <c r="Z26" s="229">
        <f>IFERROR(VLOOKUP($A26,SP_AcqTract_DB[],MATCH(Z$2,SP_AcqTract_DB[#Headers],0),FALSE),"")</f>
        <v>10345</v>
      </c>
      <c r="AA26" s="229" t="str">
        <f>IFERROR(VLOOKUP($A26,SP_AcqTract_DB[],MATCH(AA$2,SP_AcqTract_DB[#Headers],0),FALSE),"")</f>
        <v>Yes</v>
      </c>
      <c r="AB26" s="250">
        <f>IFERROR(IF(VLOOKUP(CONCATENATE($A26,"_",AB$1),SP_ACQ_Lib[],MATCH(AB$2,SP_ACQ_Lib[#Headers],0),FALSE)=0,"",VLOOKUP(CONCATENATE($A26,"_",AB$1),SP_ACQ_Lib[],MATCH(AB$2,SP_ACQ_Lib[#Headers],0),FALSE)),"")</f>
        <v>43740</v>
      </c>
      <c r="AC26" s="250">
        <f>IFERROR(IF(VLOOKUP(CONCATENATE($A26,"_",AC$1),SP_ACQ_Lib[],MATCH(AC$2,SP_ACQ_Lib[#Headers],0),FALSE)=0,"",VLOOKUP(CONCATENATE($A26,"_",AC$1),SP_ACQ_Lib[],MATCH(AC$2,SP_ACQ_Lib[#Headers],0),FALSE)),"")</f>
        <v>43886</v>
      </c>
      <c r="AD26" s="229" t="str">
        <f>IFERROR(VLOOKUP($A26,SP_AcqTract_DB[],MATCH(AD$2,SP_AcqTract_DB[#Headers],0),FALSE),"")</f>
        <v>Yes</v>
      </c>
      <c r="AE26" s="250">
        <f>IFERROR(IF(VLOOKUP(CONCATENATE($A26,"_",AE$1),SP_ACQ_Lib[],MATCH(AE$2,SP_ACQ_Lib[#Headers],0),FALSE)=0,"",VLOOKUP(CONCATENATE($A26,"_",AE$1),SP_ACQ_Lib[],MATCH(AE$2,SP_ACQ_Lib[#Headers],0),FALSE)),"")</f>
        <v>43740</v>
      </c>
      <c r="AF26" s="250">
        <f>IFERROR(IF(VLOOKUP(CONCATENATE($A26,"_",AF$1),SP_ACQ_Lib[],MATCH(AF$2,SP_ACQ_Lib[#Headers],0),FALSE)=0,"",VLOOKUP(CONCATENATE($A26,"_",AF$1),SP_ACQ_Lib[],MATCH(AF$2,SP_ACQ_Lib[#Headers],0),FALSE)),"")</f>
        <v>43948</v>
      </c>
      <c r="AG26" s="250" t="str">
        <f>IFERROR(IF(VLOOKUP(CONCATENATE($A26,"_",AG$1),SP_ACQ_Lib[],MATCH(AG$2,SP_ACQ_Lib[#Headers],0),FALSE)=0,"",VLOOKUP(CONCATENATE($A26,"_",AG$1),SP_ACQ_Lib[],MATCH(AG$2,SP_ACQ_Lib[#Headers],0),FALSE)),"")</f>
        <v/>
      </c>
      <c r="AH26" s="250">
        <f>IFERROR(IF(VLOOKUP(CONCATENATE($A26,"_",AH$1),SP_ACQ_Lib[],MATCH(AH$2,SP_ACQ_Lib[#Headers],0),FALSE)=0,"",VLOOKUP(CONCATENATE($A26,"_",AH$1),SP_ACQ_Lib[],MATCH(AH$2,SP_ACQ_Lib[#Headers],0),FALSE)),"")</f>
        <v>43689</v>
      </c>
      <c r="AI26" s="249" t="str">
        <f>IFERROR(IF(VLOOKUP(CONCATENATE($A26,"_",AI$1),SP_ACQ_Lib[],MATCH(AI$2,SP_ACQ_Lib[#Headers],0),FALSE)=0,"",VLOOKUP(CONCATENATE($A26,"_",AI$1),SP_ACQ_Lib[],MATCH(AI$2,SP_ACQ_Lib[#Headers],0),FALSE)),"")</f>
        <v/>
      </c>
      <c r="AJ26" s="249" t="str">
        <f>IFERROR(IF(VLOOKUP(CONCATENATE($A26,"_",AJ$1),SP_ACQ_Lib[],MATCH(AJ$2,SP_ACQ_Lib[#Headers],0),FALSE)=0,"",VLOOKUP(CONCATENATE($A26,"_",AJ$1),SP_ACQ_Lib[],MATCH(AJ$2,SP_ACQ_Lib[#Headers],0),FALSE)),"")</f>
        <v/>
      </c>
      <c r="AK26" s="249" t="str">
        <f>IFERROR(IF(VLOOKUP(CONCATENATE($A26,"_",AK$1),SP_ACQ_Lib[],MATCH(AK$2,SP_ACQ_Lib[#Headers],0),FALSE)=0,"",VLOOKUP(CONCATENATE($A26,"_",AK$1),SP_ACQ_Lib[],MATCH(AK$2,SP_ACQ_Lib[#Headers],0),FALSE)),"")</f>
        <v/>
      </c>
      <c r="AL26" s="249">
        <f>IFERROR(VLOOKUP($A26,SP_AcqTract_DB[],MATCH(AL$2,SP_AcqTract_DB[#Headers],0),FALSE),"")</f>
        <v>43950</v>
      </c>
      <c r="AM26" s="227" t="str">
        <f>IFERROR(VLOOKUP($A26,SP_AcqTract_DB[],MATCH(AM$2,SP_AcqTract_DB[#Headers],0),FALSE),"")</f>
        <v>Cameron Boone</v>
      </c>
      <c r="AN26" s="227" t="str">
        <f>IFERROR(VLOOKUP($A26,SP_AcqTract_DB[],MATCH(AN$2,SP_AcqTract_DB[#Headers],0),FALSE),"")</f>
        <v>Lory Johnson, Atrium</v>
      </c>
      <c r="AO26" s="228">
        <f>IFERROR(VLOOKUP($A26,SP_AcqTract_DB[],MATCH(AO$2,SP_AcqTract_DB[#Headers],0),FALSE),"")</f>
        <v>0</v>
      </c>
      <c r="AP26" s="210" t="str">
        <f>IFERROR(VLOOKUP($A26,SP_AcqTract_DB[],MATCH(AP$2,SP_AcqTract_DB[#Headers],0),FALSE),"")</f>
        <v>R</v>
      </c>
      <c r="AQ26" s="252" t="str">
        <f>IFERROR(IF(VLOOKUP(CONCATENATE($A26,"_",AQ$1),SP_ACQ_Lib[],MATCH(AQ$2,SP_ACQ_Lib[#Headers],0),FALSE)=0,"",VLOOKUP(CONCATENATE($A26,"_",AQ$1),SP_ACQ_Lib[],MATCH(AQ$2,SP_ACQ_Lib[#Headers],0),FALSE)),"")</f>
        <v/>
      </c>
      <c r="AR26" s="250">
        <f>IFERROR(IF(VLOOKUP(CONCATENATE($A26,"_",AR$1),SP_ACQ_Lib[],MATCH(AR$2,SP_ACQ_Lib[#Headers],0),FALSE)=0,"",VLOOKUP(CONCATENATE($A26,"_",AR$1),SP_ACQ_Lib[],MATCH(AR$2,SP_ACQ_Lib[#Headers],0),FALSE)),"")</f>
        <v>43685</v>
      </c>
      <c r="AS26" s="249">
        <f>IFERROR(IF(VLOOKUP(CONCATENATE($A26,"_",AS$1),SP_ACQ_Lib[],MATCH(AS$2,SP_ACQ_Lib[#Headers],0),FALSE)=0,"",VLOOKUP(CONCATENATE($A26,"_",AS$1),SP_ACQ_Lib[],MATCH(AS$2,SP_ACQ_Lib[#Headers],0),FALSE)),"")</f>
        <v>43765</v>
      </c>
      <c r="AT26" s="251">
        <f>IFERROR(IF(VLOOKUP(CONCATENATE($A26,"_",AT$1),SP_ACQ_Lib[],MATCH(AT$2,SP_ACQ_Lib[#Headers],0),FALSE)=0,"",VLOOKUP(CONCATENATE($A26,"_",AT$1),SP_ACQ_Lib[],MATCH(AT$2,SP_ACQ_Lib[#Headers],0),FALSE)),"")</f>
        <v>43912</v>
      </c>
      <c r="AU26" s="251" t="str">
        <f>IFERROR(IF(VLOOKUP(CONCATENATE($A26,"_",AU$1),SP_ACQ_Lib[],MATCH(AU$2,SP_ACQ_Lib[#Headers],0),FALSE)=0,"",VLOOKUP(CONCATENATE($A26,"_",AU$1),SP_ACQ_Lib[],MATCH(AU$2,SP_ACQ_Lib[#Headers],0),FALSE)),"")</f>
        <v/>
      </c>
      <c r="AV26" s="225">
        <f>IFERROR(IF(VLOOKUP(CONCATENATE($A26,"_",AV$1),SP_ACQ_Lib[],MATCH(AV$2,SP_ACQ_Lib[#Headers],0),FALSE)=0,"",VLOOKUP(CONCATENATE($A26,"_",AV$1),SP_ACQ_Lib[],MATCH(AV$2,SP_ACQ_Lib[#Headers],0),FALSE)),"")</f>
        <v>656</v>
      </c>
      <c r="AW26" s="251">
        <f>IFERROR(IF(VLOOKUP(CONCATENATE($A26,"_",AW$1),SP_ACQ_Lib[],MATCH(AW$2,SP_ACQ_Lib[#Headers],0),FALSE)=0,"",VLOOKUP(CONCATENATE($A26,"_",AW$1),SP_ACQ_Lib[],MATCH(AW$2,SP_ACQ_Lib[#Headers],0),FALSE)),"")</f>
        <v>44005</v>
      </c>
      <c r="AX26" s="251">
        <f>IFERROR(IF(VLOOKUP(CONCATENATE($A26,"_",AX$1),SP_ACQ_Lib[],MATCH(AX$2,SP_ACQ_Lib[#Headers],0),FALSE)=0,"",VLOOKUP(CONCATENATE($A26,"_",AX$1),SP_ACQ_Lib[],MATCH(AX$2,SP_ACQ_Lib[#Headers],0),FALSE)),"")</f>
        <v>44005</v>
      </c>
      <c r="AY26" s="251">
        <f>IFERROR(IF(VLOOKUP(CONCATENATE($A26,"_",AY$1),SP_ACQ_Lib[],MATCH(AY$2,SP_ACQ_Lib[#Headers],0),FALSE)=0,"",VLOOKUP(CONCATENATE($A26,"_",AY$1),SP_ACQ_Lib[],MATCH(AY$2,SP_ACQ_Lib[#Headers],0),FALSE)),"")</f>
        <v>44005</v>
      </c>
      <c r="AZ26" s="251" t="str">
        <f>IFERROR(IF(VLOOKUP(CONCATENATE($A26,"_",AZ$1),SP_ACQ_Lib[],MATCH(AZ$2,SP_ACQ_Lib[#Headers],0),FALSE)=0,"",VLOOKUP(CONCATENATE($A26,"_",AZ$1),SP_ACQ_Lib[],MATCH(AZ$2,SP_ACQ_Lib[#Headers],0),FALSE)),"")</f>
        <v/>
      </c>
      <c r="BA26" s="251" t="str">
        <f>IFERROR(IF(VLOOKUP(CONCATENATE($A26,"_",BA$1),SP_ACQ_Lib[],MATCH(BA$2,SP_ACQ_Lib[#Headers],0),FALSE)=0,"",VLOOKUP(CONCATENATE($A26,"_",BA$1),SP_ACQ_Lib[],MATCH(BA$2,SP_ACQ_Lib[#Headers],0),FALSE)),"")</f>
        <v/>
      </c>
      <c r="BB26" s="224">
        <f>IFERROR(VLOOKUP(CONCATENATE($A26,"_",BB$1),SP_ACQ_Lib[],MATCH(BB$2,SP_ACQ_Lib[#Headers],0),FALSE),0)</f>
        <v>0</v>
      </c>
      <c r="BC26" s="231">
        <f>IFERROR(VLOOKUP($A26,SP_AcqTract_DB[],MATCH(BC$2,SP_AcqTract_DB[#Headers],0),FALSE),"")</f>
        <v>44006</v>
      </c>
      <c r="BD26" s="231">
        <f>IFERROR(VLOOKUP($A26,SP_AcqTract_DB[],MATCH(BD$2,SP_AcqTract_DB[#Headers],0),FALSE),"")</f>
        <v>0</v>
      </c>
      <c r="BE26" s="249" t="str">
        <f>IFERROR(IF(VLOOKUP(CONCATENATE($A26,"_",BE$1),SP_ACQ_Lib[],MATCH(BE$2,SP_ACQ_Lib[#Headers],0),FALSE)=0,"",VLOOKUP(CONCATENATE($A26,"_",BE$1),SP_ACQ_Lib[],MATCH(BE$2,SP_ACQ_Lib[#Headers],0),FALSE)),"")</f>
        <v/>
      </c>
      <c r="BF26" s="249" t="str">
        <f>IFERROR(IF(VLOOKUP(CONCATENATE($A26,"_",BF$1),SP_ACQ_Lib[],MATCH(BF$2,SP_ACQ_Lib[#Headers],0),FALSE)=0,"",VLOOKUP(CONCATENATE($A26,"_",BF$1),SP_ACQ_Lib[],MATCH(BF$2,SP_ACQ_Lib[#Headers],0),FALSE)),"")</f>
        <v/>
      </c>
      <c r="BG26" s="249" t="str">
        <f>IFERROR(IF(VLOOKUP(CONCATENATE($A26,"_",BG$1),SP_ACQ_Lib[],MATCH(BG$2,SP_ACQ_Lib[#Headers],0),FALSE)=0,"",VLOOKUP(CONCATENATE($A26,"_",BG$1),SP_ACQ_Lib[],MATCH(BG$2,SP_ACQ_Lib[#Headers],0),FALSE)),"")</f>
        <v/>
      </c>
      <c r="BH26" s="249" t="str">
        <f>IFERROR(IF(VLOOKUP(CONCATENATE($A26,"_",BH$1),SP_ACQ_Lib[],MATCH(BH$2,SP_ACQ_Lib[#Headers],0),FALSE)=0,"",VLOOKUP(CONCATENATE($A26,"_",BH$1),SP_ACQ_Lib[],MATCH(BH$2,SP_ACQ_Lib[#Headers],0),FALSE)),"")</f>
        <v/>
      </c>
      <c r="BI26" s="249" t="str">
        <f>IFERROR(IF(VLOOKUP(CONCATENATE($A26,"_",BI$1),SP_ACQ_Lib[],MATCH(BI$2,SP_ACQ_Lib[#Headers],0),FALSE)=0,"",VLOOKUP(CONCATENATE($A26,"_",BI$1),SP_ACQ_Lib[],MATCH(BI$2,SP_ACQ_Lib[#Headers],0),FALSE)),"")</f>
        <v/>
      </c>
      <c r="BJ26" s="249" t="str">
        <f>IFERROR(IF(VLOOKUP(CONCATENATE($A26,"_",BJ$1),SP_ACQ_Lib[],MATCH(BJ$2,SP_ACQ_Lib[#Headers],0),FALSE)=0,"",VLOOKUP(CONCATENATE($A26,"_",BJ$1),SP_ACQ_Lib[],MATCH(BJ$2,SP_ACQ_Lib[#Headers],0),FALSE)),"")</f>
        <v/>
      </c>
      <c r="BK26" s="250">
        <f>IFERROR(IF(VLOOKUP(CONCATENATE($A26,"_",BK$1),SP_ACQ_Lib[],MATCH(BK$2,SP_ACQ_Lib[#Headers],0),FALSE)=0,"",VLOOKUP(CONCATENATE($A26,"_",BK$1),SP_ACQ_Lib[],MATCH(BK$2,SP_ACQ_Lib[#Headers],0),FALSE)),"")</f>
        <v>43748</v>
      </c>
      <c r="BL26" s="249" t="str">
        <f>IFERROR(IF(VLOOKUP(CONCATENATE($A26,"_",BL$1),SP_ACQ_Lib[],MATCH(BL$2,SP_ACQ_Lib[#Headers],0),FALSE)=0,"",VLOOKUP(CONCATENATE($A26,"_",BL$1),SP_ACQ_Lib[],MATCH(BL$2,SP_ACQ_Lib[#Headers],0),FALSE)),"")</f>
        <v/>
      </c>
      <c r="BM26" s="249" t="str">
        <f>IFERROR(IF(VLOOKUP(CONCATENATE($A26,"_",BM$1),SP_ACQ_Lib[],MATCH(BM$2,SP_ACQ_Lib[#Headers],0),FALSE)=0,"",VLOOKUP(CONCATENATE($A26,"_",BM$1),SP_ACQ_Lib[],MATCH(BM$2,SP_ACQ_Lib[#Headers],0),FALSE)),"")</f>
        <v/>
      </c>
      <c r="BN26" s="249" t="str">
        <f>IFERROR(IF(VLOOKUP(CONCATENATE($A26,"_",BN$1),SP_ACQ_Lib[],MATCH(BN$2,SP_ACQ_Lib[#Headers],0),FALSE)=0,"",VLOOKUP(CONCATENATE($A26,"_",BN$1),SP_ACQ_Lib[],MATCH(BN$2,SP_ACQ_Lib[#Headers],0),FALSE)),"")</f>
        <v/>
      </c>
    </row>
    <row r="27" spans="1:66" s="226" customFormat="1" ht="25.5" x14ac:dyDescent="0.2">
      <c r="A27" s="192" t="s">
        <v>136</v>
      </c>
      <c r="B27" s="227" t="str">
        <f>IFERROR(VLOOKUP($A27,SP_AcqTract_DB[],MATCH(B$2,SP_AcqTract_DB[#Headers],0),FALSE),"")</f>
        <v>R062541</v>
      </c>
      <c r="C27" s="228" t="str">
        <f>IFERROR(VLOOKUP($A27,SP_AcqTract_DB[],MATCH(C$2,SP_AcqTract_DB[#Headers],0),FALSE),"")</f>
        <v>PH1</v>
      </c>
      <c r="D27" s="208" t="str">
        <f>IFERROR(VLOOKUP($A27,SP_AcqTract_DB[],MATCH(D$2,SP_AcqTract_DB[#Headers],0),FALSE),"")</f>
        <v>Inactive</v>
      </c>
      <c r="E27" s="208">
        <f>IFERROR(VLOOKUP($A27,SP_AcqTract_DB[],MATCH(E$2,SP_AcqTract_DB[#Headers],0),FALSE),"")</f>
        <v>0</v>
      </c>
      <c r="F27" s="227">
        <f>IFERROR(VLOOKUP($A27,SP_AcqTract_DB[],MATCH(F$2,SP_AcqTract_DB[#Headers],0),FALSE),"")</f>
        <v>0</v>
      </c>
      <c r="G27" s="227" t="str">
        <f>IFERROR(VLOOKUP($A27,SP_AcqTract_DB[],MATCH(G$2,SP_AcqTract_DB[#Headers],0),FALSE),"")</f>
        <v>Lily Khan</v>
      </c>
      <c r="H27" s="250">
        <f>IFERROR(IF(VLOOKUP(CONCATENATE($A27,"_",H$1),SP_ACQ_Lib[],MATCH(H$2,SP_ACQ_Lib[#Headers],0),FALSE)=0,"",VLOOKUP(CONCATENATE($A27,"_",H$1),SP_ACQ_Lib[],MATCH(H$2,SP_ACQ_Lib[#Headers],0),FALSE)),"")</f>
        <v>43998.620555555557</v>
      </c>
      <c r="I27" s="227" t="str">
        <f>IFERROR(VLOOKUP($A27,SP_AcqTract_DB[],MATCH(I$2,SP_AcqTract_DB[#Headers],0),FALSE),"")</f>
        <v>Rodney Hearne and Barbara Hearne</v>
      </c>
      <c r="J27" s="227">
        <f>IFERROR(VLOOKUP($A27,SP_AcqTract_DB[],MATCH(J$2,SP_AcqTract_DB[#Headers],0),FALSE),"")</f>
        <v>0</v>
      </c>
      <c r="K27" s="227" t="str">
        <f>IFERROR(VLOOKUP($A27,SP_AcqTract_DB[],MATCH(K$2,SP_AcqTract_DB[#Headers],0),FALSE),"")</f>
        <v>Rodney Hearne and Barbara Hearne</v>
      </c>
      <c r="L27" s="227" t="str">
        <f>IFERROR(VLOOKUP($A27,SP_AcqTract_DB[],MATCH(L$2,SP_AcqTract_DB[#Headers],0),FALSE),"")</f>
        <v>408 S Sheppard</v>
      </c>
      <c r="M27" s="208" t="str">
        <f>IFERROR(VLOOKUP($A27,SP_AcqTract_DB[],MATCH(M$2,SP_AcqTract_DB[#Headers],0),FALSE),"")</f>
        <v>Wharton, TX  77488</v>
      </c>
      <c r="N27" s="227" t="str">
        <f>IFERROR(VLOOKUP($A27,SP_AcqTract_DB[],MATCH(N$2,SP_AcqTract_DB[#Headers],0),FALSE),"")</f>
        <v>408 S Sheppard</v>
      </c>
      <c r="O27" s="220" t="str">
        <f>IFERROR(VLOOKUP($A27,SP_AcqTract_DB[],MATCH(O$2,SP_AcqTract_DB[#Headers],0),FALSE),"")</f>
        <v>Sanitary Sewer</v>
      </c>
      <c r="P27" s="220" t="str">
        <f>IFERROR(VLOOKUP($A27,SP_AcqTract_DB[],MATCH(P$2,SP_AcqTract_DB[#Headers],0),FALSE),"")</f>
        <v>X</v>
      </c>
      <c r="Q27" s="208" t="str">
        <f>IFERROR(VLOOKUP($A27,SP_AcqTract_DB[],MATCH(Q$2,SP_AcqTract_DB[#Headers],0),FALSE),"")</f>
        <v>2019-0758</v>
      </c>
      <c r="R27" s="250">
        <f>IFERROR(IF(VLOOKUP(CONCATENATE($A27,"_",R$1),SP_ACQ_Lib[],MATCH(R$2,SP_ACQ_Lib[#Headers],0),FALSE)=0,"",VLOOKUP(CONCATENATE($A27,"_",R$1),SP_ACQ_Lib[],MATCH(R$2,SP_ACQ_Lib[#Headers],0),FALSE)),"")</f>
        <v>43889</v>
      </c>
      <c r="S27" s="253">
        <f>IFERROR(IF(VLOOKUP(CONCATENATE($A27,"_",S$1),SP_ACQ_Lib[],MATCH(S$2,SP_ACQ_Lib[#Headers],0),FALSE)=0,"",VLOOKUP(CONCATENATE($A27,"_",S$1),SP_ACQ_Lib[],MATCH(S$2,SP_ACQ_Lib[#Headers],0),FALSE)),"")</f>
        <v>43902</v>
      </c>
      <c r="T27" s="205" t="str">
        <f>IFERROR(VLOOKUP(CONCATENATE($A27,"_",T$1),SP_ACQ_Lib[],MATCH(T$2,SP_ACQ_Lib[#Headers],0),FALSE),0)</f>
        <v>Accepted</v>
      </c>
      <c r="U27" s="250">
        <f>IFERROR(IF(VLOOKUP(CONCATENATE($A27,"_",U$1),SP_ACQ_Lib[],MATCH(U$2,SP_ACQ_Lib[#Headers],0),FALSE)=0,"",VLOOKUP(CONCATENATE($A27,"_",U$1),SP_ACQ_Lib[],MATCH(U$2,SP_ACQ_Lib[#Headers],0),FALSE)),"")</f>
        <v>43809</v>
      </c>
      <c r="V27" s="205">
        <f>IFERROR(VLOOKUP(CONCATENATE($A27,"_",V$1),SP_ACQ_Lib[],MATCH(V$2,SP_ACQ_Lib[#Headers],0),FALSE),0)</f>
        <v>0</v>
      </c>
      <c r="W27" s="209">
        <f>IFERROR(VLOOKUP(CONCATENATE($A27,"_",W$1),SP_ACQ_Lib[],MATCH(W$2,SP_ACQ_Lib[#Headers],0),FALSE),0)</f>
        <v>0</v>
      </c>
      <c r="X27" s="250">
        <f>IFERROR(VLOOKUP($A27,SP_AcqTract_DB[],MATCH(X$2,SP_AcqTract_DB[#Headers],0),FALSE),"")</f>
        <v>43693</v>
      </c>
      <c r="Y27" s="237">
        <f>IFERROR(VLOOKUP($A27,SP_AcqTract_DB[],MATCH(Y$2,SP_AcqTract_DB[#Headers],0),FALSE),"")</f>
        <v>0.239348025711662</v>
      </c>
      <c r="Z27" s="229">
        <f>IFERROR(VLOOKUP($A27,SP_AcqTract_DB[],MATCH(Z$2,SP_AcqTract_DB[#Headers],0),FALSE),"")</f>
        <v>10426</v>
      </c>
      <c r="AA27" s="229" t="str">
        <f>IFERROR(VLOOKUP($A27,SP_AcqTract_DB[],MATCH(AA$2,SP_AcqTract_DB[#Headers],0),FALSE),"")</f>
        <v>Yes</v>
      </c>
      <c r="AB27" s="250">
        <f>IFERROR(IF(VLOOKUP(CONCATENATE($A27,"_",AB$1),SP_ACQ_Lib[],MATCH(AB$2,SP_ACQ_Lib[#Headers],0),FALSE)=0,"",VLOOKUP(CONCATENATE($A27,"_",AB$1),SP_ACQ_Lib[],MATCH(AB$2,SP_ACQ_Lib[#Headers],0),FALSE)),"")</f>
        <v>43740</v>
      </c>
      <c r="AC27" s="250">
        <f>IFERROR(IF(VLOOKUP(CONCATENATE($A27,"_",AC$1),SP_ACQ_Lib[],MATCH(AC$2,SP_ACQ_Lib[#Headers],0),FALSE)=0,"",VLOOKUP(CONCATENATE($A27,"_",AC$1),SP_ACQ_Lib[],MATCH(AC$2,SP_ACQ_Lib[#Headers],0),FALSE)),"")</f>
        <v>43886</v>
      </c>
      <c r="AD27" s="229" t="str">
        <f>IFERROR(VLOOKUP($A27,SP_AcqTract_DB[],MATCH(AD$2,SP_AcqTract_DB[#Headers],0),FALSE),"")</f>
        <v>No</v>
      </c>
      <c r="AE27" s="250" t="str">
        <f>IFERROR(IF(VLOOKUP(CONCATENATE($A27,"_",AE$1),SP_ACQ_Lib[],MATCH(AE$2,SP_ACQ_Lib[#Headers],0),FALSE)=0,"",VLOOKUP(CONCATENATE($A27,"_",AE$1),SP_ACQ_Lib[],MATCH(AE$2,SP_ACQ_Lib[#Headers],0),FALSE)),"")</f>
        <v/>
      </c>
      <c r="AF27" s="250" t="str">
        <f>IFERROR(IF(VLOOKUP(CONCATENATE($A27,"_",AF$1),SP_ACQ_Lib[],MATCH(AF$2,SP_ACQ_Lib[#Headers],0),FALSE)=0,"",VLOOKUP(CONCATENATE($A27,"_",AF$1),SP_ACQ_Lib[],MATCH(AF$2,SP_ACQ_Lib[#Headers],0),FALSE)),"")</f>
        <v/>
      </c>
      <c r="AG27" s="250" t="str">
        <f>IFERROR(IF(VLOOKUP(CONCATENATE($A27,"_",AG$1),SP_ACQ_Lib[],MATCH(AG$2,SP_ACQ_Lib[#Headers],0),FALSE)=0,"",VLOOKUP(CONCATENATE($A27,"_",AG$1),SP_ACQ_Lib[],MATCH(AG$2,SP_ACQ_Lib[#Headers],0),FALSE)),"")</f>
        <v/>
      </c>
      <c r="AH27" s="250">
        <f>IFERROR(IF(VLOOKUP(CONCATENATE($A27,"_",AH$1),SP_ACQ_Lib[],MATCH(AH$2,SP_ACQ_Lib[#Headers],0),FALSE)=0,"",VLOOKUP(CONCATENATE($A27,"_",AH$1),SP_ACQ_Lib[],MATCH(AH$2,SP_ACQ_Lib[#Headers],0),FALSE)),"")</f>
        <v>43654</v>
      </c>
      <c r="AI27" s="249" t="str">
        <f>IFERROR(IF(VLOOKUP(CONCATENATE($A27,"_",AI$1),SP_ACQ_Lib[],MATCH(AI$2,SP_ACQ_Lib[#Headers],0),FALSE)=0,"",VLOOKUP(CONCATENATE($A27,"_",AI$1),SP_ACQ_Lib[],MATCH(AI$2,SP_ACQ_Lib[#Headers],0),FALSE)),"")</f>
        <v/>
      </c>
      <c r="AJ27" s="249" t="str">
        <f>IFERROR(IF(VLOOKUP(CONCATENATE($A27,"_",AJ$1),SP_ACQ_Lib[],MATCH(AJ$2,SP_ACQ_Lib[#Headers],0),FALSE)=0,"",VLOOKUP(CONCATENATE($A27,"_",AJ$1),SP_ACQ_Lib[],MATCH(AJ$2,SP_ACQ_Lib[#Headers],0),FALSE)),"")</f>
        <v/>
      </c>
      <c r="AK27" s="249" t="str">
        <f>IFERROR(IF(VLOOKUP(CONCATENATE($A27,"_",AK$1),SP_ACQ_Lib[],MATCH(AK$2,SP_ACQ_Lib[#Headers],0),FALSE)=0,"",VLOOKUP(CONCATENATE($A27,"_",AK$1),SP_ACQ_Lib[],MATCH(AK$2,SP_ACQ_Lib[#Headers],0),FALSE)),"")</f>
        <v/>
      </c>
      <c r="AL27" s="249">
        <f>IFERROR(VLOOKUP($A27,SP_AcqTract_DB[],MATCH(AL$2,SP_AcqTract_DB[#Headers],0),FALSE),"")</f>
        <v>0</v>
      </c>
      <c r="AM27" s="227" t="str">
        <f>IFERROR(VLOOKUP($A27,SP_AcqTract_DB[],MATCH(AM$2,SP_AcqTract_DB[#Headers],0),FALSE),"")</f>
        <v>Cameron Boone</v>
      </c>
      <c r="AN27" s="227">
        <f>IFERROR(VLOOKUP($A27,SP_AcqTract_DB[],MATCH(AN$2,SP_AcqTract_DB[#Headers],0),FALSE),"")</f>
        <v>0</v>
      </c>
      <c r="AO27" s="228">
        <f>IFERROR(VLOOKUP($A27,SP_AcqTract_DB[],MATCH(AO$2,SP_AcqTract_DB[#Headers],0),FALSE),"")</f>
        <v>0</v>
      </c>
      <c r="AP27" s="210" t="str">
        <f>IFERROR(VLOOKUP($A27,SP_AcqTract_DB[],MATCH(AP$2,SP_AcqTract_DB[#Headers],0),FALSE),"")</f>
        <v>R</v>
      </c>
      <c r="AQ27" s="252" t="str">
        <f>IFERROR(IF(VLOOKUP(CONCATENATE($A27,"_",AQ$1),SP_ACQ_Lib[],MATCH(AQ$2,SP_ACQ_Lib[#Headers],0),FALSE)=0,"",VLOOKUP(CONCATENATE($A27,"_",AQ$1),SP_ACQ_Lib[],MATCH(AQ$2,SP_ACQ_Lib[#Headers],0),FALSE)),"")</f>
        <v/>
      </c>
      <c r="AR27" s="250">
        <f>IFERROR(IF(VLOOKUP(CONCATENATE($A27,"_",AR$1),SP_ACQ_Lib[],MATCH(AR$2,SP_ACQ_Lib[#Headers],0),FALSE)=0,"",VLOOKUP(CONCATENATE($A27,"_",AR$1),SP_ACQ_Lib[],MATCH(AR$2,SP_ACQ_Lib[#Headers],0),FALSE)),"")</f>
        <v>43685</v>
      </c>
      <c r="AS27" s="249">
        <f>IFERROR(IF(VLOOKUP(CONCATENATE($A27,"_",AS$1),SP_ACQ_Lib[],MATCH(AS$2,SP_ACQ_Lib[#Headers],0),FALSE)=0,"",VLOOKUP(CONCATENATE($A27,"_",AS$1),SP_ACQ_Lib[],MATCH(AS$2,SP_ACQ_Lib[#Headers],0),FALSE)),"")</f>
        <v>43765</v>
      </c>
      <c r="AT27" s="251" t="str">
        <f>IFERROR(IF(VLOOKUP(CONCATENATE($A27,"_",AT$1),SP_ACQ_Lib[],MATCH(AT$2,SP_ACQ_Lib[#Headers],0),FALSE)=0,"",VLOOKUP(CONCATENATE($A27,"_",AT$1),SP_ACQ_Lib[],MATCH(AT$2,SP_ACQ_Lib[#Headers],0),FALSE)),"")</f>
        <v/>
      </c>
      <c r="AU27" s="251" t="str">
        <f>IFERROR(IF(VLOOKUP(CONCATENATE($A27,"_",AU$1),SP_ACQ_Lib[],MATCH(AU$2,SP_ACQ_Lib[#Headers],0),FALSE)=0,"",VLOOKUP(CONCATENATE($A27,"_",AU$1),SP_ACQ_Lib[],MATCH(AU$2,SP_ACQ_Lib[#Headers],0),FALSE)),"")</f>
        <v/>
      </c>
      <c r="AV27" s="225" t="str">
        <f>IFERROR(IF(VLOOKUP(CONCATENATE($A27,"_",AV$1),SP_ACQ_Lib[],MATCH(AV$2,SP_ACQ_Lib[#Headers],0),FALSE)=0,"",VLOOKUP(CONCATENATE($A27,"_",AV$1),SP_ACQ_Lib[],MATCH(AV$2,SP_ACQ_Lib[#Headers],0),FALSE)),"")</f>
        <v/>
      </c>
      <c r="AW27" s="251" t="str">
        <f>IFERROR(IF(VLOOKUP(CONCATENATE($A27,"_",AW$1),SP_ACQ_Lib[],MATCH(AW$2,SP_ACQ_Lib[#Headers],0),FALSE)=0,"",VLOOKUP(CONCATENATE($A27,"_",AW$1),SP_ACQ_Lib[],MATCH(AW$2,SP_ACQ_Lib[#Headers],0),FALSE)),"")</f>
        <v/>
      </c>
      <c r="AX27" s="251" t="str">
        <f>IFERROR(IF(VLOOKUP(CONCATENATE($A27,"_",AX$1),SP_ACQ_Lib[],MATCH(AX$2,SP_ACQ_Lib[#Headers],0),FALSE)=0,"",VLOOKUP(CONCATENATE($A27,"_",AX$1),SP_ACQ_Lib[],MATCH(AX$2,SP_ACQ_Lib[#Headers],0),FALSE)),"")</f>
        <v/>
      </c>
      <c r="AY27" s="251" t="str">
        <f>IFERROR(IF(VLOOKUP(CONCATENATE($A27,"_",AY$1),SP_ACQ_Lib[],MATCH(AY$2,SP_ACQ_Lib[#Headers],0),FALSE)=0,"",VLOOKUP(CONCATENATE($A27,"_",AY$1),SP_ACQ_Lib[],MATCH(AY$2,SP_ACQ_Lib[#Headers],0),FALSE)),"")</f>
        <v/>
      </c>
      <c r="AZ27" s="251" t="str">
        <f>IFERROR(IF(VLOOKUP(CONCATENATE($A27,"_",AZ$1),SP_ACQ_Lib[],MATCH(AZ$2,SP_ACQ_Lib[#Headers],0),FALSE)=0,"",VLOOKUP(CONCATENATE($A27,"_",AZ$1),SP_ACQ_Lib[],MATCH(AZ$2,SP_ACQ_Lib[#Headers],0),FALSE)),"")</f>
        <v/>
      </c>
      <c r="BA27" s="251" t="str">
        <f>IFERROR(IF(VLOOKUP(CONCATENATE($A27,"_",BA$1),SP_ACQ_Lib[],MATCH(BA$2,SP_ACQ_Lib[#Headers],0),FALSE)=0,"",VLOOKUP(CONCATENATE($A27,"_",BA$1),SP_ACQ_Lib[],MATCH(BA$2,SP_ACQ_Lib[#Headers],0),FALSE)),"")</f>
        <v/>
      </c>
      <c r="BB27" s="224">
        <f>IFERROR(VLOOKUP(CONCATENATE($A27,"_",BB$1),SP_ACQ_Lib[],MATCH(BB$2,SP_ACQ_Lib[#Headers],0),FALSE),0)</f>
        <v>0</v>
      </c>
      <c r="BC27" s="231">
        <f>IFERROR(VLOOKUP($A27,SP_AcqTract_DB[],MATCH(BC$2,SP_AcqTract_DB[#Headers],0),FALSE),"")</f>
        <v>0</v>
      </c>
      <c r="BD27" s="231">
        <f>IFERROR(VLOOKUP($A27,SP_AcqTract_DB[],MATCH(BD$2,SP_AcqTract_DB[#Headers],0),FALSE),"")</f>
        <v>0</v>
      </c>
      <c r="BE27" s="249" t="str">
        <f>IFERROR(IF(VLOOKUP(CONCATENATE($A27,"_",BE$1),SP_ACQ_Lib[],MATCH(BE$2,SP_ACQ_Lib[#Headers],0),FALSE)=0,"",VLOOKUP(CONCATENATE($A27,"_",BE$1),SP_ACQ_Lib[],MATCH(BE$2,SP_ACQ_Lib[#Headers],0),FALSE)),"")</f>
        <v/>
      </c>
      <c r="BF27" s="249" t="str">
        <f>IFERROR(IF(VLOOKUP(CONCATENATE($A27,"_",BF$1),SP_ACQ_Lib[],MATCH(BF$2,SP_ACQ_Lib[#Headers],0),FALSE)=0,"",VLOOKUP(CONCATENATE($A27,"_",BF$1),SP_ACQ_Lib[],MATCH(BF$2,SP_ACQ_Lib[#Headers],0),FALSE)),"")</f>
        <v/>
      </c>
      <c r="BG27" s="249" t="str">
        <f>IFERROR(IF(VLOOKUP(CONCATENATE($A27,"_",BG$1),SP_ACQ_Lib[],MATCH(BG$2,SP_ACQ_Lib[#Headers],0),FALSE)=0,"",VLOOKUP(CONCATENATE($A27,"_",BG$1),SP_ACQ_Lib[],MATCH(BG$2,SP_ACQ_Lib[#Headers],0),FALSE)),"")</f>
        <v/>
      </c>
      <c r="BH27" s="249" t="str">
        <f>IFERROR(IF(VLOOKUP(CONCATENATE($A27,"_",BH$1),SP_ACQ_Lib[],MATCH(BH$2,SP_ACQ_Lib[#Headers],0),FALSE)=0,"",VLOOKUP(CONCATENATE($A27,"_",BH$1),SP_ACQ_Lib[],MATCH(BH$2,SP_ACQ_Lib[#Headers],0),FALSE)),"")</f>
        <v/>
      </c>
      <c r="BI27" s="249" t="str">
        <f>IFERROR(IF(VLOOKUP(CONCATENATE($A27,"_",BI$1),SP_ACQ_Lib[],MATCH(BI$2,SP_ACQ_Lib[#Headers],0),FALSE)=0,"",VLOOKUP(CONCATENATE($A27,"_",BI$1),SP_ACQ_Lib[],MATCH(BI$2,SP_ACQ_Lib[#Headers],0),FALSE)),"")</f>
        <v/>
      </c>
      <c r="BJ27" s="249" t="str">
        <f>IFERROR(IF(VLOOKUP(CONCATENATE($A27,"_",BJ$1),SP_ACQ_Lib[],MATCH(BJ$2,SP_ACQ_Lib[#Headers],0),FALSE)=0,"",VLOOKUP(CONCATENATE($A27,"_",BJ$1),SP_ACQ_Lib[],MATCH(BJ$2,SP_ACQ_Lib[#Headers],0),FALSE)),"")</f>
        <v/>
      </c>
      <c r="BK27" s="250">
        <f>IFERROR(IF(VLOOKUP(CONCATENATE($A27,"_",BK$1),SP_ACQ_Lib[],MATCH(BK$2,SP_ACQ_Lib[#Headers],0),FALSE)=0,"",VLOOKUP(CONCATENATE($A27,"_",BK$1),SP_ACQ_Lib[],MATCH(BK$2,SP_ACQ_Lib[#Headers],0),FALSE)),"")</f>
        <v>43748</v>
      </c>
      <c r="BL27" s="249" t="str">
        <f>IFERROR(IF(VLOOKUP(CONCATENATE($A27,"_",BL$1),SP_ACQ_Lib[],MATCH(BL$2,SP_ACQ_Lib[#Headers],0),FALSE)=0,"",VLOOKUP(CONCATENATE($A27,"_",BL$1),SP_ACQ_Lib[],MATCH(BL$2,SP_ACQ_Lib[#Headers],0),FALSE)),"")</f>
        <v/>
      </c>
      <c r="BM27" s="249" t="str">
        <f>IFERROR(IF(VLOOKUP(CONCATENATE($A27,"_",BM$1),SP_ACQ_Lib[],MATCH(BM$2,SP_ACQ_Lib[#Headers],0),FALSE)=0,"",VLOOKUP(CONCATENATE($A27,"_",BM$1),SP_ACQ_Lib[],MATCH(BM$2,SP_ACQ_Lib[#Headers],0),FALSE)),"")</f>
        <v/>
      </c>
      <c r="BN27" s="249" t="str">
        <f>IFERROR(IF(VLOOKUP(CONCATENATE($A27,"_",BN$1),SP_ACQ_Lib[],MATCH(BN$2,SP_ACQ_Lib[#Headers],0),FALSE)=0,"",VLOOKUP(CONCATENATE($A27,"_",BN$1),SP_ACQ_Lib[],MATCH(BN$2,SP_ACQ_Lib[#Headers],0),FALSE)),"")</f>
        <v/>
      </c>
    </row>
    <row r="28" spans="1:66" s="226" customFormat="1" ht="38.25" x14ac:dyDescent="0.2">
      <c r="A28" s="192" t="s">
        <v>141</v>
      </c>
      <c r="B28" s="227" t="str">
        <f>IFERROR(VLOOKUP($A28,SP_AcqTract_DB[],MATCH(B$2,SP_AcqTract_DB[#Headers],0),FALSE),"")</f>
        <v>R023700</v>
      </c>
      <c r="C28" s="228" t="str">
        <f>IFERROR(VLOOKUP($A28,SP_AcqTract_DB[],MATCH(C$2,SP_AcqTract_DB[#Headers],0),FALSE),"")</f>
        <v>PH1</v>
      </c>
      <c r="D28" s="208" t="str">
        <f>IFERROR(VLOOKUP($A28,SP_AcqTract_DB[],MATCH(D$2,SP_AcqTract_DB[#Headers],0),FALSE),"")</f>
        <v>Active</v>
      </c>
      <c r="E28" s="208">
        <f>IFERROR(VLOOKUP($A28,SP_AcqTract_DB[],MATCH(E$2,SP_AcqTract_DB[#Headers],0),FALSE),"")</f>
        <v>2</v>
      </c>
      <c r="F28" s="227" t="str">
        <f>IFERROR(VLOOKUP($A28,SP_AcqTract_DB[],MATCH(F$2,SP_AcqTract_DB[#Headers],0),FALSE),"")</f>
        <v>Flowage Esmt/Levee Esmt</v>
      </c>
      <c r="G28" s="227" t="str">
        <f>IFERROR(VLOOKUP($A28,SP_AcqTract_DB[],MATCH(G$2,SP_AcqTract_DB[#Headers],0),FALSE),"")</f>
        <v>Lily Khan</v>
      </c>
      <c r="H28" s="250">
        <f>IFERROR(IF(VLOOKUP(CONCATENATE($A28,"_",H$1),SP_ACQ_Lib[],MATCH(H$2,SP_ACQ_Lib[#Headers],0),FALSE)=0,"",VLOOKUP(CONCATENATE($A28,"_",H$1),SP_ACQ_Lib[],MATCH(H$2,SP_ACQ_Lib[#Headers],0),FALSE)),"")</f>
        <v>44007.508831018517</v>
      </c>
      <c r="I28" s="227" t="str">
        <f>IFERROR(VLOOKUP($A28,SP_AcqTract_DB[],MATCH(I$2,SP_AcqTract_DB[#Headers],0),FALSE),"")</f>
        <v>Bobby Joe Allen and Linda Carolyn Allen</v>
      </c>
      <c r="J28" s="227">
        <f>IFERROR(VLOOKUP($A28,SP_AcqTract_DB[],MATCH(J$2,SP_AcqTract_DB[#Headers],0),FALSE),"")</f>
        <v>0</v>
      </c>
      <c r="K28" s="227" t="str">
        <f>IFERROR(VLOOKUP($A28,SP_AcqTract_DB[],MATCH(K$2,SP_AcqTract_DB[#Headers],0),FALSE),"")</f>
        <v>Bobby Joe Allen and Linda Carolyn Allen</v>
      </c>
      <c r="L28" s="227" t="str">
        <f>IFERROR(VLOOKUP($A28,SP_AcqTract_DB[],MATCH(L$2,SP_AcqTract_DB[#Headers],0),FALSE),"")</f>
        <v>5810 Darlinghurst</v>
      </c>
      <c r="M28" s="208" t="str">
        <f>IFERROR(VLOOKUP($A28,SP_AcqTract_DB[],MATCH(M$2,SP_AcqTract_DB[#Headers],0),FALSE),"")</f>
        <v>Houston, TX</v>
      </c>
      <c r="N28" s="227" t="str">
        <f>IFERROR(VLOOKUP($A28,SP_AcqTract_DB[],MATCH(N$2,SP_AcqTract_DB[#Headers],0),FALSE),"")</f>
        <v>0 Camellia Ave and 0 Columbine Ave</v>
      </c>
      <c r="O28" s="220">
        <f>IFERROR(VLOOKUP($A28,SP_AcqTract_DB[],MATCH(O$2,SP_AcqTract_DB[#Headers],0),FALSE),"")</f>
        <v>0</v>
      </c>
      <c r="P28" s="220" t="str">
        <f>IFERROR(VLOOKUP($A28,SP_AcqTract_DB[],MATCH(P$2,SP_AcqTract_DB[#Headers],0),FALSE),"")</f>
        <v>X</v>
      </c>
      <c r="Q28" s="208" t="str">
        <f>IFERROR(VLOOKUP($A28,SP_AcqTract_DB[],MATCH(Q$2,SP_AcqTract_DB[#Headers],0),FALSE),"")</f>
        <v>2019-0818</v>
      </c>
      <c r="R28" s="250">
        <f>IFERROR(IF(VLOOKUP(CONCATENATE($A28,"_",R$1),SP_ACQ_Lib[],MATCH(R$2,SP_ACQ_Lib[#Headers],0),FALSE)=0,"",VLOOKUP(CONCATENATE($A28,"_",R$1),SP_ACQ_Lib[],MATCH(R$2,SP_ACQ_Lib[#Headers],0),FALSE)),"")</f>
        <v>43952</v>
      </c>
      <c r="S28" s="253">
        <f>IFERROR(IF(VLOOKUP(CONCATENATE($A28,"_",S$1),SP_ACQ_Lib[],MATCH(S$2,SP_ACQ_Lib[#Headers],0),FALSE)=0,"",VLOOKUP(CONCATENATE($A28,"_",S$1),SP_ACQ_Lib[],MATCH(S$2,SP_ACQ_Lib[#Headers],0),FALSE)),"")</f>
        <v>43689</v>
      </c>
      <c r="T28" s="205" t="str">
        <f>IFERROR(VLOOKUP(CONCATENATE($A28,"_",T$1),SP_ACQ_Lib[],MATCH(T$2,SP_ACQ_Lib[#Headers],0),FALSE),0)</f>
        <v>Accepted</v>
      </c>
      <c r="U28" s="250">
        <f>IFERROR(IF(VLOOKUP(CONCATENATE($A28,"_",U$1),SP_ACQ_Lib[],MATCH(U$2,SP_ACQ_Lib[#Headers],0),FALSE)=0,"",VLOOKUP(CONCATENATE($A28,"_",U$1),SP_ACQ_Lib[],MATCH(U$2,SP_ACQ_Lib[#Headers],0),FALSE)),"")</f>
        <v>43810</v>
      </c>
      <c r="V28" s="205" t="str">
        <f>IFERROR(VLOOKUP(CONCATENATE($A28,"_",V$1),SP_ACQ_Lib[],MATCH(V$2,SP_ACQ_Lib[#Headers],0),FALSE),0)</f>
        <v>Accepted</v>
      </c>
      <c r="W28" s="209">
        <f>IFERROR(VLOOKUP(CONCATENATE($A28,"_",W$1),SP_ACQ_Lib[],MATCH(W$2,SP_ACQ_Lib[#Headers],0),FALSE),0)</f>
        <v>0</v>
      </c>
      <c r="X28" s="250">
        <f>IFERROR(VLOOKUP($A28,SP_AcqTract_DB[],MATCH(X$2,SP_AcqTract_DB[#Headers],0),FALSE),"")</f>
        <v>43704</v>
      </c>
      <c r="Y28" s="237">
        <f>IFERROR(VLOOKUP($A28,SP_AcqTract_DB[],MATCH(Y$2,SP_AcqTract_DB[#Headers],0),FALSE),"")</f>
        <v>0.27890266299357203</v>
      </c>
      <c r="Z28" s="229">
        <f>IFERROR(VLOOKUP($A28,SP_AcqTract_DB[],MATCH(Z$2,SP_AcqTract_DB[#Headers],0),FALSE),"")</f>
        <v>12149</v>
      </c>
      <c r="AA28" s="229" t="str">
        <f>IFERROR(VLOOKUP($A28,SP_AcqTract_DB[],MATCH(AA$2,SP_AcqTract_DB[#Headers],0),FALSE),"")</f>
        <v>Yes</v>
      </c>
      <c r="AB28" s="250">
        <f>IFERROR(IF(VLOOKUP(CONCATENATE($A28,"_",AB$1),SP_ACQ_Lib[],MATCH(AB$2,SP_ACQ_Lib[#Headers],0),FALSE)=0,"",VLOOKUP(CONCATENATE($A28,"_",AB$1),SP_ACQ_Lib[],MATCH(AB$2,SP_ACQ_Lib[#Headers],0),FALSE)),"")</f>
        <v>43906</v>
      </c>
      <c r="AC28" s="250">
        <f>IFERROR(IF(VLOOKUP(CONCATENATE($A28,"_",AC$1),SP_ACQ_Lib[],MATCH(AC$2,SP_ACQ_Lib[#Headers],0),FALSE)=0,"",VLOOKUP(CONCATENATE($A28,"_",AC$1),SP_ACQ_Lib[],MATCH(AC$2,SP_ACQ_Lib[#Headers],0),FALSE)),"")</f>
        <v>43936</v>
      </c>
      <c r="AD28" s="229" t="str">
        <f>IFERROR(VLOOKUP($A28,SP_AcqTract_DB[],MATCH(AD$2,SP_AcqTract_DB[#Headers],0),FALSE),"")</f>
        <v>Yes</v>
      </c>
      <c r="AE28" s="250">
        <f>IFERROR(IF(VLOOKUP(CONCATENATE($A28,"_",AE$1),SP_ACQ_Lib[],MATCH(AE$2,SP_ACQ_Lib[#Headers],0),FALSE)=0,"",VLOOKUP(CONCATENATE($A28,"_",AE$1),SP_ACQ_Lib[],MATCH(AE$2,SP_ACQ_Lib[#Headers],0),FALSE)),"")</f>
        <v>43906</v>
      </c>
      <c r="AF28" s="250">
        <f>IFERROR(IF(VLOOKUP(CONCATENATE($A28,"_",AF$1),SP_ACQ_Lib[],MATCH(AF$2,SP_ACQ_Lib[#Headers],0),FALSE)=0,"",VLOOKUP(CONCATENATE($A28,"_",AF$1),SP_ACQ_Lib[],MATCH(AF$2,SP_ACQ_Lib[#Headers],0),FALSE)),"")</f>
        <v>43948</v>
      </c>
      <c r="AG28" s="250">
        <f>IFERROR(IF(VLOOKUP(CONCATENATE($A28,"_",AG$1),SP_ACQ_Lib[],MATCH(AG$2,SP_ACQ_Lib[#Headers],0),FALSE)=0,"",VLOOKUP(CONCATENATE($A28,"_",AG$1),SP_ACQ_Lib[],MATCH(AG$2,SP_ACQ_Lib[#Headers],0),FALSE)),"")</f>
        <v>43691</v>
      </c>
      <c r="AH28" s="250">
        <f>IFERROR(IF(VLOOKUP(CONCATENATE($A28,"_",AH$1),SP_ACQ_Lib[],MATCH(AH$2,SP_ACQ_Lib[#Headers],0),FALSE)=0,"",VLOOKUP(CONCATENATE($A28,"_",AH$1),SP_ACQ_Lib[],MATCH(AH$2,SP_ACQ_Lib[#Headers],0),FALSE)),"")</f>
        <v>43699</v>
      </c>
      <c r="AI28" s="249" t="str">
        <f>IFERROR(IF(VLOOKUP(CONCATENATE($A28,"_",AI$1),SP_ACQ_Lib[],MATCH(AI$2,SP_ACQ_Lib[#Headers],0),FALSE)=0,"",VLOOKUP(CONCATENATE($A28,"_",AI$1),SP_ACQ_Lib[],MATCH(AI$2,SP_ACQ_Lib[#Headers],0),FALSE)),"")</f>
        <v/>
      </c>
      <c r="AJ28" s="249" t="str">
        <f>IFERROR(IF(VLOOKUP(CONCATENATE($A28,"_",AJ$1),SP_ACQ_Lib[],MATCH(AJ$2,SP_ACQ_Lib[#Headers],0),FALSE)=0,"",VLOOKUP(CONCATENATE($A28,"_",AJ$1),SP_ACQ_Lib[],MATCH(AJ$2,SP_ACQ_Lib[#Headers],0),FALSE)),"")</f>
        <v/>
      </c>
      <c r="AK28" s="249" t="str">
        <f>IFERROR(IF(VLOOKUP(CONCATENATE($A28,"_",AK$1),SP_ACQ_Lib[],MATCH(AK$2,SP_ACQ_Lib[#Headers],0),FALSE)=0,"",VLOOKUP(CONCATENATE($A28,"_",AK$1),SP_ACQ_Lib[],MATCH(AK$2,SP_ACQ_Lib[#Headers],0),FALSE)),"")</f>
        <v/>
      </c>
      <c r="AL28" s="249">
        <f>IFERROR(VLOOKUP($A28,SP_AcqTract_DB[],MATCH(AL$2,SP_AcqTract_DB[#Headers],0),FALSE),"")</f>
        <v>43950</v>
      </c>
      <c r="AM28" s="227" t="str">
        <f>IFERROR(VLOOKUP($A28,SP_AcqTract_DB[],MATCH(AM$2,SP_AcqTract_DB[#Headers],0),FALSE),"")</f>
        <v>Richard Hudgins</v>
      </c>
      <c r="AN28" s="227" t="str">
        <f>IFERROR(VLOOKUP($A28,SP_AcqTract_DB[],MATCH(AN$2,SP_AcqTract_DB[#Headers],0),FALSE),"")</f>
        <v>Lory Johnson, Atrium</v>
      </c>
      <c r="AO28" s="228">
        <f>IFERROR(VLOOKUP($A28,SP_AcqTract_DB[],MATCH(AO$2,SP_AcqTract_DB[#Headers],0),FALSE),"")</f>
        <v>0</v>
      </c>
      <c r="AP28" s="210" t="str">
        <f>IFERROR(VLOOKUP($A28,SP_AcqTract_DB[],MATCH(AP$2,SP_AcqTract_DB[#Headers],0),FALSE),"")</f>
        <v>V</v>
      </c>
      <c r="AQ28" s="252" t="str">
        <f>IFERROR(IF(VLOOKUP(CONCATENATE($A28,"_",AQ$1),SP_ACQ_Lib[],MATCH(AQ$2,SP_ACQ_Lib[#Headers],0),FALSE)=0,"",VLOOKUP(CONCATENATE($A28,"_",AQ$1),SP_ACQ_Lib[],MATCH(AQ$2,SP_ACQ_Lib[#Headers],0),FALSE)),"")</f>
        <v/>
      </c>
      <c r="AR28" s="250">
        <f>IFERROR(IF(VLOOKUP(CONCATENATE($A28,"_",AR$1),SP_ACQ_Lib[],MATCH(AR$2,SP_ACQ_Lib[#Headers],0),FALSE)=0,"",VLOOKUP(CONCATENATE($A28,"_",AR$1),SP_ACQ_Lib[],MATCH(AR$2,SP_ACQ_Lib[#Headers],0),FALSE)),"")</f>
        <v>43686</v>
      </c>
      <c r="AS28" s="249">
        <f>IFERROR(IF(VLOOKUP(CONCATENATE($A28,"_",AS$1),SP_ACQ_Lib[],MATCH(AS$2,SP_ACQ_Lib[#Headers],0),FALSE)=0,"",VLOOKUP(CONCATENATE($A28,"_",AS$1),SP_ACQ_Lib[],MATCH(AS$2,SP_ACQ_Lib[#Headers],0),FALSE)),"")</f>
        <v>43765</v>
      </c>
      <c r="AT28" s="251">
        <f>IFERROR(IF(VLOOKUP(CONCATENATE($A28,"_",AT$1),SP_ACQ_Lib[],MATCH(AT$2,SP_ACQ_Lib[#Headers],0),FALSE)=0,"",VLOOKUP(CONCATENATE($A28,"_",AT$1),SP_ACQ_Lib[],MATCH(AT$2,SP_ACQ_Lib[#Headers],0),FALSE)),"")</f>
        <v>43962</v>
      </c>
      <c r="AU28" s="251" t="str">
        <f>IFERROR(IF(VLOOKUP(CONCATENATE($A28,"_",AU$1),SP_ACQ_Lib[],MATCH(AU$2,SP_ACQ_Lib[#Headers],0),FALSE)=0,"",VLOOKUP(CONCATENATE($A28,"_",AU$1),SP_ACQ_Lib[],MATCH(AU$2,SP_ACQ_Lib[#Headers],0),FALSE)),"")</f>
        <v/>
      </c>
      <c r="AV28" s="225">
        <f>IFERROR(IF(VLOOKUP(CONCATENATE($A28,"_",AV$1),SP_ACQ_Lib[],MATCH(AV$2,SP_ACQ_Lib[#Headers],0),FALSE)=0,"",VLOOKUP(CONCATENATE($A28,"_",AV$1),SP_ACQ_Lib[],MATCH(AV$2,SP_ACQ_Lib[#Headers],0),FALSE)),"")</f>
        <v>8262</v>
      </c>
      <c r="AW28" s="251">
        <f>IFERROR(IF(VLOOKUP(CONCATENATE($A28,"_",AW$1),SP_ACQ_Lib[],MATCH(AW$2,SP_ACQ_Lib[#Headers],0),FALSE)=0,"",VLOOKUP(CONCATENATE($A28,"_",AW$1),SP_ACQ_Lib[],MATCH(AW$2,SP_ACQ_Lib[#Headers],0),FALSE)),"")</f>
        <v>44001</v>
      </c>
      <c r="AX28" s="251">
        <f>IFERROR(IF(VLOOKUP(CONCATENATE($A28,"_",AX$1),SP_ACQ_Lib[],MATCH(AX$2,SP_ACQ_Lib[#Headers],0),FALSE)=0,"",VLOOKUP(CONCATENATE($A28,"_",AX$1),SP_ACQ_Lib[],MATCH(AX$2,SP_ACQ_Lib[#Headers],0),FALSE)),"")</f>
        <v>44001</v>
      </c>
      <c r="AY28" s="251">
        <f>IFERROR(IF(VLOOKUP(CONCATENATE($A28,"_",AY$1),SP_ACQ_Lib[],MATCH(AY$2,SP_ACQ_Lib[#Headers],0),FALSE)=0,"",VLOOKUP(CONCATENATE($A28,"_",AY$1),SP_ACQ_Lib[],MATCH(AY$2,SP_ACQ_Lib[#Headers],0),FALSE)),"")</f>
        <v>44004</v>
      </c>
      <c r="AZ28" s="251" t="str">
        <f>IFERROR(IF(VLOOKUP(CONCATENATE($A28,"_",AZ$1),SP_ACQ_Lib[],MATCH(AZ$2,SP_ACQ_Lib[#Headers],0),FALSE)=0,"",VLOOKUP(CONCATENATE($A28,"_",AZ$1),SP_ACQ_Lib[],MATCH(AZ$2,SP_ACQ_Lib[#Headers],0),FALSE)),"")</f>
        <v/>
      </c>
      <c r="BA28" s="251" t="str">
        <f>IFERROR(IF(VLOOKUP(CONCATENATE($A28,"_",BA$1),SP_ACQ_Lib[],MATCH(BA$2,SP_ACQ_Lib[#Headers],0),FALSE)=0,"",VLOOKUP(CONCATENATE($A28,"_",BA$1),SP_ACQ_Lib[],MATCH(BA$2,SP_ACQ_Lib[#Headers],0),FALSE)),"")</f>
        <v/>
      </c>
      <c r="BB28" s="224">
        <f>IFERROR(VLOOKUP(CONCATENATE($A28,"_",BB$1),SP_ACQ_Lib[],MATCH(BB$2,SP_ACQ_Lib[#Headers],0),FALSE),0)</f>
        <v>0</v>
      </c>
      <c r="BC28" s="231">
        <f>IFERROR(VLOOKUP($A28,SP_AcqTract_DB[],MATCH(BC$2,SP_AcqTract_DB[#Headers],0),FALSE),"")</f>
        <v>44006</v>
      </c>
      <c r="BD28" s="231">
        <f>IFERROR(VLOOKUP($A28,SP_AcqTract_DB[],MATCH(BD$2,SP_AcqTract_DB[#Headers],0),FALSE),"")</f>
        <v>0</v>
      </c>
      <c r="BE28" s="249" t="str">
        <f>IFERROR(IF(VLOOKUP(CONCATENATE($A28,"_",BE$1),SP_ACQ_Lib[],MATCH(BE$2,SP_ACQ_Lib[#Headers],0),FALSE)=0,"",VLOOKUP(CONCATENATE($A28,"_",BE$1),SP_ACQ_Lib[],MATCH(BE$2,SP_ACQ_Lib[#Headers],0),FALSE)),"")</f>
        <v/>
      </c>
      <c r="BF28" s="249" t="str">
        <f>IFERROR(IF(VLOOKUP(CONCATENATE($A28,"_",BF$1),SP_ACQ_Lib[],MATCH(BF$2,SP_ACQ_Lib[#Headers],0),FALSE)=0,"",VLOOKUP(CONCATENATE($A28,"_",BF$1),SP_ACQ_Lib[],MATCH(BF$2,SP_ACQ_Lib[#Headers],0),FALSE)),"")</f>
        <v/>
      </c>
      <c r="BG28" s="249" t="str">
        <f>IFERROR(IF(VLOOKUP(CONCATENATE($A28,"_",BG$1),SP_ACQ_Lib[],MATCH(BG$2,SP_ACQ_Lib[#Headers],0),FALSE)=0,"",VLOOKUP(CONCATENATE($A28,"_",BG$1),SP_ACQ_Lib[],MATCH(BG$2,SP_ACQ_Lib[#Headers],0),FALSE)),"")</f>
        <v/>
      </c>
      <c r="BH28" s="249" t="str">
        <f>IFERROR(IF(VLOOKUP(CONCATENATE($A28,"_",BH$1),SP_ACQ_Lib[],MATCH(BH$2,SP_ACQ_Lib[#Headers],0),FALSE)=0,"",VLOOKUP(CONCATENATE($A28,"_",BH$1),SP_ACQ_Lib[],MATCH(BH$2,SP_ACQ_Lib[#Headers],0),FALSE)),"")</f>
        <v/>
      </c>
      <c r="BI28" s="249" t="str">
        <f>IFERROR(IF(VLOOKUP(CONCATENATE($A28,"_",BI$1),SP_ACQ_Lib[],MATCH(BI$2,SP_ACQ_Lib[#Headers],0),FALSE)=0,"",VLOOKUP(CONCATENATE($A28,"_",BI$1),SP_ACQ_Lib[],MATCH(BI$2,SP_ACQ_Lib[#Headers],0),FALSE)),"")</f>
        <v/>
      </c>
      <c r="BJ28" s="249" t="str">
        <f>IFERROR(IF(VLOOKUP(CONCATENATE($A28,"_",BJ$1),SP_ACQ_Lib[],MATCH(BJ$2,SP_ACQ_Lib[#Headers],0),FALSE)=0,"",VLOOKUP(CONCATENATE($A28,"_",BJ$1),SP_ACQ_Lib[],MATCH(BJ$2,SP_ACQ_Lib[#Headers],0),FALSE)),"")</f>
        <v/>
      </c>
      <c r="BK28" s="250">
        <f>IFERROR(IF(VLOOKUP(CONCATENATE($A28,"_",BK$1),SP_ACQ_Lib[],MATCH(BK$2,SP_ACQ_Lib[#Headers],0),FALSE)=0,"",VLOOKUP(CONCATENATE($A28,"_",BK$1),SP_ACQ_Lib[],MATCH(BK$2,SP_ACQ_Lib[#Headers],0),FALSE)),"")</f>
        <v>43748</v>
      </c>
      <c r="BL28" s="249" t="str">
        <f>IFERROR(IF(VLOOKUP(CONCATENATE($A28,"_",BL$1),SP_ACQ_Lib[],MATCH(BL$2,SP_ACQ_Lib[#Headers],0),FALSE)=0,"",VLOOKUP(CONCATENATE($A28,"_",BL$1),SP_ACQ_Lib[],MATCH(BL$2,SP_ACQ_Lib[#Headers],0),FALSE)),"")</f>
        <v/>
      </c>
      <c r="BM28" s="249" t="str">
        <f>IFERROR(IF(VLOOKUP(CONCATENATE($A28,"_",BM$1),SP_ACQ_Lib[],MATCH(BM$2,SP_ACQ_Lib[#Headers],0),FALSE)=0,"",VLOOKUP(CONCATENATE($A28,"_",BM$1),SP_ACQ_Lib[],MATCH(BM$2,SP_ACQ_Lib[#Headers],0),FALSE)),"")</f>
        <v/>
      </c>
      <c r="BN28" s="249" t="str">
        <f>IFERROR(IF(VLOOKUP(CONCATENATE($A28,"_",BN$1),SP_ACQ_Lib[],MATCH(BN$2,SP_ACQ_Lib[#Headers],0),FALSE)=0,"",VLOOKUP(CONCATENATE($A28,"_",BN$1),SP_ACQ_Lib[],MATCH(BN$2,SP_ACQ_Lib[#Headers],0),FALSE)),"")</f>
        <v/>
      </c>
    </row>
    <row r="29" spans="1:66" s="226" customFormat="1" ht="38.25" x14ac:dyDescent="0.2">
      <c r="A29" s="192" t="s">
        <v>147</v>
      </c>
      <c r="B29" s="227" t="str">
        <f>IFERROR(VLOOKUP($A29,SP_AcqTract_DB[],MATCH(B$2,SP_AcqTract_DB[#Headers],0),FALSE),"")</f>
        <v>R023696;R053131</v>
      </c>
      <c r="C29" s="228" t="str">
        <f>IFERROR(VLOOKUP($A29,SP_AcqTract_DB[],MATCH(C$2,SP_AcqTract_DB[#Headers],0),FALSE),"")</f>
        <v>PH1</v>
      </c>
      <c r="D29" s="208" t="str">
        <f>IFERROR(VLOOKUP($A29,SP_AcqTract_DB[],MATCH(D$2,SP_AcqTract_DB[#Headers],0),FALSE),"")</f>
        <v>Active</v>
      </c>
      <c r="E29" s="208">
        <f>IFERROR(VLOOKUP($A29,SP_AcqTract_DB[],MATCH(E$2,SP_AcqTract_DB[#Headers],0),FALSE),"")</f>
        <v>2</v>
      </c>
      <c r="F29" s="227" t="str">
        <f>IFERROR(VLOOKUP($A29,SP_AcqTract_DB[],MATCH(F$2,SP_AcqTract_DB[#Headers],0),FALSE),"")</f>
        <v>Flowage Esmt/Levee Esmt</v>
      </c>
      <c r="G29" s="227" t="str">
        <f>IFERROR(VLOOKUP($A29,SP_AcqTract_DB[],MATCH(G$2,SP_AcqTract_DB[#Headers],0),FALSE),"")</f>
        <v>Lily Khan</v>
      </c>
      <c r="H29" s="250">
        <f>IFERROR(IF(VLOOKUP(CONCATENATE($A29,"_",H$1),SP_ACQ_Lib[],MATCH(H$2,SP_ACQ_Lib[#Headers],0),FALSE)=0,"",VLOOKUP(CONCATENATE($A29,"_",H$1),SP_ACQ_Lib[],MATCH(H$2,SP_ACQ_Lib[#Headers],0),FALSE)),"")</f>
        <v>44007.696435185186</v>
      </c>
      <c r="I29" s="227" t="str">
        <f>IFERROR(VLOOKUP($A29,SP_AcqTract_DB[],MATCH(I$2,SP_AcqTract_DB[#Headers],0),FALSE),"")</f>
        <v>Troy Q. Allen</v>
      </c>
      <c r="J29" s="227">
        <f>IFERROR(VLOOKUP($A29,SP_AcqTract_DB[],MATCH(J$2,SP_AcqTract_DB[#Headers],0),FALSE),"")</f>
        <v>0</v>
      </c>
      <c r="K29" s="227" t="str">
        <f>IFERROR(VLOOKUP($A29,SP_AcqTract_DB[],MATCH(K$2,SP_AcqTract_DB[#Headers],0),FALSE),"")</f>
        <v>Troy Q. Allen</v>
      </c>
      <c r="L29" s="227" t="str">
        <f>IFERROR(VLOOKUP($A29,SP_AcqTract_DB[],MATCH(L$2,SP_AcqTract_DB[#Headers],0),FALSE),"")</f>
        <v>1500 Camellia Ave.</v>
      </c>
      <c r="M29" s="208" t="str">
        <f>IFERROR(VLOOKUP($A29,SP_AcqTract_DB[],MATCH(M$2,SP_AcqTract_DB[#Headers],0),FALSE),"")</f>
        <v>Wharton, TX</v>
      </c>
      <c r="N29" s="227" t="str">
        <f>IFERROR(VLOOKUP($A29,SP_AcqTract_DB[],MATCH(N$2,SP_AcqTract_DB[#Headers],0),FALSE),"")</f>
        <v>1500 &amp; 1502 Camellia Ave</v>
      </c>
      <c r="O29" s="220">
        <f>IFERROR(VLOOKUP($A29,SP_AcqTract_DB[],MATCH(O$2,SP_AcqTract_DB[#Headers],0),FALSE),"")</f>
        <v>0</v>
      </c>
      <c r="P29" s="220" t="str">
        <f>IFERROR(VLOOKUP($A29,SP_AcqTract_DB[],MATCH(P$2,SP_AcqTract_DB[#Headers],0),FALSE),"")</f>
        <v>X</v>
      </c>
      <c r="Q29" s="208" t="str">
        <f>IFERROR(VLOOKUP($A29,SP_AcqTract_DB[],MATCH(Q$2,SP_AcqTract_DB[#Headers],0),FALSE),"")</f>
        <v>2019-0809</v>
      </c>
      <c r="R29" s="250">
        <f>IFERROR(IF(VLOOKUP(CONCATENATE($A29,"_",R$1),SP_ACQ_Lib[],MATCH(R$2,SP_ACQ_Lib[#Headers],0),FALSE)=0,"",VLOOKUP(CONCATENATE($A29,"_",R$1),SP_ACQ_Lib[],MATCH(R$2,SP_ACQ_Lib[#Headers],0),FALSE)),"")</f>
        <v>43686</v>
      </c>
      <c r="S29" s="253">
        <f>IFERROR(IF(VLOOKUP(CONCATENATE($A29,"_",S$1),SP_ACQ_Lib[],MATCH(S$2,SP_ACQ_Lib[#Headers],0),FALSE)=0,"",VLOOKUP(CONCATENATE($A29,"_",S$1),SP_ACQ_Lib[],MATCH(S$2,SP_ACQ_Lib[#Headers],0),FALSE)),"")</f>
        <v>43697</v>
      </c>
      <c r="T29" s="205" t="str">
        <f>IFERROR(VLOOKUP(CONCATENATE($A29,"_",T$1),SP_ACQ_Lib[],MATCH(T$2,SP_ACQ_Lib[#Headers],0),FALSE),0)</f>
        <v>Accepted</v>
      </c>
      <c r="U29" s="250">
        <f>IFERROR(IF(VLOOKUP(CONCATENATE($A29,"_",U$1),SP_ACQ_Lib[],MATCH(U$2,SP_ACQ_Lib[#Headers],0),FALSE)=0,"",VLOOKUP(CONCATENATE($A29,"_",U$1),SP_ACQ_Lib[],MATCH(U$2,SP_ACQ_Lib[#Headers],0),FALSE)),"")</f>
        <v>43810</v>
      </c>
      <c r="V29" s="205" t="str">
        <f>IFERROR(VLOOKUP(CONCATENATE($A29,"_",V$1),SP_ACQ_Lib[],MATCH(V$2,SP_ACQ_Lib[#Headers],0),FALSE),0)</f>
        <v>Accepted</v>
      </c>
      <c r="W29" s="209">
        <f>IFERROR(VLOOKUP(CONCATENATE($A29,"_",W$1),SP_ACQ_Lib[],MATCH(W$2,SP_ACQ_Lib[#Headers],0),FALSE),0)</f>
        <v>0</v>
      </c>
      <c r="X29" s="250">
        <f>IFERROR(VLOOKUP($A29,SP_AcqTract_DB[],MATCH(X$2,SP_AcqTract_DB[#Headers],0),FALSE),"")</f>
        <v>43693</v>
      </c>
      <c r="Y29" s="237">
        <f>IFERROR(VLOOKUP($A29,SP_AcqTract_DB[],MATCH(Y$2,SP_AcqTract_DB[#Headers],0),FALSE),"")</f>
        <v>0.80739210284664797</v>
      </c>
      <c r="Z29" s="229">
        <f>IFERROR(VLOOKUP($A29,SP_AcqTract_DB[],MATCH(Z$2,SP_AcqTract_DB[#Headers],0),FALSE),"")</f>
        <v>35170</v>
      </c>
      <c r="AA29" s="229" t="str">
        <f>IFERROR(VLOOKUP($A29,SP_AcqTract_DB[],MATCH(AA$2,SP_AcqTract_DB[#Headers],0),FALSE),"")</f>
        <v>Yes</v>
      </c>
      <c r="AB29" s="250">
        <f>IFERROR(IF(VLOOKUP(CONCATENATE($A29,"_",AB$1),SP_ACQ_Lib[],MATCH(AB$2,SP_ACQ_Lib[#Headers],0),FALSE)=0,"",VLOOKUP(CONCATENATE($A29,"_",AB$1),SP_ACQ_Lib[],MATCH(AB$2,SP_ACQ_Lib[#Headers],0),FALSE)),"")</f>
        <v>43906</v>
      </c>
      <c r="AC29" s="250">
        <f>IFERROR(IF(VLOOKUP(CONCATENATE($A29,"_",AC$1),SP_ACQ_Lib[],MATCH(AC$2,SP_ACQ_Lib[#Headers],0),FALSE)=0,"",VLOOKUP(CONCATENATE($A29,"_",AC$1),SP_ACQ_Lib[],MATCH(AC$2,SP_ACQ_Lib[#Headers],0),FALSE)),"")</f>
        <v>43936</v>
      </c>
      <c r="AD29" s="229" t="str">
        <f>IFERROR(VLOOKUP($A29,SP_AcqTract_DB[],MATCH(AD$2,SP_AcqTract_DB[#Headers],0),FALSE),"")</f>
        <v>Yes</v>
      </c>
      <c r="AE29" s="250">
        <f>IFERROR(IF(VLOOKUP(CONCATENATE($A29,"_",AE$1),SP_ACQ_Lib[],MATCH(AE$2,SP_ACQ_Lib[#Headers],0),FALSE)=0,"",VLOOKUP(CONCATENATE($A29,"_",AE$1),SP_ACQ_Lib[],MATCH(AE$2,SP_ACQ_Lib[#Headers],0),FALSE)),"")</f>
        <v>43906</v>
      </c>
      <c r="AF29" s="250">
        <f>IFERROR(IF(VLOOKUP(CONCATENATE($A29,"_",AF$1),SP_ACQ_Lib[],MATCH(AF$2,SP_ACQ_Lib[#Headers],0),FALSE)=0,"",VLOOKUP(CONCATENATE($A29,"_",AF$1),SP_ACQ_Lib[],MATCH(AF$2,SP_ACQ_Lib[#Headers],0),FALSE)),"")</f>
        <v>43948</v>
      </c>
      <c r="AG29" s="250" t="str">
        <f>IFERROR(IF(VLOOKUP(CONCATENATE($A29,"_",AG$1),SP_ACQ_Lib[],MATCH(AG$2,SP_ACQ_Lib[#Headers],0),FALSE)=0,"",VLOOKUP(CONCATENATE($A29,"_",AG$1),SP_ACQ_Lib[],MATCH(AG$2,SP_ACQ_Lib[#Headers],0),FALSE)),"")</f>
        <v/>
      </c>
      <c r="AH29" s="250">
        <f>IFERROR(IF(VLOOKUP(CONCATENATE($A29,"_",AH$1),SP_ACQ_Lib[],MATCH(AH$2,SP_ACQ_Lib[#Headers],0),FALSE)=0,"",VLOOKUP(CONCATENATE($A29,"_",AH$1),SP_ACQ_Lib[],MATCH(AH$2,SP_ACQ_Lib[#Headers],0),FALSE)),"")</f>
        <v>43690</v>
      </c>
      <c r="AI29" s="249" t="str">
        <f>IFERROR(IF(VLOOKUP(CONCATENATE($A29,"_",AI$1),SP_ACQ_Lib[],MATCH(AI$2,SP_ACQ_Lib[#Headers],0),FALSE)=0,"",VLOOKUP(CONCATENATE($A29,"_",AI$1),SP_ACQ_Lib[],MATCH(AI$2,SP_ACQ_Lib[#Headers],0),FALSE)),"")</f>
        <v/>
      </c>
      <c r="AJ29" s="249" t="str">
        <f>IFERROR(IF(VLOOKUP(CONCATENATE($A29,"_",AJ$1),SP_ACQ_Lib[],MATCH(AJ$2,SP_ACQ_Lib[#Headers],0),FALSE)=0,"",VLOOKUP(CONCATENATE($A29,"_",AJ$1),SP_ACQ_Lib[],MATCH(AJ$2,SP_ACQ_Lib[#Headers],0),FALSE)),"")</f>
        <v/>
      </c>
      <c r="AK29" s="249" t="str">
        <f>IFERROR(IF(VLOOKUP(CONCATENATE($A29,"_",AK$1),SP_ACQ_Lib[],MATCH(AK$2,SP_ACQ_Lib[#Headers],0),FALSE)=0,"",VLOOKUP(CONCATENATE($A29,"_",AK$1),SP_ACQ_Lib[],MATCH(AK$2,SP_ACQ_Lib[#Headers],0),FALSE)),"")</f>
        <v/>
      </c>
      <c r="AL29" s="249">
        <f>IFERROR(VLOOKUP($A29,SP_AcqTract_DB[],MATCH(AL$2,SP_AcqTract_DB[#Headers],0),FALSE),"")</f>
        <v>43950</v>
      </c>
      <c r="AM29" s="227" t="str">
        <f>IFERROR(VLOOKUP($A29,SP_AcqTract_DB[],MATCH(AM$2,SP_AcqTract_DB[#Headers],0),FALSE),"")</f>
        <v>Cameron Boone</v>
      </c>
      <c r="AN29" s="227" t="str">
        <f>IFERROR(VLOOKUP($A29,SP_AcqTract_DB[],MATCH(AN$2,SP_AcqTract_DB[#Headers],0),FALSE),"")</f>
        <v>Lory Johnson, Atrium</v>
      </c>
      <c r="AO29" s="228" t="str">
        <f>IFERROR(VLOOKUP($A29,SP_AcqTract_DB[],MATCH(AO$2,SP_AcqTract_DB[#Headers],0),FALSE),"")</f>
        <v>Y</v>
      </c>
      <c r="AP29" s="210" t="str">
        <f>IFERROR(VLOOKUP($A29,SP_AcqTract_DB[],MATCH(AP$2,SP_AcqTract_DB[#Headers],0),FALSE),"")</f>
        <v>V</v>
      </c>
      <c r="AQ29" s="252" t="str">
        <f>IFERROR(IF(VLOOKUP(CONCATENATE($A29,"_",AQ$1),SP_ACQ_Lib[],MATCH(AQ$2,SP_ACQ_Lib[#Headers],0),FALSE)=0,"",VLOOKUP(CONCATENATE($A29,"_",AQ$1),SP_ACQ_Lib[],MATCH(AQ$2,SP_ACQ_Lib[#Headers],0),FALSE)),"")</f>
        <v/>
      </c>
      <c r="AR29" s="250" t="str">
        <f>IFERROR(IF(VLOOKUP(CONCATENATE($A29,"_",AR$1),SP_ACQ_Lib[],MATCH(AR$2,SP_ACQ_Lib[#Headers],0),FALSE)=0,"",VLOOKUP(CONCATENATE($A29,"_",AR$1),SP_ACQ_Lib[],MATCH(AR$2,SP_ACQ_Lib[#Headers],0),FALSE)),"")</f>
        <v/>
      </c>
      <c r="AS29" s="249">
        <f>IFERROR(IF(VLOOKUP(CONCATENATE($A29,"_",AS$1),SP_ACQ_Lib[],MATCH(AS$2,SP_ACQ_Lib[#Headers],0),FALSE)=0,"",VLOOKUP(CONCATENATE($A29,"_",AS$1),SP_ACQ_Lib[],MATCH(AS$2,SP_ACQ_Lib[#Headers],0),FALSE)),"")</f>
        <v>43765</v>
      </c>
      <c r="AT29" s="251">
        <f>IFERROR(IF(VLOOKUP(CONCATENATE($A29,"_",AT$1),SP_ACQ_Lib[],MATCH(AT$2,SP_ACQ_Lib[#Headers],0),FALSE)=0,"",VLOOKUP(CONCATENATE($A29,"_",AT$1),SP_ACQ_Lib[],MATCH(AT$2,SP_ACQ_Lib[#Headers],0),FALSE)),"")</f>
        <v>43912</v>
      </c>
      <c r="AU29" s="251" t="str">
        <f>IFERROR(IF(VLOOKUP(CONCATENATE($A29,"_",AU$1),SP_ACQ_Lib[],MATCH(AU$2,SP_ACQ_Lib[#Headers],0),FALSE)=0,"",VLOOKUP(CONCATENATE($A29,"_",AU$1),SP_ACQ_Lib[],MATCH(AU$2,SP_ACQ_Lib[#Headers],0),FALSE)),"")</f>
        <v/>
      </c>
      <c r="AV29" s="225">
        <f>IFERROR(IF(VLOOKUP(CONCATENATE($A29,"_",AV$1),SP_ACQ_Lib[],MATCH(AV$2,SP_ACQ_Lib[#Headers],0),FALSE)=0,"",VLOOKUP(CONCATENATE($A29,"_",AV$1),SP_ACQ_Lib[],MATCH(AV$2,SP_ACQ_Lib[#Headers],0),FALSE)),"")</f>
        <v>22860</v>
      </c>
      <c r="AW29" s="251">
        <f>IFERROR(IF(VLOOKUP(CONCATENATE($A29,"_",AW$1),SP_ACQ_Lib[],MATCH(AW$2,SP_ACQ_Lib[#Headers],0),FALSE)=0,"",VLOOKUP(CONCATENATE($A29,"_",AW$1),SP_ACQ_Lib[],MATCH(AW$2,SP_ACQ_Lib[#Headers],0),FALSE)),"")</f>
        <v>44008</v>
      </c>
      <c r="AX29" s="251">
        <f>IFERROR(IF(VLOOKUP(CONCATENATE($A29,"_",AX$1),SP_ACQ_Lib[],MATCH(AX$2,SP_ACQ_Lib[#Headers],0),FALSE)=0,"",VLOOKUP(CONCATENATE($A29,"_",AX$1),SP_ACQ_Lib[],MATCH(AX$2,SP_ACQ_Lib[#Headers],0),FALSE)),"")</f>
        <v>44008</v>
      </c>
      <c r="AY29" s="251">
        <f>IFERROR(IF(VLOOKUP(CONCATENATE($A29,"_",AY$1),SP_ACQ_Lib[],MATCH(AY$2,SP_ACQ_Lib[#Headers],0),FALSE)=0,"",VLOOKUP(CONCATENATE($A29,"_",AY$1),SP_ACQ_Lib[],MATCH(AY$2,SP_ACQ_Lib[#Headers],0),FALSE)),"")</f>
        <v>44011</v>
      </c>
      <c r="AZ29" s="251" t="str">
        <f>IFERROR(IF(VLOOKUP(CONCATENATE($A29,"_",AZ$1),SP_ACQ_Lib[],MATCH(AZ$2,SP_ACQ_Lib[#Headers],0),FALSE)=0,"",VLOOKUP(CONCATENATE($A29,"_",AZ$1),SP_ACQ_Lib[],MATCH(AZ$2,SP_ACQ_Lib[#Headers],0),FALSE)),"")</f>
        <v/>
      </c>
      <c r="BA29" s="251" t="str">
        <f>IFERROR(IF(VLOOKUP(CONCATENATE($A29,"_",BA$1),SP_ACQ_Lib[],MATCH(BA$2,SP_ACQ_Lib[#Headers],0),FALSE)=0,"",VLOOKUP(CONCATENATE($A29,"_",BA$1),SP_ACQ_Lib[],MATCH(BA$2,SP_ACQ_Lib[#Headers],0),FALSE)),"")</f>
        <v/>
      </c>
      <c r="BB29" s="224">
        <f>IFERROR(VLOOKUP(CONCATENATE($A29,"_",BB$1),SP_ACQ_Lib[],MATCH(BB$2,SP_ACQ_Lib[#Headers],0),FALSE),0)</f>
        <v>0</v>
      </c>
      <c r="BC29" s="231">
        <f>IFERROR(VLOOKUP($A29,SP_AcqTract_DB[],MATCH(BC$2,SP_AcqTract_DB[#Headers],0),FALSE),"")</f>
        <v>0</v>
      </c>
      <c r="BD29" s="231">
        <f>IFERROR(VLOOKUP($A29,SP_AcqTract_DB[],MATCH(BD$2,SP_AcqTract_DB[#Headers],0),FALSE),"")</f>
        <v>0</v>
      </c>
      <c r="BE29" s="249" t="str">
        <f>IFERROR(IF(VLOOKUP(CONCATENATE($A29,"_",BE$1),SP_ACQ_Lib[],MATCH(BE$2,SP_ACQ_Lib[#Headers],0),FALSE)=0,"",VLOOKUP(CONCATENATE($A29,"_",BE$1),SP_ACQ_Lib[],MATCH(BE$2,SP_ACQ_Lib[#Headers],0),FALSE)),"")</f>
        <v/>
      </c>
      <c r="BF29" s="249" t="str">
        <f>IFERROR(IF(VLOOKUP(CONCATENATE($A29,"_",BF$1),SP_ACQ_Lib[],MATCH(BF$2,SP_ACQ_Lib[#Headers],0),FALSE)=0,"",VLOOKUP(CONCATENATE($A29,"_",BF$1),SP_ACQ_Lib[],MATCH(BF$2,SP_ACQ_Lib[#Headers],0),FALSE)),"")</f>
        <v/>
      </c>
      <c r="BG29" s="249" t="str">
        <f>IFERROR(IF(VLOOKUP(CONCATENATE($A29,"_",BG$1),SP_ACQ_Lib[],MATCH(BG$2,SP_ACQ_Lib[#Headers],0),FALSE)=0,"",VLOOKUP(CONCATENATE($A29,"_",BG$1),SP_ACQ_Lib[],MATCH(BG$2,SP_ACQ_Lib[#Headers],0),FALSE)),"")</f>
        <v/>
      </c>
      <c r="BH29" s="249" t="str">
        <f>IFERROR(IF(VLOOKUP(CONCATENATE($A29,"_",BH$1),SP_ACQ_Lib[],MATCH(BH$2,SP_ACQ_Lib[#Headers],0),FALSE)=0,"",VLOOKUP(CONCATENATE($A29,"_",BH$1),SP_ACQ_Lib[],MATCH(BH$2,SP_ACQ_Lib[#Headers],0),FALSE)),"")</f>
        <v/>
      </c>
      <c r="BI29" s="249" t="str">
        <f>IFERROR(IF(VLOOKUP(CONCATENATE($A29,"_",BI$1),SP_ACQ_Lib[],MATCH(BI$2,SP_ACQ_Lib[#Headers],0),FALSE)=0,"",VLOOKUP(CONCATENATE($A29,"_",BI$1),SP_ACQ_Lib[],MATCH(BI$2,SP_ACQ_Lib[#Headers],0),FALSE)),"")</f>
        <v/>
      </c>
      <c r="BJ29" s="249" t="str">
        <f>IFERROR(IF(VLOOKUP(CONCATENATE($A29,"_",BJ$1),SP_ACQ_Lib[],MATCH(BJ$2,SP_ACQ_Lib[#Headers],0),FALSE)=0,"",VLOOKUP(CONCATENATE($A29,"_",BJ$1),SP_ACQ_Lib[],MATCH(BJ$2,SP_ACQ_Lib[#Headers],0),FALSE)),"")</f>
        <v/>
      </c>
      <c r="BK29" s="250">
        <f>IFERROR(IF(VLOOKUP(CONCATENATE($A29,"_",BK$1),SP_ACQ_Lib[],MATCH(BK$2,SP_ACQ_Lib[#Headers],0),FALSE)=0,"",VLOOKUP(CONCATENATE($A29,"_",BK$1),SP_ACQ_Lib[],MATCH(BK$2,SP_ACQ_Lib[#Headers],0),FALSE)),"")</f>
        <v>43748</v>
      </c>
      <c r="BL29" s="249" t="str">
        <f>IFERROR(IF(VLOOKUP(CONCATENATE($A29,"_",BL$1),SP_ACQ_Lib[],MATCH(BL$2,SP_ACQ_Lib[#Headers],0),FALSE)=0,"",VLOOKUP(CONCATENATE($A29,"_",BL$1),SP_ACQ_Lib[],MATCH(BL$2,SP_ACQ_Lib[#Headers],0),FALSE)),"")</f>
        <v/>
      </c>
      <c r="BM29" s="249" t="str">
        <f>IFERROR(IF(VLOOKUP(CONCATENATE($A29,"_",BM$1),SP_ACQ_Lib[],MATCH(BM$2,SP_ACQ_Lib[#Headers],0),FALSE)=0,"",VLOOKUP(CONCATENATE($A29,"_",BM$1),SP_ACQ_Lib[],MATCH(BM$2,SP_ACQ_Lib[#Headers],0),FALSE)),"")</f>
        <v/>
      </c>
      <c r="BN29" s="249" t="str">
        <f>IFERROR(IF(VLOOKUP(CONCATENATE($A29,"_",BN$1),SP_ACQ_Lib[],MATCH(BN$2,SP_ACQ_Lib[#Headers],0),FALSE)=0,"",VLOOKUP(CONCATENATE($A29,"_",BN$1),SP_ACQ_Lib[],MATCH(BN$2,SP_ACQ_Lib[#Headers],0),FALSE)),"")</f>
        <v/>
      </c>
    </row>
    <row r="30" spans="1:66" s="226" customFormat="1" ht="25.5" x14ac:dyDescent="0.2">
      <c r="A30" s="192" t="s">
        <v>149</v>
      </c>
      <c r="B30" s="227" t="str">
        <f>IFERROR(VLOOKUP($A30,SP_AcqTract_DB[],MATCH(B$2,SP_AcqTract_DB[#Headers],0),FALSE),"")</f>
        <v>R053130</v>
      </c>
      <c r="C30" s="228" t="str">
        <f>IFERROR(VLOOKUP($A30,SP_AcqTract_DB[],MATCH(C$2,SP_AcqTract_DB[#Headers],0),FALSE),"")</f>
        <v>PH1</v>
      </c>
      <c r="D30" s="208" t="str">
        <f>IFERROR(VLOOKUP($A30,SP_AcqTract_DB[],MATCH(D$2,SP_AcqTract_DB[#Headers],0),FALSE),"")</f>
        <v>Active</v>
      </c>
      <c r="E30" s="208">
        <f>IFERROR(VLOOKUP($A30,SP_AcqTract_DB[],MATCH(E$2,SP_AcqTract_DB[#Headers],0),FALSE),"")</f>
        <v>1</v>
      </c>
      <c r="F30" s="227" t="str">
        <f>IFERROR(VLOOKUP($A30,SP_AcqTract_DB[],MATCH(F$2,SP_AcqTract_DB[#Headers],0),FALSE),"")</f>
        <v>Flowage Esmt</v>
      </c>
      <c r="G30" s="227" t="str">
        <f>IFERROR(VLOOKUP($A30,SP_AcqTract_DB[],MATCH(G$2,SP_AcqTract_DB[#Headers],0),FALSE),"")</f>
        <v>Melissa DeLeon</v>
      </c>
      <c r="H30" s="250">
        <f>IFERROR(IF(VLOOKUP(CONCATENATE($A30,"_",H$1),SP_ACQ_Lib[],MATCH(H$2,SP_ACQ_Lib[#Headers],0),FALSE)=0,"",VLOOKUP(CONCATENATE($A30,"_",H$1),SP_ACQ_Lib[],MATCH(H$2,SP_ACQ_Lib[#Headers],0),FALSE)),"")</f>
        <v>43872.545358796298</v>
      </c>
      <c r="I30" s="227" t="str">
        <f>IFERROR(VLOOKUP($A30,SP_AcqTract_DB[],MATCH(I$2,SP_AcqTract_DB[#Headers],0),FALSE),"")</f>
        <v>John Michael Mason</v>
      </c>
      <c r="J30" s="227">
        <f>IFERROR(VLOOKUP($A30,SP_AcqTract_DB[],MATCH(J$2,SP_AcqTract_DB[#Headers],0),FALSE),"")</f>
        <v>0</v>
      </c>
      <c r="K30" s="227" t="str">
        <f>IFERROR(VLOOKUP($A30,SP_AcqTract_DB[],MATCH(K$2,SP_AcqTract_DB[#Headers],0),FALSE),"")</f>
        <v>John Michael Mason</v>
      </c>
      <c r="L30" s="227" t="str">
        <f>IFERROR(VLOOKUP($A30,SP_AcqTract_DB[],MATCH(L$2,SP_AcqTract_DB[#Headers],0),FALSE),"")</f>
        <v>4739 Arvilla Ln</v>
      </c>
      <c r="M30" s="208" t="str">
        <f>IFERROR(VLOOKUP($A30,SP_AcqTract_DB[],MATCH(M$2,SP_AcqTract_DB[#Headers],0),FALSE),"")</f>
        <v>Houston, TX  77021-2827</v>
      </c>
      <c r="N30" s="227" t="str">
        <f>IFERROR(VLOOKUP($A30,SP_AcqTract_DB[],MATCH(N$2,SP_AcqTract_DB[#Headers],0),FALSE),"")</f>
        <v>0 Camellia Ave</v>
      </c>
      <c r="O30" s="220">
        <f>IFERROR(VLOOKUP($A30,SP_AcqTract_DB[],MATCH(O$2,SP_AcqTract_DB[#Headers],0),FALSE),"")</f>
        <v>0</v>
      </c>
      <c r="P30" s="220" t="str">
        <f>IFERROR(VLOOKUP($A30,SP_AcqTract_DB[],MATCH(P$2,SP_AcqTract_DB[#Headers],0),FALSE),"")</f>
        <v>X</v>
      </c>
      <c r="Q30" s="208" t="str">
        <f>IFERROR(VLOOKUP($A30,SP_AcqTract_DB[],MATCH(Q$2,SP_AcqTract_DB[#Headers],0),FALSE),"")</f>
        <v>2019-0815</v>
      </c>
      <c r="R30" s="250">
        <f>IFERROR(IF(VLOOKUP(CONCATENATE($A30,"_",R$1),SP_ACQ_Lib[],MATCH(R$2,SP_ACQ_Lib[#Headers],0),FALSE)=0,"",VLOOKUP(CONCATENATE($A30,"_",R$1),SP_ACQ_Lib[],MATCH(R$2,SP_ACQ_Lib[#Headers],0),FALSE)),"")</f>
        <v>43952</v>
      </c>
      <c r="S30" s="253">
        <f>IFERROR(IF(VLOOKUP(CONCATENATE($A30,"_",S$1),SP_ACQ_Lib[],MATCH(S$2,SP_ACQ_Lib[#Headers],0),FALSE)=0,"",VLOOKUP(CONCATENATE($A30,"_",S$1),SP_ACQ_Lib[],MATCH(S$2,SP_ACQ_Lib[#Headers],0),FALSE)),"")</f>
        <v>43963</v>
      </c>
      <c r="T30" s="205" t="str">
        <f>IFERROR(VLOOKUP(CONCATENATE($A30,"_",T$1),SP_ACQ_Lib[],MATCH(T$2,SP_ACQ_Lib[#Headers],0),FALSE),0)</f>
        <v>Accepted</v>
      </c>
      <c r="U30" s="250">
        <f>IFERROR(IF(VLOOKUP(CONCATENATE($A30,"_",U$1),SP_ACQ_Lib[],MATCH(U$2,SP_ACQ_Lib[#Headers],0),FALSE)=0,"",VLOOKUP(CONCATENATE($A30,"_",U$1),SP_ACQ_Lib[],MATCH(U$2,SP_ACQ_Lib[#Headers],0),FALSE)),"")</f>
        <v>43810</v>
      </c>
      <c r="V30" s="205" t="str">
        <f>IFERROR(VLOOKUP(CONCATENATE($A30,"_",V$1),SP_ACQ_Lib[],MATCH(V$2,SP_ACQ_Lib[#Headers],0),FALSE),0)</f>
        <v>Accepted</v>
      </c>
      <c r="W30" s="209">
        <f>IFERROR(VLOOKUP(CONCATENATE($A30,"_",W$1),SP_ACQ_Lib[],MATCH(W$2,SP_ACQ_Lib[#Headers],0),FALSE),0)</f>
        <v>0</v>
      </c>
      <c r="X30" s="250">
        <f>IFERROR(VLOOKUP($A30,SP_AcqTract_DB[],MATCH(X$2,SP_AcqTract_DB[#Headers],0),FALSE),"")</f>
        <v>44105</v>
      </c>
      <c r="Y30" s="237">
        <f>IFERROR(VLOOKUP($A30,SP_AcqTract_DB[],MATCH(Y$2,SP_AcqTract_DB[#Headers],0),FALSE),"")</f>
        <v>3.3723599632690497E-2</v>
      </c>
      <c r="Z30" s="229">
        <f>IFERROR(VLOOKUP($A30,SP_AcqTract_DB[],MATCH(Z$2,SP_AcqTract_DB[#Headers],0),FALSE),"")</f>
        <v>1469</v>
      </c>
      <c r="AA30" s="229" t="str">
        <f>IFERROR(VLOOKUP($A30,SP_AcqTract_DB[],MATCH(AA$2,SP_AcqTract_DB[#Headers],0),FALSE),"")</f>
        <v>Yes</v>
      </c>
      <c r="AB30" s="250">
        <f>IFERROR(IF(VLOOKUP(CONCATENATE($A30,"_",AB$1),SP_ACQ_Lib[],MATCH(AB$2,SP_ACQ_Lib[#Headers],0),FALSE)=0,"",VLOOKUP(CONCATENATE($A30,"_",AB$1),SP_ACQ_Lib[],MATCH(AB$2,SP_ACQ_Lib[#Headers],0),FALSE)),"")</f>
        <v>43901</v>
      </c>
      <c r="AC30" s="250">
        <f>IFERROR(IF(VLOOKUP(CONCATENATE($A30,"_",AC$1),SP_ACQ_Lib[],MATCH(AC$2,SP_ACQ_Lib[#Headers],0),FALSE)=0,"",VLOOKUP(CONCATENATE($A30,"_",AC$1),SP_ACQ_Lib[],MATCH(AC$2,SP_ACQ_Lib[#Headers],0),FALSE)),"")</f>
        <v>43913</v>
      </c>
      <c r="AD30" s="229" t="str">
        <f>IFERROR(VLOOKUP($A30,SP_AcqTract_DB[],MATCH(AD$2,SP_AcqTract_DB[#Headers],0),FALSE),"")</f>
        <v>Yes</v>
      </c>
      <c r="AE30" s="250">
        <f>IFERROR(IF(VLOOKUP(CONCATENATE($A30,"_",AE$1),SP_ACQ_Lib[],MATCH(AE$2,SP_ACQ_Lib[#Headers],0),FALSE)=0,"",VLOOKUP(CONCATENATE($A30,"_",AE$1),SP_ACQ_Lib[],MATCH(AE$2,SP_ACQ_Lib[#Headers],0),FALSE)),"")</f>
        <v>43901</v>
      </c>
      <c r="AF30" s="250">
        <f>IFERROR(IF(VLOOKUP(CONCATENATE($A30,"_",AF$1),SP_ACQ_Lib[],MATCH(AF$2,SP_ACQ_Lib[#Headers],0),FALSE)=0,"",VLOOKUP(CONCATENATE($A30,"_",AF$1),SP_ACQ_Lib[],MATCH(AF$2,SP_ACQ_Lib[#Headers],0),FALSE)),"")</f>
        <v>43948</v>
      </c>
      <c r="AG30" s="250">
        <f>IFERROR(IF(VLOOKUP(CONCATENATE($A30,"_",AG$1),SP_ACQ_Lib[],MATCH(AG$2,SP_ACQ_Lib[#Headers],0),FALSE)=0,"",VLOOKUP(CONCATENATE($A30,"_",AG$1),SP_ACQ_Lib[],MATCH(AG$2,SP_ACQ_Lib[#Headers],0),FALSE)),"")</f>
        <v>43691</v>
      </c>
      <c r="AH30" s="250" t="str">
        <f>IFERROR(IF(VLOOKUP(CONCATENATE($A30,"_",AH$1),SP_ACQ_Lib[],MATCH(AH$2,SP_ACQ_Lib[#Headers],0),FALSE)=0,"",VLOOKUP(CONCATENATE($A30,"_",AH$1),SP_ACQ_Lib[],MATCH(AH$2,SP_ACQ_Lib[#Headers],0),FALSE)),"")</f>
        <v/>
      </c>
      <c r="AI30" s="249" t="str">
        <f>IFERROR(IF(VLOOKUP(CONCATENATE($A30,"_",AI$1),SP_ACQ_Lib[],MATCH(AI$2,SP_ACQ_Lib[#Headers],0),FALSE)=0,"",VLOOKUP(CONCATENATE($A30,"_",AI$1),SP_ACQ_Lib[],MATCH(AI$2,SP_ACQ_Lib[#Headers],0),FALSE)),"")</f>
        <v/>
      </c>
      <c r="AJ30" s="249" t="str">
        <f>IFERROR(IF(VLOOKUP(CONCATENATE($A30,"_",AJ$1),SP_ACQ_Lib[],MATCH(AJ$2,SP_ACQ_Lib[#Headers],0),FALSE)=0,"",VLOOKUP(CONCATENATE($A30,"_",AJ$1),SP_ACQ_Lib[],MATCH(AJ$2,SP_ACQ_Lib[#Headers],0),FALSE)),"")</f>
        <v/>
      </c>
      <c r="AK30" s="249" t="str">
        <f>IFERROR(IF(VLOOKUP(CONCATENATE($A30,"_",AK$1),SP_ACQ_Lib[],MATCH(AK$2,SP_ACQ_Lib[#Headers],0),FALSE)=0,"",VLOOKUP(CONCATENATE($A30,"_",AK$1),SP_ACQ_Lib[],MATCH(AK$2,SP_ACQ_Lib[#Headers],0),FALSE)),"")</f>
        <v/>
      </c>
      <c r="AL30" s="249">
        <f>IFERROR(VLOOKUP($A30,SP_AcqTract_DB[],MATCH(AL$2,SP_AcqTract_DB[#Headers],0),FALSE),"")</f>
        <v>43950</v>
      </c>
      <c r="AM30" s="227" t="str">
        <f>IFERROR(VLOOKUP($A30,SP_AcqTract_DB[],MATCH(AM$2,SP_AcqTract_DB[#Headers],0),FALSE),"")</f>
        <v>Richard Hudgins</v>
      </c>
      <c r="AN30" s="227" t="str">
        <f>IFERROR(VLOOKUP($A30,SP_AcqTract_DB[],MATCH(AN$2,SP_AcqTract_DB[#Headers],0),FALSE),"")</f>
        <v>Lory Johnson, Atrium</v>
      </c>
      <c r="AO30" s="228">
        <f>IFERROR(VLOOKUP($A30,SP_AcqTract_DB[],MATCH(AO$2,SP_AcqTract_DB[#Headers],0),FALSE),"")</f>
        <v>0</v>
      </c>
      <c r="AP30" s="210" t="str">
        <f>IFERROR(VLOOKUP($A30,SP_AcqTract_DB[],MATCH(AP$2,SP_AcqTract_DB[#Headers],0),FALSE),"")</f>
        <v>V</v>
      </c>
      <c r="AQ30" s="252" t="str">
        <f>IFERROR(IF(VLOOKUP(CONCATENATE($A30,"_",AQ$1),SP_ACQ_Lib[],MATCH(AQ$2,SP_ACQ_Lib[#Headers],0),FALSE)=0,"",VLOOKUP(CONCATENATE($A30,"_",AQ$1),SP_ACQ_Lib[],MATCH(AQ$2,SP_ACQ_Lib[#Headers],0),FALSE)),"")</f>
        <v/>
      </c>
      <c r="AR30" s="250" t="str">
        <f>IFERROR(IF(VLOOKUP(CONCATENATE($A30,"_",AR$1),SP_ACQ_Lib[],MATCH(AR$2,SP_ACQ_Lib[#Headers],0),FALSE)=0,"",VLOOKUP(CONCATENATE($A30,"_",AR$1),SP_ACQ_Lib[],MATCH(AR$2,SP_ACQ_Lib[#Headers],0),FALSE)),"")</f>
        <v/>
      </c>
      <c r="AS30" s="249">
        <f>IFERROR(IF(VLOOKUP(CONCATENATE($A30,"_",AS$1),SP_ACQ_Lib[],MATCH(AS$2,SP_ACQ_Lib[#Headers],0),FALSE)=0,"",VLOOKUP(CONCATENATE($A30,"_",AS$1),SP_ACQ_Lib[],MATCH(AS$2,SP_ACQ_Lib[#Headers],0),FALSE)),"")</f>
        <v>43765</v>
      </c>
      <c r="AT30" s="251">
        <f>IFERROR(IF(VLOOKUP(CONCATENATE($A30,"_",AT$1),SP_ACQ_Lib[],MATCH(AT$2,SP_ACQ_Lib[#Headers],0),FALSE)=0,"",VLOOKUP(CONCATENATE($A30,"_",AT$1),SP_ACQ_Lib[],MATCH(AT$2,SP_ACQ_Lib[#Headers],0),FALSE)),"")</f>
        <v>43962</v>
      </c>
      <c r="AU30" s="251" t="str">
        <f>IFERROR(IF(VLOOKUP(CONCATENATE($A30,"_",AU$1),SP_ACQ_Lib[],MATCH(AU$2,SP_ACQ_Lib[#Headers],0),FALSE)=0,"",VLOOKUP(CONCATENATE($A30,"_",AU$1),SP_ACQ_Lib[],MATCH(AU$2,SP_ACQ_Lib[#Headers],0),FALSE)),"")</f>
        <v/>
      </c>
      <c r="AV30" s="225">
        <f>IFERROR(IF(VLOOKUP(CONCATENATE($A30,"_",AV$1),SP_ACQ_Lib[],MATCH(AV$2,SP_ACQ_Lib[#Headers],0),FALSE)=0,"",VLOOKUP(CONCATENATE($A30,"_",AV$1),SP_ACQ_Lib[],MATCH(AV$2,SP_ACQ_Lib[#Headers],0),FALSE)),"")</f>
        <v>1351</v>
      </c>
      <c r="AW30" s="251">
        <f>IFERROR(IF(VLOOKUP(CONCATENATE($A30,"_",AW$1),SP_ACQ_Lib[],MATCH(AW$2,SP_ACQ_Lib[#Headers],0),FALSE)=0,"",VLOOKUP(CONCATENATE($A30,"_",AW$1),SP_ACQ_Lib[],MATCH(AW$2,SP_ACQ_Lib[#Headers],0),FALSE)),"")</f>
        <v>44001</v>
      </c>
      <c r="AX30" s="251">
        <f>IFERROR(IF(VLOOKUP(CONCATENATE($A30,"_",AX$1),SP_ACQ_Lib[],MATCH(AX$2,SP_ACQ_Lib[#Headers],0),FALSE)=0,"",VLOOKUP(CONCATENATE($A30,"_",AX$1),SP_ACQ_Lib[],MATCH(AX$2,SP_ACQ_Lib[#Headers],0),FALSE)),"")</f>
        <v>44001</v>
      </c>
      <c r="AY30" s="251">
        <f>IFERROR(IF(VLOOKUP(CONCATENATE($A30,"_",AY$1),SP_ACQ_Lib[],MATCH(AY$2,SP_ACQ_Lib[#Headers],0),FALSE)=0,"",VLOOKUP(CONCATENATE($A30,"_",AY$1),SP_ACQ_Lib[],MATCH(AY$2,SP_ACQ_Lib[#Headers],0),FALSE)),"")</f>
        <v>44004</v>
      </c>
      <c r="AZ30" s="251" t="str">
        <f>IFERROR(IF(VLOOKUP(CONCATENATE($A30,"_",AZ$1),SP_ACQ_Lib[],MATCH(AZ$2,SP_ACQ_Lib[#Headers],0),FALSE)=0,"",VLOOKUP(CONCATENATE($A30,"_",AZ$1),SP_ACQ_Lib[],MATCH(AZ$2,SP_ACQ_Lib[#Headers],0),FALSE)),"")</f>
        <v/>
      </c>
      <c r="BA30" s="251" t="str">
        <f>IFERROR(IF(VLOOKUP(CONCATENATE($A30,"_",BA$1),SP_ACQ_Lib[],MATCH(BA$2,SP_ACQ_Lib[#Headers],0),FALSE)=0,"",VLOOKUP(CONCATENATE($A30,"_",BA$1),SP_ACQ_Lib[],MATCH(BA$2,SP_ACQ_Lib[#Headers],0),FALSE)),"")</f>
        <v/>
      </c>
      <c r="BB30" s="224">
        <f>IFERROR(VLOOKUP(CONCATENATE($A30,"_",BB$1),SP_ACQ_Lib[],MATCH(BB$2,SP_ACQ_Lib[#Headers],0),FALSE),0)</f>
        <v>0</v>
      </c>
      <c r="BC30" s="231">
        <f>IFERROR(VLOOKUP($A30,SP_AcqTract_DB[],MATCH(BC$2,SP_AcqTract_DB[#Headers],0),FALSE),"")</f>
        <v>44006</v>
      </c>
      <c r="BD30" s="231">
        <f>IFERROR(VLOOKUP($A30,SP_AcqTract_DB[],MATCH(BD$2,SP_AcqTract_DB[#Headers],0),FALSE),"")</f>
        <v>0</v>
      </c>
      <c r="BE30" s="249" t="str">
        <f>IFERROR(IF(VLOOKUP(CONCATENATE($A30,"_",BE$1),SP_ACQ_Lib[],MATCH(BE$2,SP_ACQ_Lib[#Headers],0),FALSE)=0,"",VLOOKUP(CONCATENATE($A30,"_",BE$1),SP_ACQ_Lib[],MATCH(BE$2,SP_ACQ_Lib[#Headers],0),FALSE)),"")</f>
        <v/>
      </c>
      <c r="BF30" s="249" t="str">
        <f>IFERROR(IF(VLOOKUP(CONCATENATE($A30,"_",BF$1),SP_ACQ_Lib[],MATCH(BF$2,SP_ACQ_Lib[#Headers],0),FALSE)=0,"",VLOOKUP(CONCATENATE($A30,"_",BF$1),SP_ACQ_Lib[],MATCH(BF$2,SP_ACQ_Lib[#Headers],0),FALSE)),"")</f>
        <v/>
      </c>
      <c r="BG30" s="249" t="str">
        <f>IFERROR(IF(VLOOKUP(CONCATENATE($A30,"_",BG$1),SP_ACQ_Lib[],MATCH(BG$2,SP_ACQ_Lib[#Headers],0),FALSE)=0,"",VLOOKUP(CONCATENATE($A30,"_",BG$1),SP_ACQ_Lib[],MATCH(BG$2,SP_ACQ_Lib[#Headers],0),FALSE)),"")</f>
        <v/>
      </c>
      <c r="BH30" s="249" t="str">
        <f>IFERROR(IF(VLOOKUP(CONCATENATE($A30,"_",BH$1),SP_ACQ_Lib[],MATCH(BH$2,SP_ACQ_Lib[#Headers],0),FALSE)=0,"",VLOOKUP(CONCATENATE($A30,"_",BH$1),SP_ACQ_Lib[],MATCH(BH$2,SP_ACQ_Lib[#Headers],0),FALSE)),"")</f>
        <v/>
      </c>
      <c r="BI30" s="249" t="str">
        <f>IFERROR(IF(VLOOKUP(CONCATENATE($A30,"_",BI$1),SP_ACQ_Lib[],MATCH(BI$2,SP_ACQ_Lib[#Headers],0),FALSE)=0,"",VLOOKUP(CONCATENATE($A30,"_",BI$1),SP_ACQ_Lib[],MATCH(BI$2,SP_ACQ_Lib[#Headers],0),FALSE)),"")</f>
        <v/>
      </c>
      <c r="BJ30" s="249" t="str">
        <f>IFERROR(IF(VLOOKUP(CONCATENATE($A30,"_",BJ$1),SP_ACQ_Lib[],MATCH(BJ$2,SP_ACQ_Lib[#Headers],0),FALSE)=0,"",VLOOKUP(CONCATENATE($A30,"_",BJ$1),SP_ACQ_Lib[],MATCH(BJ$2,SP_ACQ_Lib[#Headers],0),FALSE)),"")</f>
        <v/>
      </c>
      <c r="BK30" s="250">
        <f>IFERROR(IF(VLOOKUP(CONCATENATE($A30,"_",BK$1),SP_ACQ_Lib[],MATCH(BK$2,SP_ACQ_Lib[#Headers],0),FALSE)=0,"",VLOOKUP(CONCATENATE($A30,"_",BK$1),SP_ACQ_Lib[],MATCH(BK$2,SP_ACQ_Lib[#Headers],0),FALSE)),"")</f>
        <v>43748</v>
      </c>
      <c r="BL30" s="249" t="str">
        <f>IFERROR(IF(VLOOKUP(CONCATENATE($A30,"_",BL$1),SP_ACQ_Lib[],MATCH(BL$2,SP_ACQ_Lib[#Headers],0),FALSE)=0,"",VLOOKUP(CONCATENATE($A30,"_",BL$1),SP_ACQ_Lib[],MATCH(BL$2,SP_ACQ_Lib[#Headers],0),FALSE)),"")</f>
        <v/>
      </c>
      <c r="BM30" s="249" t="str">
        <f>IFERROR(IF(VLOOKUP(CONCATENATE($A30,"_",BM$1),SP_ACQ_Lib[],MATCH(BM$2,SP_ACQ_Lib[#Headers],0),FALSE)=0,"",VLOOKUP(CONCATENATE($A30,"_",BM$1),SP_ACQ_Lib[],MATCH(BM$2,SP_ACQ_Lib[#Headers],0),FALSE)),"")</f>
        <v/>
      </c>
      <c r="BN30" s="249" t="str">
        <f>IFERROR(IF(VLOOKUP(CONCATENATE($A30,"_",BN$1),SP_ACQ_Lib[],MATCH(BN$2,SP_ACQ_Lib[#Headers],0),FALSE)=0,"",VLOOKUP(CONCATENATE($A30,"_",BN$1),SP_ACQ_Lib[],MATCH(BN$2,SP_ACQ_Lib[#Headers],0),FALSE)),"")</f>
        <v/>
      </c>
    </row>
    <row r="31" spans="1:66" s="226" customFormat="1" ht="25.5" x14ac:dyDescent="0.2">
      <c r="A31" s="192" t="s">
        <v>154</v>
      </c>
      <c r="B31" s="227" t="str">
        <f>IFERROR(VLOOKUP($A31,SP_AcqTract_DB[],MATCH(B$2,SP_AcqTract_DB[#Headers],0),FALSE),"")</f>
        <v>R023694</v>
      </c>
      <c r="C31" s="228" t="str">
        <f>IFERROR(VLOOKUP($A31,SP_AcqTract_DB[],MATCH(C$2,SP_AcqTract_DB[#Headers],0),FALSE),"")</f>
        <v>PH1</v>
      </c>
      <c r="D31" s="208" t="str">
        <f>IFERROR(VLOOKUP($A31,SP_AcqTract_DB[],MATCH(D$2,SP_AcqTract_DB[#Headers],0),FALSE),"")</f>
        <v>Active</v>
      </c>
      <c r="E31" s="208">
        <f>IFERROR(VLOOKUP($A31,SP_AcqTract_DB[],MATCH(E$2,SP_AcqTract_DB[#Headers],0),FALSE),"")</f>
        <v>1</v>
      </c>
      <c r="F31" s="227" t="str">
        <f>IFERROR(VLOOKUP($A31,SP_AcqTract_DB[],MATCH(F$2,SP_AcqTract_DB[#Headers],0),FALSE),"")</f>
        <v>Flowage Esmt</v>
      </c>
      <c r="G31" s="227" t="str">
        <f>IFERROR(VLOOKUP($A31,SP_AcqTract_DB[],MATCH(G$2,SP_AcqTract_DB[#Headers],0),FALSE),"")</f>
        <v>Lily Khan</v>
      </c>
      <c r="H31" s="250">
        <f>IFERROR(IF(VLOOKUP(CONCATENATE($A31,"_",H$1),SP_ACQ_Lib[],MATCH(H$2,SP_ACQ_Lib[#Headers],0),FALSE)=0,"",VLOOKUP(CONCATENATE($A31,"_",H$1),SP_ACQ_Lib[],MATCH(H$2,SP_ACQ_Lib[#Headers],0),FALSE)),"")</f>
        <v>44005.793263888889</v>
      </c>
      <c r="I31" s="227" t="str">
        <f>IFERROR(VLOOKUP($A31,SP_AcqTract_DB[],MATCH(I$2,SP_AcqTract_DB[#Headers],0),FALSE),"")</f>
        <v>Pandaries, LLC</v>
      </c>
      <c r="J31" s="227" t="str">
        <f>IFERROR(VLOOKUP($A31,SP_AcqTract_DB[],MATCH(J$2,SP_AcqTract_DB[#Headers],0),FALSE),"")</f>
        <v>Pandaries, LLC</v>
      </c>
      <c r="K31" s="227" t="str">
        <f>IFERROR(VLOOKUP($A31,SP_AcqTract_DB[],MATCH(K$2,SP_AcqTract_DB[#Headers],0),FALSE),"")</f>
        <v>Pandaries, LLC</v>
      </c>
      <c r="L31" s="227" t="str">
        <f>IFERROR(VLOOKUP($A31,SP_AcqTract_DB[],MATCH(L$2,SP_AcqTract_DB[#Headers],0),FALSE),"")</f>
        <v>5531 Sugar Hill</v>
      </c>
      <c r="M31" s="208" t="str">
        <f>IFERROR(VLOOKUP($A31,SP_AcqTract_DB[],MATCH(M$2,SP_AcqTract_DB[#Headers],0),FALSE),"")</f>
        <v>Houston, TX  77056</v>
      </c>
      <c r="N31" s="227" t="str">
        <f>IFERROR(VLOOKUP($A31,SP_AcqTract_DB[],MATCH(N$2,SP_AcqTract_DB[#Headers],0),FALSE),"")</f>
        <v>0 Outlar</v>
      </c>
      <c r="O31" s="220">
        <f>IFERROR(VLOOKUP($A31,SP_AcqTract_DB[],MATCH(O$2,SP_AcqTract_DB[#Headers],0),FALSE),"")</f>
        <v>0</v>
      </c>
      <c r="P31" s="220" t="str">
        <f>IFERROR(VLOOKUP($A31,SP_AcqTract_DB[],MATCH(P$2,SP_AcqTract_DB[#Headers],0),FALSE),"")</f>
        <v>X</v>
      </c>
      <c r="Q31" s="208" t="str">
        <f>IFERROR(VLOOKUP($A31,SP_AcqTract_DB[],MATCH(Q$2,SP_AcqTract_DB[#Headers],0),FALSE),"")</f>
        <v>2019-0816</v>
      </c>
      <c r="R31" s="250">
        <f>IFERROR(IF(VLOOKUP(CONCATENATE($A31,"_",R$1),SP_ACQ_Lib[],MATCH(R$2,SP_ACQ_Lib[#Headers],0),FALSE)=0,"",VLOOKUP(CONCATENATE($A31,"_",R$1),SP_ACQ_Lib[],MATCH(R$2,SP_ACQ_Lib[#Headers],0),FALSE)),"")</f>
        <v>43952</v>
      </c>
      <c r="S31" s="253">
        <f>IFERROR(IF(VLOOKUP(CONCATENATE($A31,"_",S$1),SP_ACQ_Lib[],MATCH(S$2,SP_ACQ_Lib[#Headers],0),FALSE)=0,"",VLOOKUP(CONCATENATE($A31,"_",S$1),SP_ACQ_Lib[],MATCH(S$2,SP_ACQ_Lib[#Headers],0),FALSE)),"")</f>
        <v>43963</v>
      </c>
      <c r="T31" s="205" t="str">
        <f>IFERROR(VLOOKUP(CONCATENATE($A31,"_",T$1),SP_ACQ_Lib[],MATCH(T$2,SP_ACQ_Lib[#Headers],0),FALSE),0)</f>
        <v>Accepted</v>
      </c>
      <c r="U31" s="250">
        <f>IFERROR(IF(VLOOKUP(CONCATENATE($A31,"_",U$1),SP_ACQ_Lib[],MATCH(U$2,SP_ACQ_Lib[#Headers],0),FALSE)=0,"",VLOOKUP(CONCATENATE($A31,"_",U$1),SP_ACQ_Lib[],MATCH(U$2,SP_ACQ_Lib[#Headers],0),FALSE)),"")</f>
        <v>43810</v>
      </c>
      <c r="V31" s="205" t="str">
        <f>IFERROR(VLOOKUP(CONCATENATE($A31,"_",V$1),SP_ACQ_Lib[],MATCH(V$2,SP_ACQ_Lib[#Headers],0),FALSE),0)</f>
        <v>Accepted</v>
      </c>
      <c r="W31" s="209" t="str">
        <f>IFERROR(VLOOKUP(CONCATENATE($A31,"_",W$1),SP_ACQ_Lib[],MATCH(W$2,SP_ACQ_Lib[#Headers],0),FALSE),0)</f>
        <v>Accepted</v>
      </c>
      <c r="X31" s="250">
        <f>IFERROR(VLOOKUP($A31,SP_AcqTract_DB[],MATCH(X$2,SP_AcqTract_DB[#Headers],0),FALSE),"")</f>
        <v>44105</v>
      </c>
      <c r="Y31" s="237">
        <f>IFERROR(VLOOKUP($A31,SP_AcqTract_DB[],MATCH(Y$2,SP_AcqTract_DB[#Headers],0),FALSE),"")</f>
        <v>0.13852157943067001</v>
      </c>
      <c r="Z31" s="229">
        <f>IFERROR(VLOOKUP($A31,SP_AcqTract_DB[],MATCH(Z$2,SP_AcqTract_DB[#Headers],0),FALSE),"")</f>
        <v>6034</v>
      </c>
      <c r="AA31" s="229" t="str">
        <f>IFERROR(VLOOKUP($A31,SP_AcqTract_DB[],MATCH(AA$2,SP_AcqTract_DB[#Headers],0),FALSE),"")</f>
        <v>Yes</v>
      </c>
      <c r="AB31" s="250">
        <f>IFERROR(IF(VLOOKUP(CONCATENATE($A31,"_",AB$1),SP_ACQ_Lib[],MATCH(AB$2,SP_ACQ_Lib[#Headers],0),FALSE)=0,"",VLOOKUP(CONCATENATE($A31,"_",AB$1),SP_ACQ_Lib[],MATCH(AB$2,SP_ACQ_Lib[#Headers],0),FALSE)),"")</f>
        <v>43901</v>
      </c>
      <c r="AC31" s="250">
        <f>IFERROR(IF(VLOOKUP(CONCATENATE($A31,"_",AC$1),SP_ACQ_Lib[],MATCH(AC$2,SP_ACQ_Lib[#Headers],0),FALSE)=0,"",VLOOKUP(CONCATENATE($A31,"_",AC$1),SP_ACQ_Lib[],MATCH(AC$2,SP_ACQ_Lib[#Headers],0),FALSE)),"")</f>
        <v>43913</v>
      </c>
      <c r="AD31" s="229" t="str">
        <f>IFERROR(VLOOKUP($A31,SP_AcqTract_DB[],MATCH(AD$2,SP_AcqTract_DB[#Headers],0),FALSE),"")</f>
        <v>Yes</v>
      </c>
      <c r="AE31" s="250">
        <f>IFERROR(IF(VLOOKUP(CONCATENATE($A31,"_",AE$1),SP_ACQ_Lib[],MATCH(AE$2,SP_ACQ_Lib[#Headers],0),FALSE)=0,"",VLOOKUP(CONCATENATE($A31,"_",AE$1),SP_ACQ_Lib[],MATCH(AE$2,SP_ACQ_Lib[#Headers],0),FALSE)),"")</f>
        <v>43901</v>
      </c>
      <c r="AF31" s="250">
        <f>IFERROR(IF(VLOOKUP(CONCATENATE($A31,"_",AF$1),SP_ACQ_Lib[],MATCH(AF$2,SP_ACQ_Lib[#Headers],0),FALSE)=0,"",VLOOKUP(CONCATENATE($A31,"_",AF$1),SP_ACQ_Lib[],MATCH(AF$2,SP_ACQ_Lib[#Headers],0),FALSE)),"")</f>
        <v>43948</v>
      </c>
      <c r="AG31" s="250">
        <f>IFERROR(IF(VLOOKUP(CONCATENATE($A31,"_",AG$1),SP_ACQ_Lib[],MATCH(AG$2,SP_ACQ_Lib[#Headers],0),FALSE)=0,"",VLOOKUP(CONCATENATE($A31,"_",AG$1),SP_ACQ_Lib[],MATCH(AG$2,SP_ACQ_Lib[#Headers],0),FALSE)),"")</f>
        <v>43836</v>
      </c>
      <c r="AH31" s="250" t="str">
        <f>IFERROR(IF(VLOOKUP(CONCATENATE($A31,"_",AH$1),SP_ACQ_Lib[],MATCH(AH$2,SP_ACQ_Lib[#Headers],0),FALSE)=0,"",VLOOKUP(CONCATENATE($A31,"_",AH$1),SP_ACQ_Lib[],MATCH(AH$2,SP_ACQ_Lib[#Headers],0),FALSE)),"")</f>
        <v/>
      </c>
      <c r="AI31" s="249" t="str">
        <f>IFERROR(IF(VLOOKUP(CONCATENATE($A31,"_",AI$1),SP_ACQ_Lib[],MATCH(AI$2,SP_ACQ_Lib[#Headers],0),FALSE)=0,"",VLOOKUP(CONCATENATE($A31,"_",AI$1),SP_ACQ_Lib[],MATCH(AI$2,SP_ACQ_Lib[#Headers],0),FALSE)),"")</f>
        <v/>
      </c>
      <c r="AJ31" s="249" t="str">
        <f>IFERROR(IF(VLOOKUP(CONCATENATE($A31,"_",AJ$1),SP_ACQ_Lib[],MATCH(AJ$2,SP_ACQ_Lib[#Headers],0),FALSE)=0,"",VLOOKUP(CONCATENATE($A31,"_",AJ$1),SP_ACQ_Lib[],MATCH(AJ$2,SP_ACQ_Lib[#Headers],0),FALSE)),"")</f>
        <v/>
      </c>
      <c r="AK31" s="249" t="str">
        <f>IFERROR(IF(VLOOKUP(CONCATENATE($A31,"_",AK$1),SP_ACQ_Lib[],MATCH(AK$2,SP_ACQ_Lib[#Headers],0),FALSE)=0,"",VLOOKUP(CONCATENATE($A31,"_",AK$1),SP_ACQ_Lib[],MATCH(AK$2,SP_ACQ_Lib[#Headers],0),FALSE)),"")</f>
        <v/>
      </c>
      <c r="AL31" s="249">
        <f>IFERROR(VLOOKUP($A31,SP_AcqTract_DB[],MATCH(AL$2,SP_AcqTract_DB[#Headers],0),FALSE),"")</f>
        <v>43950</v>
      </c>
      <c r="AM31" s="227" t="str">
        <f>IFERROR(VLOOKUP($A31,SP_AcqTract_DB[],MATCH(AM$2,SP_AcqTract_DB[#Headers],0),FALSE),"")</f>
        <v>Richard Hudgins</v>
      </c>
      <c r="AN31" s="227" t="str">
        <f>IFERROR(VLOOKUP($A31,SP_AcqTract_DB[],MATCH(AN$2,SP_AcqTract_DB[#Headers],0),FALSE),"")</f>
        <v>Lory Johnson, Atrium</v>
      </c>
      <c r="AO31" s="228">
        <f>IFERROR(VLOOKUP($A31,SP_AcqTract_DB[],MATCH(AO$2,SP_AcqTract_DB[#Headers],0),FALSE),"")</f>
        <v>0</v>
      </c>
      <c r="AP31" s="210" t="str">
        <f>IFERROR(VLOOKUP($A31,SP_AcqTract_DB[],MATCH(AP$2,SP_AcqTract_DB[#Headers],0),FALSE),"")</f>
        <v>V</v>
      </c>
      <c r="AQ31" s="252" t="str">
        <f>IFERROR(IF(VLOOKUP(CONCATENATE($A31,"_",AQ$1),SP_ACQ_Lib[],MATCH(AQ$2,SP_ACQ_Lib[#Headers],0),FALSE)=0,"",VLOOKUP(CONCATENATE($A31,"_",AQ$1),SP_ACQ_Lib[],MATCH(AQ$2,SP_ACQ_Lib[#Headers],0),FALSE)),"")</f>
        <v/>
      </c>
      <c r="AR31" s="250" t="str">
        <f>IFERROR(IF(VLOOKUP(CONCATENATE($A31,"_",AR$1),SP_ACQ_Lib[],MATCH(AR$2,SP_ACQ_Lib[#Headers],0),FALSE)=0,"",VLOOKUP(CONCATENATE($A31,"_",AR$1),SP_ACQ_Lib[],MATCH(AR$2,SP_ACQ_Lib[#Headers],0),FALSE)),"")</f>
        <v/>
      </c>
      <c r="AS31" s="249">
        <f>IFERROR(IF(VLOOKUP(CONCATENATE($A31,"_",AS$1),SP_ACQ_Lib[],MATCH(AS$2,SP_ACQ_Lib[#Headers],0),FALSE)=0,"",VLOOKUP(CONCATENATE($A31,"_",AS$1),SP_ACQ_Lib[],MATCH(AS$2,SP_ACQ_Lib[#Headers],0),FALSE)),"")</f>
        <v>43765</v>
      </c>
      <c r="AT31" s="251">
        <f>IFERROR(IF(VLOOKUP(CONCATENATE($A31,"_",AT$1),SP_ACQ_Lib[],MATCH(AT$2,SP_ACQ_Lib[#Headers],0),FALSE)=0,"",VLOOKUP(CONCATENATE($A31,"_",AT$1),SP_ACQ_Lib[],MATCH(AT$2,SP_ACQ_Lib[#Headers],0),FALSE)),"")</f>
        <v>43962</v>
      </c>
      <c r="AU31" s="251" t="str">
        <f>IFERROR(IF(VLOOKUP(CONCATENATE($A31,"_",AU$1),SP_ACQ_Lib[],MATCH(AU$2,SP_ACQ_Lib[#Headers],0),FALSE)=0,"",VLOOKUP(CONCATENATE($A31,"_",AU$1),SP_ACQ_Lib[],MATCH(AU$2,SP_ACQ_Lib[#Headers],0),FALSE)),"")</f>
        <v/>
      </c>
      <c r="AV31" s="225">
        <f>IFERROR(IF(VLOOKUP(CONCATENATE($A31,"_",AV$1),SP_ACQ_Lib[],MATCH(AV$2,SP_ACQ_Lib[#Headers],0),FALSE)=0,"",VLOOKUP(CONCATENATE($A31,"_",AV$1),SP_ACQ_Lib[],MATCH(AV$2,SP_ACQ_Lib[#Headers],0),FALSE)),"")</f>
        <v>4767</v>
      </c>
      <c r="AW31" s="251">
        <f>IFERROR(IF(VLOOKUP(CONCATENATE($A31,"_",AW$1),SP_ACQ_Lib[],MATCH(AW$2,SP_ACQ_Lib[#Headers],0),FALSE)=0,"",VLOOKUP(CONCATENATE($A31,"_",AW$1),SP_ACQ_Lib[],MATCH(AW$2,SP_ACQ_Lib[#Headers],0),FALSE)),"")</f>
        <v>44004</v>
      </c>
      <c r="AX31" s="251">
        <f>IFERROR(IF(VLOOKUP(CONCATENATE($A31,"_",AX$1),SP_ACQ_Lib[],MATCH(AX$2,SP_ACQ_Lib[#Headers],0),FALSE)=0,"",VLOOKUP(CONCATENATE($A31,"_",AX$1),SP_ACQ_Lib[],MATCH(AX$2,SP_ACQ_Lib[#Headers],0),FALSE)),"")</f>
        <v>44004</v>
      </c>
      <c r="AY31" s="251">
        <f>IFERROR(IF(VLOOKUP(CONCATENATE($A31,"_",AY$1),SP_ACQ_Lib[],MATCH(AY$2,SP_ACQ_Lib[#Headers],0),FALSE)=0,"",VLOOKUP(CONCATENATE($A31,"_",AY$1),SP_ACQ_Lib[],MATCH(AY$2,SP_ACQ_Lib[#Headers],0),FALSE)),"")</f>
        <v>44004</v>
      </c>
      <c r="AZ31" s="251" t="str">
        <f>IFERROR(IF(VLOOKUP(CONCATENATE($A31,"_",AZ$1),SP_ACQ_Lib[],MATCH(AZ$2,SP_ACQ_Lib[#Headers],0),FALSE)=0,"",VLOOKUP(CONCATENATE($A31,"_",AZ$1),SP_ACQ_Lib[],MATCH(AZ$2,SP_ACQ_Lib[#Headers],0),FALSE)),"")</f>
        <v/>
      </c>
      <c r="BA31" s="251" t="str">
        <f>IFERROR(IF(VLOOKUP(CONCATENATE($A31,"_",BA$1),SP_ACQ_Lib[],MATCH(BA$2,SP_ACQ_Lib[#Headers],0),FALSE)=0,"",VLOOKUP(CONCATENATE($A31,"_",BA$1),SP_ACQ_Lib[],MATCH(BA$2,SP_ACQ_Lib[#Headers],0),FALSE)),"")</f>
        <v/>
      </c>
      <c r="BB31" s="224">
        <f>IFERROR(VLOOKUP(CONCATENATE($A31,"_",BB$1),SP_ACQ_Lib[],MATCH(BB$2,SP_ACQ_Lib[#Headers],0),FALSE),0)</f>
        <v>0</v>
      </c>
      <c r="BC31" s="231">
        <f>IFERROR(VLOOKUP($A31,SP_AcqTract_DB[],MATCH(BC$2,SP_AcqTract_DB[#Headers],0),FALSE),"")</f>
        <v>44006</v>
      </c>
      <c r="BD31" s="231">
        <f>IFERROR(VLOOKUP($A31,SP_AcqTract_DB[],MATCH(BD$2,SP_AcqTract_DB[#Headers],0),FALSE),"")</f>
        <v>0</v>
      </c>
      <c r="BE31" s="249" t="str">
        <f>IFERROR(IF(VLOOKUP(CONCATENATE($A31,"_",BE$1),SP_ACQ_Lib[],MATCH(BE$2,SP_ACQ_Lib[#Headers],0),FALSE)=0,"",VLOOKUP(CONCATENATE($A31,"_",BE$1),SP_ACQ_Lib[],MATCH(BE$2,SP_ACQ_Lib[#Headers],0),FALSE)),"")</f>
        <v/>
      </c>
      <c r="BF31" s="249" t="str">
        <f>IFERROR(IF(VLOOKUP(CONCATENATE($A31,"_",BF$1),SP_ACQ_Lib[],MATCH(BF$2,SP_ACQ_Lib[#Headers],0),FALSE)=0,"",VLOOKUP(CONCATENATE($A31,"_",BF$1),SP_ACQ_Lib[],MATCH(BF$2,SP_ACQ_Lib[#Headers],0),FALSE)),"")</f>
        <v/>
      </c>
      <c r="BG31" s="249" t="str">
        <f>IFERROR(IF(VLOOKUP(CONCATENATE($A31,"_",BG$1),SP_ACQ_Lib[],MATCH(BG$2,SP_ACQ_Lib[#Headers],0),FALSE)=0,"",VLOOKUP(CONCATENATE($A31,"_",BG$1),SP_ACQ_Lib[],MATCH(BG$2,SP_ACQ_Lib[#Headers],0),FALSE)),"")</f>
        <v/>
      </c>
      <c r="BH31" s="249" t="str">
        <f>IFERROR(IF(VLOOKUP(CONCATENATE($A31,"_",BH$1),SP_ACQ_Lib[],MATCH(BH$2,SP_ACQ_Lib[#Headers],0),FALSE)=0,"",VLOOKUP(CONCATENATE($A31,"_",BH$1),SP_ACQ_Lib[],MATCH(BH$2,SP_ACQ_Lib[#Headers],0),FALSE)),"")</f>
        <v/>
      </c>
      <c r="BI31" s="249" t="str">
        <f>IFERROR(IF(VLOOKUP(CONCATENATE($A31,"_",BI$1),SP_ACQ_Lib[],MATCH(BI$2,SP_ACQ_Lib[#Headers],0),FALSE)=0,"",VLOOKUP(CONCATENATE($A31,"_",BI$1),SP_ACQ_Lib[],MATCH(BI$2,SP_ACQ_Lib[#Headers],0),FALSE)),"")</f>
        <v/>
      </c>
      <c r="BJ31" s="249" t="str">
        <f>IFERROR(IF(VLOOKUP(CONCATENATE($A31,"_",BJ$1),SP_ACQ_Lib[],MATCH(BJ$2,SP_ACQ_Lib[#Headers],0),FALSE)=0,"",VLOOKUP(CONCATENATE($A31,"_",BJ$1),SP_ACQ_Lib[],MATCH(BJ$2,SP_ACQ_Lib[#Headers],0),FALSE)),"")</f>
        <v/>
      </c>
      <c r="BK31" s="250">
        <f>IFERROR(IF(VLOOKUP(CONCATENATE($A31,"_",BK$1),SP_ACQ_Lib[],MATCH(BK$2,SP_ACQ_Lib[#Headers],0),FALSE)=0,"",VLOOKUP(CONCATENATE($A31,"_",BK$1),SP_ACQ_Lib[],MATCH(BK$2,SP_ACQ_Lib[#Headers],0),FALSE)),"")</f>
        <v>43748</v>
      </c>
      <c r="BL31" s="249" t="str">
        <f>IFERROR(IF(VLOOKUP(CONCATENATE($A31,"_",BL$1),SP_ACQ_Lib[],MATCH(BL$2,SP_ACQ_Lib[#Headers],0),FALSE)=0,"",VLOOKUP(CONCATENATE($A31,"_",BL$1),SP_ACQ_Lib[],MATCH(BL$2,SP_ACQ_Lib[#Headers],0),FALSE)),"")</f>
        <v/>
      </c>
      <c r="BM31" s="249" t="str">
        <f>IFERROR(IF(VLOOKUP(CONCATENATE($A31,"_",BM$1),SP_ACQ_Lib[],MATCH(BM$2,SP_ACQ_Lib[#Headers],0),FALSE)=0,"",VLOOKUP(CONCATENATE($A31,"_",BM$1),SP_ACQ_Lib[],MATCH(BM$2,SP_ACQ_Lib[#Headers],0),FALSE)),"")</f>
        <v/>
      </c>
      <c r="BN31" s="249" t="str">
        <f>IFERROR(IF(VLOOKUP(CONCATENATE($A31,"_",BN$1),SP_ACQ_Lib[],MATCH(BN$2,SP_ACQ_Lib[#Headers],0),FALSE)=0,"",VLOOKUP(CONCATENATE($A31,"_",BN$1),SP_ACQ_Lib[],MATCH(BN$2,SP_ACQ_Lib[#Headers],0),FALSE)),"")</f>
        <v/>
      </c>
    </row>
    <row r="32" spans="1:66" s="226" customFormat="1" ht="25.5" x14ac:dyDescent="0.2">
      <c r="A32" s="192" t="s">
        <v>159</v>
      </c>
      <c r="B32" s="227" t="str">
        <f>IFERROR(VLOOKUP($A32,SP_AcqTract_DB[],MATCH(B$2,SP_AcqTract_DB[#Headers],0),FALSE),"")</f>
        <v>R050385;R050386</v>
      </c>
      <c r="C32" s="228" t="str">
        <f>IFERROR(VLOOKUP($A32,SP_AcqTract_DB[],MATCH(C$2,SP_AcqTract_DB[#Headers],0),FALSE),"")</f>
        <v>PH1</v>
      </c>
      <c r="D32" s="208" t="str">
        <f>IFERROR(VLOOKUP($A32,SP_AcqTract_DB[],MATCH(D$2,SP_AcqTract_DB[#Headers],0),FALSE),"")</f>
        <v>Active</v>
      </c>
      <c r="E32" s="208">
        <f>IFERROR(VLOOKUP($A32,SP_AcqTract_DB[],MATCH(E$2,SP_AcqTract_DB[#Headers],0),FALSE),"")</f>
        <v>4</v>
      </c>
      <c r="F32" s="227" t="str">
        <f>IFERROR(VLOOKUP($A32,SP_AcqTract_DB[],MATCH(F$2,SP_AcqTract_DB[#Headers],0),FALSE),"")</f>
        <v>Drainage Esmt/TCE</v>
      </c>
      <c r="G32" s="227" t="str">
        <f>IFERROR(VLOOKUP($A32,SP_AcqTract_DB[],MATCH(G$2,SP_AcqTract_DB[#Headers],0),FALSE),"")</f>
        <v>Erin Newberry</v>
      </c>
      <c r="H32" s="250">
        <f>IFERROR(IF(VLOOKUP(CONCATENATE($A32,"_",H$1),SP_ACQ_Lib[],MATCH(H$2,SP_ACQ_Lib[#Headers],0),FALSE)=0,"",VLOOKUP(CONCATENATE($A32,"_",H$1),SP_ACQ_Lib[],MATCH(H$2,SP_ACQ_Lib[#Headers],0),FALSE)),"")</f>
        <v>43893.627245370371</v>
      </c>
      <c r="I32" s="227" t="str">
        <f>IFERROR(VLOOKUP($A32,SP_AcqTract_DB[],MATCH(I$2,SP_AcqTract_DB[#Headers],0),FALSE),"")</f>
        <v>W. A. Harrison Agriculture, LTD.</v>
      </c>
      <c r="J32" s="227" t="str">
        <f>IFERROR(VLOOKUP($A32,SP_AcqTract_DB[],MATCH(J$2,SP_AcqTract_DB[#Headers],0),FALSE),"")</f>
        <v>W.A. Harrison Agriculture LTD</v>
      </c>
      <c r="K32" s="227" t="str">
        <f>IFERROR(VLOOKUP($A32,SP_AcqTract_DB[],MATCH(K$2,SP_AcqTract_DB[#Headers],0),FALSE),"")</f>
        <v>W. A. Harrison Agriculture, LTD.</v>
      </c>
      <c r="L32" s="227" t="str">
        <f>IFERROR(VLOOKUP($A32,SP_AcqTract_DB[],MATCH(L$2,SP_AcqTract_DB[#Headers],0),FALSE),"")</f>
        <v>5318 Inwood</v>
      </c>
      <c r="M32" s="208" t="str">
        <f>IFERROR(VLOOKUP($A32,SP_AcqTract_DB[],MATCH(M$2,SP_AcqTract_DB[#Headers],0),FALSE),"")</f>
        <v>Houston, TX</v>
      </c>
      <c r="N32" s="227" t="str">
        <f>IFERROR(VLOOKUP($A32,SP_AcqTract_DB[],MATCH(N$2,SP_AcqTract_DB[#Headers],0),FALSE),"")</f>
        <v>FM 102</v>
      </c>
      <c r="O32" s="220">
        <f>IFERROR(VLOOKUP($A32,SP_AcqTract_DB[],MATCH(O$2,SP_AcqTract_DB[#Headers],0),FALSE),"")</f>
        <v>0</v>
      </c>
      <c r="P32" s="220">
        <f>IFERROR(VLOOKUP($A32,SP_AcqTract_DB[],MATCH(P$2,SP_AcqTract_DB[#Headers],0),FALSE),"")</f>
        <v>0</v>
      </c>
      <c r="Q32" s="208" t="str">
        <f>IFERROR(VLOOKUP($A32,SP_AcqTract_DB[],MATCH(Q$2,SP_AcqTract_DB[#Headers],0),FALSE),"")</f>
        <v>2019-0757</v>
      </c>
      <c r="R32" s="250">
        <f>IFERROR(IF(VLOOKUP(CONCATENATE($A32,"_",R$1),SP_ACQ_Lib[],MATCH(R$2,SP_ACQ_Lib[#Headers],0),FALSE)=0,"",VLOOKUP(CONCATENATE($A32,"_",R$1),SP_ACQ_Lib[],MATCH(R$2,SP_ACQ_Lib[#Headers],0),FALSE)),"")</f>
        <v>43714</v>
      </c>
      <c r="S32" s="253">
        <f>IFERROR(IF(VLOOKUP(CONCATENATE($A32,"_",S$1),SP_ACQ_Lib[],MATCH(S$2,SP_ACQ_Lib[#Headers],0),FALSE)=0,"",VLOOKUP(CONCATENATE($A32,"_",S$1),SP_ACQ_Lib[],MATCH(S$2,SP_ACQ_Lib[#Headers],0),FALSE)),"")</f>
        <v>43724</v>
      </c>
      <c r="T32" s="205" t="str">
        <f>IFERROR(VLOOKUP(CONCATENATE($A32,"_",T$1),SP_ACQ_Lib[],MATCH(T$2,SP_ACQ_Lib[#Headers],0),FALSE),0)</f>
        <v>Accepted</v>
      </c>
      <c r="U32" s="250">
        <f>IFERROR(IF(VLOOKUP(CONCATENATE($A32,"_",U$1),SP_ACQ_Lib[],MATCH(U$2,SP_ACQ_Lib[#Headers],0),FALSE)=0,"",VLOOKUP(CONCATENATE($A32,"_",U$1),SP_ACQ_Lib[],MATCH(U$2,SP_ACQ_Lib[#Headers],0),FALSE)),"")</f>
        <v>43810</v>
      </c>
      <c r="V32" s="205" t="str">
        <f>IFERROR(VLOOKUP(CONCATENATE($A32,"_",V$1),SP_ACQ_Lib[],MATCH(V$2,SP_ACQ_Lib[#Headers],0),FALSE),0)</f>
        <v>Accepted</v>
      </c>
      <c r="W32" s="209" t="str">
        <f>IFERROR(VLOOKUP(CONCATENATE($A32,"_",W$1),SP_ACQ_Lib[],MATCH(W$2,SP_ACQ_Lib[#Headers],0),FALSE),0)</f>
        <v>Accepted</v>
      </c>
      <c r="X32" s="250">
        <f>IFERROR(VLOOKUP($A32,SP_AcqTract_DB[],MATCH(X$2,SP_AcqTract_DB[#Headers],0),FALSE),"")</f>
        <v>43704</v>
      </c>
      <c r="Y32" s="237">
        <f>IFERROR(VLOOKUP($A32,SP_AcqTract_DB[],MATCH(Y$2,SP_AcqTract_DB[#Headers],0),FALSE),"")</f>
        <v>0</v>
      </c>
      <c r="Z32" s="229">
        <f>IFERROR(VLOOKUP($A32,SP_AcqTract_DB[],MATCH(Z$2,SP_AcqTract_DB[#Headers],0),FALSE),"")</f>
        <v>0</v>
      </c>
      <c r="AA32" s="229" t="str">
        <f>IFERROR(VLOOKUP($A32,SP_AcqTract_DB[],MATCH(AA$2,SP_AcqTract_DB[#Headers],0),FALSE),"")</f>
        <v>Yes</v>
      </c>
      <c r="AB32" s="250" t="str">
        <f>IFERROR(IF(VLOOKUP(CONCATENATE($A32,"_",AB$1),SP_ACQ_Lib[],MATCH(AB$2,SP_ACQ_Lib[#Headers],0),FALSE)=0,"",VLOOKUP(CONCATENATE($A32,"_",AB$1),SP_ACQ_Lib[],MATCH(AB$2,SP_ACQ_Lib[#Headers],0),FALSE)),"")</f>
        <v/>
      </c>
      <c r="AC32" s="250" t="str">
        <f>IFERROR(IF(VLOOKUP(CONCATENATE($A32,"_",AC$1),SP_ACQ_Lib[],MATCH(AC$2,SP_ACQ_Lib[#Headers],0),FALSE)=0,"",VLOOKUP(CONCATENATE($A32,"_",AC$1),SP_ACQ_Lib[],MATCH(AC$2,SP_ACQ_Lib[#Headers],0),FALSE)),"")</f>
        <v/>
      </c>
      <c r="AD32" s="229" t="str">
        <f>IFERROR(VLOOKUP($A32,SP_AcqTract_DB[],MATCH(AD$2,SP_AcqTract_DB[#Headers],0),FALSE),"")</f>
        <v>Yes</v>
      </c>
      <c r="AE32" s="250" t="str">
        <f>IFERROR(IF(VLOOKUP(CONCATENATE($A32,"_",AE$1),SP_ACQ_Lib[],MATCH(AE$2,SP_ACQ_Lib[#Headers],0),FALSE)=0,"",VLOOKUP(CONCATENATE($A32,"_",AE$1),SP_ACQ_Lib[],MATCH(AE$2,SP_ACQ_Lib[#Headers],0),FALSE)),"")</f>
        <v/>
      </c>
      <c r="AF32" s="250" t="str">
        <f>IFERROR(IF(VLOOKUP(CONCATENATE($A32,"_",AF$1),SP_ACQ_Lib[],MATCH(AF$2,SP_ACQ_Lib[#Headers],0),FALSE)=0,"",VLOOKUP(CONCATENATE($A32,"_",AF$1),SP_ACQ_Lib[],MATCH(AF$2,SP_ACQ_Lib[#Headers],0),FALSE)),"")</f>
        <v/>
      </c>
      <c r="AG32" s="250" t="str">
        <f>IFERROR(IF(VLOOKUP(CONCATENATE($A32,"_",AG$1),SP_ACQ_Lib[],MATCH(AG$2,SP_ACQ_Lib[#Headers],0),FALSE)=0,"",VLOOKUP(CONCATENATE($A32,"_",AG$1),SP_ACQ_Lib[],MATCH(AG$2,SP_ACQ_Lib[#Headers],0),FALSE)),"")</f>
        <v/>
      </c>
      <c r="AH32" s="250">
        <f>IFERROR(IF(VLOOKUP(CONCATENATE($A32,"_",AH$1),SP_ACQ_Lib[],MATCH(AH$2,SP_ACQ_Lib[#Headers],0),FALSE)=0,"",VLOOKUP(CONCATENATE($A32,"_",AH$1),SP_ACQ_Lib[],MATCH(AH$2,SP_ACQ_Lib[#Headers],0),FALSE)),"")</f>
        <v>43697</v>
      </c>
      <c r="AI32" s="249" t="str">
        <f>IFERROR(IF(VLOOKUP(CONCATENATE($A32,"_",AI$1),SP_ACQ_Lib[],MATCH(AI$2,SP_ACQ_Lib[#Headers],0),FALSE)=0,"",VLOOKUP(CONCATENATE($A32,"_",AI$1),SP_ACQ_Lib[],MATCH(AI$2,SP_ACQ_Lib[#Headers],0),FALSE)),"")</f>
        <v/>
      </c>
      <c r="AJ32" s="249" t="str">
        <f>IFERROR(IF(VLOOKUP(CONCATENATE($A32,"_",AJ$1),SP_ACQ_Lib[],MATCH(AJ$2,SP_ACQ_Lib[#Headers],0),FALSE)=0,"",VLOOKUP(CONCATENATE($A32,"_",AJ$1),SP_ACQ_Lib[],MATCH(AJ$2,SP_ACQ_Lib[#Headers],0),FALSE)),"")</f>
        <v/>
      </c>
      <c r="AK32" s="249" t="str">
        <f>IFERROR(IF(VLOOKUP(CONCATENATE($A32,"_",AK$1),SP_ACQ_Lib[],MATCH(AK$2,SP_ACQ_Lib[#Headers],0),FALSE)=0,"",VLOOKUP(CONCATENATE($A32,"_",AK$1),SP_ACQ_Lib[],MATCH(AK$2,SP_ACQ_Lib[#Headers],0),FALSE)),"")</f>
        <v/>
      </c>
      <c r="AL32" s="249">
        <f>IFERROR(VLOOKUP($A32,SP_AcqTract_DB[],MATCH(AL$2,SP_AcqTract_DB[#Headers],0),FALSE),"")</f>
        <v>0</v>
      </c>
      <c r="AM32" s="227" t="str">
        <f>IFERROR(VLOOKUP($A32,SP_AcqTract_DB[],MATCH(AM$2,SP_AcqTract_DB[#Headers],0),FALSE),"")</f>
        <v>Richard Hudgins</v>
      </c>
      <c r="AN32" s="227" t="str">
        <f>IFERROR(VLOOKUP($A32,SP_AcqTract_DB[],MATCH(AN$2,SP_AcqTract_DB[#Headers],0),FALSE),"")</f>
        <v>Lory Johnson, Atrium</v>
      </c>
      <c r="AO32" s="228">
        <f>IFERROR(VLOOKUP($A32,SP_AcqTract_DB[],MATCH(AO$2,SP_AcqTract_DB[#Headers],0),FALSE),"")</f>
        <v>0</v>
      </c>
      <c r="AP32" s="210" t="str">
        <f>IFERROR(VLOOKUP($A32,SP_AcqTract_DB[],MATCH(AP$2,SP_AcqTract_DB[#Headers],0),FALSE),"")</f>
        <v>A</v>
      </c>
      <c r="AQ32" s="252" t="str">
        <f>IFERROR(IF(VLOOKUP(CONCATENATE($A32,"_",AQ$1),SP_ACQ_Lib[],MATCH(AQ$2,SP_ACQ_Lib[#Headers],0),FALSE)=0,"",VLOOKUP(CONCATENATE($A32,"_",AQ$1),SP_ACQ_Lib[],MATCH(AQ$2,SP_ACQ_Lib[#Headers],0),FALSE)),"")</f>
        <v/>
      </c>
      <c r="AR32" s="250" t="str">
        <f>IFERROR(IF(VLOOKUP(CONCATENATE($A32,"_",AR$1),SP_ACQ_Lib[],MATCH(AR$2,SP_ACQ_Lib[#Headers],0),FALSE)=0,"",VLOOKUP(CONCATENATE($A32,"_",AR$1),SP_ACQ_Lib[],MATCH(AR$2,SP_ACQ_Lib[#Headers],0),FALSE)),"")</f>
        <v/>
      </c>
      <c r="AS32" s="249">
        <f>IFERROR(IF(VLOOKUP(CONCATENATE($A32,"_",AS$1),SP_ACQ_Lib[],MATCH(AS$2,SP_ACQ_Lib[#Headers],0),FALSE)=0,"",VLOOKUP(CONCATENATE($A32,"_",AS$1),SP_ACQ_Lib[],MATCH(AS$2,SP_ACQ_Lib[#Headers],0),FALSE)),"")</f>
        <v>43765</v>
      </c>
      <c r="AT32" s="251" t="str">
        <f>IFERROR(IF(VLOOKUP(CONCATENATE($A32,"_",AT$1),SP_ACQ_Lib[],MATCH(AT$2,SP_ACQ_Lib[#Headers],0),FALSE)=0,"",VLOOKUP(CONCATENATE($A32,"_",AT$1),SP_ACQ_Lib[],MATCH(AT$2,SP_ACQ_Lib[#Headers],0),FALSE)),"")</f>
        <v/>
      </c>
      <c r="AU32" s="251" t="str">
        <f>IFERROR(IF(VLOOKUP(CONCATENATE($A32,"_",AU$1),SP_ACQ_Lib[],MATCH(AU$2,SP_ACQ_Lib[#Headers],0),FALSE)=0,"",VLOOKUP(CONCATENATE($A32,"_",AU$1),SP_ACQ_Lib[],MATCH(AU$2,SP_ACQ_Lib[#Headers],0),FALSE)),"")</f>
        <v/>
      </c>
      <c r="AV32" s="225" t="str">
        <f>IFERROR(IF(VLOOKUP(CONCATENATE($A32,"_",AV$1),SP_ACQ_Lib[],MATCH(AV$2,SP_ACQ_Lib[#Headers],0),FALSE)=0,"",VLOOKUP(CONCATENATE($A32,"_",AV$1),SP_ACQ_Lib[],MATCH(AV$2,SP_ACQ_Lib[#Headers],0),FALSE)),"")</f>
        <v/>
      </c>
      <c r="AW32" s="251" t="str">
        <f>IFERROR(IF(VLOOKUP(CONCATENATE($A32,"_",AW$1),SP_ACQ_Lib[],MATCH(AW$2,SP_ACQ_Lib[#Headers],0),FALSE)=0,"",VLOOKUP(CONCATENATE($A32,"_",AW$1),SP_ACQ_Lib[],MATCH(AW$2,SP_ACQ_Lib[#Headers],0),FALSE)),"")</f>
        <v/>
      </c>
      <c r="AX32" s="251" t="str">
        <f>IFERROR(IF(VLOOKUP(CONCATENATE($A32,"_",AX$1),SP_ACQ_Lib[],MATCH(AX$2,SP_ACQ_Lib[#Headers],0),FALSE)=0,"",VLOOKUP(CONCATENATE($A32,"_",AX$1),SP_ACQ_Lib[],MATCH(AX$2,SP_ACQ_Lib[#Headers],0),FALSE)),"")</f>
        <v/>
      </c>
      <c r="AY32" s="251" t="str">
        <f>IFERROR(IF(VLOOKUP(CONCATENATE($A32,"_",AY$1),SP_ACQ_Lib[],MATCH(AY$2,SP_ACQ_Lib[#Headers],0),FALSE)=0,"",VLOOKUP(CONCATENATE($A32,"_",AY$1),SP_ACQ_Lib[],MATCH(AY$2,SP_ACQ_Lib[#Headers],0),FALSE)),"")</f>
        <v/>
      </c>
      <c r="AZ32" s="251" t="str">
        <f>IFERROR(IF(VLOOKUP(CONCATENATE($A32,"_",AZ$1),SP_ACQ_Lib[],MATCH(AZ$2,SP_ACQ_Lib[#Headers],0),FALSE)=0,"",VLOOKUP(CONCATENATE($A32,"_",AZ$1),SP_ACQ_Lib[],MATCH(AZ$2,SP_ACQ_Lib[#Headers],0),FALSE)),"")</f>
        <v/>
      </c>
      <c r="BA32" s="251" t="str">
        <f>IFERROR(IF(VLOOKUP(CONCATENATE($A32,"_",BA$1),SP_ACQ_Lib[],MATCH(BA$2,SP_ACQ_Lib[#Headers],0),FALSE)=0,"",VLOOKUP(CONCATENATE($A32,"_",BA$1),SP_ACQ_Lib[],MATCH(BA$2,SP_ACQ_Lib[#Headers],0),FALSE)),"")</f>
        <v/>
      </c>
      <c r="BB32" s="224">
        <f>IFERROR(VLOOKUP(CONCATENATE($A32,"_",BB$1),SP_ACQ_Lib[],MATCH(BB$2,SP_ACQ_Lib[#Headers],0),FALSE),0)</f>
        <v>0</v>
      </c>
      <c r="BC32" s="231">
        <f>IFERROR(VLOOKUP($A32,SP_AcqTract_DB[],MATCH(BC$2,SP_AcqTract_DB[#Headers],0),FALSE),"")</f>
        <v>0</v>
      </c>
      <c r="BD32" s="231">
        <f>IFERROR(VLOOKUP($A32,SP_AcqTract_DB[],MATCH(BD$2,SP_AcqTract_DB[#Headers],0),FALSE),"")</f>
        <v>0</v>
      </c>
      <c r="BE32" s="249" t="str">
        <f>IFERROR(IF(VLOOKUP(CONCATENATE($A32,"_",BE$1),SP_ACQ_Lib[],MATCH(BE$2,SP_ACQ_Lib[#Headers],0),FALSE)=0,"",VLOOKUP(CONCATENATE($A32,"_",BE$1),SP_ACQ_Lib[],MATCH(BE$2,SP_ACQ_Lib[#Headers],0),FALSE)),"")</f>
        <v/>
      </c>
      <c r="BF32" s="249" t="str">
        <f>IFERROR(IF(VLOOKUP(CONCATENATE($A32,"_",BF$1),SP_ACQ_Lib[],MATCH(BF$2,SP_ACQ_Lib[#Headers],0),FALSE)=0,"",VLOOKUP(CONCATENATE($A32,"_",BF$1),SP_ACQ_Lib[],MATCH(BF$2,SP_ACQ_Lib[#Headers],0),FALSE)),"")</f>
        <v/>
      </c>
      <c r="BG32" s="249" t="str">
        <f>IFERROR(IF(VLOOKUP(CONCATENATE($A32,"_",BG$1),SP_ACQ_Lib[],MATCH(BG$2,SP_ACQ_Lib[#Headers],0),FALSE)=0,"",VLOOKUP(CONCATENATE($A32,"_",BG$1),SP_ACQ_Lib[],MATCH(BG$2,SP_ACQ_Lib[#Headers],0),FALSE)),"")</f>
        <v/>
      </c>
      <c r="BH32" s="249" t="str">
        <f>IFERROR(IF(VLOOKUP(CONCATENATE($A32,"_",BH$1),SP_ACQ_Lib[],MATCH(BH$2,SP_ACQ_Lib[#Headers],0),FALSE)=0,"",VLOOKUP(CONCATENATE($A32,"_",BH$1),SP_ACQ_Lib[],MATCH(BH$2,SP_ACQ_Lib[#Headers],0),FALSE)),"")</f>
        <v/>
      </c>
      <c r="BI32" s="249" t="str">
        <f>IFERROR(IF(VLOOKUP(CONCATENATE($A32,"_",BI$1),SP_ACQ_Lib[],MATCH(BI$2,SP_ACQ_Lib[#Headers],0),FALSE)=0,"",VLOOKUP(CONCATENATE($A32,"_",BI$1),SP_ACQ_Lib[],MATCH(BI$2,SP_ACQ_Lib[#Headers],0),FALSE)),"")</f>
        <v/>
      </c>
      <c r="BJ32" s="249" t="str">
        <f>IFERROR(IF(VLOOKUP(CONCATENATE($A32,"_",BJ$1),SP_ACQ_Lib[],MATCH(BJ$2,SP_ACQ_Lib[#Headers],0),FALSE)=0,"",VLOOKUP(CONCATENATE($A32,"_",BJ$1),SP_ACQ_Lib[],MATCH(BJ$2,SP_ACQ_Lib[#Headers],0),FALSE)),"")</f>
        <v/>
      </c>
      <c r="BK32" s="250">
        <f>IFERROR(IF(VLOOKUP(CONCATENATE($A32,"_",BK$1),SP_ACQ_Lib[],MATCH(BK$2,SP_ACQ_Lib[#Headers],0),FALSE)=0,"",VLOOKUP(CONCATENATE($A32,"_",BK$1),SP_ACQ_Lib[],MATCH(BK$2,SP_ACQ_Lib[#Headers],0),FALSE)),"")</f>
        <v>43748</v>
      </c>
      <c r="BL32" s="249" t="str">
        <f>IFERROR(IF(VLOOKUP(CONCATENATE($A32,"_",BL$1),SP_ACQ_Lib[],MATCH(BL$2,SP_ACQ_Lib[#Headers],0),FALSE)=0,"",VLOOKUP(CONCATENATE($A32,"_",BL$1),SP_ACQ_Lib[],MATCH(BL$2,SP_ACQ_Lib[#Headers],0),FALSE)),"")</f>
        <v/>
      </c>
      <c r="BM32" s="249" t="str">
        <f>IFERROR(IF(VLOOKUP(CONCATENATE($A32,"_",BM$1),SP_ACQ_Lib[],MATCH(BM$2,SP_ACQ_Lib[#Headers],0),FALSE)=0,"",VLOOKUP(CONCATENATE($A32,"_",BM$1),SP_ACQ_Lib[],MATCH(BM$2,SP_ACQ_Lib[#Headers],0),FALSE)),"")</f>
        <v/>
      </c>
      <c r="BN32" s="249" t="str">
        <f>IFERROR(IF(VLOOKUP(CONCATENATE($A32,"_",BN$1),SP_ACQ_Lib[],MATCH(BN$2,SP_ACQ_Lib[#Headers],0),FALSE)=0,"",VLOOKUP(CONCATENATE($A32,"_",BN$1),SP_ACQ_Lib[],MATCH(BN$2,SP_ACQ_Lib[#Headers],0),FALSE)),"")</f>
        <v/>
      </c>
    </row>
    <row r="33" spans="1:66" s="226" customFormat="1" ht="15.75" x14ac:dyDescent="0.2">
      <c r="A33" s="192" t="s">
        <v>3289</v>
      </c>
      <c r="B33" s="227"/>
      <c r="C33" s="228" t="str">
        <f>IFERROR(VLOOKUP($A33,SP_AcqTract_DB[],MATCH(C$2,SP_AcqTract_DB[#Headers],0),FALSE),"")</f>
        <v>PH1</v>
      </c>
      <c r="D33" s="208" t="str">
        <f>IFERROR(VLOOKUP($A33,SP_AcqTract_DB[],MATCH(D$2,SP_AcqTract_DB[#Headers],0),FALSE),"")</f>
        <v>Active</v>
      </c>
      <c r="E33" s="208">
        <f>IFERROR(VLOOKUP($A33,SP_AcqTract_DB[],MATCH(E$2,SP_AcqTract_DB[#Headers],0),FALSE),"")</f>
        <v>1</v>
      </c>
      <c r="F33" s="227" t="str">
        <f>IFERROR(VLOOKUP($A33,SP_AcqTract_DB[],MATCH(F$2,SP_AcqTract_DB[#Headers],0),FALSE),"")</f>
        <v>TCE</v>
      </c>
      <c r="G33" s="227">
        <f>IFERROR(VLOOKUP($A33,SP_AcqTract_DB[],MATCH(G$2,SP_AcqTract_DB[#Headers],0),FALSE),"")</f>
        <v>0</v>
      </c>
      <c r="H33" s="250" t="str">
        <f>IFERROR(IF(VLOOKUP(CONCATENATE($A33,"_",H$1),SP_ACQ_Lib[],MATCH(H$2,SP_ACQ_Lib[#Headers],0),FALSE)=0,"",VLOOKUP(CONCATENATE($A33,"_",H$1),SP_ACQ_Lib[],MATCH(H$2,SP_ACQ_Lib[#Headers],0),FALSE)),"")</f>
        <v/>
      </c>
      <c r="I33" s="227" t="str">
        <f>IFERROR(VLOOKUP($A33,SP_AcqTract_DB[],MATCH(I$2,SP_AcqTract_DB[#Headers],0),FALSE),"")</f>
        <v>City of Wharton</v>
      </c>
      <c r="J33" s="227">
        <f>IFERROR(VLOOKUP($A33,SP_AcqTract_DB[],MATCH(J$2,SP_AcqTract_DB[#Headers],0),FALSE),"")</f>
        <v>0</v>
      </c>
      <c r="K33" s="227">
        <f>IFERROR(VLOOKUP($A33,SP_AcqTract_DB[],MATCH(K$2,SP_AcqTract_DB[#Headers],0),FALSE),"")</f>
        <v>0</v>
      </c>
      <c r="L33" s="227">
        <f>IFERROR(VLOOKUP($A33,SP_AcqTract_DB[],MATCH(L$2,SP_AcqTract_DB[#Headers],0),FALSE),"")</f>
        <v>0</v>
      </c>
      <c r="M33" s="208">
        <f>IFERROR(VLOOKUP($A33,SP_AcqTract_DB[],MATCH(M$2,SP_AcqTract_DB[#Headers],0),FALSE),"")</f>
        <v>0</v>
      </c>
      <c r="N33" s="227">
        <f>IFERROR(VLOOKUP($A33,SP_AcqTract_DB[],MATCH(N$2,SP_AcqTract_DB[#Headers],0),FALSE),"")</f>
        <v>0</v>
      </c>
      <c r="O33" s="220">
        <f>IFERROR(VLOOKUP($A33,SP_AcqTract_DB[],MATCH(O$2,SP_AcqTract_DB[#Headers],0),FALSE),"")</f>
        <v>0</v>
      </c>
      <c r="P33" s="220">
        <f>IFERROR(VLOOKUP($A33,SP_AcqTract_DB[],MATCH(P$2,SP_AcqTract_DB[#Headers],0),FALSE),"")</f>
        <v>0</v>
      </c>
      <c r="Q33" s="208">
        <f>IFERROR(VLOOKUP($A33,SP_AcqTract_DB[],MATCH(Q$2,SP_AcqTract_DB[#Headers],0),FALSE),"")</f>
        <v>0</v>
      </c>
      <c r="R33" s="250" t="str">
        <f>IFERROR(IF(VLOOKUP(CONCATENATE($A33,"_",R$1),SP_ACQ_Lib[],MATCH(R$2,SP_ACQ_Lib[#Headers],0),FALSE)=0,"",VLOOKUP(CONCATENATE($A33,"_",R$1),SP_ACQ_Lib[],MATCH(R$2,SP_ACQ_Lib[#Headers],0),FALSE)),"")</f>
        <v/>
      </c>
      <c r="S33" s="253" t="str">
        <f>IFERROR(IF(VLOOKUP(CONCATENATE($A33,"_",S$1),SP_ACQ_Lib[],MATCH(S$2,SP_ACQ_Lib[#Headers],0),FALSE)=0,"",VLOOKUP(CONCATENATE($A33,"_",S$1),SP_ACQ_Lib[],MATCH(S$2,SP_ACQ_Lib[#Headers],0),FALSE)),"")</f>
        <v/>
      </c>
      <c r="T33" s="205">
        <f>IFERROR(VLOOKUP(CONCATENATE($A33,"_",T$1),SP_ACQ_Lib[],MATCH(T$2,SP_ACQ_Lib[#Headers],0),FALSE),0)</f>
        <v>0</v>
      </c>
      <c r="U33" s="250" t="str">
        <f>IFERROR(IF(VLOOKUP(CONCATENATE($A33,"_",U$1),SP_ACQ_Lib[],MATCH(U$2,SP_ACQ_Lib[#Headers],0),FALSE)=0,"",VLOOKUP(CONCATENATE($A33,"_",U$1),SP_ACQ_Lib[],MATCH(U$2,SP_ACQ_Lib[#Headers],0),FALSE)),"")</f>
        <v/>
      </c>
      <c r="V33" s="205">
        <f>IFERROR(VLOOKUP(CONCATENATE($A33,"_",V$1),SP_ACQ_Lib[],MATCH(V$2,SP_ACQ_Lib[#Headers],0),FALSE),0)</f>
        <v>0</v>
      </c>
      <c r="W33" s="209">
        <f>IFERROR(VLOOKUP(CONCATENATE($A33,"_",W$1),SP_ACQ_Lib[],MATCH(W$2,SP_ACQ_Lib[#Headers],0),FALSE),0)</f>
        <v>0</v>
      </c>
      <c r="X33" s="250">
        <f>IFERROR(VLOOKUP($A33,SP_AcqTract_DB[],MATCH(X$2,SP_AcqTract_DB[#Headers],0),FALSE),"")</f>
        <v>0</v>
      </c>
      <c r="Y33" s="237">
        <f>IFERROR(VLOOKUP($A33,SP_AcqTract_DB[],MATCH(Y$2,SP_AcqTract_DB[#Headers],0),FALSE),"")</f>
        <v>1.1819999999999999</v>
      </c>
      <c r="Z33" s="229">
        <f>IFERROR(VLOOKUP($A33,SP_AcqTract_DB[],MATCH(Z$2,SP_AcqTract_DB[#Headers],0),FALSE),"")</f>
        <v>51487.92</v>
      </c>
      <c r="AA33" s="229" t="str">
        <f>IFERROR(VLOOKUP($A33,SP_AcqTract_DB[],MATCH(AA$2,SP_AcqTract_DB[#Headers],0),FALSE),"")</f>
        <v>No</v>
      </c>
      <c r="AB33" s="250" t="str">
        <f>IFERROR(IF(VLOOKUP(CONCATENATE($A33,"_",AB$1),SP_ACQ_Lib[],MATCH(AB$2,SP_ACQ_Lib[#Headers],0),FALSE)=0,"",VLOOKUP(CONCATENATE($A33,"_",AB$1),SP_ACQ_Lib[],MATCH(AB$2,SP_ACQ_Lib[#Headers],0),FALSE)),"")</f>
        <v/>
      </c>
      <c r="AC33" s="250" t="str">
        <f>IFERROR(IF(VLOOKUP(CONCATENATE($A33,"_",AC$1),SP_ACQ_Lib[],MATCH(AC$2,SP_ACQ_Lib[#Headers],0),FALSE)=0,"",VLOOKUP(CONCATENATE($A33,"_",AC$1),SP_ACQ_Lib[],MATCH(AC$2,SP_ACQ_Lib[#Headers],0),FALSE)),"")</f>
        <v/>
      </c>
      <c r="AD33" s="229" t="str">
        <f>IFERROR(VLOOKUP($A33,SP_AcqTract_DB[],MATCH(AD$2,SP_AcqTract_DB[#Headers],0),FALSE),"")</f>
        <v>Yes</v>
      </c>
      <c r="AE33" s="250">
        <f>IFERROR(IF(VLOOKUP(CONCATENATE($A33,"_",AE$1),SP_ACQ_Lib[],MATCH(AE$2,SP_ACQ_Lib[#Headers],0),FALSE)=0,"",VLOOKUP(CONCATENATE($A33,"_",AE$1),SP_ACQ_Lib[],MATCH(AE$2,SP_ACQ_Lib[#Headers],0),FALSE)),"")</f>
        <v>43991</v>
      </c>
      <c r="AF33" s="250">
        <f>IFERROR(IF(VLOOKUP(CONCATENATE($A33,"_",AF$1),SP_ACQ_Lib[],MATCH(AF$2,SP_ACQ_Lib[#Headers],0),FALSE)=0,"",VLOOKUP(CONCATENATE($A33,"_",AF$1),SP_ACQ_Lib[],MATCH(AF$2,SP_ACQ_Lib[#Headers],0),FALSE)),"")</f>
        <v>43993</v>
      </c>
      <c r="AG33" s="250" t="str">
        <f>IFERROR(IF(VLOOKUP(CONCATENATE($A33,"_",AG$1),SP_ACQ_Lib[],MATCH(AG$2,SP_ACQ_Lib[#Headers],0),FALSE)=0,"",VLOOKUP(CONCATENATE($A33,"_",AG$1),SP_ACQ_Lib[],MATCH(AG$2,SP_ACQ_Lib[#Headers],0),FALSE)),"")</f>
        <v/>
      </c>
      <c r="AH33" s="250" t="str">
        <f>IFERROR(IF(VLOOKUP(CONCATENATE($A33,"_",AH$1),SP_ACQ_Lib[],MATCH(AH$2,SP_ACQ_Lib[#Headers],0),FALSE)=0,"",VLOOKUP(CONCATENATE($A33,"_",AH$1),SP_ACQ_Lib[],MATCH(AH$2,SP_ACQ_Lib[#Headers],0),FALSE)),"")</f>
        <v/>
      </c>
      <c r="AI33" s="249" t="str">
        <f>IFERROR(IF(VLOOKUP(CONCATENATE($A33,"_",AI$1),SP_ACQ_Lib[],MATCH(AI$2,SP_ACQ_Lib[#Headers],0),FALSE)=0,"",VLOOKUP(CONCATENATE($A33,"_",AI$1),SP_ACQ_Lib[],MATCH(AI$2,SP_ACQ_Lib[#Headers],0),FALSE)),"")</f>
        <v/>
      </c>
      <c r="AJ33" s="249" t="str">
        <f>IFERROR(IF(VLOOKUP(CONCATENATE($A33,"_",AJ$1),SP_ACQ_Lib[],MATCH(AJ$2,SP_ACQ_Lib[#Headers],0),FALSE)=0,"",VLOOKUP(CONCATENATE($A33,"_",AJ$1),SP_ACQ_Lib[],MATCH(AJ$2,SP_ACQ_Lib[#Headers],0),FALSE)),"")</f>
        <v/>
      </c>
      <c r="AK33" s="249" t="str">
        <f>IFERROR(IF(VLOOKUP(CONCATENATE($A33,"_",AK$1),SP_ACQ_Lib[],MATCH(AK$2,SP_ACQ_Lib[#Headers],0),FALSE)=0,"",VLOOKUP(CONCATENATE($A33,"_",AK$1),SP_ACQ_Lib[],MATCH(AK$2,SP_ACQ_Lib[#Headers],0),FALSE)),"")</f>
        <v/>
      </c>
      <c r="AL33" s="249">
        <f>IFERROR(VLOOKUP($A33,SP_AcqTract_DB[],MATCH(AL$2,SP_AcqTract_DB[#Headers],0),FALSE),"")</f>
        <v>0</v>
      </c>
      <c r="AM33" s="227">
        <f>IFERROR(VLOOKUP($A33,SP_AcqTract_DB[],MATCH(AM$2,SP_AcqTract_DB[#Headers],0),FALSE),"")</f>
        <v>0</v>
      </c>
      <c r="AN33" s="227">
        <f>IFERROR(VLOOKUP($A33,SP_AcqTract_DB[],MATCH(AN$2,SP_AcqTract_DB[#Headers],0),FALSE),"")</f>
        <v>0</v>
      </c>
      <c r="AO33" s="228">
        <f>IFERROR(VLOOKUP($A33,SP_AcqTract_DB[],MATCH(AO$2,SP_AcqTract_DB[#Headers],0),FALSE),"")</f>
        <v>0</v>
      </c>
      <c r="AP33" s="210">
        <f>IFERROR(VLOOKUP($A33,SP_AcqTract_DB[],MATCH(AP$2,SP_AcqTract_DB[#Headers],0),FALSE),"")</f>
        <v>0</v>
      </c>
      <c r="AQ33" s="252" t="str">
        <f>IFERROR(IF(VLOOKUP(CONCATENATE($A33,"_",AQ$1),SP_ACQ_Lib[],MATCH(AQ$2,SP_ACQ_Lib[#Headers],0),FALSE)=0,"",VLOOKUP(CONCATENATE($A33,"_",AQ$1),SP_ACQ_Lib[],MATCH(AQ$2,SP_ACQ_Lib[#Headers],0),FALSE)),"")</f>
        <v/>
      </c>
      <c r="AR33" s="250" t="str">
        <f>IFERROR(IF(VLOOKUP(CONCATENATE($A33,"_",AR$1),SP_ACQ_Lib[],MATCH(AR$2,SP_ACQ_Lib[#Headers],0),FALSE)=0,"",VLOOKUP(CONCATENATE($A33,"_",AR$1),SP_ACQ_Lib[],MATCH(AR$2,SP_ACQ_Lib[#Headers],0),FALSE)),"")</f>
        <v/>
      </c>
      <c r="AS33" s="249" t="str">
        <f>IFERROR(IF(VLOOKUP(CONCATENATE($A33,"_",AS$1),SP_ACQ_Lib[],MATCH(AS$2,SP_ACQ_Lib[#Headers],0),FALSE)=0,"",VLOOKUP(CONCATENATE($A33,"_",AS$1),SP_ACQ_Lib[],MATCH(AS$2,SP_ACQ_Lib[#Headers],0),FALSE)),"")</f>
        <v/>
      </c>
      <c r="AT33" s="251" t="str">
        <f>IFERROR(IF(VLOOKUP(CONCATENATE($A33,"_",AT$1),SP_ACQ_Lib[],MATCH(AT$2,SP_ACQ_Lib[#Headers],0),FALSE)=0,"",VLOOKUP(CONCATENATE($A33,"_",AT$1),SP_ACQ_Lib[],MATCH(AT$2,SP_ACQ_Lib[#Headers],0),FALSE)),"")</f>
        <v/>
      </c>
      <c r="AU33" s="251" t="str">
        <f>IFERROR(IF(VLOOKUP(CONCATENATE($A33,"_",AU$1),SP_ACQ_Lib[],MATCH(AU$2,SP_ACQ_Lib[#Headers],0),FALSE)=0,"",VLOOKUP(CONCATENATE($A33,"_",AU$1),SP_ACQ_Lib[],MATCH(AU$2,SP_ACQ_Lib[#Headers],0),FALSE)),"")</f>
        <v/>
      </c>
      <c r="AV33" s="225" t="str">
        <f>IFERROR(IF(VLOOKUP(CONCATENATE($A33,"_",AV$1),SP_ACQ_Lib[],MATCH(AV$2,SP_ACQ_Lib[#Headers],0),FALSE)=0,"",VLOOKUP(CONCATENATE($A33,"_",AV$1),SP_ACQ_Lib[],MATCH(AV$2,SP_ACQ_Lib[#Headers],0),FALSE)),"")</f>
        <v/>
      </c>
      <c r="AW33" s="251" t="str">
        <f>IFERROR(IF(VLOOKUP(CONCATENATE($A33,"_",AW$1),SP_ACQ_Lib[],MATCH(AW$2,SP_ACQ_Lib[#Headers],0),FALSE)=0,"",VLOOKUP(CONCATENATE($A33,"_",AW$1),SP_ACQ_Lib[],MATCH(AW$2,SP_ACQ_Lib[#Headers],0),FALSE)),"")</f>
        <v/>
      </c>
      <c r="AX33" s="251" t="str">
        <f>IFERROR(IF(VLOOKUP(CONCATENATE($A33,"_",AX$1),SP_ACQ_Lib[],MATCH(AX$2,SP_ACQ_Lib[#Headers],0),FALSE)=0,"",VLOOKUP(CONCATENATE($A33,"_",AX$1),SP_ACQ_Lib[],MATCH(AX$2,SP_ACQ_Lib[#Headers],0),FALSE)),"")</f>
        <v/>
      </c>
      <c r="AY33" s="251" t="str">
        <f>IFERROR(IF(VLOOKUP(CONCATENATE($A33,"_",AY$1),SP_ACQ_Lib[],MATCH(AY$2,SP_ACQ_Lib[#Headers],0),FALSE)=0,"",VLOOKUP(CONCATENATE($A33,"_",AY$1),SP_ACQ_Lib[],MATCH(AY$2,SP_ACQ_Lib[#Headers],0),FALSE)),"")</f>
        <v/>
      </c>
      <c r="AZ33" s="251" t="str">
        <f>IFERROR(IF(VLOOKUP(CONCATENATE($A33,"_",AZ$1),SP_ACQ_Lib[],MATCH(AZ$2,SP_ACQ_Lib[#Headers],0),FALSE)=0,"",VLOOKUP(CONCATENATE($A33,"_",AZ$1),SP_ACQ_Lib[],MATCH(AZ$2,SP_ACQ_Lib[#Headers],0),FALSE)),"")</f>
        <v/>
      </c>
      <c r="BA33" s="251" t="str">
        <f>IFERROR(IF(VLOOKUP(CONCATENATE($A33,"_",BA$1),SP_ACQ_Lib[],MATCH(BA$2,SP_ACQ_Lib[#Headers],0),FALSE)=0,"",VLOOKUP(CONCATENATE($A33,"_",BA$1),SP_ACQ_Lib[],MATCH(BA$2,SP_ACQ_Lib[#Headers],0),FALSE)),"")</f>
        <v/>
      </c>
      <c r="BB33" s="224">
        <f>IFERROR(VLOOKUP(CONCATENATE($A33,"_",BB$1),SP_ACQ_Lib[],MATCH(BB$2,SP_ACQ_Lib[#Headers],0),FALSE),0)</f>
        <v>0</v>
      </c>
      <c r="BC33" s="231">
        <f>IFERROR(VLOOKUP($A33,SP_AcqTract_DB[],MATCH(BC$2,SP_AcqTract_DB[#Headers],0),FALSE),"")</f>
        <v>0</v>
      </c>
      <c r="BD33" s="231">
        <f>IFERROR(VLOOKUP($A33,SP_AcqTract_DB[],MATCH(BD$2,SP_AcqTract_DB[#Headers],0),FALSE),"")</f>
        <v>0</v>
      </c>
      <c r="BE33" s="249" t="str">
        <f>IFERROR(IF(VLOOKUP(CONCATENATE($A33,"_",BE$1),SP_ACQ_Lib[],MATCH(BE$2,SP_ACQ_Lib[#Headers],0),FALSE)=0,"",VLOOKUP(CONCATENATE($A33,"_",BE$1),SP_ACQ_Lib[],MATCH(BE$2,SP_ACQ_Lib[#Headers],0),FALSE)),"")</f>
        <v/>
      </c>
      <c r="BF33" s="249" t="str">
        <f>IFERROR(IF(VLOOKUP(CONCATENATE($A33,"_",BF$1),SP_ACQ_Lib[],MATCH(BF$2,SP_ACQ_Lib[#Headers],0),FALSE)=0,"",VLOOKUP(CONCATENATE($A33,"_",BF$1),SP_ACQ_Lib[],MATCH(BF$2,SP_ACQ_Lib[#Headers],0),FALSE)),"")</f>
        <v/>
      </c>
      <c r="BG33" s="249" t="str">
        <f>IFERROR(IF(VLOOKUP(CONCATENATE($A33,"_",BG$1),SP_ACQ_Lib[],MATCH(BG$2,SP_ACQ_Lib[#Headers],0),FALSE)=0,"",VLOOKUP(CONCATENATE($A33,"_",BG$1),SP_ACQ_Lib[],MATCH(BG$2,SP_ACQ_Lib[#Headers],0),FALSE)),"")</f>
        <v/>
      </c>
      <c r="BH33" s="249" t="str">
        <f>IFERROR(IF(VLOOKUP(CONCATENATE($A33,"_",BH$1),SP_ACQ_Lib[],MATCH(BH$2,SP_ACQ_Lib[#Headers],0),FALSE)=0,"",VLOOKUP(CONCATENATE($A33,"_",BH$1),SP_ACQ_Lib[],MATCH(BH$2,SP_ACQ_Lib[#Headers],0),FALSE)),"")</f>
        <v/>
      </c>
      <c r="BI33" s="249" t="str">
        <f>IFERROR(IF(VLOOKUP(CONCATENATE($A33,"_",BI$1),SP_ACQ_Lib[],MATCH(BI$2,SP_ACQ_Lib[#Headers],0),FALSE)=0,"",VLOOKUP(CONCATENATE($A33,"_",BI$1),SP_ACQ_Lib[],MATCH(BI$2,SP_ACQ_Lib[#Headers],0),FALSE)),"")</f>
        <v/>
      </c>
      <c r="BJ33" s="249" t="str">
        <f>IFERROR(IF(VLOOKUP(CONCATENATE($A33,"_",BJ$1),SP_ACQ_Lib[],MATCH(BJ$2,SP_ACQ_Lib[#Headers],0),FALSE)=0,"",VLOOKUP(CONCATENATE($A33,"_",BJ$1),SP_ACQ_Lib[],MATCH(BJ$2,SP_ACQ_Lib[#Headers],0),FALSE)),"")</f>
        <v/>
      </c>
      <c r="BK33" s="250" t="str">
        <f>IFERROR(IF(VLOOKUP(CONCATENATE($A33,"_",BK$1),SP_ACQ_Lib[],MATCH(BK$2,SP_ACQ_Lib[#Headers],0),FALSE)=0,"",VLOOKUP(CONCATENATE($A33,"_",BK$1),SP_ACQ_Lib[],MATCH(BK$2,SP_ACQ_Lib[#Headers],0),FALSE)),"")</f>
        <v/>
      </c>
      <c r="BL33" s="249" t="str">
        <f>IFERROR(IF(VLOOKUP(CONCATENATE($A33,"_",BL$1),SP_ACQ_Lib[],MATCH(BL$2,SP_ACQ_Lib[#Headers],0),FALSE)=0,"",VLOOKUP(CONCATENATE($A33,"_",BL$1),SP_ACQ_Lib[],MATCH(BL$2,SP_ACQ_Lib[#Headers],0),FALSE)),"")</f>
        <v/>
      </c>
      <c r="BM33" s="249" t="str">
        <f>IFERROR(IF(VLOOKUP(CONCATENATE($A33,"_",BM$1),SP_ACQ_Lib[],MATCH(BM$2,SP_ACQ_Lib[#Headers],0),FALSE)=0,"",VLOOKUP(CONCATENATE($A33,"_",BM$1),SP_ACQ_Lib[],MATCH(BM$2,SP_ACQ_Lib[#Headers],0),FALSE)),"")</f>
        <v/>
      </c>
      <c r="BN33" s="249" t="str">
        <f>IFERROR(IF(VLOOKUP(CONCATENATE($A33,"_",BN$1),SP_ACQ_Lib[],MATCH(BN$2,SP_ACQ_Lib[#Headers],0),FALSE)=0,"",VLOOKUP(CONCATENATE($A33,"_",BN$1),SP_ACQ_Lib[],MATCH(BN$2,SP_ACQ_Lib[#Headers],0),FALSE)),"")</f>
        <v/>
      </c>
    </row>
    <row r="34" spans="1:66" s="226" customFormat="1" ht="15.75" x14ac:dyDescent="0.2">
      <c r="A34" s="192" t="s">
        <v>3294</v>
      </c>
      <c r="B34" s="227"/>
      <c r="C34" s="228" t="str">
        <f>IFERROR(VLOOKUP($A34,SP_AcqTract_DB[],MATCH(C$2,SP_AcqTract_DB[#Headers],0),FALSE),"")</f>
        <v>PH1</v>
      </c>
      <c r="D34" s="208" t="str">
        <f>IFERROR(VLOOKUP($A34,SP_AcqTract_DB[],MATCH(D$2,SP_AcqTract_DB[#Headers],0),FALSE),"")</f>
        <v>Active</v>
      </c>
      <c r="E34" s="208">
        <f>IFERROR(VLOOKUP($A34,SP_AcqTract_DB[],MATCH(E$2,SP_AcqTract_DB[#Headers],0),FALSE),"")</f>
        <v>1</v>
      </c>
      <c r="F34" s="227" t="str">
        <f>IFERROR(VLOOKUP($A34,SP_AcqTract_DB[],MATCH(F$2,SP_AcqTract_DB[#Headers],0),FALSE),"")</f>
        <v>Levee Esmt</v>
      </c>
      <c r="G34" s="227">
        <f>IFERROR(VLOOKUP($A34,SP_AcqTract_DB[],MATCH(G$2,SP_AcqTract_DB[#Headers],0),FALSE),"")</f>
        <v>0</v>
      </c>
      <c r="H34" s="250" t="str">
        <f>IFERROR(IF(VLOOKUP(CONCATENATE($A34,"_",H$1),SP_ACQ_Lib[],MATCH(H$2,SP_ACQ_Lib[#Headers],0),FALSE)=0,"",VLOOKUP(CONCATENATE($A34,"_",H$1),SP_ACQ_Lib[],MATCH(H$2,SP_ACQ_Lib[#Headers],0),FALSE)),"")</f>
        <v/>
      </c>
      <c r="I34" s="227" t="str">
        <f>IFERROR(VLOOKUP($A34,SP_AcqTract_DB[],MATCH(I$2,SP_AcqTract_DB[#Headers],0),FALSE),"")</f>
        <v>City of Wharton</v>
      </c>
      <c r="J34" s="227">
        <f>IFERROR(VLOOKUP($A34,SP_AcqTract_DB[],MATCH(J$2,SP_AcqTract_DB[#Headers],0),FALSE),"")</f>
        <v>0</v>
      </c>
      <c r="K34" s="227">
        <f>IFERROR(VLOOKUP($A34,SP_AcqTract_DB[],MATCH(K$2,SP_AcqTract_DB[#Headers],0),FALSE),"")</f>
        <v>0</v>
      </c>
      <c r="L34" s="227">
        <f>IFERROR(VLOOKUP($A34,SP_AcqTract_DB[],MATCH(L$2,SP_AcqTract_DB[#Headers],0),FALSE),"")</f>
        <v>0</v>
      </c>
      <c r="M34" s="208">
        <f>IFERROR(VLOOKUP($A34,SP_AcqTract_DB[],MATCH(M$2,SP_AcqTract_DB[#Headers],0),FALSE),"")</f>
        <v>0</v>
      </c>
      <c r="N34" s="227">
        <f>IFERROR(VLOOKUP($A34,SP_AcqTract_DB[],MATCH(N$2,SP_AcqTract_DB[#Headers],0),FALSE),"")</f>
        <v>0</v>
      </c>
      <c r="O34" s="220">
        <f>IFERROR(VLOOKUP($A34,SP_AcqTract_DB[],MATCH(O$2,SP_AcqTract_DB[#Headers],0),FALSE),"")</f>
        <v>0</v>
      </c>
      <c r="P34" s="220">
        <f>IFERROR(VLOOKUP($A34,SP_AcqTract_DB[],MATCH(P$2,SP_AcqTract_DB[#Headers],0),FALSE),"")</f>
        <v>0</v>
      </c>
      <c r="Q34" s="208">
        <f>IFERROR(VLOOKUP($A34,SP_AcqTract_DB[],MATCH(Q$2,SP_AcqTract_DB[#Headers],0),FALSE),"")</f>
        <v>0</v>
      </c>
      <c r="R34" s="250" t="str">
        <f>IFERROR(IF(VLOOKUP(CONCATENATE($A34,"_",R$1),SP_ACQ_Lib[],MATCH(R$2,SP_ACQ_Lib[#Headers],0),FALSE)=0,"",VLOOKUP(CONCATENATE($A34,"_",R$1),SP_ACQ_Lib[],MATCH(R$2,SP_ACQ_Lib[#Headers],0),FALSE)),"")</f>
        <v/>
      </c>
      <c r="S34" s="253" t="str">
        <f>IFERROR(IF(VLOOKUP(CONCATENATE($A34,"_",S$1),SP_ACQ_Lib[],MATCH(S$2,SP_ACQ_Lib[#Headers],0),FALSE)=0,"",VLOOKUP(CONCATENATE($A34,"_",S$1),SP_ACQ_Lib[],MATCH(S$2,SP_ACQ_Lib[#Headers],0),FALSE)),"")</f>
        <v/>
      </c>
      <c r="T34" s="205">
        <f>IFERROR(VLOOKUP(CONCATENATE($A34,"_",T$1),SP_ACQ_Lib[],MATCH(T$2,SP_ACQ_Lib[#Headers],0),FALSE),0)</f>
        <v>0</v>
      </c>
      <c r="U34" s="250" t="str">
        <f>IFERROR(IF(VLOOKUP(CONCATENATE($A34,"_",U$1),SP_ACQ_Lib[],MATCH(U$2,SP_ACQ_Lib[#Headers],0),FALSE)=0,"",VLOOKUP(CONCATENATE($A34,"_",U$1),SP_ACQ_Lib[],MATCH(U$2,SP_ACQ_Lib[#Headers],0),FALSE)),"")</f>
        <v/>
      </c>
      <c r="V34" s="205">
        <f>IFERROR(VLOOKUP(CONCATENATE($A34,"_",V$1),SP_ACQ_Lib[],MATCH(V$2,SP_ACQ_Lib[#Headers],0),FALSE),0)</f>
        <v>0</v>
      </c>
      <c r="W34" s="209">
        <f>IFERROR(VLOOKUP(CONCATENATE($A34,"_",W$1),SP_ACQ_Lib[],MATCH(W$2,SP_ACQ_Lib[#Headers],0),FALSE),0)</f>
        <v>0</v>
      </c>
      <c r="X34" s="250">
        <f>IFERROR(VLOOKUP($A34,SP_AcqTract_DB[],MATCH(X$2,SP_AcqTract_DB[#Headers],0),FALSE),"")</f>
        <v>0</v>
      </c>
      <c r="Y34" s="237">
        <f>IFERROR(VLOOKUP($A34,SP_AcqTract_DB[],MATCH(Y$2,SP_AcqTract_DB[#Headers],0),FALSE),"")</f>
        <v>0.13955463728191</v>
      </c>
      <c r="Z34" s="229">
        <f>IFERROR(VLOOKUP($A34,SP_AcqTract_DB[],MATCH(Z$2,SP_AcqTract_DB[#Headers],0),FALSE),"")</f>
        <v>6079</v>
      </c>
      <c r="AA34" s="229" t="str">
        <f>IFERROR(VLOOKUP($A34,SP_AcqTract_DB[],MATCH(AA$2,SP_AcqTract_DB[#Headers],0),FALSE),"")</f>
        <v>Yes</v>
      </c>
      <c r="AB34" s="250">
        <f>IFERROR(IF(VLOOKUP(CONCATENATE($A34,"_",AB$1),SP_ACQ_Lib[],MATCH(AB$2,SP_ACQ_Lib[#Headers],0),FALSE)=0,"",VLOOKUP(CONCATENATE($A34,"_",AB$1),SP_ACQ_Lib[],MATCH(AB$2,SP_ACQ_Lib[#Headers],0),FALSE)),"")</f>
        <v>43901</v>
      </c>
      <c r="AC34" s="250">
        <f>IFERROR(IF(VLOOKUP(CONCATENATE($A34,"_",AC$1),SP_ACQ_Lib[],MATCH(AC$2,SP_ACQ_Lib[#Headers],0),FALSE)=0,"",VLOOKUP(CONCATENATE($A34,"_",AC$1),SP_ACQ_Lib[],MATCH(AC$2,SP_ACQ_Lib[#Headers],0),FALSE)),"")</f>
        <v>43913</v>
      </c>
      <c r="AD34" s="229" t="str">
        <f>IFERROR(VLOOKUP($A34,SP_AcqTract_DB[],MATCH(AD$2,SP_AcqTract_DB[#Headers],0),FALSE),"")</f>
        <v>Yes</v>
      </c>
      <c r="AE34" s="250">
        <f>IFERROR(IF(VLOOKUP(CONCATENATE($A34,"_",AE$1),SP_ACQ_Lib[],MATCH(AE$2,SP_ACQ_Lib[#Headers],0),FALSE)=0,"",VLOOKUP(CONCATENATE($A34,"_",AE$1),SP_ACQ_Lib[],MATCH(AE$2,SP_ACQ_Lib[#Headers],0),FALSE)),"")</f>
        <v>43901</v>
      </c>
      <c r="AF34" s="250">
        <f>IFERROR(IF(VLOOKUP(CONCATENATE($A34,"_",AF$1),SP_ACQ_Lib[],MATCH(AF$2,SP_ACQ_Lib[#Headers],0),FALSE)=0,"",VLOOKUP(CONCATENATE($A34,"_",AF$1),SP_ACQ_Lib[],MATCH(AF$2,SP_ACQ_Lib[#Headers],0),FALSE)),"")</f>
        <v>43948</v>
      </c>
      <c r="AG34" s="250" t="str">
        <f>IFERROR(IF(VLOOKUP(CONCATENATE($A34,"_",AG$1),SP_ACQ_Lib[],MATCH(AG$2,SP_ACQ_Lib[#Headers],0),FALSE)=0,"",VLOOKUP(CONCATENATE($A34,"_",AG$1),SP_ACQ_Lib[],MATCH(AG$2,SP_ACQ_Lib[#Headers],0),FALSE)),"")</f>
        <v/>
      </c>
      <c r="AH34" s="250" t="str">
        <f>IFERROR(IF(VLOOKUP(CONCATENATE($A34,"_",AH$1),SP_ACQ_Lib[],MATCH(AH$2,SP_ACQ_Lib[#Headers],0),FALSE)=0,"",VLOOKUP(CONCATENATE($A34,"_",AH$1),SP_ACQ_Lib[],MATCH(AH$2,SP_ACQ_Lib[#Headers],0),FALSE)),"")</f>
        <v/>
      </c>
      <c r="AI34" s="249" t="str">
        <f>IFERROR(IF(VLOOKUP(CONCATENATE($A34,"_",AI$1),SP_ACQ_Lib[],MATCH(AI$2,SP_ACQ_Lib[#Headers],0),FALSE)=0,"",VLOOKUP(CONCATENATE($A34,"_",AI$1),SP_ACQ_Lib[],MATCH(AI$2,SP_ACQ_Lib[#Headers],0),FALSE)),"")</f>
        <v/>
      </c>
      <c r="AJ34" s="249" t="str">
        <f>IFERROR(IF(VLOOKUP(CONCATENATE($A34,"_",AJ$1),SP_ACQ_Lib[],MATCH(AJ$2,SP_ACQ_Lib[#Headers],0),FALSE)=0,"",VLOOKUP(CONCATENATE($A34,"_",AJ$1),SP_ACQ_Lib[],MATCH(AJ$2,SP_ACQ_Lib[#Headers],0),FALSE)),"")</f>
        <v/>
      </c>
      <c r="AK34" s="249" t="str">
        <f>IFERROR(IF(VLOOKUP(CONCATENATE($A34,"_",AK$1),SP_ACQ_Lib[],MATCH(AK$2,SP_ACQ_Lib[#Headers],0),FALSE)=0,"",VLOOKUP(CONCATENATE($A34,"_",AK$1),SP_ACQ_Lib[],MATCH(AK$2,SP_ACQ_Lib[#Headers],0),FALSE)),"")</f>
        <v/>
      </c>
      <c r="AL34" s="249">
        <f>IFERROR(VLOOKUP($A34,SP_AcqTract_DB[],MATCH(AL$2,SP_AcqTract_DB[#Headers],0),FALSE),"")</f>
        <v>0</v>
      </c>
      <c r="AM34" s="227">
        <f>IFERROR(VLOOKUP($A34,SP_AcqTract_DB[],MATCH(AM$2,SP_AcqTract_DB[#Headers],0),FALSE),"")</f>
        <v>0</v>
      </c>
      <c r="AN34" s="227">
        <f>IFERROR(VLOOKUP($A34,SP_AcqTract_DB[],MATCH(AN$2,SP_AcqTract_DB[#Headers],0),FALSE),"")</f>
        <v>0</v>
      </c>
      <c r="AO34" s="228">
        <f>IFERROR(VLOOKUP($A34,SP_AcqTract_DB[],MATCH(AO$2,SP_AcqTract_DB[#Headers],0),FALSE),"")</f>
        <v>0</v>
      </c>
      <c r="AP34" s="210">
        <f>IFERROR(VLOOKUP($A34,SP_AcqTract_DB[],MATCH(AP$2,SP_AcqTract_DB[#Headers],0),FALSE),"")</f>
        <v>0</v>
      </c>
      <c r="AQ34" s="252" t="str">
        <f>IFERROR(IF(VLOOKUP(CONCATENATE($A34,"_",AQ$1),SP_ACQ_Lib[],MATCH(AQ$2,SP_ACQ_Lib[#Headers],0),FALSE)=0,"",VLOOKUP(CONCATENATE($A34,"_",AQ$1),SP_ACQ_Lib[],MATCH(AQ$2,SP_ACQ_Lib[#Headers],0),FALSE)),"")</f>
        <v/>
      </c>
      <c r="AR34" s="250" t="str">
        <f>IFERROR(IF(VLOOKUP(CONCATENATE($A34,"_",AR$1),SP_ACQ_Lib[],MATCH(AR$2,SP_ACQ_Lib[#Headers],0),FALSE)=0,"",VLOOKUP(CONCATENATE($A34,"_",AR$1),SP_ACQ_Lib[],MATCH(AR$2,SP_ACQ_Lib[#Headers],0),FALSE)),"")</f>
        <v/>
      </c>
      <c r="AS34" s="249" t="str">
        <f>IFERROR(IF(VLOOKUP(CONCATENATE($A34,"_",AS$1),SP_ACQ_Lib[],MATCH(AS$2,SP_ACQ_Lib[#Headers],0),FALSE)=0,"",VLOOKUP(CONCATENATE($A34,"_",AS$1),SP_ACQ_Lib[],MATCH(AS$2,SP_ACQ_Lib[#Headers],0),FALSE)),"")</f>
        <v/>
      </c>
      <c r="AT34" s="251" t="str">
        <f>IFERROR(IF(VLOOKUP(CONCATENATE($A34,"_",AT$1),SP_ACQ_Lib[],MATCH(AT$2,SP_ACQ_Lib[#Headers],0),FALSE)=0,"",VLOOKUP(CONCATENATE($A34,"_",AT$1),SP_ACQ_Lib[],MATCH(AT$2,SP_ACQ_Lib[#Headers],0),FALSE)),"")</f>
        <v/>
      </c>
      <c r="AU34" s="251" t="str">
        <f>IFERROR(IF(VLOOKUP(CONCATENATE($A34,"_",AU$1),SP_ACQ_Lib[],MATCH(AU$2,SP_ACQ_Lib[#Headers],0),FALSE)=0,"",VLOOKUP(CONCATENATE($A34,"_",AU$1),SP_ACQ_Lib[],MATCH(AU$2,SP_ACQ_Lib[#Headers],0),FALSE)),"")</f>
        <v/>
      </c>
      <c r="AV34" s="225" t="str">
        <f>IFERROR(IF(VLOOKUP(CONCATENATE($A34,"_",AV$1),SP_ACQ_Lib[],MATCH(AV$2,SP_ACQ_Lib[#Headers],0),FALSE)=0,"",VLOOKUP(CONCATENATE($A34,"_",AV$1),SP_ACQ_Lib[],MATCH(AV$2,SP_ACQ_Lib[#Headers],0),FALSE)),"")</f>
        <v/>
      </c>
      <c r="AW34" s="251" t="str">
        <f>IFERROR(IF(VLOOKUP(CONCATENATE($A34,"_",AW$1),SP_ACQ_Lib[],MATCH(AW$2,SP_ACQ_Lib[#Headers],0),FALSE)=0,"",VLOOKUP(CONCATENATE($A34,"_",AW$1),SP_ACQ_Lib[],MATCH(AW$2,SP_ACQ_Lib[#Headers],0),FALSE)),"")</f>
        <v/>
      </c>
      <c r="AX34" s="251" t="str">
        <f>IFERROR(IF(VLOOKUP(CONCATENATE($A34,"_",AX$1),SP_ACQ_Lib[],MATCH(AX$2,SP_ACQ_Lib[#Headers],0),FALSE)=0,"",VLOOKUP(CONCATENATE($A34,"_",AX$1),SP_ACQ_Lib[],MATCH(AX$2,SP_ACQ_Lib[#Headers],0),FALSE)),"")</f>
        <v/>
      </c>
      <c r="AY34" s="251" t="str">
        <f>IFERROR(IF(VLOOKUP(CONCATENATE($A34,"_",AY$1),SP_ACQ_Lib[],MATCH(AY$2,SP_ACQ_Lib[#Headers],0),FALSE)=0,"",VLOOKUP(CONCATENATE($A34,"_",AY$1),SP_ACQ_Lib[],MATCH(AY$2,SP_ACQ_Lib[#Headers],0),FALSE)),"")</f>
        <v/>
      </c>
      <c r="AZ34" s="251" t="str">
        <f>IFERROR(IF(VLOOKUP(CONCATENATE($A34,"_",AZ$1),SP_ACQ_Lib[],MATCH(AZ$2,SP_ACQ_Lib[#Headers],0),FALSE)=0,"",VLOOKUP(CONCATENATE($A34,"_",AZ$1),SP_ACQ_Lib[],MATCH(AZ$2,SP_ACQ_Lib[#Headers],0),FALSE)),"")</f>
        <v/>
      </c>
      <c r="BA34" s="251" t="str">
        <f>IFERROR(IF(VLOOKUP(CONCATENATE($A34,"_",BA$1),SP_ACQ_Lib[],MATCH(BA$2,SP_ACQ_Lib[#Headers],0),FALSE)=0,"",VLOOKUP(CONCATENATE($A34,"_",BA$1),SP_ACQ_Lib[],MATCH(BA$2,SP_ACQ_Lib[#Headers],0),FALSE)),"")</f>
        <v/>
      </c>
      <c r="BB34" s="224">
        <f>IFERROR(VLOOKUP(CONCATENATE($A34,"_",BB$1),SP_ACQ_Lib[],MATCH(BB$2,SP_ACQ_Lib[#Headers],0),FALSE),0)</f>
        <v>0</v>
      </c>
      <c r="BC34" s="231">
        <f>IFERROR(VLOOKUP($A34,SP_AcqTract_DB[],MATCH(BC$2,SP_AcqTract_DB[#Headers],0),FALSE),"")</f>
        <v>0</v>
      </c>
      <c r="BD34" s="231">
        <f>IFERROR(VLOOKUP($A34,SP_AcqTract_DB[],MATCH(BD$2,SP_AcqTract_DB[#Headers],0),FALSE),"")</f>
        <v>0</v>
      </c>
      <c r="BE34" s="249" t="str">
        <f>IFERROR(IF(VLOOKUP(CONCATENATE($A34,"_",BE$1),SP_ACQ_Lib[],MATCH(BE$2,SP_ACQ_Lib[#Headers],0),FALSE)=0,"",VLOOKUP(CONCATENATE($A34,"_",BE$1),SP_ACQ_Lib[],MATCH(BE$2,SP_ACQ_Lib[#Headers],0),FALSE)),"")</f>
        <v/>
      </c>
      <c r="BF34" s="249" t="str">
        <f>IFERROR(IF(VLOOKUP(CONCATENATE($A34,"_",BF$1),SP_ACQ_Lib[],MATCH(BF$2,SP_ACQ_Lib[#Headers],0),FALSE)=0,"",VLOOKUP(CONCATENATE($A34,"_",BF$1),SP_ACQ_Lib[],MATCH(BF$2,SP_ACQ_Lib[#Headers],0),FALSE)),"")</f>
        <v/>
      </c>
      <c r="BG34" s="249" t="str">
        <f>IFERROR(IF(VLOOKUP(CONCATENATE($A34,"_",BG$1),SP_ACQ_Lib[],MATCH(BG$2,SP_ACQ_Lib[#Headers],0),FALSE)=0,"",VLOOKUP(CONCATENATE($A34,"_",BG$1),SP_ACQ_Lib[],MATCH(BG$2,SP_ACQ_Lib[#Headers],0),FALSE)),"")</f>
        <v/>
      </c>
      <c r="BH34" s="249" t="str">
        <f>IFERROR(IF(VLOOKUP(CONCATENATE($A34,"_",BH$1),SP_ACQ_Lib[],MATCH(BH$2,SP_ACQ_Lib[#Headers],0),FALSE)=0,"",VLOOKUP(CONCATENATE($A34,"_",BH$1),SP_ACQ_Lib[],MATCH(BH$2,SP_ACQ_Lib[#Headers],0),FALSE)),"")</f>
        <v/>
      </c>
      <c r="BI34" s="249" t="str">
        <f>IFERROR(IF(VLOOKUP(CONCATENATE($A34,"_",BI$1),SP_ACQ_Lib[],MATCH(BI$2,SP_ACQ_Lib[#Headers],0),FALSE)=0,"",VLOOKUP(CONCATENATE($A34,"_",BI$1),SP_ACQ_Lib[],MATCH(BI$2,SP_ACQ_Lib[#Headers],0),FALSE)),"")</f>
        <v/>
      </c>
      <c r="BJ34" s="249" t="str">
        <f>IFERROR(IF(VLOOKUP(CONCATENATE($A34,"_",BJ$1),SP_ACQ_Lib[],MATCH(BJ$2,SP_ACQ_Lib[#Headers],0),FALSE)=0,"",VLOOKUP(CONCATENATE($A34,"_",BJ$1),SP_ACQ_Lib[],MATCH(BJ$2,SP_ACQ_Lib[#Headers],0),FALSE)),"")</f>
        <v/>
      </c>
      <c r="BK34" s="250" t="str">
        <f>IFERROR(IF(VLOOKUP(CONCATENATE($A34,"_",BK$1),SP_ACQ_Lib[],MATCH(BK$2,SP_ACQ_Lib[#Headers],0),FALSE)=0,"",VLOOKUP(CONCATENATE($A34,"_",BK$1),SP_ACQ_Lib[],MATCH(BK$2,SP_ACQ_Lib[#Headers],0),FALSE)),"")</f>
        <v/>
      </c>
      <c r="BL34" s="249" t="str">
        <f>IFERROR(IF(VLOOKUP(CONCATENATE($A34,"_",BL$1),SP_ACQ_Lib[],MATCH(BL$2,SP_ACQ_Lib[#Headers],0),FALSE)=0,"",VLOOKUP(CONCATENATE($A34,"_",BL$1),SP_ACQ_Lib[],MATCH(BL$2,SP_ACQ_Lib[#Headers],0),FALSE)),"")</f>
        <v/>
      </c>
      <c r="BM34" s="249" t="str">
        <f>IFERROR(IF(VLOOKUP(CONCATENATE($A34,"_",BM$1),SP_ACQ_Lib[],MATCH(BM$2,SP_ACQ_Lib[#Headers],0),FALSE)=0,"",VLOOKUP(CONCATENATE($A34,"_",BM$1),SP_ACQ_Lib[],MATCH(BM$2,SP_ACQ_Lib[#Headers],0),FALSE)),"")</f>
        <v/>
      </c>
      <c r="BN34" s="249" t="str">
        <f>IFERROR(IF(VLOOKUP(CONCATENATE($A34,"_",BN$1),SP_ACQ_Lib[],MATCH(BN$2,SP_ACQ_Lib[#Headers],0),FALSE)=0,"",VLOOKUP(CONCATENATE($A34,"_",BN$1),SP_ACQ_Lib[],MATCH(BN$2,SP_ACQ_Lib[#Headers],0),FALSE)),"")</f>
        <v/>
      </c>
    </row>
    <row r="35" spans="1:66" s="226" customFormat="1" ht="15.75" x14ac:dyDescent="0.2">
      <c r="A35" s="192" t="s">
        <v>3299</v>
      </c>
      <c r="B35" s="227"/>
      <c r="C35" s="228" t="str">
        <f>IFERROR(VLOOKUP($A35,SP_AcqTract_DB[],MATCH(C$2,SP_AcqTract_DB[#Headers],0),FALSE),"")</f>
        <v>PH1</v>
      </c>
      <c r="D35" s="208" t="str">
        <f>IFERROR(VLOOKUP($A35,SP_AcqTract_DB[],MATCH(D$2,SP_AcqTract_DB[#Headers],0),FALSE),"")</f>
        <v>Active</v>
      </c>
      <c r="E35" s="208">
        <f>IFERROR(VLOOKUP($A35,SP_AcqTract_DB[],MATCH(E$2,SP_AcqTract_DB[#Headers],0),FALSE),"")</f>
        <v>1</v>
      </c>
      <c r="F35" s="227" t="str">
        <f>IFERROR(VLOOKUP($A35,SP_AcqTract_DB[],MATCH(F$2,SP_AcqTract_DB[#Headers],0),FALSE),"")</f>
        <v>Levee Esmt</v>
      </c>
      <c r="G35" s="227">
        <f>IFERROR(VLOOKUP($A35,SP_AcqTract_DB[],MATCH(G$2,SP_AcqTract_DB[#Headers],0),FALSE),"")</f>
        <v>0</v>
      </c>
      <c r="H35" s="250" t="str">
        <f>IFERROR(IF(VLOOKUP(CONCATENATE($A35,"_",H$1),SP_ACQ_Lib[],MATCH(H$2,SP_ACQ_Lib[#Headers],0),FALSE)=0,"",VLOOKUP(CONCATENATE($A35,"_",H$1),SP_ACQ_Lib[],MATCH(H$2,SP_ACQ_Lib[#Headers],0),FALSE)),"")</f>
        <v/>
      </c>
      <c r="I35" s="227" t="str">
        <f>IFERROR(VLOOKUP($A35,SP_AcqTract_DB[],MATCH(I$2,SP_AcqTract_DB[#Headers],0),FALSE),"")</f>
        <v>City of Wharton</v>
      </c>
      <c r="J35" s="227">
        <f>IFERROR(VLOOKUP($A35,SP_AcqTract_DB[],MATCH(J$2,SP_AcqTract_DB[#Headers],0),FALSE),"")</f>
        <v>0</v>
      </c>
      <c r="K35" s="227">
        <f>IFERROR(VLOOKUP($A35,SP_AcqTract_DB[],MATCH(K$2,SP_AcqTract_DB[#Headers],0),FALSE),"")</f>
        <v>0</v>
      </c>
      <c r="L35" s="227">
        <f>IFERROR(VLOOKUP($A35,SP_AcqTract_DB[],MATCH(L$2,SP_AcqTract_DB[#Headers],0),FALSE),"")</f>
        <v>0</v>
      </c>
      <c r="M35" s="208">
        <f>IFERROR(VLOOKUP($A35,SP_AcqTract_DB[],MATCH(M$2,SP_AcqTract_DB[#Headers],0),FALSE),"")</f>
        <v>0</v>
      </c>
      <c r="N35" s="227">
        <f>IFERROR(VLOOKUP($A35,SP_AcqTract_DB[],MATCH(N$2,SP_AcqTract_DB[#Headers],0),FALSE),"")</f>
        <v>0</v>
      </c>
      <c r="O35" s="220">
        <f>IFERROR(VLOOKUP($A35,SP_AcqTract_DB[],MATCH(O$2,SP_AcqTract_DB[#Headers],0),FALSE),"")</f>
        <v>0</v>
      </c>
      <c r="P35" s="220">
        <f>IFERROR(VLOOKUP($A35,SP_AcqTract_DB[],MATCH(P$2,SP_AcqTract_DB[#Headers],0),FALSE),"")</f>
        <v>0</v>
      </c>
      <c r="Q35" s="208">
        <f>IFERROR(VLOOKUP($A35,SP_AcqTract_DB[],MATCH(Q$2,SP_AcqTract_DB[#Headers],0),FALSE),"")</f>
        <v>0</v>
      </c>
      <c r="R35" s="250" t="str">
        <f>IFERROR(IF(VLOOKUP(CONCATENATE($A35,"_",R$1),SP_ACQ_Lib[],MATCH(R$2,SP_ACQ_Lib[#Headers],0),FALSE)=0,"",VLOOKUP(CONCATENATE($A35,"_",R$1),SP_ACQ_Lib[],MATCH(R$2,SP_ACQ_Lib[#Headers],0),FALSE)),"")</f>
        <v/>
      </c>
      <c r="S35" s="253" t="str">
        <f>IFERROR(IF(VLOOKUP(CONCATENATE($A35,"_",S$1),SP_ACQ_Lib[],MATCH(S$2,SP_ACQ_Lib[#Headers],0),FALSE)=0,"",VLOOKUP(CONCATENATE($A35,"_",S$1),SP_ACQ_Lib[],MATCH(S$2,SP_ACQ_Lib[#Headers],0),FALSE)),"")</f>
        <v/>
      </c>
      <c r="T35" s="205">
        <f>IFERROR(VLOOKUP(CONCATENATE($A35,"_",T$1),SP_ACQ_Lib[],MATCH(T$2,SP_ACQ_Lib[#Headers],0),FALSE),0)</f>
        <v>0</v>
      </c>
      <c r="U35" s="250" t="str">
        <f>IFERROR(IF(VLOOKUP(CONCATENATE($A35,"_",U$1),SP_ACQ_Lib[],MATCH(U$2,SP_ACQ_Lib[#Headers],0),FALSE)=0,"",VLOOKUP(CONCATENATE($A35,"_",U$1),SP_ACQ_Lib[],MATCH(U$2,SP_ACQ_Lib[#Headers],0),FALSE)),"")</f>
        <v/>
      </c>
      <c r="V35" s="205">
        <f>IFERROR(VLOOKUP(CONCATENATE($A35,"_",V$1),SP_ACQ_Lib[],MATCH(V$2,SP_ACQ_Lib[#Headers],0),FALSE),0)</f>
        <v>0</v>
      </c>
      <c r="W35" s="209">
        <f>IFERROR(VLOOKUP(CONCATENATE($A35,"_",W$1),SP_ACQ_Lib[],MATCH(W$2,SP_ACQ_Lib[#Headers],0),FALSE),0)</f>
        <v>0</v>
      </c>
      <c r="X35" s="250">
        <f>IFERROR(VLOOKUP($A35,SP_AcqTract_DB[],MATCH(X$2,SP_AcqTract_DB[#Headers],0),FALSE),"")</f>
        <v>0</v>
      </c>
      <c r="Y35" s="237">
        <f>IFERROR(VLOOKUP($A35,SP_AcqTract_DB[],MATCH(Y$2,SP_AcqTract_DB[#Headers],0),FALSE),"")</f>
        <v>0.36219008264462799</v>
      </c>
      <c r="Z35" s="229">
        <f>IFERROR(VLOOKUP($A35,SP_AcqTract_DB[],MATCH(Z$2,SP_AcqTract_DB[#Headers],0),FALSE),"")</f>
        <v>15777</v>
      </c>
      <c r="AA35" s="229" t="str">
        <f>IFERROR(VLOOKUP($A35,SP_AcqTract_DB[],MATCH(AA$2,SP_AcqTract_DB[#Headers],0),FALSE),"")</f>
        <v>Yes</v>
      </c>
      <c r="AB35" s="250">
        <f>IFERROR(IF(VLOOKUP(CONCATENATE($A35,"_",AB$1),SP_ACQ_Lib[],MATCH(AB$2,SP_ACQ_Lib[#Headers],0),FALSE)=0,"",VLOOKUP(CONCATENATE($A35,"_",AB$1),SP_ACQ_Lib[],MATCH(AB$2,SP_ACQ_Lib[#Headers],0),FALSE)),"")</f>
        <v>43901</v>
      </c>
      <c r="AC35" s="250">
        <f>IFERROR(IF(VLOOKUP(CONCATENATE($A35,"_",AC$1),SP_ACQ_Lib[],MATCH(AC$2,SP_ACQ_Lib[#Headers],0),FALSE)=0,"",VLOOKUP(CONCATENATE($A35,"_",AC$1),SP_ACQ_Lib[],MATCH(AC$2,SP_ACQ_Lib[#Headers],0),FALSE)),"")</f>
        <v>43913</v>
      </c>
      <c r="AD35" s="229" t="str">
        <f>IFERROR(VLOOKUP($A35,SP_AcqTract_DB[],MATCH(AD$2,SP_AcqTract_DB[#Headers],0),FALSE),"")</f>
        <v>Yes</v>
      </c>
      <c r="AE35" s="250">
        <f>IFERROR(IF(VLOOKUP(CONCATENATE($A35,"_",AE$1),SP_ACQ_Lib[],MATCH(AE$2,SP_ACQ_Lib[#Headers],0),FALSE)=0,"",VLOOKUP(CONCATENATE($A35,"_",AE$1),SP_ACQ_Lib[],MATCH(AE$2,SP_ACQ_Lib[#Headers],0),FALSE)),"")</f>
        <v>43901</v>
      </c>
      <c r="AF35" s="250">
        <f>IFERROR(IF(VLOOKUP(CONCATENATE($A35,"_",AF$1),SP_ACQ_Lib[],MATCH(AF$2,SP_ACQ_Lib[#Headers],0),FALSE)=0,"",VLOOKUP(CONCATENATE($A35,"_",AF$1),SP_ACQ_Lib[],MATCH(AF$2,SP_ACQ_Lib[#Headers],0),FALSE)),"")</f>
        <v>43948</v>
      </c>
      <c r="AG35" s="250" t="str">
        <f>IFERROR(IF(VLOOKUP(CONCATENATE($A35,"_",AG$1),SP_ACQ_Lib[],MATCH(AG$2,SP_ACQ_Lib[#Headers],0),FALSE)=0,"",VLOOKUP(CONCATENATE($A35,"_",AG$1),SP_ACQ_Lib[],MATCH(AG$2,SP_ACQ_Lib[#Headers],0),FALSE)),"")</f>
        <v/>
      </c>
      <c r="AH35" s="250" t="str">
        <f>IFERROR(IF(VLOOKUP(CONCATENATE($A35,"_",AH$1),SP_ACQ_Lib[],MATCH(AH$2,SP_ACQ_Lib[#Headers],0),FALSE)=0,"",VLOOKUP(CONCATENATE($A35,"_",AH$1),SP_ACQ_Lib[],MATCH(AH$2,SP_ACQ_Lib[#Headers],0),FALSE)),"")</f>
        <v/>
      </c>
      <c r="AI35" s="249" t="str">
        <f>IFERROR(IF(VLOOKUP(CONCATENATE($A35,"_",AI$1),SP_ACQ_Lib[],MATCH(AI$2,SP_ACQ_Lib[#Headers],0),FALSE)=0,"",VLOOKUP(CONCATENATE($A35,"_",AI$1),SP_ACQ_Lib[],MATCH(AI$2,SP_ACQ_Lib[#Headers],0),FALSE)),"")</f>
        <v/>
      </c>
      <c r="AJ35" s="249" t="str">
        <f>IFERROR(IF(VLOOKUP(CONCATENATE($A35,"_",AJ$1),SP_ACQ_Lib[],MATCH(AJ$2,SP_ACQ_Lib[#Headers],0),FALSE)=0,"",VLOOKUP(CONCATENATE($A35,"_",AJ$1),SP_ACQ_Lib[],MATCH(AJ$2,SP_ACQ_Lib[#Headers],0),FALSE)),"")</f>
        <v/>
      </c>
      <c r="AK35" s="249" t="str">
        <f>IFERROR(IF(VLOOKUP(CONCATENATE($A35,"_",AK$1),SP_ACQ_Lib[],MATCH(AK$2,SP_ACQ_Lib[#Headers],0),FALSE)=0,"",VLOOKUP(CONCATENATE($A35,"_",AK$1),SP_ACQ_Lib[],MATCH(AK$2,SP_ACQ_Lib[#Headers],0),FALSE)),"")</f>
        <v/>
      </c>
      <c r="AL35" s="249">
        <f>IFERROR(VLOOKUP($A35,SP_AcqTract_DB[],MATCH(AL$2,SP_AcqTract_DB[#Headers],0),FALSE),"")</f>
        <v>0</v>
      </c>
      <c r="AM35" s="227">
        <f>IFERROR(VLOOKUP($A35,SP_AcqTract_DB[],MATCH(AM$2,SP_AcqTract_DB[#Headers],0),FALSE),"")</f>
        <v>0</v>
      </c>
      <c r="AN35" s="227">
        <f>IFERROR(VLOOKUP($A35,SP_AcqTract_DB[],MATCH(AN$2,SP_AcqTract_DB[#Headers],0),FALSE),"")</f>
        <v>0</v>
      </c>
      <c r="AO35" s="228">
        <f>IFERROR(VLOOKUP($A35,SP_AcqTract_DB[],MATCH(AO$2,SP_AcqTract_DB[#Headers],0),FALSE),"")</f>
        <v>0</v>
      </c>
      <c r="AP35" s="210">
        <f>IFERROR(VLOOKUP($A35,SP_AcqTract_DB[],MATCH(AP$2,SP_AcqTract_DB[#Headers],0),FALSE),"")</f>
        <v>0</v>
      </c>
      <c r="AQ35" s="252" t="str">
        <f>IFERROR(IF(VLOOKUP(CONCATENATE($A35,"_",AQ$1),SP_ACQ_Lib[],MATCH(AQ$2,SP_ACQ_Lib[#Headers],0),FALSE)=0,"",VLOOKUP(CONCATENATE($A35,"_",AQ$1),SP_ACQ_Lib[],MATCH(AQ$2,SP_ACQ_Lib[#Headers],0),FALSE)),"")</f>
        <v/>
      </c>
      <c r="AR35" s="250" t="str">
        <f>IFERROR(IF(VLOOKUP(CONCATENATE($A35,"_",AR$1),SP_ACQ_Lib[],MATCH(AR$2,SP_ACQ_Lib[#Headers],0),FALSE)=0,"",VLOOKUP(CONCATENATE($A35,"_",AR$1),SP_ACQ_Lib[],MATCH(AR$2,SP_ACQ_Lib[#Headers],0),FALSE)),"")</f>
        <v/>
      </c>
      <c r="AS35" s="249" t="str">
        <f>IFERROR(IF(VLOOKUP(CONCATENATE($A35,"_",AS$1),SP_ACQ_Lib[],MATCH(AS$2,SP_ACQ_Lib[#Headers],0),FALSE)=0,"",VLOOKUP(CONCATENATE($A35,"_",AS$1),SP_ACQ_Lib[],MATCH(AS$2,SP_ACQ_Lib[#Headers],0),FALSE)),"")</f>
        <v/>
      </c>
      <c r="AT35" s="251" t="str">
        <f>IFERROR(IF(VLOOKUP(CONCATENATE($A35,"_",AT$1),SP_ACQ_Lib[],MATCH(AT$2,SP_ACQ_Lib[#Headers],0),FALSE)=0,"",VLOOKUP(CONCATENATE($A35,"_",AT$1),SP_ACQ_Lib[],MATCH(AT$2,SP_ACQ_Lib[#Headers],0),FALSE)),"")</f>
        <v/>
      </c>
      <c r="AU35" s="251" t="str">
        <f>IFERROR(IF(VLOOKUP(CONCATENATE($A35,"_",AU$1),SP_ACQ_Lib[],MATCH(AU$2,SP_ACQ_Lib[#Headers],0),FALSE)=0,"",VLOOKUP(CONCATENATE($A35,"_",AU$1),SP_ACQ_Lib[],MATCH(AU$2,SP_ACQ_Lib[#Headers],0),FALSE)),"")</f>
        <v/>
      </c>
      <c r="AV35" s="225" t="str">
        <f>IFERROR(IF(VLOOKUP(CONCATENATE($A35,"_",AV$1),SP_ACQ_Lib[],MATCH(AV$2,SP_ACQ_Lib[#Headers],0),FALSE)=0,"",VLOOKUP(CONCATENATE($A35,"_",AV$1),SP_ACQ_Lib[],MATCH(AV$2,SP_ACQ_Lib[#Headers],0),FALSE)),"")</f>
        <v/>
      </c>
      <c r="AW35" s="251" t="str">
        <f>IFERROR(IF(VLOOKUP(CONCATENATE($A35,"_",AW$1),SP_ACQ_Lib[],MATCH(AW$2,SP_ACQ_Lib[#Headers],0),FALSE)=0,"",VLOOKUP(CONCATENATE($A35,"_",AW$1),SP_ACQ_Lib[],MATCH(AW$2,SP_ACQ_Lib[#Headers],0),FALSE)),"")</f>
        <v/>
      </c>
      <c r="AX35" s="251" t="str">
        <f>IFERROR(IF(VLOOKUP(CONCATENATE($A35,"_",AX$1),SP_ACQ_Lib[],MATCH(AX$2,SP_ACQ_Lib[#Headers],0),FALSE)=0,"",VLOOKUP(CONCATENATE($A35,"_",AX$1),SP_ACQ_Lib[],MATCH(AX$2,SP_ACQ_Lib[#Headers],0),FALSE)),"")</f>
        <v/>
      </c>
      <c r="AY35" s="251" t="str">
        <f>IFERROR(IF(VLOOKUP(CONCATENATE($A35,"_",AY$1),SP_ACQ_Lib[],MATCH(AY$2,SP_ACQ_Lib[#Headers],0),FALSE)=0,"",VLOOKUP(CONCATENATE($A35,"_",AY$1),SP_ACQ_Lib[],MATCH(AY$2,SP_ACQ_Lib[#Headers],0),FALSE)),"")</f>
        <v/>
      </c>
      <c r="AZ35" s="251" t="str">
        <f>IFERROR(IF(VLOOKUP(CONCATENATE($A35,"_",AZ$1),SP_ACQ_Lib[],MATCH(AZ$2,SP_ACQ_Lib[#Headers],0),FALSE)=0,"",VLOOKUP(CONCATENATE($A35,"_",AZ$1),SP_ACQ_Lib[],MATCH(AZ$2,SP_ACQ_Lib[#Headers],0),FALSE)),"")</f>
        <v/>
      </c>
      <c r="BA35" s="251" t="str">
        <f>IFERROR(IF(VLOOKUP(CONCATENATE($A35,"_",BA$1),SP_ACQ_Lib[],MATCH(BA$2,SP_ACQ_Lib[#Headers],0),FALSE)=0,"",VLOOKUP(CONCATENATE($A35,"_",BA$1),SP_ACQ_Lib[],MATCH(BA$2,SP_ACQ_Lib[#Headers],0),FALSE)),"")</f>
        <v/>
      </c>
      <c r="BB35" s="224">
        <f>IFERROR(VLOOKUP(CONCATENATE($A35,"_",BB$1),SP_ACQ_Lib[],MATCH(BB$2,SP_ACQ_Lib[#Headers],0),FALSE),0)</f>
        <v>0</v>
      </c>
      <c r="BC35" s="231">
        <f>IFERROR(VLOOKUP($A35,SP_AcqTract_DB[],MATCH(BC$2,SP_AcqTract_DB[#Headers],0),FALSE),"")</f>
        <v>0</v>
      </c>
      <c r="BD35" s="231">
        <f>IFERROR(VLOOKUP($A35,SP_AcqTract_DB[],MATCH(BD$2,SP_AcqTract_DB[#Headers],0),FALSE),"")</f>
        <v>0</v>
      </c>
      <c r="BE35" s="249" t="str">
        <f>IFERROR(IF(VLOOKUP(CONCATENATE($A35,"_",BE$1),SP_ACQ_Lib[],MATCH(BE$2,SP_ACQ_Lib[#Headers],0),FALSE)=0,"",VLOOKUP(CONCATENATE($A35,"_",BE$1),SP_ACQ_Lib[],MATCH(BE$2,SP_ACQ_Lib[#Headers],0),FALSE)),"")</f>
        <v/>
      </c>
      <c r="BF35" s="249" t="str">
        <f>IFERROR(IF(VLOOKUP(CONCATENATE($A35,"_",BF$1),SP_ACQ_Lib[],MATCH(BF$2,SP_ACQ_Lib[#Headers],0),FALSE)=0,"",VLOOKUP(CONCATENATE($A35,"_",BF$1),SP_ACQ_Lib[],MATCH(BF$2,SP_ACQ_Lib[#Headers],0),FALSE)),"")</f>
        <v/>
      </c>
      <c r="BG35" s="249" t="str">
        <f>IFERROR(IF(VLOOKUP(CONCATENATE($A35,"_",BG$1),SP_ACQ_Lib[],MATCH(BG$2,SP_ACQ_Lib[#Headers],0),FALSE)=0,"",VLOOKUP(CONCATENATE($A35,"_",BG$1),SP_ACQ_Lib[],MATCH(BG$2,SP_ACQ_Lib[#Headers],0),FALSE)),"")</f>
        <v/>
      </c>
      <c r="BH35" s="249" t="str">
        <f>IFERROR(IF(VLOOKUP(CONCATENATE($A35,"_",BH$1),SP_ACQ_Lib[],MATCH(BH$2,SP_ACQ_Lib[#Headers],0),FALSE)=0,"",VLOOKUP(CONCATENATE($A35,"_",BH$1),SP_ACQ_Lib[],MATCH(BH$2,SP_ACQ_Lib[#Headers],0),FALSE)),"")</f>
        <v/>
      </c>
      <c r="BI35" s="249" t="str">
        <f>IFERROR(IF(VLOOKUP(CONCATENATE($A35,"_",BI$1),SP_ACQ_Lib[],MATCH(BI$2,SP_ACQ_Lib[#Headers],0),FALSE)=0,"",VLOOKUP(CONCATENATE($A35,"_",BI$1),SP_ACQ_Lib[],MATCH(BI$2,SP_ACQ_Lib[#Headers],0),FALSE)),"")</f>
        <v/>
      </c>
      <c r="BJ35" s="249" t="str">
        <f>IFERROR(IF(VLOOKUP(CONCATENATE($A35,"_",BJ$1),SP_ACQ_Lib[],MATCH(BJ$2,SP_ACQ_Lib[#Headers],0),FALSE)=0,"",VLOOKUP(CONCATENATE($A35,"_",BJ$1),SP_ACQ_Lib[],MATCH(BJ$2,SP_ACQ_Lib[#Headers],0),FALSE)),"")</f>
        <v/>
      </c>
      <c r="BK35" s="250" t="str">
        <f>IFERROR(IF(VLOOKUP(CONCATENATE($A35,"_",BK$1),SP_ACQ_Lib[],MATCH(BK$2,SP_ACQ_Lib[#Headers],0),FALSE)=0,"",VLOOKUP(CONCATENATE($A35,"_",BK$1),SP_ACQ_Lib[],MATCH(BK$2,SP_ACQ_Lib[#Headers],0),FALSE)),"")</f>
        <v/>
      </c>
      <c r="BL35" s="249" t="str">
        <f>IFERROR(IF(VLOOKUP(CONCATENATE($A35,"_",BL$1),SP_ACQ_Lib[],MATCH(BL$2,SP_ACQ_Lib[#Headers],0),FALSE)=0,"",VLOOKUP(CONCATENATE($A35,"_",BL$1),SP_ACQ_Lib[],MATCH(BL$2,SP_ACQ_Lib[#Headers],0),FALSE)),"")</f>
        <v/>
      </c>
      <c r="BM35" s="249" t="str">
        <f>IFERROR(IF(VLOOKUP(CONCATENATE($A35,"_",BM$1),SP_ACQ_Lib[],MATCH(BM$2,SP_ACQ_Lib[#Headers],0),FALSE)=0,"",VLOOKUP(CONCATENATE($A35,"_",BM$1),SP_ACQ_Lib[],MATCH(BM$2,SP_ACQ_Lib[#Headers],0),FALSE)),"")</f>
        <v/>
      </c>
      <c r="BN35" s="249" t="str">
        <f>IFERROR(IF(VLOOKUP(CONCATENATE($A35,"_",BN$1),SP_ACQ_Lib[],MATCH(BN$2,SP_ACQ_Lib[#Headers],0),FALSE)=0,"",VLOOKUP(CONCATENATE($A35,"_",BN$1),SP_ACQ_Lib[],MATCH(BN$2,SP_ACQ_Lib[#Headers],0),FALSE)),"")</f>
        <v/>
      </c>
    </row>
    <row r="36" spans="1:66" s="226" customFormat="1" ht="38.25" x14ac:dyDescent="0.2">
      <c r="A36" s="192" t="s">
        <v>3302</v>
      </c>
      <c r="B36" s="227"/>
      <c r="C36" s="228" t="str">
        <f>IFERROR(VLOOKUP($A36,SP_AcqTract_DB[],MATCH(C$2,SP_AcqTract_DB[#Headers],0),FALSE),"")</f>
        <v>PH1</v>
      </c>
      <c r="D36" s="208" t="str">
        <f>IFERROR(VLOOKUP($A36,SP_AcqTract_DB[],MATCH(D$2,SP_AcqTract_DB[#Headers],0),FALSE),"")</f>
        <v>Active</v>
      </c>
      <c r="E36" s="208">
        <f>IFERROR(VLOOKUP($A36,SP_AcqTract_DB[],MATCH(E$2,SP_AcqTract_DB[#Headers],0),FALSE),"")</f>
        <v>2</v>
      </c>
      <c r="F36" s="227" t="str">
        <f>IFERROR(VLOOKUP($A36,SP_AcqTract_DB[],MATCH(F$2,SP_AcqTract_DB[#Headers],0),FALSE),"")</f>
        <v>Flowage Esmt/Levee Esmt</v>
      </c>
      <c r="G36" s="227">
        <f>IFERROR(VLOOKUP($A36,SP_AcqTract_DB[],MATCH(G$2,SP_AcqTract_DB[#Headers],0),FALSE),"")</f>
        <v>0</v>
      </c>
      <c r="H36" s="250" t="str">
        <f>IFERROR(IF(VLOOKUP(CONCATENATE($A36,"_",H$1),SP_ACQ_Lib[],MATCH(H$2,SP_ACQ_Lib[#Headers],0),FALSE)=0,"",VLOOKUP(CONCATENATE($A36,"_",H$1),SP_ACQ_Lib[],MATCH(H$2,SP_ACQ_Lib[#Headers],0),FALSE)),"")</f>
        <v/>
      </c>
      <c r="I36" s="227" t="str">
        <f>IFERROR(VLOOKUP($A36,SP_AcqTract_DB[],MATCH(I$2,SP_AcqTract_DB[#Headers],0),FALSE),"")</f>
        <v>City of Wharton</v>
      </c>
      <c r="J36" s="227">
        <f>IFERROR(VLOOKUP($A36,SP_AcqTract_DB[],MATCH(J$2,SP_AcqTract_DB[#Headers],0),FALSE),"")</f>
        <v>0</v>
      </c>
      <c r="K36" s="227">
        <f>IFERROR(VLOOKUP($A36,SP_AcqTract_DB[],MATCH(K$2,SP_AcqTract_DB[#Headers],0),FALSE),"")</f>
        <v>0</v>
      </c>
      <c r="L36" s="227">
        <f>IFERROR(VLOOKUP($A36,SP_AcqTract_DB[],MATCH(L$2,SP_AcqTract_DB[#Headers],0),FALSE),"")</f>
        <v>0</v>
      </c>
      <c r="M36" s="208">
        <f>IFERROR(VLOOKUP($A36,SP_AcqTract_DB[],MATCH(M$2,SP_AcqTract_DB[#Headers],0),FALSE),"")</f>
        <v>0</v>
      </c>
      <c r="N36" s="227">
        <f>IFERROR(VLOOKUP($A36,SP_AcqTract_DB[],MATCH(N$2,SP_AcqTract_DB[#Headers],0),FALSE),"")</f>
        <v>0</v>
      </c>
      <c r="O36" s="220">
        <f>IFERROR(VLOOKUP($A36,SP_AcqTract_DB[],MATCH(O$2,SP_AcqTract_DB[#Headers],0),FALSE),"")</f>
        <v>0</v>
      </c>
      <c r="P36" s="220">
        <f>IFERROR(VLOOKUP($A36,SP_AcqTract_DB[],MATCH(P$2,SP_AcqTract_DB[#Headers],0),FALSE),"")</f>
        <v>0</v>
      </c>
      <c r="Q36" s="208">
        <f>IFERROR(VLOOKUP($A36,SP_AcqTract_DB[],MATCH(Q$2,SP_AcqTract_DB[#Headers],0),FALSE),"")</f>
        <v>0</v>
      </c>
      <c r="R36" s="250" t="str">
        <f>IFERROR(IF(VLOOKUP(CONCATENATE($A36,"_",R$1),SP_ACQ_Lib[],MATCH(R$2,SP_ACQ_Lib[#Headers],0),FALSE)=0,"",VLOOKUP(CONCATENATE($A36,"_",R$1),SP_ACQ_Lib[],MATCH(R$2,SP_ACQ_Lib[#Headers],0),FALSE)),"")</f>
        <v/>
      </c>
      <c r="S36" s="253" t="str">
        <f>IFERROR(IF(VLOOKUP(CONCATENATE($A36,"_",S$1),SP_ACQ_Lib[],MATCH(S$2,SP_ACQ_Lib[#Headers],0),FALSE)=0,"",VLOOKUP(CONCATENATE($A36,"_",S$1),SP_ACQ_Lib[],MATCH(S$2,SP_ACQ_Lib[#Headers],0),FALSE)),"")</f>
        <v/>
      </c>
      <c r="T36" s="205">
        <f>IFERROR(VLOOKUP(CONCATENATE($A36,"_",T$1),SP_ACQ_Lib[],MATCH(T$2,SP_ACQ_Lib[#Headers],0),FALSE),0)</f>
        <v>0</v>
      </c>
      <c r="U36" s="250" t="str">
        <f>IFERROR(IF(VLOOKUP(CONCATENATE($A36,"_",U$1),SP_ACQ_Lib[],MATCH(U$2,SP_ACQ_Lib[#Headers],0),FALSE)=0,"",VLOOKUP(CONCATENATE($A36,"_",U$1),SP_ACQ_Lib[],MATCH(U$2,SP_ACQ_Lib[#Headers],0),FALSE)),"")</f>
        <v/>
      </c>
      <c r="V36" s="205">
        <f>IFERROR(VLOOKUP(CONCATENATE($A36,"_",V$1),SP_ACQ_Lib[],MATCH(V$2,SP_ACQ_Lib[#Headers],0),FALSE),0)</f>
        <v>0</v>
      </c>
      <c r="W36" s="209">
        <f>IFERROR(VLOOKUP(CONCATENATE($A36,"_",W$1),SP_ACQ_Lib[],MATCH(W$2,SP_ACQ_Lib[#Headers],0),FALSE),0)</f>
        <v>0</v>
      </c>
      <c r="X36" s="250">
        <f>IFERROR(VLOOKUP($A36,SP_AcqTract_DB[],MATCH(X$2,SP_AcqTract_DB[#Headers],0),FALSE),"")</f>
        <v>0</v>
      </c>
      <c r="Y36" s="237">
        <f>IFERROR(VLOOKUP($A36,SP_AcqTract_DB[],MATCH(Y$2,SP_AcqTract_DB[#Headers],0),FALSE),"")</f>
        <v>0</v>
      </c>
      <c r="Z36" s="229">
        <f>IFERROR(VLOOKUP($A36,SP_AcqTract_DB[],MATCH(Z$2,SP_AcqTract_DB[#Headers],0),FALSE),"")</f>
        <v>0</v>
      </c>
      <c r="AA36" s="229" t="str">
        <f>IFERROR(VLOOKUP($A36,SP_AcqTract_DB[],MATCH(AA$2,SP_AcqTract_DB[#Headers],0),FALSE),"")</f>
        <v>No</v>
      </c>
      <c r="AB36" s="250" t="str">
        <f>IFERROR(IF(VLOOKUP(CONCATENATE($A36,"_",AB$1),SP_ACQ_Lib[],MATCH(AB$2,SP_ACQ_Lib[#Headers],0),FALSE)=0,"",VLOOKUP(CONCATENATE($A36,"_",AB$1),SP_ACQ_Lib[],MATCH(AB$2,SP_ACQ_Lib[#Headers],0),FALSE)),"")</f>
        <v/>
      </c>
      <c r="AC36" s="250" t="str">
        <f>IFERROR(IF(VLOOKUP(CONCATENATE($A36,"_",AC$1),SP_ACQ_Lib[],MATCH(AC$2,SP_ACQ_Lib[#Headers],0),FALSE)=0,"",VLOOKUP(CONCATENATE($A36,"_",AC$1),SP_ACQ_Lib[],MATCH(AC$2,SP_ACQ_Lib[#Headers],0),FALSE)),"")</f>
        <v/>
      </c>
      <c r="AD36" s="229" t="str">
        <f>IFERROR(VLOOKUP($A36,SP_AcqTract_DB[],MATCH(AD$2,SP_AcqTract_DB[#Headers],0),FALSE),"")</f>
        <v>Yes</v>
      </c>
      <c r="AE36" s="250">
        <f>IFERROR(IF(VLOOKUP(CONCATENATE($A36,"_",AE$1),SP_ACQ_Lib[],MATCH(AE$2,SP_ACQ_Lib[#Headers],0),FALSE)=0,"",VLOOKUP(CONCATENATE($A36,"_",AE$1),SP_ACQ_Lib[],MATCH(AE$2,SP_ACQ_Lib[#Headers],0),FALSE)),"")</f>
        <v>43917</v>
      </c>
      <c r="AF36" s="250">
        <f>IFERROR(IF(VLOOKUP(CONCATENATE($A36,"_",AF$1),SP_ACQ_Lib[],MATCH(AF$2,SP_ACQ_Lib[#Headers],0),FALSE)=0,"",VLOOKUP(CONCATENATE($A36,"_",AF$1),SP_ACQ_Lib[],MATCH(AF$2,SP_ACQ_Lib[#Headers],0),FALSE)),"")</f>
        <v>43948</v>
      </c>
      <c r="AG36" s="250" t="str">
        <f>IFERROR(IF(VLOOKUP(CONCATENATE($A36,"_",AG$1),SP_ACQ_Lib[],MATCH(AG$2,SP_ACQ_Lib[#Headers],0),FALSE)=0,"",VLOOKUP(CONCATENATE($A36,"_",AG$1),SP_ACQ_Lib[],MATCH(AG$2,SP_ACQ_Lib[#Headers],0),FALSE)),"")</f>
        <v/>
      </c>
      <c r="AH36" s="250" t="str">
        <f>IFERROR(IF(VLOOKUP(CONCATENATE($A36,"_",AH$1),SP_ACQ_Lib[],MATCH(AH$2,SP_ACQ_Lib[#Headers],0),FALSE)=0,"",VLOOKUP(CONCATENATE($A36,"_",AH$1),SP_ACQ_Lib[],MATCH(AH$2,SP_ACQ_Lib[#Headers],0),FALSE)),"")</f>
        <v/>
      </c>
      <c r="AI36" s="249" t="str">
        <f>IFERROR(IF(VLOOKUP(CONCATENATE($A36,"_",AI$1),SP_ACQ_Lib[],MATCH(AI$2,SP_ACQ_Lib[#Headers],0),FALSE)=0,"",VLOOKUP(CONCATENATE($A36,"_",AI$1),SP_ACQ_Lib[],MATCH(AI$2,SP_ACQ_Lib[#Headers],0),FALSE)),"")</f>
        <v/>
      </c>
      <c r="AJ36" s="249" t="str">
        <f>IFERROR(IF(VLOOKUP(CONCATENATE($A36,"_",AJ$1),SP_ACQ_Lib[],MATCH(AJ$2,SP_ACQ_Lib[#Headers],0),FALSE)=0,"",VLOOKUP(CONCATENATE($A36,"_",AJ$1),SP_ACQ_Lib[],MATCH(AJ$2,SP_ACQ_Lib[#Headers],0),FALSE)),"")</f>
        <v/>
      </c>
      <c r="AK36" s="249" t="str">
        <f>IFERROR(IF(VLOOKUP(CONCATENATE($A36,"_",AK$1),SP_ACQ_Lib[],MATCH(AK$2,SP_ACQ_Lib[#Headers],0),FALSE)=0,"",VLOOKUP(CONCATENATE($A36,"_",AK$1),SP_ACQ_Lib[],MATCH(AK$2,SP_ACQ_Lib[#Headers],0),FALSE)),"")</f>
        <v/>
      </c>
      <c r="AL36" s="249">
        <f>IFERROR(VLOOKUP($A36,SP_AcqTract_DB[],MATCH(AL$2,SP_AcqTract_DB[#Headers],0),FALSE),"")</f>
        <v>0</v>
      </c>
      <c r="AM36" s="227">
        <f>IFERROR(VLOOKUP($A36,SP_AcqTract_DB[],MATCH(AM$2,SP_AcqTract_DB[#Headers],0),FALSE),"")</f>
        <v>0</v>
      </c>
      <c r="AN36" s="227">
        <f>IFERROR(VLOOKUP($A36,SP_AcqTract_DB[],MATCH(AN$2,SP_AcqTract_DB[#Headers],0),FALSE),"")</f>
        <v>0</v>
      </c>
      <c r="AO36" s="228">
        <f>IFERROR(VLOOKUP($A36,SP_AcqTract_DB[],MATCH(AO$2,SP_AcqTract_DB[#Headers],0),FALSE),"")</f>
        <v>0</v>
      </c>
      <c r="AP36" s="210">
        <f>IFERROR(VLOOKUP($A36,SP_AcqTract_DB[],MATCH(AP$2,SP_AcqTract_DB[#Headers],0),FALSE),"")</f>
        <v>0</v>
      </c>
      <c r="AQ36" s="252" t="str">
        <f>IFERROR(IF(VLOOKUP(CONCATENATE($A36,"_",AQ$1),SP_ACQ_Lib[],MATCH(AQ$2,SP_ACQ_Lib[#Headers],0),FALSE)=0,"",VLOOKUP(CONCATENATE($A36,"_",AQ$1),SP_ACQ_Lib[],MATCH(AQ$2,SP_ACQ_Lib[#Headers],0),FALSE)),"")</f>
        <v/>
      </c>
      <c r="AR36" s="250" t="str">
        <f>IFERROR(IF(VLOOKUP(CONCATENATE($A36,"_",AR$1),SP_ACQ_Lib[],MATCH(AR$2,SP_ACQ_Lib[#Headers],0),FALSE)=0,"",VLOOKUP(CONCATENATE($A36,"_",AR$1),SP_ACQ_Lib[],MATCH(AR$2,SP_ACQ_Lib[#Headers],0),FALSE)),"")</f>
        <v/>
      </c>
      <c r="AS36" s="249" t="str">
        <f>IFERROR(IF(VLOOKUP(CONCATENATE($A36,"_",AS$1),SP_ACQ_Lib[],MATCH(AS$2,SP_ACQ_Lib[#Headers],0),FALSE)=0,"",VLOOKUP(CONCATENATE($A36,"_",AS$1),SP_ACQ_Lib[],MATCH(AS$2,SP_ACQ_Lib[#Headers],0),FALSE)),"")</f>
        <v/>
      </c>
      <c r="AT36" s="251" t="str">
        <f>IFERROR(IF(VLOOKUP(CONCATENATE($A36,"_",AT$1),SP_ACQ_Lib[],MATCH(AT$2,SP_ACQ_Lib[#Headers],0),FALSE)=0,"",VLOOKUP(CONCATENATE($A36,"_",AT$1),SP_ACQ_Lib[],MATCH(AT$2,SP_ACQ_Lib[#Headers],0),FALSE)),"")</f>
        <v/>
      </c>
      <c r="AU36" s="251" t="str">
        <f>IFERROR(IF(VLOOKUP(CONCATENATE($A36,"_",AU$1),SP_ACQ_Lib[],MATCH(AU$2,SP_ACQ_Lib[#Headers],0),FALSE)=0,"",VLOOKUP(CONCATENATE($A36,"_",AU$1),SP_ACQ_Lib[],MATCH(AU$2,SP_ACQ_Lib[#Headers],0),FALSE)),"")</f>
        <v/>
      </c>
      <c r="AV36" s="225" t="str">
        <f>IFERROR(IF(VLOOKUP(CONCATENATE($A36,"_",AV$1),SP_ACQ_Lib[],MATCH(AV$2,SP_ACQ_Lib[#Headers],0),FALSE)=0,"",VLOOKUP(CONCATENATE($A36,"_",AV$1),SP_ACQ_Lib[],MATCH(AV$2,SP_ACQ_Lib[#Headers],0),FALSE)),"")</f>
        <v/>
      </c>
      <c r="AW36" s="251" t="str">
        <f>IFERROR(IF(VLOOKUP(CONCATENATE($A36,"_",AW$1),SP_ACQ_Lib[],MATCH(AW$2,SP_ACQ_Lib[#Headers],0),FALSE)=0,"",VLOOKUP(CONCATENATE($A36,"_",AW$1),SP_ACQ_Lib[],MATCH(AW$2,SP_ACQ_Lib[#Headers],0),FALSE)),"")</f>
        <v/>
      </c>
      <c r="AX36" s="251" t="str">
        <f>IFERROR(IF(VLOOKUP(CONCATENATE($A36,"_",AX$1),SP_ACQ_Lib[],MATCH(AX$2,SP_ACQ_Lib[#Headers],0),FALSE)=0,"",VLOOKUP(CONCATENATE($A36,"_",AX$1),SP_ACQ_Lib[],MATCH(AX$2,SP_ACQ_Lib[#Headers],0),FALSE)),"")</f>
        <v/>
      </c>
      <c r="AY36" s="251" t="str">
        <f>IFERROR(IF(VLOOKUP(CONCATENATE($A36,"_",AY$1),SP_ACQ_Lib[],MATCH(AY$2,SP_ACQ_Lib[#Headers],0),FALSE)=0,"",VLOOKUP(CONCATENATE($A36,"_",AY$1),SP_ACQ_Lib[],MATCH(AY$2,SP_ACQ_Lib[#Headers],0),FALSE)),"")</f>
        <v/>
      </c>
      <c r="AZ36" s="251" t="str">
        <f>IFERROR(IF(VLOOKUP(CONCATENATE($A36,"_",AZ$1),SP_ACQ_Lib[],MATCH(AZ$2,SP_ACQ_Lib[#Headers],0),FALSE)=0,"",VLOOKUP(CONCATENATE($A36,"_",AZ$1),SP_ACQ_Lib[],MATCH(AZ$2,SP_ACQ_Lib[#Headers],0),FALSE)),"")</f>
        <v/>
      </c>
      <c r="BA36" s="251" t="str">
        <f>IFERROR(IF(VLOOKUP(CONCATENATE($A36,"_",BA$1),SP_ACQ_Lib[],MATCH(BA$2,SP_ACQ_Lib[#Headers],0),FALSE)=0,"",VLOOKUP(CONCATENATE($A36,"_",BA$1),SP_ACQ_Lib[],MATCH(BA$2,SP_ACQ_Lib[#Headers],0),FALSE)),"")</f>
        <v/>
      </c>
      <c r="BB36" s="224">
        <f>IFERROR(VLOOKUP(CONCATENATE($A36,"_",BB$1),SP_ACQ_Lib[],MATCH(BB$2,SP_ACQ_Lib[#Headers],0),FALSE),0)</f>
        <v>0</v>
      </c>
      <c r="BC36" s="231">
        <f>IFERROR(VLOOKUP($A36,SP_AcqTract_DB[],MATCH(BC$2,SP_AcqTract_DB[#Headers],0),FALSE),"")</f>
        <v>0</v>
      </c>
      <c r="BD36" s="231">
        <f>IFERROR(VLOOKUP($A36,SP_AcqTract_DB[],MATCH(BD$2,SP_AcqTract_DB[#Headers],0),FALSE),"")</f>
        <v>0</v>
      </c>
      <c r="BE36" s="249" t="str">
        <f>IFERROR(IF(VLOOKUP(CONCATENATE($A36,"_",BE$1),SP_ACQ_Lib[],MATCH(BE$2,SP_ACQ_Lib[#Headers],0),FALSE)=0,"",VLOOKUP(CONCATENATE($A36,"_",BE$1),SP_ACQ_Lib[],MATCH(BE$2,SP_ACQ_Lib[#Headers],0),FALSE)),"")</f>
        <v/>
      </c>
      <c r="BF36" s="249" t="str">
        <f>IFERROR(IF(VLOOKUP(CONCATENATE($A36,"_",BF$1),SP_ACQ_Lib[],MATCH(BF$2,SP_ACQ_Lib[#Headers],0),FALSE)=0,"",VLOOKUP(CONCATENATE($A36,"_",BF$1),SP_ACQ_Lib[],MATCH(BF$2,SP_ACQ_Lib[#Headers],0),FALSE)),"")</f>
        <v/>
      </c>
      <c r="BG36" s="249" t="str">
        <f>IFERROR(IF(VLOOKUP(CONCATENATE($A36,"_",BG$1),SP_ACQ_Lib[],MATCH(BG$2,SP_ACQ_Lib[#Headers],0),FALSE)=0,"",VLOOKUP(CONCATENATE($A36,"_",BG$1),SP_ACQ_Lib[],MATCH(BG$2,SP_ACQ_Lib[#Headers],0),FALSE)),"")</f>
        <v/>
      </c>
      <c r="BH36" s="249" t="str">
        <f>IFERROR(IF(VLOOKUP(CONCATENATE($A36,"_",BH$1),SP_ACQ_Lib[],MATCH(BH$2,SP_ACQ_Lib[#Headers],0),FALSE)=0,"",VLOOKUP(CONCATENATE($A36,"_",BH$1),SP_ACQ_Lib[],MATCH(BH$2,SP_ACQ_Lib[#Headers],0),FALSE)),"")</f>
        <v/>
      </c>
      <c r="BI36" s="249" t="str">
        <f>IFERROR(IF(VLOOKUP(CONCATENATE($A36,"_",BI$1),SP_ACQ_Lib[],MATCH(BI$2,SP_ACQ_Lib[#Headers],0),FALSE)=0,"",VLOOKUP(CONCATENATE($A36,"_",BI$1),SP_ACQ_Lib[],MATCH(BI$2,SP_ACQ_Lib[#Headers],0),FALSE)),"")</f>
        <v/>
      </c>
      <c r="BJ36" s="249" t="str">
        <f>IFERROR(IF(VLOOKUP(CONCATENATE($A36,"_",BJ$1),SP_ACQ_Lib[],MATCH(BJ$2,SP_ACQ_Lib[#Headers],0),FALSE)=0,"",VLOOKUP(CONCATENATE($A36,"_",BJ$1),SP_ACQ_Lib[],MATCH(BJ$2,SP_ACQ_Lib[#Headers],0),FALSE)),"")</f>
        <v/>
      </c>
      <c r="BK36" s="250" t="str">
        <f>IFERROR(IF(VLOOKUP(CONCATENATE($A36,"_",BK$1),SP_ACQ_Lib[],MATCH(BK$2,SP_ACQ_Lib[#Headers],0),FALSE)=0,"",VLOOKUP(CONCATENATE($A36,"_",BK$1),SP_ACQ_Lib[],MATCH(BK$2,SP_ACQ_Lib[#Headers],0),FALSE)),"")</f>
        <v/>
      </c>
      <c r="BL36" s="249" t="str">
        <f>IFERROR(IF(VLOOKUP(CONCATENATE($A36,"_",BL$1),SP_ACQ_Lib[],MATCH(BL$2,SP_ACQ_Lib[#Headers],0),FALSE)=0,"",VLOOKUP(CONCATENATE($A36,"_",BL$1),SP_ACQ_Lib[],MATCH(BL$2,SP_ACQ_Lib[#Headers],0),FALSE)),"")</f>
        <v/>
      </c>
      <c r="BM36" s="249" t="str">
        <f>IFERROR(IF(VLOOKUP(CONCATENATE($A36,"_",BM$1),SP_ACQ_Lib[],MATCH(BM$2,SP_ACQ_Lib[#Headers],0),FALSE)=0,"",VLOOKUP(CONCATENATE($A36,"_",BM$1),SP_ACQ_Lib[],MATCH(BM$2,SP_ACQ_Lib[#Headers],0),FALSE)),"")</f>
        <v/>
      </c>
      <c r="BN36" s="249" t="str">
        <f>IFERROR(IF(VLOOKUP(CONCATENATE($A36,"_",BN$1),SP_ACQ_Lib[],MATCH(BN$2,SP_ACQ_Lib[#Headers],0),FALSE)=0,"",VLOOKUP(CONCATENATE($A36,"_",BN$1),SP_ACQ_Lib[],MATCH(BN$2,SP_ACQ_Lib[#Headers],0),FALSE)),"")</f>
        <v/>
      </c>
    </row>
    <row r="37" spans="1:66" s="226" customFormat="1" ht="15.75" x14ac:dyDescent="0.2">
      <c r="A37" s="192" t="s">
        <v>3305</v>
      </c>
      <c r="B37" s="227"/>
      <c r="C37" s="228" t="str">
        <f>IFERROR(VLOOKUP($A37,SP_AcqTract_DB[],MATCH(C$2,SP_AcqTract_DB[#Headers],0),FALSE),"")</f>
        <v>PH1</v>
      </c>
      <c r="D37" s="208" t="str">
        <f>IFERROR(VLOOKUP($A37,SP_AcqTract_DB[],MATCH(D$2,SP_AcqTract_DB[#Headers],0),FALSE),"")</f>
        <v>Active</v>
      </c>
      <c r="E37" s="208">
        <f>IFERROR(VLOOKUP($A37,SP_AcqTract_DB[],MATCH(E$2,SP_AcqTract_DB[#Headers],0),FALSE),"")</f>
        <v>1</v>
      </c>
      <c r="F37" s="227" t="str">
        <f>IFERROR(VLOOKUP($A37,SP_AcqTract_DB[],MATCH(F$2,SP_AcqTract_DB[#Headers],0),FALSE),"")</f>
        <v>Levee Esmt</v>
      </c>
      <c r="G37" s="227">
        <f>IFERROR(VLOOKUP($A37,SP_AcqTract_DB[],MATCH(G$2,SP_AcqTract_DB[#Headers],0),FALSE),"")</f>
        <v>0</v>
      </c>
      <c r="H37" s="250" t="str">
        <f>IFERROR(IF(VLOOKUP(CONCATENATE($A37,"_",H$1),SP_ACQ_Lib[],MATCH(H$2,SP_ACQ_Lib[#Headers],0),FALSE)=0,"",VLOOKUP(CONCATENATE($A37,"_",H$1),SP_ACQ_Lib[],MATCH(H$2,SP_ACQ_Lib[#Headers],0),FALSE)),"")</f>
        <v/>
      </c>
      <c r="I37" s="227" t="str">
        <f>IFERROR(VLOOKUP($A37,SP_AcqTract_DB[],MATCH(I$2,SP_AcqTract_DB[#Headers],0),FALSE),"")</f>
        <v>City of Wharton</v>
      </c>
      <c r="J37" s="227">
        <f>IFERROR(VLOOKUP($A37,SP_AcqTract_DB[],MATCH(J$2,SP_AcqTract_DB[#Headers],0),FALSE),"")</f>
        <v>0</v>
      </c>
      <c r="K37" s="227">
        <f>IFERROR(VLOOKUP($A37,SP_AcqTract_DB[],MATCH(K$2,SP_AcqTract_DB[#Headers],0),FALSE),"")</f>
        <v>0</v>
      </c>
      <c r="L37" s="227">
        <f>IFERROR(VLOOKUP($A37,SP_AcqTract_DB[],MATCH(L$2,SP_AcqTract_DB[#Headers],0),FALSE),"")</f>
        <v>0</v>
      </c>
      <c r="M37" s="208">
        <f>IFERROR(VLOOKUP($A37,SP_AcqTract_DB[],MATCH(M$2,SP_AcqTract_DB[#Headers],0),FALSE),"")</f>
        <v>0</v>
      </c>
      <c r="N37" s="227">
        <f>IFERROR(VLOOKUP($A37,SP_AcqTract_DB[],MATCH(N$2,SP_AcqTract_DB[#Headers],0),FALSE),"")</f>
        <v>0</v>
      </c>
      <c r="O37" s="220">
        <f>IFERROR(VLOOKUP($A37,SP_AcqTract_DB[],MATCH(O$2,SP_AcqTract_DB[#Headers],0),FALSE),"")</f>
        <v>0</v>
      </c>
      <c r="P37" s="220">
        <f>IFERROR(VLOOKUP($A37,SP_AcqTract_DB[],MATCH(P$2,SP_AcqTract_DB[#Headers],0),FALSE),"")</f>
        <v>0</v>
      </c>
      <c r="Q37" s="208">
        <f>IFERROR(VLOOKUP($A37,SP_AcqTract_DB[],MATCH(Q$2,SP_AcqTract_DB[#Headers],0),FALSE),"")</f>
        <v>0</v>
      </c>
      <c r="R37" s="250" t="str">
        <f>IFERROR(IF(VLOOKUP(CONCATENATE($A37,"_",R$1),SP_ACQ_Lib[],MATCH(R$2,SP_ACQ_Lib[#Headers],0),FALSE)=0,"",VLOOKUP(CONCATENATE($A37,"_",R$1),SP_ACQ_Lib[],MATCH(R$2,SP_ACQ_Lib[#Headers],0),FALSE)),"")</f>
        <v/>
      </c>
      <c r="S37" s="253" t="str">
        <f>IFERROR(IF(VLOOKUP(CONCATENATE($A37,"_",S$1),SP_ACQ_Lib[],MATCH(S$2,SP_ACQ_Lib[#Headers],0),FALSE)=0,"",VLOOKUP(CONCATENATE($A37,"_",S$1),SP_ACQ_Lib[],MATCH(S$2,SP_ACQ_Lib[#Headers],0),FALSE)),"")</f>
        <v/>
      </c>
      <c r="T37" s="205">
        <f>IFERROR(VLOOKUP(CONCATENATE($A37,"_",T$1),SP_ACQ_Lib[],MATCH(T$2,SP_ACQ_Lib[#Headers],0),FALSE),0)</f>
        <v>0</v>
      </c>
      <c r="U37" s="250" t="str">
        <f>IFERROR(IF(VLOOKUP(CONCATENATE($A37,"_",U$1),SP_ACQ_Lib[],MATCH(U$2,SP_ACQ_Lib[#Headers],0),FALSE)=0,"",VLOOKUP(CONCATENATE($A37,"_",U$1),SP_ACQ_Lib[],MATCH(U$2,SP_ACQ_Lib[#Headers],0),FALSE)),"")</f>
        <v/>
      </c>
      <c r="V37" s="205">
        <f>IFERROR(VLOOKUP(CONCATENATE($A37,"_",V$1),SP_ACQ_Lib[],MATCH(V$2,SP_ACQ_Lib[#Headers],0),FALSE),0)</f>
        <v>0</v>
      </c>
      <c r="W37" s="209">
        <f>IFERROR(VLOOKUP(CONCATENATE($A37,"_",W$1),SP_ACQ_Lib[],MATCH(W$2,SP_ACQ_Lib[#Headers],0),FALSE),0)</f>
        <v>0</v>
      </c>
      <c r="X37" s="250">
        <f>IFERROR(VLOOKUP($A37,SP_AcqTract_DB[],MATCH(X$2,SP_AcqTract_DB[#Headers],0),FALSE),"")</f>
        <v>0</v>
      </c>
      <c r="Y37" s="237">
        <f>IFERROR(VLOOKUP($A37,SP_AcqTract_DB[],MATCH(Y$2,SP_AcqTract_DB[#Headers],0),FALSE),"")</f>
        <v>0</v>
      </c>
      <c r="Z37" s="229">
        <f>IFERROR(VLOOKUP($A37,SP_AcqTract_DB[],MATCH(Z$2,SP_AcqTract_DB[#Headers],0),FALSE),"")</f>
        <v>0</v>
      </c>
      <c r="AA37" s="229" t="str">
        <f>IFERROR(VLOOKUP($A37,SP_AcqTract_DB[],MATCH(AA$2,SP_AcqTract_DB[#Headers],0),FALSE),"")</f>
        <v>No</v>
      </c>
      <c r="AB37" s="250" t="str">
        <f>IFERROR(IF(VLOOKUP(CONCATENATE($A37,"_",AB$1),SP_ACQ_Lib[],MATCH(AB$2,SP_ACQ_Lib[#Headers],0),FALSE)=0,"",VLOOKUP(CONCATENATE($A37,"_",AB$1),SP_ACQ_Lib[],MATCH(AB$2,SP_ACQ_Lib[#Headers],0),FALSE)),"")</f>
        <v/>
      </c>
      <c r="AC37" s="250" t="str">
        <f>IFERROR(IF(VLOOKUP(CONCATENATE($A37,"_",AC$1),SP_ACQ_Lib[],MATCH(AC$2,SP_ACQ_Lib[#Headers],0),FALSE)=0,"",VLOOKUP(CONCATENATE($A37,"_",AC$1),SP_ACQ_Lib[],MATCH(AC$2,SP_ACQ_Lib[#Headers],0),FALSE)),"")</f>
        <v/>
      </c>
      <c r="AD37" s="229" t="str">
        <f>IFERROR(VLOOKUP($A37,SP_AcqTract_DB[],MATCH(AD$2,SP_AcqTract_DB[#Headers],0),FALSE),"")</f>
        <v>Yes</v>
      </c>
      <c r="AE37" s="250" t="str">
        <f>IFERROR(IF(VLOOKUP(CONCATENATE($A37,"_",AE$1),SP_ACQ_Lib[],MATCH(AE$2,SP_ACQ_Lib[#Headers],0),FALSE)=0,"",VLOOKUP(CONCATENATE($A37,"_",AE$1),SP_ACQ_Lib[],MATCH(AE$2,SP_ACQ_Lib[#Headers],0),FALSE)),"")</f>
        <v/>
      </c>
      <c r="AF37" s="250" t="str">
        <f>IFERROR(IF(VLOOKUP(CONCATENATE($A37,"_",AF$1),SP_ACQ_Lib[],MATCH(AF$2,SP_ACQ_Lib[#Headers],0),FALSE)=0,"",VLOOKUP(CONCATENATE($A37,"_",AF$1),SP_ACQ_Lib[],MATCH(AF$2,SP_ACQ_Lib[#Headers],0),FALSE)),"")</f>
        <v/>
      </c>
      <c r="AG37" s="250" t="str">
        <f>IFERROR(IF(VLOOKUP(CONCATENATE($A37,"_",AG$1),SP_ACQ_Lib[],MATCH(AG$2,SP_ACQ_Lib[#Headers],0),FALSE)=0,"",VLOOKUP(CONCATENATE($A37,"_",AG$1),SP_ACQ_Lib[],MATCH(AG$2,SP_ACQ_Lib[#Headers],0),FALSE)),"")</f>
        <v/>
      </c>
      <c r="AH37" s="250" t="str">
        <f>IFERROR(IF(VLOOKUP(CONCATENATE($A37,"_",AH$1),SP_ACQ_Lib[],MATCH(AH$2,SP_ACQ_Lib[#Headers],0),FALSE)=0,"",VLOOKUP(CONCATENATE($A37,"_",AH$1),SP_ACQ_Lib[],MATCH(AH$2,SP_ACQ_Lib[#Headers],0),FALSE)),"")</f>
        <v/>
      </c>
      <c r="AI37" s="249" t="str">
        <f>IFERROR(IF(VLOOKUP(CONCATENATE($A37,"_",AI$1),SP_ACQ_Lib[],MATCH(AI$2,SP_ACQ_Lib[#Headers],0),FALSE)=0,"",VLOOKUP(CONCATENATE($A37,"_",AI$1),SP_ACQ_Lib[],MATCH(AI$2,SP_ACQ_Lib[#Headers],0),FALSE)),"")</f>
        <v/>
      </c>
      <c r="AJ37" s="249" t="str">
        <f>IFERROR(IF(VLOOKUP(CONCATENATE($A37,"_",AJ$1),SP_ACQ_Lib[],MATCH(AJ$2,SP_ACQ_Lib[#Headers],0),FALSE)=0,"",VLOOKUP(CONCATENATE($A37,"_",AJ$1),SP_ACQ_Lib[],MATCH(AJ$2,SP_ACQ_Lib[#Headers],0),FALSE)),"")</f>
        <v/>
      </c>
      <c r="AK37" s="249" t="str">
        <f>IFERROR(IF(VLOOKUP(CONCATENATE($A37,"_",AK$1),SP_ACQ_Lib[],MATCH(AK$2,SP_ACQ_Lib[#Headers],0),FALSE)=0,"",VLOOKUP(CONCATENATE($A37,"_",AK$1),SP_ACQ_Lib[],MATCH(AK$2,SP_ACQ_Lib[#Headers],0),FALSE)),"")</f>
        <v/>
      </c>
      <c r="AL37" s="249">
        <f>IFERROR(VLOOKUP($A37,SP_AcqTract_DB[],MATCH(AL$2,SP_AcqTract_DB[#Headers],0),FALSE),"")</f>
        <v>0</v>
      </c>
      <c r="AM37" s="227">
        <f>IFERROR(VLOOKUP($A37,SP_AcqTract_DB[],MATCH(AM$2,SP_AcqTract_DB[#Headers],0),FALSE),"")</f>
        <v>0</v>
      </c>
      <c r="AN37" s="227">
        <f>IFERROR(VLOOKUP($A37,SP_AcqTract_DB[],MATCH(AN$2,SP_AcqTract_DB[#Headers],0),FALSE),"")</f>
        <v>0</v>
      </c>
      <c r="AO37" s="228">
        <f>IFERROR(VLOOKUP($A37,SP_AcqTract_DB[],MATCH(AO$2,SP_AcqTract_DB[#Headers],0),FALSE),"")</f>
        <v>0</v>
      </c>
      <c r="AP37" s="210">
        <f>IFERROR(VLOOKUP($A37,SP_AcqTract_DB[],MATCH(AP$2,SP_AcqTract_DB[#Headers],0),FALSE),"")</f>
        <v>0</v>
      </c>
      <c r="AQ37" s="252" t="str">
        <f>IFERROR(IF(VLOOKUP(CONCATENATE($A37,"_",AQ$1),SP_ACQ_Lib[],MATCH(AQ$2,SP_ACQ_Lib[#Headers],0),FALSE)=0,"",VLOOKUP(CONCATENATE($A37,"_",AQ$1),SP_ACQ_Lib[],MATCH(AQ$2,SP_ACQ_Lib[#Headers],0),FALSE)),"")</f>
        <v/>
      </c>
      <c r="AR37" s="250" t="str">
        <f>IFERROR(IF(VLOOKUP(CONCATENATE($A37,"_",AR$1),SP_ACQ_Lib[],MATCH(AR$2,SP_ACQ_Lib[#Headers],0),FALSE)=0,"",VLOOKUP(CONCATENATE($A37,"_",AR$1),SP_ACQ_Lib[],MATCH(AR$2,SP_ACQ_Lib[#Headers],0),FALSE)),"")</f>
        <v/>
      </c>
      <c r="AS37" s="249" t="str">
        <f>IFERROR(IF(VLOOKUP(CONCATENATE($A37,"_",AS$1),SP_ACQ_Lib[],MATCH(AS$2,SP_ACQ_Lib[#Headers],0),FALSE)=0,"",VLOOKUP(CONCATENATE($A37,"_",AS$1),SP_ACQ_Lib[],MATCH(AS$2,SP_ACQ_Lib[#Headers],0),FALSE)),"")</f>
        <v/>
      </c>
      <c r="AT37" s="251" t="str">
        <f>IFERROR(IF(VLOOKUP(CONCATENATE($A37,"_",AT$1),SP_ACQ_Lib[],MATCH(AT$2,SP_ACQ_Lib[#Headers],0),FALSE)=0,"",VLOOKUP(CONCATENATE($A37,"_",AT$1),SP_ACQ_Lib[],MATCH(AT$2,SP_ACQ_Lib[#Headers],0),FALSE)),"")</f>
        <v/>
      </c>
      <c r="AU37" s="251" t="str">
        <f>IFERROR(IF(VLOOKUP(CONCATENATE($A37,"_",AU$1),SP_ACQ_Lib[],MATCH(AU$2,SP_ACQ_Lib[#Headers],0),FALSE)=0,"",VLOOKUP(CONCATENATE($A37,"_",AU$1),SP_ACQ_Lib[],MATCH(AU$2,SP_ACQ_Lib[#Headers],0),FALSE)),"")</f>
        <v/>
      </c>
      <c r="AV37" s="225" t="str">
        <f>IFERROR(IF(VLOOKUP(CONCATENATE($A37,"_",AV$1),SP_ACQ_Lib[],MATCH(AV$2,SP_ACQ_Lib[#Headers],0),FALSE)=0,"",VLOOKUP(CONCATENATE($A37,"_",AV$1),SP_ACQ_Lib[],MATCH(AV$2,SP_ACQ_Lib[#Headers],0),FALSE)),"")</f>
        <v/>
      </c>
      <c r="AW37" s="251" t="str">
        <f>IFERROR(IF(VLOOKUP(CONCATENATE($A37,"_",AW$1),SP_ACQ_Lib[],MATCH(AW$2,SP_ACQ_Lib[#Headers],0),FALSE)=0,"",VLOOKUP(CONCATENATE($A37,"_",AW$1),SP_ACQ_Lib[],MATCH(AW$2,SP_ACQ_Lib[#Headers],0),FALSE)),"")</f>
        <v/>
      </c>
      <c r="AX37" s="251" t="str">
        <f>IFERROR(IF(VLOOKUP(CONCATENATE($A37,"_",AX$1),SP_ACQ_Lib[],MATCH(AX$2,SP_ACQ_Lib[#Headers],0),FALSE)=0,"",VLOOKUP(CONCATENATE($A37,"_",AX$1),SP_ACQ_Lib[],MATCH(AX$2,SP_ACQ_Lib[#Headers],0),FALSE)),"")</f>
        <v/>
      </c>
      <c r="AY37" s="251" t="str">
        <f>IFERROR(IF(VLOOKUP(CONCATENATE($A37,"_",AY$1),SP_ACQ_Lib[],MATCH(AY$2,SP_ACQ_Lib[#Headers],0),FALSE)=0,"",VLOOKUP(CONCATENATE($A37,"_",AY$1),SP_ACQ_Lib[],MATCH(AY$2,SP_ACQ_Lib[#Headers],0),FALSE)),"")</f>
        <v/>
      </c>
      <c r="AZ37" s="251" t="str">
        <f>IFERROR(IF(VLOOKUP(CONCATENATE($A37,"_",AZ$1),SP_ACQ_Lib[],MATCH(AZ$2,SP_ACQ_Lib[#Headers],0),FALSE)=0,"",VLOOKUP(CONCATENATE($A37,"_",AZ$1),SP_ACQ_Lib[],MATCH(AZ$2,SP_ACQ_Lib[#Headers],0),FALSE)),"")</f>
        <v/>
      </c>
      <c r="BA37" s="251" t="str">
        <f>IFERROR(IF(VLOOKUP(CONCATENATE($A37,"_",BA$1),SP_ACQ_Lib[],MATCH(BA$2,SP_ACQ_Lib[#Headers],0),FALSE)=0,"",VLOOKUP(CONCATENATE($A37,"_",BA$1),SP_ACQ_Lib[],MATCH(BA$2,SP_ACQ_Lib[#Headers],0),FALSE)),"")</f>
        <v/>
      </c>
      <c r="BB37" s="224">
        <f>IFERROR(VLOOKUP(CONCATENATE($A37,"_",BB$1),SP_ACQ_Lib[],MATCH(BB$2,SP_ACQ_Lib[#Headers],0),FALSE),0)</f>
        <v>0</v>
      </c>
      <c r="BC37" s="231">
        <f>IFERROR(VLOOKUP($A37,SP_AcqTract_DB[],MATCH(BC$2,SP_AcqTract_DB[#Headers],0),FALSE),"")</f>
        <v>0</v>
      </c>
      <c r="BD37" s="231">
        <f>IFERROR(VLOOKUP($A37,SP_AcqTract_DB[],MATCH(BD$2,SP_AcqTract_DB[#Headers],0),FALSE),"")</f>
        <v>0</v>
      </c>
      <c r="BE37" s="249" t="str">
        <f>IFERROR(IF(VLOOKUP(CONCATENATE($A37,"_",BE$1),SP_ACQ_Lib[],MATCH(BE$2,SP_ACQ_Lib[#Headers],0),FALSE)=0,"",VLOOKUP(CONCATENATE($A37,"_",BE$1),SP_ACQ_Lib[],MATCH(BE$2,SP_ACQ_Lib[#Headers],0),FALSE)),"")</f>
        <v/>
      </c>
      <c r="BF37" s="249" t="str">
        <f>IFERROR(IF(VLOOKUP(CONCATENATE($A37,"_",BF$1),SP_ACQ_Lib[],MATCH(BF$2,SP_ACQ_Lib[#Headers],0),FALSE)=0,"",VLOOKUP(CONCATENATE($A37,"_",BF$1),SP_ACQ_Lib[],MATCH(BF$2,SP_ACQ_Lib[#Headers],0),FALSE)),"")</f>
        <v/>
      </c>
      <c r="BG37" s="249" t="str">
        <f>IFERROR(IF(VLOOKUP(CONCATENATE($A37,"_",BG$1),SP_ACQ_Lib[],MATCH(BG$2,SP_ACQ_Lib[#Headers],0),FALSE)=0,"",VLOOKUP(CONCATENATE($A37,"_",BG$1),SP_ACQ_Lib[],MATCH(BG$2,SP_ACQ_Lib[#Headers],0),FALSE)),"")</f>
        <v/>
      </c>
      <c r="BH37" s="249" t="str">
        <f>IFERROR(IF(VLOOKUP(CONCATENATE($A37,"_",BH$1),SP_ACQ_Lib[],MATCH(BH$2,SP_ACQ_Lib[#Headers],0),FALSE)=0,"",VLOOKUP(CONCATENATE($A37,"_",BH$1),SP_ACQ_Lib[],MATCH(BH$2,SP_ACQ_Lib[#Headers],0),FALSE)),"")</f>
        <v/>
      </c>
      <c r="BI37" s="249" t="str">
        <f>IFERROR(IF(VLOOKUP(CONCATENATE($A37,"_",BI$1),SP_ACQ_Lib[],MATCH(BI$2,SP_ACQ_Lib[#Headers],0),FALSE)=0,"",VLOOKUP(CONCATENATE($A37,"_",BI$1),SP_ACQ_Lib[],MATCH(BI$2,SP_ACQ_Lib[#Headers],0),FALSE)),"")</f>
        <v/>
      </c>
      <c r="BJ37" s="249" t="str">
        <f>IFERROR(IF(VLOOKUP(CONCATENATE($A37,"_",BJ$1),SP_ACQ_Lib[],MATCH(BJ$2,SP_ACQ_Lib[#Headers],0),FALSE)=0,"",VLOOKUP(CONCATENATE($A37,"_",BJ$1),SP_ACQ_Lib[],MATCH(BJ$2,SP_ACQ_Lib[#Headers],0),FALSE)),"")</f>
        <v/>
      </c>
      <c r="BK37" s="250" t="str">
        <f>IFERROR(IF(VLOOKUP(CONCATENATE($A37,"_",BK$1),SP_ACQ_Lib[],MATCH(BK$2,SP_ACQ_Lib[#Headers],0),FALSE)=0,"",VLOOKUP(CONCATENATE($A37,"_",BK$1),SP_ACQ_Lib[],MATCH(BK$2,SP_ACQ_Lib[#Headers],0),FALSE)),"")</f>
        <v/>
      </c>
      <c r="BL37" s="249" t="str">
        <f>IFERROR(IF(VLOOKUP(CONCATENATE($A37,"_",BL$1),SP_ACQ_Lib[],MATCH(BL$2,SP_ACQ_Lib[#Headers],0),FALSE)=0,"",VLOOKUP(CONCATENATE($A37,"_",BL$1),SP_ACQ_Lib[],MATCH(BL$2,SP_ACQ_Lib[#Headers],0),FALSE)),"")</f>
        <v/>
      </c>
      <c r="BM37" s="249" t="str">
        <f>IFERROR(IF(VLOOKUP(CONCATENATE($A37,"_",BM$1),SP_ACQ_Lib[],MATCH(BM$2,SP_ACQ_Lib[#Headers],0),FALSE)=0,"",VLOOKUP(CONCATENATE($A37,"_",BM$1),SP_ACQ_Lib[],MATCH(BM$2,SP_ACQ_Lib[#Headers],0),FALSE)),"")</f>
        <v/>
      </c>
      <c r="BN37" s="249" t="str">
        <f>IFERROR(IF(VLOOKUP(CONCATENATE($A37,"_",BN$1),SP_ACQ_Lib[],MATCH(BN$2,SP_ACQ_Lib[#Headers],0),FALSE)=0,"",VLOOKUP(CONCATENATE($A37,"_",BN$1),SP_ACQ_Lib[],MATCH(BN$2,SP_ACQ_Lib[#Headers],0),FALSE)),"")</f>
        <v/>
      </c>
    </row>
    <row r="38" spans="1:66" s="226" customFormat="1" ht="25.5" x14ac:dyDescent="0.2">
      <c r="A38" s="192" t="s">
        <v>3310</v>
      </c>
      <c r="B38" s="227" t="str">
        <f>IFERROR(VLOOKUP($A38,SP_AcqTract_DB[],MATCH(B$2,SP_AcqTract_DB[#Headers],0),FALSE),"")</f>
        <v>R023655</v>
      </c>
      <c r="C38" s="228" t="str">
        <f>IFERROR(VLOOKUP($A38,SP_AcqTract_DB[],MATCH(C$2,SP_AcqTract_DB[#Headers],0),FALSE),"")</f>
        <v>PH1</v>
      </c>
      <c r="D38" s="208" t="str">
        <f>IFERROR(VLOOKUP($A38,SP_AcqTract_DB[],MATCH(D$2,SP_AcqTract_DB[#Headers],0),FALSE),"")</f>
        <v>Active</v>
      </c>
      <c r="E38" s="208">
        <f>IFERROR(VLOOKUP($A38,SP_AcqTract_DB[],MATCH(E$2,SP_AcqTract_DB[#Headers],0),FALSE),"")</f>
        <v>1</v>
      </c>
      <c r="F38" s="227" t="str">
        <f>IFERROR(VLOOKUP($A38,SP_AcqTract_DB[],MATCH(F$2,SP_AcqTract_DB[#Headers],0),FALSE),"")</f>
        <v>Levee Esmt</v>
      </c>
      <c r="G38" s="227" t="str">
        <f>IFERROR(VLOOKUP($A38,SP_AcqTract_DB[],MATCH(G$2,SP_AcqTract_DB[#Headers],0),FALSE),"")</f>
        <v>Melissa DeLeon</v>
      </c>
      <c r="H38" s="250">
        <f>IFERROR(IF(VLOOKUP(CONCATENATE($A38,"_",H$1),SP_ACQ_Lib[],MATCH(H$2,SP_ACQ_Lib[#Headers],0),FALSE)=0,"",VLOOKUP(CONCATENATE($A38,"_",H$1),SP_ACQ_Lib[],MATCH(H$2,SP_ACQ_Lib[#Headers],0),FALSE)),"")</f>
        <v>43992.685347222221</v>
      </c>
      <c r="I38" s="227" t="str">
        <f>IFERROR(VLOOKUP($A38,SP_AcqTract_DB[],MATCH(I$2,SP_AcqTract_DB[#Headers],0),FALSE),"")</f>
        <v>John Lathon Estate</v>
      </c>
      <c r="J38" s="227">
        <f>IFERROR(VLOOKUP($A38,SP_AcqTract_DB[],MATCH(J$2,SP_AcqTract_DB[#Headers],0),FALSE),"")</f>
        <v>0</v>
      </c>
      <c r="K38" s="227" t="str">
        <f>IFERROR(VLOOKUP($A38,SP_AcqTract_DB[],MATCH(K$2,SP_AcqTract_DB[#Headers],0),FALSE),"")</f>
        <v>John Lathon Estate C/O Vernell Brooks</v>
      </c>
      <c r="L38" s="227" t="str">
        <f>IFERROR(VLOOKUP($A38,SP_AcqTract_DB[],MATCH(L$2,SP_AcqTract_DB[#Headers],0),FALSE),"")</f>
        <v>902 Edwards Lane</v>
      </c>
      <c r="M38" s="208" t="str">
        <f>IFERROR(VLOOKUP($A38,SP_AcqTract_DB[],MATCH(M$2,SP_AcqTract_DB[#Headers],0),FALSE),"")</f>
        <v>Wharton, TX 77488</v>
      </c>
      <c r="N38" s="227" t="str">
        <f>IFERROR(VLOOKUP($A38,SP_AcqTract_DB[],MATCH(N$2,SP_AcqTract_DB[#Headers],0),FALSE),"")</f>
        <v>1814 Azalea Drive</v>
      </c>
      <c r="O38" s="220">
        <f>IFERROR(VLOOKUP($A38,SP_AcqTract_DB[],MATCH(O$2,SP_AcqTract_DB[#Headers],0),FALSE),"")</f>
        <v>0</v>
      </c>
      <c r="P38" s="220">
        <f>IFERROR(VLOOKUP($A38,SP_AcqTract_DB[],MATCH(P$2,SP_AcqTract_DB[#Headers],0),FALSE),"")</f>
        <v>0</v>
      </c>
      <c r="Q38" s="208" t="str">
        <f>IFERROR(VLOOKUP($A38,SP_AcqTract_DB[],MATCH(Q$2,SP_AcqTract_DB[#Headers],0),FALSE),"")</f>
        <v>2020-0332</v>
      </c>
      <c r="R38" s="250">
        <f>IFERROR(IF(VLOOKUP(CONCATENATE($A38,"_",R$1),SP_ACQ_Lib[],MATCH(R$2,SP_ACQ_Lib[#Headers],0),FALSE)=0,"",VLOOKUP(CONCATENATE($A38,"_",R$1),SP_ACQ_Lib[],MATCH(R$2,SP_ACQ_Lib[#Headers],0),FALSE)),"")</f>
        <v>43889</v>
      </c>
      <c r="S38" s="253">
        <f>IFERROR(IF(VLOOKUP(CONCATENATE($A38,"_",S$1),SP_ACQ_Lib[],MATCH(S$2,SP_ACQ_Lib[#Headers],0),FALSE)=0,"",VLOOKUP(CONCATENATE($A38,"_",S$1),SP_ACQ_Lib[],MATCH(S$2,SP_ACQ_Lib[#Headers],0),FALSE)),"")</f>
        <v>43906</v>
      </c>
      <c r="T38" s="205" t="str">
        <f>IFERROR(VLOOKUP(CONCATENATE($A38,"_",T$1),SP_ACQ_Lib[],MATCH(T$2,SP_ACQ_Lib[#Headers],0),FALSE),0)</f>
        <v>Accepted</v>
      </c>
      <c r="U38" s="250">
        <f>IFERROR(IF(VLOOKUP(CONCATENATE($A38,"_",U$1),SP_ACQ_Lib[],MATCH(U$2,SP_ACQ_Lib[#Headers],0),FALSE)=0,"",VLOOKUP(CONCATENATE($A38,"_",U$1),SP_ACQ_Lib[],MATCH(U$2,SP_ACQ_Lib[#Headers],0),FALSE)),"")</f>
        <v>43889</v>
      </c>
      <c r="V38" s="205" t="str">
        <f>IFERROR(VLOOKUP(CONCATENATE($A38,"_",V$1),SP_ACQ_Lib[],MATCH(V$2,SP_ACQ_Lib[#Headers],0),FALSE),0)</f>
        <v>Accepted</v>
      </c>
      <c r="W38" s="209">
        <f>IFERROR(VLOOKUP(CONCATENATE($A38,"_",W$1),SP_ACQ_Lib[],MATCH(W$2,SP_ACQ_Lib[#Headers],0),FALSE),0)</f>
        <v>0</v>
      </c>
      <c r="X38" s="250">
        <f>IFERROR(VLOOKUP($A38,SP_AcqTract_DB[],MATCH(X$2,SP_AcqTract_DB[#Headers],0),FALSE),"")</f>
        <v>43900</v>
      </c>
      <c r="Y38" s="237">
        <f>IFERROR(VLOOKUP($A38,SP_AcqTract_DB[],MATCH(Y$2,SP_AcqTract_DB[#Headers],0),FALSE),"")</f>
        <v>0</v>
      </c>
      <c r="Z38" s="229">
        <f>IFERROR(VLOOKUP($A38,SP_AcqTract_DB[],MATCH(Z$2,SP_AcqTract_DB[#Headers],0),FALSE),"")</f>
        <v>0</v>
      </c>
      <c r="AA38" s="229" t="str">
        <f>IFERROR(VLOOKUP($A38,SP_AcqTract_DB[],MATCH(AA$2,SP_AcqTract_DB[#Headers],0),FALSE),"")</f>
        <v>Yes</v>
      </c>
      <c r="AB38" s="250" t="str">
        <f>IFERROR(IF(VLOOKUP(CONCATENATE($A38,"_",AB$1),SP_ACQ_Lib[],MATCH(AB$2,SP_ACQ_Lib[#Headers],0),FALSE)=0,"",VLOOKUP(CONCATENATE($A38,"_",AB$1),SP_ACQ_Lib[],MATCH(AB$2,SP_ACQ_Lib[#Headers],0),FALSE)),"")</f>
        <v/>
      </c>
      <c r="AC38" s="250" t="str">
        <f>IFERROR(IF(VLOOKUP(CONCATENATE($A38,"_",AC$1),SP_ACQ_Lib[],MATCH(AC$2,SP_ACQ_Lib[#Headers],0),FALSE)=0,"",VLOOKUP(CONCATENATE($A38,"_",AC$1),SP_ACQ_Lib[],MATCH(AC$2,SP_ACQ_Lib[#Headers],0),FALSE)),"")</f>
        <v/>
      </c>
      <c r="AD38" s="229" t="str">
        <f>IFERROR(VLOOKUP($A38,SP_AcqTract_DB[],MATCH(AD$2,SP_AcqTract_DB[#Headers],0),FALSE),"")</f>
        <v>Yes</v>
      </c>
      <c r="AE38" s="250" t="str">
        <f>IFERROR(IF(VLOOKUP(CONCATENATE($A38,"_",AE$1),SP_ACQ_Lib[],MATCH(AE$2,SP_ACQ_Lib[#Headers],0),FALSE)=0,"",VLOOKUP(CONCATENATE($A38,"_",AE$1),SP_ACQ_Lib[],MATCH(AE$2,SP_ACQ_Lib[#Headers],0),FALSE)),"")</f>
        <v/>
      </c>
      <c r="AF38" s="250" t="str">
        <f>IFERROR(IF(VLOOKUP(CONCATENATE($A38,"_",AF$1),SP_ACQ_Lib[],MATCH(AF$2,SP_ACQ_Lib[#Headers],0),FALSE)=0,"",VLOOKUP(CONCATENATE($A38,"_",AF$1),SP_ACQ_Lib[],MATCH(AF$2,SP_ACQ_Lib[#Headers],0),FALSE)),"")</f>
        <v/>
      </c>
      <c r="AG38" s="250">
        <f>IFERROR(IF(VLOOKUP(CONCATENATE($A38,"_",AG$1),SP_ACQ_Lib[],MATCH(AG$2,SP_ACQ_Lib[#Headers],0),FALSE)=0,"",VLOOKUP(CONCATENATE($A38,"_",AG$1),SP_ACQ_Lib[],MATCH(AG$2,SP_ACQ_Lib[#Headers],0),FALSE)),"")</f>
        <v>43845</v>
      </c>
      <c r="AH38" s="250">
        <f>IFERROR(IF(VLOOKUP(CONCATENATE($A38,"_",AH$1),SP_ACQ_Lib[],MATCH(AH$2,SP_ACQ_Lib[#Headers],0),FALSE)=0,"",VLOOKUP(CONCATENATE($A38,"_",AH$1),SP_ACQ_Lib[],MATCH(AH$2,SP_ACQ_Lib[#Headers],0),FALSE)),"")</f>
        <v>43950</v>
      </c>
      <c r="AI38" s="249" t="str">
        <f>IFERROR(IF(VLOOKUP(CONCATENATE($A38,"_",AI$1),SP_ACQ_Lib[],MATCH(AI$2,SP_ACQ_Lib[#Headers],0),FALSE)=0,"",VLOOKUP(CONCATENATE($A38,"_",AI$1),SP_ACQ_Lib[],MATCH(AI$2,SP_ACQ_Lib[#Headers],0),FALSE)),"")</f>
        <v/>
      </c>
      <c r="AJ38" s="249" t="str">
        <f>IFERROR(IF(VLOOKUP(CONCATENATE($A38,"_",AJ$1),SP_ACQ_Lib[],MATCH(AJ$2,SP_ACQ_Lib[#Headers],0),FALSE)=0,"",VLOOKUP(CONCATENATE($A38,"_",AJ$1),SP_ACQ_Lib[],MATCH(AJ$2,SP_ACQ_Lib[#Headers],0),FALSE)),"")</f>
        <v/>
      </c>
      <c r="AK38" s="249" t="str">
        <f>IFERROR(IF(VLOOKUP(CONCATENATE($A38,"_",AK$1),SP_ACQ_Lib[],MATCH(AK$2,SP_ACQ_Lib[#Headers],0),FALSE)=0,"",VLOOKUP(CONCATENATE($A38,"_",AK$1),SP_ACQ_Lib[],MATCH(AK$2,SP_ACQ_Lib[#Headers],0),FALSE)),"")</f>
        <v/>
      </c>
      <c r="AL38" s="249">
        <f>IFERROR(VLOOKUP($A38,SP_AcqTract_DB[],MATCH(AL$2,SP_AcqTract_DB[#Headers],0),FALSE),"")</f>
        <v>0</v>
      </c>
      <c r="AM38" s="227" t="str">
        <f>IFERROR(VLOOKUP($A38,SP_AcqTract_DB[],MATCH(AM$2,SP_AcqTract_DB[#Headers],0),FALSE),"")</f>
        <v>David Ambrose</v>
      </c>
      <c r="AN38" s="227" t="str">
        <f>IFERROR(VLOOKUP($A38,SP_AcqTract_DB[],MATCH(AN$2,SP_AcqTract_DB[#Headers],0),FALSE),"")</f>
        <v>Lory Johnson, Atrium</v>
      </c>
      <c r="AO38" s="228" t="str">
        <f>IFERROR(VLOOKUP($A38,SP_AcqTract_DB[],MATCH(AO$2,SP_AcqTract_DB[#Headers],0),FALSE),"")</f>
        <v>Yes</v>
      </c>
      <c r="AP38" s="210" t="str">
        <f>IFERROR(VLOOKUP($A38,SP_AcqTract_DB[],MATCH(AP$2,SP_AcqTract_DB[#Headers],0),FALSE),"")</f>
        <v>R</v>
      </c>
      <c r="AQ38" s="252" t="str">
        <f>IFERROR(IF(VLOOKUP(CONCATENATE($A38,"_",AQ$1),SP_ACQ_Lib[],MATCH(AQ$2,SP_ACQ_Lib[#Headers],0),FALSE)=0,"",VLOOKUP(CONCATENATE($A38,"_",AQ$1),SP_ACQ_Lib[],MATCH(AQ$2,SP_ACQ_Lib[#Headers],0),FALSE)),"")</f>
        <v/>
      </c>
      <c r="AR38" s="250" t="str">
        <f>IFERROR(IF(VLOOKUP(CONCATENATE($A38,"_",AR$1),SP_ACQ_Lib[],MATCH(AR$2,SP_ACQ_Lib[#Headers],0),FALSE)=0,"",VLOOKUP(CONCATENATE($A38,"_",AR$1),SP_ACQ_Lib[],MATCH(AR$2,SP_ACQ_Lib[#Headers],0),FALSE)),"")</f>
        <v/>
      </c>
      <c r="AS38" s="249" t="str">
        <f>IFERROR(IF(VLOOKUP(CONCATENATE($A38,"_",AS$1),SP_ACQ_Lib[],MATCH(AS$2,SP_ACQ_Lib[#Headers],0),FALSE)=0,"",VLOOKUP(CONCATENATE($A38,"_",AS$1),SP_ACQ_Lib[],MATCH(AS$2,SP_ACQ_Lib[#Headers],0),FALSE)),"")</f>
        <v/>
      </c>
      <c r="AT38" s="251" t="str">
        <f>IFERROR(IF(VLOOKUP(CONCATENATE($A38,"_",AT$1),SP_ACQ_Lib[],MATCH(AT$2,SP_ACQ_Lib[#Headers],0),FALSE)=0,"",VLOOKUP(CONCATENATE($A38,"_",AT$1),SP_ACQ_Lib[],MATCH(AT$2,SP_ACQ_Lib[#Headers],0),FALSE)),"")</f>
        <v/>
      </c>
      <c r="AU38" s="251" t="str">
        <f>IFERROR(IF(VLOOKUP(CONCATENATE($A38,"_",AU$1),SP_ACQ_Lib[],MATCH(AU$2,SP_ACQ_Lib[#Headers],0),FALSE)=0,"",VLOOKUP(CONCATENATE($A38,"_",AU$1),SP_ACQ_Lib[],MATCH(AU$2,SP_ACQ_Lib[#Headers],0),FALSE)),"")</f>
        <v/>
      </c>
      <c r="AV38" s="225" t="str">
        <f>IFERROR(IF(VLOOKUP(CONCATENATE($A38,"_",AV$1),SP_ACQ_Lib[],MATCH(AV$2,SP_ACQ_Lib[#Headers],0),FALSE)=0,"",VLOOKUP(CONCATENATE($A38,"_",AV$1),SP_ACQ_Lib[],MATCH(AV$2,SP_ACQ_Lib[#Headers],0),FALSE)),"")</f>
        <v/>
      </c>
      <c r="AW38" s="251" t="str">
        <f>IFERROR(IF(VLOOKUP(CONCATENATE($A38,"_",AW$1),SP_ACQ_Lib[],MATCH(AW$2,SP_ACQ_Lib[#Headers],0),FALSE)=0,"",VLOOKUP(CONCATENATE($A38,"_",AW$1),SP_ACQ_Lib[],MATCH(AW$2,SP_ACQ_Lib[#Headers],0),FALSE)),"")</f>
        <v/>
      </c>
      <c r="AX38" s="251" t="str">
        <f>IFERROR(IF(VLOOKUP(CONCATENATE($A38,"_",AX$1),SP_ACQ_Lib[],MATCH(AX$2,SP_ACQ_Lib[#Headers],0),FALSE)=0,"",VLOOKUP(CONCATENATE($A38,"_",AX$1),SP_ACQ_Lib[],MATCH(AX$2,SP_ACQ_Lib[#Headers],0),FALSE)),"")</f>
        <v/>
      </c>
      <c r="AY38" s="251" t="str">
        <f>IFERROR(IF(VLOOKUP(CONCATENATE($A38,"_",AY$1),SP_ACQ_Lib[],MATCH(AY$2,SP_ACQ_Lib[#Headers],0),FALSE)=0,"",VLOOKUP(CONCATENATE($A38,"_",AY$1),SP_ACQ_Lib[],MATCH(AY$2,SP_ACQ_Lib[#Headers],0),FALSE)),"")</f>
        <v/>
      </c>
      <c r="AZ38" s="251" t="str">
        <f>IFERROR(IF(VLOOKUP(CONCATENATE($A38,"_",AZ$1),SP_ACQ_Lib[],MATCH(AZ$2,SP_ACQ_Lib[#Headers],0),FALSE)=0,"",VLOOKUP(CONCATENATE($A38,"_",AZ$1),SP_ACQ_Lib[],MATCH(AZ$2,SP_ACQ_Lib[#Headers],0),FALSE)),"")</f>
        <v/>
      </c>
      <c r="BA38" s="251" t="str">
        <f>IFERROR(IF(VLOOKUP(CONCATENATE($A38,"_",BA$1),SP_ACQ_Lib[],MATCH(BA$2,SP_ACQ_Lib[#Headers],0),FALSE)=0,"",VLOOKUP(CONCATENATE($A38,"_",BA$1),SP_ACQ_Lib[],MATCH(BA$2,SP_ACQ_Lib[#Headers],0),FALSE)),"")</f>
        <v/>
      </c>
      <c r="BB38" s="224">
        <f>IFERROR(VLOOKUP(CONCATENATE($A38,"_",BB$1),SP_ACQ_Lib[],MATCH(BB$2,SP_ACQ_Lib[#Headers],0),FALSE),0)</f>
        <v>0</v>
      </c>
      <c r="BC38" s="231">
        <f>IFERROR(VLOOKUP($A38,SP_AcqTract_DB[],MATCH(BC$2,SP_AcqTract_DB[#Headers],0),FALSE),"")</f>
        <v>0</v>
      </c>
      <c r="BD38" s="231">
        <f>IFERROR(VLOOKUP($A38,SP_AcqTract_DB[],MATCH(BD$2,SP_AcqTract_DB[#Headers],0),FALSE),"")</f>
        <v>0</v>
      </c>
      <c r="BE38" s="249" t="str">
        <f>IFERROR(IF(VLOOKUP(CONCATENATE($A38,"_",BE$1),SP_ACQ_Lib[],MATCH(BE$2,SP_ACQ_Lib[#Headers],0),FALSE)=0,"",VLOOKUP(CONCATENATE($A38,"_",BE$1),SP_ACQ_Lib[],MATCH(BE$2,SP_ACQ_Lib[#Headers],0),FALSE)),"")</f>
        <v/>
      </c>
      <c r="BF38" s="249" t="str">
        <f>IFERROR(IF(VLOOKUP(CONCATENATE($A38,"_",BF$1),SP_ACQ_Lib[],MATCH(BF$2,SP_ACQ_Lib[#Headers],0),FALSE)=0,"",VLOOKUP(CONCATENATE($A38,"_",BF$1),SP_ACQ_Lib[],MATCH(BF$2,SP_ACQ_Lib[#Headers],0),FALSE)),"")</f>
        <v/>
      </c>
      <c r="BG38" s="249" t="str">
        <f>IFERROR(IF(VLOOKUP(CONCATENATE($A38,"_",BG$1),SP_ACQ_Lib[],MATCH(BG$2,SP_ACQ_Lib[#Headers],0),FALSE)=0,"",VLOOKUP(CONCATENATE($A38,"_",BG$1),SP_ACQ_Lib[],MATCH(BG$2,SP_ACQ_Lib[#Headers],0),FALSE)),"")</f>
        <v/>
      </c>
      <c r="BH38" s="249" t="str">
        <f>IFERROR(IF(VLOOKUP(CONCATENATE($A38,"_",BH$1),SP_ACQ_Lib[],MATCH(BH$2,SP_ACQ_Lib[#Headers],0),FALSE)=0,"",VLOOKUP(CONCATENATE($A38,"_",BH$1),SP_ACQ_Lib[],MATCH(BH$2,SP_ACQ_Lib[#Headers],0),FALSE)),"")</f>
        <v/>
      </c>
      <c r="BI38" s="249" t="str">
        <f>IFERROR(IF(VLOOKUP(CONCATENATE($A38,"_",BI$1),SP_ACQ_Lib[],MATCH(BI$2,SP_ACQ_Lib[#Headers],0),FALSE)=0,"",VLOOKUP(CONCATENATE($A38,"_",BI$1),SP_ACQ_Lib[],MATCH(BI$2,SP_ACQ_Lib[#Headers],0),FALSE)),"")</f>
        <v/>
      </c>
      <c r="BJ38" s="249" t="str">
        <f>IFERROR(IF(VLOOKUP(CONCATENATE($A38,"_",BJ$1),SP_ACQ_Lib[],MATCH(BJ$2,SP_ACQ_Lib[#Headers],0),FALSE)=0,"",VLOOKUP(CONCATENATE($A38,"_",BJ$1),SP_ACQ_Lib[],MATCH(BJ$2,SP_ACQ_Lib[#Headers],0),FALSE)),"")</f>
        <v/>
      </c>
      <c r="BK38" s="250" t="str">
        <f>IFERROR(IF(VLOOKUP(CONCATENATE($A38,"_",BK$1),SP_ACQ_Lib[],MATCH(BK$2,SP_ACQ_Lib[#Headers],0),FALSE)=0,"",VLOOKUP(CONCATENATE($A38,"_",BK$1),SP_ACQ_Lib[],MATCH(BK$2,SP_ACQ_Lib[#Headers],0),FALSE)),"")</f>
        <v/>
      </c>
      <c r="BL38" s="249" t="str">
        <f>IFERROR(IF(VLOOKUP(CONCATENATE($A38,"_",BL$1),SP_ACQ_Lib[],MATCH(BL$2,SP_ACQ_Lib[#Headers],0),FALSE)=0,"",VLOOKUP(CONCATENATE($A38,"_",BL$1),SP_ACQ_Lib[],MATCH(BL$2,SP_ACQ_Lib[#Headers],0),FALSE)),"")</f>
        <v/>
      </c>
      <c r="BM38" s="249" t="str">
        <f>IFERROR(IF(VLOOKUP(CONCATENATE($A38,"_",BM$1),SP_ACQ_Lib[],MATCH(BM$2,SP_ACQ_Lib[#Headers],0),FALSE)=0,"",VLOOKUP(CONCATENATE($A38,"_",BM$1),SP_ACQ_Lib[],MATCH(BM$2,SP_ACQ_Lib[#Headers],0),FALSE)),"")</f>
        <v/>
      </c>
      <c r="BN38" s="249" t="str">
        <f>IFERROR(IF(VLOOKUP(CONCATENATE($A38,"_",BN$1),SP_ACQ_Lib[],MATCH(BN$2,SP_ACQ_Lib[#Headers],0),FALSE)=0,"",VLOOKUP(CONCATENATE($A38,"_",BN$1),SP_ACQ_Lib[],MATCH(BN$2,SP_ACQ_Lib[#Headers],0),FALSE)),"")</f>
        <v/>
      </c>
    </row>
    <row r="39" spans="1:66" s="226" customFormat="1" ht="63.75" x14ac:dyDescent="0.2">
      <c r="A39" s="192" t="s">
        <v>3315</v>
      </c>
      <c r="B39" s="227" t="str">
        <f>IFERROR(VLOOKUP($A39,SP_AcqTract_DB[],MATCH(B$2,SP_AcqTract_DB[#Headers],0),FALSE),"")</f>
        <v>R023656</v>
      </c>
      <c r="C39" s="228" t="str">
        <f>IFERROR(VLOOKUP($A39,SP_AcqTract_DB[],MATCH(C$2,SP_AcqTract_DB[#Headers],0),FALSE),"")</f>
        <v>PH1</v>
      </c>
      <c r="D39" s="208" t="str">
        <f>IFERROR(VLOOKUP($A39,SP_AcqTract_DB[],MATCH(D$2,SP_AcqTract_DB[#Headers],0),FALSE),"")</f>
        <v>Active</v>
      </c>
      <c r="E39" s="208">
        <f>IFERROR(VLOOKUP($A39,SP_AcqTract_DB[],MATCH(E$2,SP_AcqTract_DB[#Headers],0),FALSE),"")</f>
        <v>1</v>
      </c>
      <c r="F39" s="227" t="str">
        <f>IFERROR(VLOOKUP($A39,SP_AcqTract_DB[],MATCH(F$2,SP_AcqTract_DB[#Headers],0),FALSE),"")</f>
        <v>Levee Esmt</v>
      </c>
      <c r="G39" s="227">
        <f>IFERROR(VLOOKUP($A39,SP_AcqTract_DB[],MATCH(G$2,SP_AcqTract_DB[#Headers],0),FALSE),"")</f>
        <v>0</v>
      </c>
      <c r="H39" s="250">
        <f>IFERROR(IF(VLOOKUP(CONCATENATE($A39,"_",H$1),SP_ACQ_Lib[],MATCH(H$2,SP_ACQ_Lib[#Headers],0),FALSE)=0,"",VLOOKUP(CONCATENATE($A39,"_",H$1),SP_ACQ_Lib[],MATCH(H$2,SP_ACQ_Lib[#Headers],0),FALSE)),"")</f>
        <v>43977.885231481479</v>
      </c>
      <c r="I39" s="227" t="str">
        <f>IFERROR(VLOOKUP($A39,SP_AcqTract_DB[],MATCH(I$2,SP_AcqTract_DB[#Headers],0),FALSE),"")</f>
        <v>City of Wharton</v>
      </c>
      <c r="J39" s="227" t="str">
        <f>IFERROR(VLOOKUP($A39,SP_AcqTract_DB[],MATCH(J$2,SP_AcqTract_DB[#Headers],0),FALSE),"")</f>
        <v>Wharton City as Trustee % Wharaton County Tax Office</v>
      </c>
      <c r="K39" s="227" t="str">
        <f>IFERROR(VLOOKUP($A39,SP_AcqTract_DB[],MATCH(K$2,SP_AcqTract_DB[#Headers],0),FALSE),"")</f>
        <v>The City of Wharton, Texas, as Trustee % Wharton County Tax Office</v>
      </c>
      <c r="L39" s="227" t="str">
        <f>IFERROR(VLOOKUP($A39,SP_AcqTract_DB[],MATCH(L$2,SP_AcqTract_DB[#Headers],0),FALSE),"")</f>
        <v>PO Box 189</v>
      </c>
      <c r="M39" s="208" t="str">
        <f>IFERROR(VLOOKUP($A39,SP_AcqTract_DB[],MATCH(M$2,SP_AcqTract_DB[#Headers],0),FALSE),"")</f>
        <v>Wharton, TX 77488</v>
      </c>
      <c r="N39" s="227" t="str">
        <f>IFERROR(VLOOKUP($A39,SP_AcqTract_DB[],MATCH(N$2,SP_AcqTract_DB[#Headers],0),FALSE),"")</f>
        <v>1810 Azalea Dr., Wharton, TX 77488</v>
      </c>
      <c r="O39" s="220">
        <f>IFERROR(VLOOKUP($A39,SP_AcqTract_DB[],MATCH(O$2,SP_AcqTract_DB[#Headers],0),FALSE),"")</f>
        <v>0</v>
      </c>
      <c r="P39" s="220">
        <f>IFERROR(VLOOKUP($A39,SP_AcqTract_DB[],MATCH(P$2,SP_AcqTract_DB[#Headers],0),FALSE),"")</f>
        <v>0</v>
      </c>
      <c r="Q39" s="208">
        <f>IFERROR(VLOOKUP($A39,SP_AcqTract_DB[],MATCH(Q$2,SP_AcqTract_DB[#Headers],0),FALSE),"")</f>
        <v>0</v>
      </c>
      <c r="R39" s="250">
        <f>IFERROR(IF(VLOOKUP(CONCATENATE($A39,"_",R$1),SP_ACQ_Lib[],MATCH(R$2,SP_ACQ_Lib[#Headers],0),FALSE)=0,"",VLOOKUP(CONCATENATE($A39,"_",R$1),SP_ACQ_Lib[],MATCH(R$2,SP_ACQ_Lib[#Headers],0),FALSE)),"")</f>
        <v>43987</v>
      </c>
      <c r="S39" s="253">
        <f>IFERROR(IF(VLOOKUP(CONCATENATE($A39,"_",S$1),SP_ACQ_Lib[],MATCH(S$2,SP_ACQ_Lib[#Headers],0),FALSE)=0,"",VLOOKUP(CONCATENATE($A39,"_",S$1),SP_ACQ_Lib[],MATCH(S$2,SP_ACQ_Lib[#Headers],0),FALSE)),"")</f>
        <v>43998</v>
      </c>
      <c r="T39" s="205" t="str">
        <f>IFERROR(VLOOKUP(CONCATENATE($A39,"_",T$1),SP_ACQ_Lib[],MATCH(T$2,SP_ACQ_Lib[#Headers],0),FALSE),0)</f>
        <v>Accepted</v>
      </c>
      <c r="U39" s="250">
        <f>IFERROR(IF(VLOOKUP(CONCATENATE($A39,"_",U$1),SP_ACQ_Lib[],MATCH(U$2,SP_ACQ_Lib[#Headers],0),FALSE)=0,"",VLOOKUP(CONCATENATE($A39,"_",U$1),SP_ACQ_Lib[],MATCH(U$2,SP_ACQ_Lib[#Headers],0),FALSE)),"")</f>
        <v>43987</v>
      </c>
      <c r="V39" s="205" t="str">
        <f>IFERROR(VLOOKUP(CONCATENATE($A39,"_",V$1),SP_ACQ_Lib[],MATCH(V$2,SP_ACQ_Lib[#Headers],0),FALSE),0)</f>
        <v>Accepted</v>
      </c>
      <c r="W39" s="209">
        <f>IFERROR(VLOOKUP(CONCATENATE($A39,"_",W$1),SP_ACQ_Lib[],MATCH(W$2,SP_ACQ_Lib[#Headers],0),FALSE),0)</f>
        <v>0</v>
      </c>
      <c r="X39" s="250">
        <f>IFERROR(VLOOKUP($A39,SP_AcqTract_DB[],MATCH(X$2,SP_AcqTract_DB[#Headers],0),FALSE),"")</f>
        <v>0</v>
      </c>
      <c r="Y39" s="237">
        <f>IFERROR(VLOOKUP($A39,SP_AcqTract_DB[],MATCH(Y$2,SP_AcqTract_DB[#Headers],0),FALSE),"")</f>
        <v>0.13999081726354501</v>
      </c>
      <c r="Z39" s="229">
        <f>IFERROR(VLOOKUP($A39,SP_AcqTract_DB[],MATCH(Z$2,SP_AcqTract_DB[#Headers],0),FALSE),"")</f>
        <v>6098</v>
      </c>
      <c r="AA39" s="229" t="str">
        <f>IFERROR(VLOOKUP($A39,SP_AcqTract_DB[],MATCH(AA$2,SP_AcqTract_DB[#Headers],0),FALSE),"")</f>
        <v>Yes</v>
      </c>
      <c r="AB39" s="250" t="str">
        <f>IFERROR(IF(VLOOKUP(CONCATENATE($A39,"_",AB$1),SP_ACQ_Lib[],MATCH(AB$2,SP_ACQ_Lib[#Headers],0),FALSE)=0,"",VLOOKUP(CONCATENATE($A39,"_",AB$1),SP_ACQ_Lib[],MATCH(AB$2,SP_ACQ_Lib[#Headers],0),FALSE)),"")</f>
        <v/>
      </c>
      <c r="AC39" s="250" t="str">
        <f>IFERROR(IF(VLOOKUP(CONCATENATE($A39,"_",AC$1),SP_ACQ_Lib[],MATCH(AC$2,SP_ACQ_Lib[#Headers],0),FALSE)=0,"",VLOOKUP(CONCATENATE($A39,"_",AC$1),SP_ACQ_Lib[],MATCH(AC$2,SP_ACQ_Lib[#Headers],0),FALSE)),"")</f>
        <v/>
      </c>
      <c r="AD39" s="229" t="str">
        <f>IFERROR(VLOOKUP($A39,SP_AcqTract_DB[],MATCH(AD$2,SP_AcqTract_DB[#Headers],0),FALSE),"")</f>
        <v>Yes</v>
      </c>
      <c r="AE39" s="250" t="str">
        <f>IFERROR(IF(VLOOKUP(CONCATENATE($A39,"_",AE$1),SP_ACQ_Lib[],MATCH(AE$2,SP_ACQ_Lib[#Headers],0),FALSE)=0,"",VLOOKUP(CONCATENATE($A39,"_",AE$1),SP_ACQ_Lib[],MATCH(AE$2,SP_ACQ_Lib[#Headers],0),FALSE)),"")</f>
        <v/>
      </c>
      <c r="AF39" s="250" t="str">
        <f>IFERROR(IF(VLOOKUP(CONCATENATE($A39,"_",AF$1),SP_ACQ_Lib[],MATCH(AF$2,SP_ACQ_Lib[#Headers],0),FALSE)=0,"",VLOOKUP(CONCATENATE($A39,"_",AF$1),SP_ACQ_Lib[],MATCH(AF$2,SP_ACQ_Lib[#Headers],0),FALSE)),"")</f>
        <v/>
      </c>
      <c r="AG39" s="250" t="str">
        <f>IFERROR(IF(VLOOKUP(CONCATENATE($A39,"_",AG$1),SP_ACQ_Lib[],MATCH(AG$2,SP_ACQ_Lib[#Headers],0),FALSE)=0,"",VLOOKUP(CONCATENATE($A39,"_",AG$1),SP_ACQ_Lib[],MATCH(AG$2,SP_ACQ_Lib[#Headers],0),FALSE)),"")</f>
        <v/>
      </c>
      <c r="AH39" s="250">
        <f>IFERROR(IF(VLOOKUP(CONCATENATE($A39,"_",AH$1),SP_ACQ_Lib[],MATCH(AH$2,SP_ACQ_Lib[#Headers],0),FALSE)=0,"",VLOOKUP(CONCATENATE($A39,"_",AH$1),SP_ACQ_Lib[],MATCH(AH$2,SP_ACQ_Lib[#Headers],0),FALSE)),"")</f>
        <v>44021</v>
      </c>
      <c r="AI39" s="249" t="str">
        <f>IFERROR(IF(VLOOKUP(CONCATENATE($A39,"_",AI$1),SP_ACQ_Lib[],MATCH(AI$2,SP_ACQ_Lib[#Headers],0),FALSE)=0,"",VLOOKUP(CONCATENATE($A39,"_",AI$1),SP_ACQ_Lib[],MATCH(AI$2,SP_ACQ_Lib[#Headers],0),FALSE)),"")</f>
        <v/>
      </c>
      <c r="AJ39" s="249" t="str">
        <f>IFERROR(IF(VLOOKUP(CONCATENATE($A39,"_",AJ$1),SP_ACQ_Lib[],MATCH(AJ$2,SP_ACQ_Lib[#Headers],0),FALSE)=0,"",VLOOKUP(CONCATENATE($A39,"_",AJ$1),SP_ACQ_Lib[],MATCH(AJ$2,SP_ACQ_Lib[#Headers],0),FALSE)),"")</f>
        <v/>
      </c>
      <c r="AK39" s="249" t="str">
        <f>IFERROR(IF(VLOOKUP(CONCATENATE($A39,"_",AK$1),SP_ACQ_Lib[],MATCH(AK$2,SP_ACQ_Lib[#Headers],0),FALSE)=0,"",VLOOKUP(CONCATENATE($A39,"_",AK$1),SP_ACQ_Lib[],MATCH(AK$2,SP_ACQ_Lib[#Headers],0),FALSE)),"")</f>
        <v/>
      </c>
      <c r="AL39" s="249">
        <f>IFERROR(VLOOKUP($A39,SP_AcqTract_DB[],MATCH(AL$2,SP_AcqTract_DB[#Headers],0),FALSE),"")</f>
        <v>0</v>
      </c>
      <c r="AM39" s="227">
        <f>IFERROR(VLOOKUP($A39,SP_AcqTract_DB[],MATCH(AM$2,SP_AcqTract_DB[#Headers],0),FALSE),"")</f>
        <v>0</v>
      </c>
      <c r="AN39" s="227" t="str">
        <f>IFERROR(VLOOKUP($A39,SP_AcqTract_DB[],MATCH(AN$2,SP_AcqTract_DB[#Headers],0),FALSE),"")</f>
        <v>Lory Johnson, Atrium</v>
      </c>
      <c r="AO39" s="228">
        <f>IFERROR(VLOOKUP($A39,SP_AcqTract_DB[],MATCH(AO$2,SP_AcqTract_DB[#Headers],0),FALSE),"")</f>
        <v>0</v>
      </c>
      <c r="AP39" s="210" t="str">
        <f>IFERROR(VLOOKUP($A39,SP_AcqTract_DB[],MATCH(AP$2,SP_AcqTract_DB[#Headers],0),FALSE),"")</f>
        <v>R</v>
      </c>
      <c r="AQ39" s="252" t="str">
        <f>IFERROR(IF(VLOOKUP(CONCATENATE($A39,"_",AQ$1),SP_ACQ_Lib[],MATCH(AQ$2,SP_ACQ_Lib[#Headers],0),FALSE)=0,"",VLOOKUP(CONCATENATE($A39,"_",AQ$1),SP_ACQ_Lib[],MATCH(AQ$2,SP_ACQ_Lib[#Headers],0),FALSE)),"")</f>
        <v/>
      </c>
      <c r="AR39" s="250" t="str">
        <f>IFERROR(IF(VLOOKUP(CONCATENATE($A39,"_",AR$1),SP_ACQ_Lib[],MATCH(AR$2,SP_ACQ_Lib[#Headers],0),FALSE)=0,"",VLOOKUP(CONCATENATE($A39,"_",AR$1),SP_ACQ_Lib[],MATCH(AR$2,SP_ACQ_Lib[#Headers],0),FALSE)),"")</f>
        <v/>
      </c>
      <c r="AS39" s="249" t="str">
        <f>IFERROR(IF(VLOOKUP(CONCATENATE($A39,"_",AS$1),SP_ACQ_Lib[],MATCH(AS$2,SP_ACQ_Lib[#Headers],0),FALSE)=0,"",VLOOKUP(CONCATENATE($A39,"_",AS$1),SP_ACQ_Lib[],MATCH(AS$2,SP_ACQ_Lib[#Headers],0),FALSE)),"")</f>
        <v/>
      </c>
      <c r="AT39" s="251" t="str">
        <f>IFERROR(IF(VLOOKUP(CONCATENATE($A39,"_",AT$1),SP_ACQ_Lib[],MATCH(AT$2,SP_ACQ_Lib[#Headers],0),FALSE)=0,"",VLOOKUP(CONCATENATE($A39,"_",AT$1),SP_ACQ_Lib[],MATCH(AT$2,SP_ACQ_Lib[#Headers],0),FALSE)),"")</f>
        <v/>
      </c>
      <c r="AU39" s="251" t="str">
        <f>IFERROR(IF(VLOOKUP(CONCATENATE($A39,"_",AU$1),SP_ACQ_Lib[],MATCH(AU$2,SP_ACQ_Lib[#Headers],0),FALSE)=0,"",VLOOKUP(CONCATENATE($A39,"_",AU$1),SP_ACQ_Lib[],MATCH(AU$2,SP_ACQ_Lib[#Headers],0),FALSE)),"")</f>
        <v/>
      </c>
      <c r="AV39" s="225" t="str">
        <f>IFERROR(IF(VLOOKUP(CONCATENATE($A39,"_",AV$1),SP_ACQ_Lib[],MATCH(AV$2,SP_ACQ_Lib[#Headers],0),FALSE)=0,"",VLOOKUP(CONCATENATE($A39,"_",AV$1),SP_ACQ_Lib[],MATCH(AV$2,SP_ACQ_Lib[#Headers],0),FALSE)),"")</f>
        <v/>
      </c>
      <c r="AW39" s="251" t="str">
        <f>IFERROR(IF(VLOOKUP(CONCATENATE($A39,"_",AW$1),SP_ACQ_Lib[],MATCH(AW$2,SP_ACQ_Lib[#Headers],0),FALSE)=0,"",VLOOKUP(CONCATENATE($A39,"_",AW$1),SP_ACQ_Lib[],MATCH(AW$2,SP_ACQ_Lib[#Headers],0),FALSE)),"")</f>
        <v/>
      </c>
      <c r="AX39" s="251" t="str">
        <f>IFERROR(IF(VLOOKUP(CONCATENATE($A39,"_",AX$1),SP_ACQ_Lib[],MATCH(AX$2,SP_ACQ_Lib[#Headers],0),FALSE)=0,"",VLOOKUP(CONCATENATE($A39,"_",AX$1),SP_ACQ_Lib[],MATCH(AX$2,SP_ACQ_Lib[#Headers],0),FALSE)),"")</f>
        <v/>
      </c>
      <c r="AY39" s="251" t="str">
        <f>IFERROR(IF(VLOOKUP(CONCATENATE($A39,"_",AY$1),SP_ACQ_Lib[],MATCH(AY$2,SP_ACQ_Lib[#Headers],0),FALSE)=0,"",VLOOKUP(CONCATENATE($A39,"_",AY$1),SP_ACQ_Lib[],MATCH(AY$2,SP_ACQ_Lib[#Headers],0),FALSE)),"")</f>
        <v/>
      </c>
      <c r="AZ39" s="251" t="str">
        <f>IFERROR(IF(VLOOKUP(CONCATENATE($A39,"_",AZ$1),SP_ACQ_Lib[],MATCH(AZ$2,SP_ACQ_Lib[#Headers],0),FALSE)=0,"",VLOOKUP(CONCATENATE($A39,"_",AZ$1),SP_ACQ_Lib[],MATCH(AZ$2,SP_ACQ_Lib[#Headers],0),FALSE)),"")</f>
        <v/>
      </c>
      <c r="BA39" s="251" t="str">
        <f>IFERROR(IF(VLOOKUP(CONCATENATE($A39,"_",BA$1),SP_ACQ_Lib[],MATCH(BA$2,SP_ACQ_Lib[#Headers],0),FALSE)=0,"",VLOOKUP(CONCATENATE($A39,"_",BA$1),SP_ACQ_Lib[],MATCH(BA$2,SP_ACQ_Lib[#Headers],0),FALSE)),"")</f>
        <v/>
      </c>
      <c r="BB39" s="224">
        <f>IFERROR(VLOOKUP(CONCATENATE($A39,"_",BB$1),SP_ACQ_Lib[],MATCH(BB$2,SP_ACQ_Lib[#Headers],0),FALSE),0)</f>
        <v>0</v>
      </c>
      <c r="BC39" s="231">
        <f>IFERROR(VLOOKUP($A39,SP_AcqTract_DB[],MATCH(BC$2,SP_AcqTract_DB[#Headers],0),FALSE),"")</f>
        <v>0</v>
      </c>
      <c r="BD39" s="231">
        <f>IFERROR(VLOOKUP($A39,SP_AcqTract_DB[],MATCH(BD$2,SP_AcqTract_DB[#Headers],0),FALSE),"")</f>
        <v>0</v>
      </c>
      <c r="BE39" s="249" t="str">
        <f>IFERROR(IF(VLOOKUP(CONCATENATE($A39,"_",BE$1),SP_ACQ_Lib[],MATCH(BE$2,SP_ACQ_Lib[#Headers],0),FALSE)=0,"",VLOOKUP(CONCATENATE($A39,"_",BE$1),SP_ACQ_Lib[],MATCH(BE$2,SP_ACQ_Lib[#Headers],0),FALSE)),"")</f>
        <v/>
      </c>
      <c r="BF39" s="249" t="str">
        <f>IFERROR(IF(VLOOKUP(CONCATENATE($A39,"_",BF$1),SP_ACQ_Lib[],MATCH(BF$2,SP_ACQ_Lib[#Headers],0),FALSE)=0,"",VLOOKUP(CONCATENATE($A39,"_",BF$1),SP_ACQ_Lib[],MATCH(BF$2,SP_ACQ_Lib[#Headers],0),FALSE)),"")</f>
        <v/>
      </c>
      <c r="BG39" s="249" t="str">
        <f>IFERROR(IF(VLOOKUP(CONCATENATE($A39,"_",BG$1),SP_ACQ_Lib[],MATCH(BG$2,SP_ACQ_Lib[#Headers],0),FALSE)=0,"",VLOOKUP(CONCATENATE($A39,"_",BG$1),SP_ACQ_Lib[],MATCH(BG$2,SP_ACQ_Lib[#Headers],0),FALSE)),"")</f>
        <v/>
      </c>
      <c r="BH39" s="249" t="str">
        <f>IFERROR(IF(VLOOKUP(CONCATENATE($A39,"_",BH$1),SP_ACQ_Lib[],MATCH(BH$2,SP_ACQ_Lib[#Headers],0),FALSE)=0,"",VLOOKUP(CONCATENATE($A39,"_",BH$1),SP_ACQ_Lib[],MATCH(BH$2,SP_ACQ_Lib[#Headers],0),FALSE)),"")</f>
        <v/>
      </c>
      <c r="BI39" s="249" t="str">
        <f>IFERROR(IF(VLOOKUP(CONCATENATE($A39,"_",BI$1),SP_ACQ_Lib[],MATCH(BI$2,SP_ACQ_Lib[#Headers],0),FALSE)=0,"",VLOOKUP(CONCATENATE($A39,"_",BI$1),SP_ACQ_Lib[],MATCH(BI$2,SP_ACQ_Lib[#Headers],0),FALSE)),"")</f>
        <v/>
      </c>
      <c r="BJ39" s="249" t="str">
        <f>IFERROR(IF(VLOOKUP(CONCATENATE($A39,"_",BJ$1),SP_ACQ_Lib[],MATCH(BJ$2,SP_ACQ_Lib[#Headers],0),FALSE)=0,"",VLOOKUP(CONCATENATE($A39,"_",BJ$1),SP_ACQ_Lib[],MATCH(BJ$2,SP_ACQ_Lib[#Headers],0),FALSE)),"")</f>
        <v/>
      </c>
      <c r="BK39" s="250" t="str">
        <f>IFERROR(IF(VLOOKUP(CONCATENATE($A39,"_",BK$1),SP_ACQ_Lib[],MATCH(BK$2,SP_ACQ_Lib[#Headers],0),FALSE)=0,"",VLOOKUP(CONCATENATE($A39,"_",BK$1),SP_ACQ_Lib[],MATCH(BK$2,SP_ACQ_Lib[#Headers],0),FALSE)),"")</f>
        <v/>
      </c>
      <c r="BL39" s="249" t="str">
        <f>IFERROR(IF(VLOOKUP(CONCATENATE($A39,"_",BL$1),SP_ACQ_Lib[],MATCH(BL$2,SP_ACQ_Lib[#Headers],0),FALSE)=0,"",VLOOKUP(CONCATENATE($A39,"_",BL$1),SP_ACQ_Lib[],MATCH(BL$2,SP_ACQ_Lib[#Headers],0),FALSE)),"")</f>
        <v/>
      </c>
      <c r="BM39" s="249" t="str">
        <f>IFERROR(IF(VLOOKUP(CONCATENATE($A39,"_",BM$1),SP_ACQ_Lib[],MATCH(BM$2,SP_ACQ_Lib[#Headers],0),FALSE)=0,"",VLOOKUP(CONCATENATE($A39,"_",BM$1),SP_ACQ_Lib[],MATCH(BM$2,SP_ACQ_Lib[#Headers],0),FALSE)),"")</f>
        <v/>
      </c>
      <c r="BN39" s="249" t="str">
        <f>IFERROR(IF(VLOOKUP(CONCATENATE($A39,"_",BN$1),SP_ACQ_Lib[],MATCH(BN$2,SP_ACQ_Lib[#Headers],0),FALSE)=0,"",VLOOKUP(CONCATENATE($A39,"_",BN$1),SP_ACQ_Lib[],MATCH(BN$2,SP_ACQ_Lib[#Headers],0),FALSE)),"")</f>
        <v/>
      </c>
    </row>
    <row r="40" spans="1:66" s="226" customFormat="1" ht="38.25" x14ac:dyDescent="0.2">
      <c r="A40" s="192" t="s">
        <v>44</v>
      </c>
      <c r="B40" s="227" t="str">
        <f>IFERROR(VLOOKUP($A40,SP_AcqTract_DB[],MATCH(B$2,SP_AcqTract_DB[#Headers],0),FALSE),"")</f>
        <v>R059284</v>
      </c>
      <c r="C40" s="228" t="str">
        <f>IFERROR(VLOOKUP($A40,SP_AcqTract_DB[],MATCH(C$2,SP_AcqTract_DB[#Headers],0),FALSE),"")</f>
        <v>PH1</v>
      </c>
      <c r="D40" s="208" t="str">
        <f>IFERROR(VLOOKUP($A40,SP_AcqTract_DB[],MATCH(D$2,SP_AcqTract_DB[#Headers],0),FALSE),"")</f>
        <v>Active</v>
      </c>
      <c r="E40" s="208">
        <f>IFERROR(VLOOKUP($A40,SP_AcqTract_DB[],MATCH(E$2,SP_AcqTract_DB[#Headers],0),FALSE),"")</f>
        <v>2</v>
      </c>
      <c r="F40" s="227" t="str">
        <f>IFERROR(VLOOKUP($A40,SP_AcqTract_DB[],MATCH(F$2,SP_AcqTract_DB[#Headers],0),FALSE),"")</f>
        <v>Flowage Esmt/Levee Esmt</v>
      </c>
      <c r="G40" s="227" t="str">
        <f>IFERROR(VLOOKUP($A40,SP_AcqTract_DB[],MATCH(G$2,SP_AcqTract_DB[#Headers],0),FALSE),"")</f>
        <v>Lily Khan</v>
      </c>
      <c r="H40" s="250">
        <f>IFERROR(IF(VLOOKUP(CONCATENATE($A40,"_",H$1),SP_ACQ_Lib[],MATCH(H$2,SP_ACQ_Lib[#Headers],0),FALSE)=0,"",VLOOKUP(CONCATENATE($A40,"_",H$1),SP_ACQ_Lib[],MATCH(H$2,SP_ACQ_Lib[#Headers],0),FALSE)),"")</f>
        <v>43998.637372685182</v>
      </c>
      <c r="I40" s="227" t="str">
        <f>IFERROR(VLOOKUP($A40,SP_AcqTract_DB[],MATCH(I$2,SP_AcqTract_DB[#Headers],0),FALSE),"")</f>
        <v>Littie Matthews, Linda Cyril, Marcella Coleman Petitt, and Larry Coleman</v>
      </c>
      <c r="J40" s="227">
        <f>IFERROR(VLOOKUP($A40,SP_AcqTract_DB[],MATCH(J$2,SP_AcqTract_DB[#Headers],0),FALSE),"")</f>
        <v>0</v>
      </c>
      <c r="K40" s="227" t="str">
        <f>IFERROR(VLOOKUP($A40,SP_AcqTract_DB[],MATCH(K$2,SP_AcqTract_DB[#Headers],0),FALSE),"")</f>
        <v>Vina Mae Coleman, Deceased - Larry Coleman, Son</v>
      </c>
      <c r="L40" s="227" t="str">
        <f>IFERROR(VLOOKUP($A40,SP_AcqTract_DB[],MATCH(L$2,SP_AcqTract_DB[#Headers],0),FALSE),"")</f>
        <v>1516 M L King Blvd</v>
      </c>
      <c r="M40" s="208" t="str">
        <f>IFERROR(VLOOKUP($A40,SP_AcqTract_DB[],MATCH(M$2,SP_AcqTract_DB[#Headers],0),FALSE),"")</f>
        <v>Wharton, TX</v>
      </c>
      <c r="N40" s="227" t="str">
        <f>IFERROR(VLOOKUP($A40,SP_AcqTract_DB[],MATCH(N$2,SP_AcqTract_DB[#Headers],0),FALSE),"")</f>
        <v>0 S Sheppard</v>
      </c>
      <c r="O40" s="220" t="str">
        <f>IFERROR(VLOOKUP($A40,SP_AcqTract_DB[],MATCH(O$2,SP_AcqTract_DB[#Headers],0),FALSE),"")</f>
        <v>Electric Transmission Line-Houston Lighting &amp; Power</v>
      </c>
      <c r="P40" s="220" t="str">
        <f>IFERROR(VLOOKUP($A40,SP_AcqTract_DB[],MATCH(P$2,SP_AcqTract_DB[#Headers],0),FALSE),"")</f>
        <v>X</v>
      </c>
      <c r="Q40" s="208" t="str">
        <f>IFERROR(VLOOKUP($A40,SP_AcqTract_DB[],MATCH(Q$2,SP_AcqTract_DB[#Headers],0),FALSE),"")</f>
        <v>2019-0817</v>
      </c>
      <c r="R40" s="250">
        <f>IFERROR(IF(VLOOKUP(CONCATENATE($A40,"_",R$1),SP_ACQ_Lib[],MATCH(R$2,SP_ACQ_Lib[#Headers],0),FALSE)=0,"",VLOOKUP(CONCATENATE($A40,"_",R$1),SP_ACQ_Lib[],MATCH(R$2,SP_ACQ_Lib[#Headers],0),FALSE)),"")</f>
        <v>43903</v>
      </c>
      <c r="S40" s="253">
        <f>IFERROR(IF(VLOOKUP(CONCATENATE($A40,"_",S$1),SP_ACQ_Lib[],MATCH(S$2,SP_ACQ_Lib[#Headers],0),FALSE)=0,"",VLOOKUP(CONCATENATE($A40,"_",S$1),SP_ACQ_Lib[],MATCH(S$2,SP_ACQ_Lib[#Headers],0),FALSE)),"")</f>
        <v>43917</v>
      </c>
      <c r="T40" s="205" t="str">
        <f>IFERROR(VLOOKUP(CONCATENATE($A40,"_",T$1),SP_ACQ_Lib[],MATCH(T$2,SP_ACQ_Lib[#Headers],0),FALSE),0)</f>
        <v>Accepted</v>
      </c>
      <c r="U40" s="250">
        <f>IFERROR(IF(VLOOKUP(CONCATENATE($A40,"_",U$1),SP_ACQ_Lib[],MATCH(U$2,SP_ACQ_Lib[#Headers],0),FALSE)=0,"",VLOOKUP(CONCATENATE($A40,"_",U$1),SP_ACQ_Lib[],MATCH(U$2,SP_ACQ_Lib[#Headers],0),FALSE)),"")</f>
        <v>43810</v>
      </c>
      <c r="V40" s="205" t="str">
        <f>IFERROR(VLOOKUP(CONCATENATE($A40,"_",V$1),SP_ACQ_Lib[],MATCH(V$2,SP_ACQ_Lib[#Headers],0),FALSE),0)</f>
        <v>Accepted</v>
      </c>
      <c r="W40" s="209">
        <f>IFERROR(VLOOKUP(CONCATENATE($A40,"_",W$1),SP_ACQ_Lib[],MATCH(W$2,SP_ACQ_Lib[#Headers],0),FALSE),0)</f>
        <v>0</v>
      </c>
      <c r="X40" s="250">
        <f>IFERROR(VLOOKUP($A40,SP_AcqTract_DB[],MATCH(X$2,SP_AcqTract_DB[#Headers],0),FALSE),"")</f>
        <v>0</v>
      </c>
      <c r="Y40" s="237">
        <f>IFERROR(VLOOKUP($A40,SP_AcqTract_DB[],MATCH(Y$2,SP_AcqTract_DB[#Headers],0),FALSE),"")</f>
        <v>2.2036042240587701</v>
      </c>
      <c r="Z40" s="229">
        <f>IFERROR(VLOOKUP($A40,SP_AcqTract_DB[],MATCH(Z$2,SP_AcqTract_DB[#Headers],0),FALSE),"")</f>
        <v>95989</v>
      </c>
      <c r="AA40" s="229" t="str">
        <f>IFERROR(VLOOKUP($A40,SP_AcqTract_DB[],MATCH(AA$2,SP_AcqTract_DB[#Headers],0),FALSE),"")</f>
        <v>Yes</v>
      </c>
      <c r="AB40" s="250">
        <f>IFERROR(IF(VLOOKUP(CONCATENATE($A40,"_",AB$1),SP_ACQ_Lib[],MATCH(AB$2,SP_ACQ_Lib[#Headers],0),FALSE)=0,"",VLOOKUP(CONCATENATE($A40,"_",AB$1),SP_ACQ_Lib[],MATCH(AB$2,SP_ACQ_Lib[#Headers],0),FALSE)),"")</f>
        <v>43859</v>
      </c>
      <c r="AC40" s="250">
        <f>IFERROR(IF(VLOOKUP(CONCATENATE($A40,"_",AC$1),SP_ACQ_Lib[],MATCH(AC$2,SP_ACQ_Lib[#Headers],0),FALSE)=0,"",VLOOKUP(CONCATENATE($A40,"_",AC$1),SP_ACQ_Lib[],MATCH(AC$2,SP_ACQ_Lib[#Headers],0),FALSE)),"")</f>
        <v>43913</v>
      </c>
      <c r="AD40" s="229" t="str">
        <f>IFERROR(VLOOKUP($A40,SP_AcqTract_DB[],MATCH(AD$2,SP_AcqTract_DB[#Headers],0),FALSE),"")</f>
        <v>Yes</v>
      </c>
      <c r="AE40" s="250">
        <f>IFERROR(IF(VLOOKUP(CONCATENATE($A40,"_",AE$1),SP_ACQ_Lib[],MATCH(AE$2,SP_ACQ_Lib[#Headers],0),FALSE)=0,"",VLOOKUP(CONCATENATE($A40,"_",AE$1),SP_ACQ_Lib[],MATCH(AE$2,SP_ACQ_Lib[#Headers],0),FALSE)),"")</f>
        <v>43991</v>
      </c>
      <c r="AF40" s="250">
        <f>IFERROR(IF(VLOOKUP(CONCATENATE($A40,"_",AF$1),SP_ACQ_Lib[],MATCH(AF$2,SP_ACQ_Lib[#Headers],0),FALSE)=0,"",VLOOKUP(CONCATENATE($A40,"_",AF$1),SP_ACQ_Lib[],MATCH(AF$2,SP_ACQ_Lib[#Headers],0),FALSE)),"")</f>
        <v>43993</v>
      </c>
      <c r="AG40" s="250">
        <f>IFERROR(IF(VLOOKUP(CONCATENATE($A40,"_",AG$1),SP_ACQ_Lib[],MATCH(AG$2,SP_ACQ_Lib[#Headers],0),FALSE)=0,"",VLOOKUP(CONCATENATE($A40,"_",AG$1),SP_ACQ_Lib[],MATCH(AG$2,SP_ACQ_Lib[#Headers],0),FALSE)),"")</f>
        <v>43711</v>
      </c>
      <c r="AH40" s="250" t="str">
        <f>IFERROR(IF(VLOOKUP(CONCATENATE($A40,"_",AH$1),SP_ACQ_Lib[],MATCH(AH$2,SP_ACQ_Lib[#Headers],0),FALSE)=0,"",VLOOKUP(CONCATENATE($A40,"_",AH$1),SP_ACQ_Lib[],MATCH(AH$2,SP_ACQ_Lib[#Headers],0),FALSE)),"")</f>
        <v/>
      </c>
      <c r="AI40" s="249" t="str">
        <f>IFERROR(IF(VLOOKUP(CONCATENATE($A40,"_",AI$1),SP_ACQ_Lib[],MATCH(AI$2,SP_ACQ_Lib[#Headers],0),FALSE)=0,"",VLOOKUP(CONCATENATE($A40,"_",AI$1),SP_ACQ_Lib[],MATCH(AI$2,SP_ACQ_Lib[#Headers],0),FALSE)),"")</f>
        <v/>
      </c>
      <c r="AJ40" s="249" t="str">
        <f>IFERROR(IF(VLOOKUP(CONCATENATE($A40,"_",AJ$1),SP_ACQ_Lib[],MATCH(AJ$2,SP_ACQ_Lib[#Headers],0),FALSE)=0,"",VLOOKUP(CONCATENATE($A40,"_",AJ$1),SP_ACQ_Lib[],MATCH(AJ$2,SP_ACQ_Lib[#Headers],0),FALSE)),"")</f>
        <v/>
      </c>
      <c r="AK40" s="249" t="str">
        <f>IFERROR(IF(VLOOKUP(CONCATENATE($A40,"_",AK$1),SP_ACQ_Lib[],MATCH(AK$2,SP_ACQ_Lib[#Headers],0),FALSE)=0,"",VLOOKUP(CONCATENATE($A40,"_",AK$1),SP_ACQ_Lib[],MATCH(AK$2,SP_ACQ_Lib[#Headers],0),FALSE)),"")</f>
        <v/>
      </c>
      <c r="AL40" s="249">
        <f>IFERROR(VLOOKUP($A40,SP_AcqTract_DB[],MATCH(AL$2,SP_AcqTract_DB[#Headers],0),FALSE),"")</f>
        <v>43994</v>
      </c>
      <c r="AM40" s="227" t="str">
        <f>IFERROR(VLOOKUP($A40,SP_AcqTract_DB[],MATCH(AM$2,SP_AcqTract_DB[#Headers],0),FALSE),"")</f>
        <v>Richard Hudgins</v>
      </c>
      <c r="AN40" s="227" t="str">
        <f>IFERROR(VLOOKUP($A40,SP_AcqTract_DB[],MATCH(AN$2,SP_AcqTract_DB[#Headers],0),FALSE),"")</f>
        <v>Lory Johnson, Atrium</v>
      </c>
      <c r="AO40" s="228">
        <f>IFERROR(VLOOKUP($A40,SP_AcqTract_DB[],MATCH(AO$2,SP_AcqTract_DB[#Headers],0),FALSE),"")</f>
        <v>0</v>
      </c>
      <c r="AP40" s="210" t="str">
        <f>IFERROR(VLOOKUP($A40,SP_AcqTract_DB[],MATCH(AP$2,SP_AcqTract_DB[#Headers],0),FALSE),"")</f>
        <v>V</v>
      </c>
      <c r="AQ40" s="252" t="str">
        <f>IFERROR(IF(VLOOKUP(CONCATENATE($A40,"_",AQ$1),SP_ACQ_Lib[],MATCH(AQ$2,SP_ACQ_Lib[#Headers],0),FALSE)=0,"",VLOOKUP(CONCATENATE($A40,"_",AQ$1),SP_ACQ_Lib[],MATCH(AQ$2,SP_ACQ_Lib[#Headers],0),FALSE)),"")</f>
        <v/>
      </c>
      <c r="AR40" s="250" t="str">
        <f>IFERROR(IF(VLOOKUP(CONCATENATE($A40,"_",AR$1),SP_ACQ_Lib[],MATCH(AR$2,SP_ACQ_Lib[#Headers],0),FALSE)=0,"",VLOOKUP(CONCATENATE($A40,"_",AR$1),SP_ACQ_Lib[],MATCH(AR$2,SP_ACQ_Lib[#Headers],0),FALSE)),"")</f>
        <v/>
      </c>
      <c r="AS40" s="249">
        <f>IFERROR(IF(VLOOKUP(CONCATENATE($A40,"_",AS$1),SP_ACQ_Lib[],MATCH(AS$2,SP_ACQ_Lib[#Headers],0),FALSE)=0,"",VLOOKUP(CONCATENATE($A40,"_",AS$1),SP_ACQ_Lib[],MATCH(AS$2,SP_ACQ_Lib[#Headers],0),FALSE)),"")</f>
        <v>43765</v>
      </c>
      <c r="AT40" s="251" t="str">
        <f>IFERROR(IF(VLOOKUP(CONCATENATE($A40,"_",AT$1),SP_ACQ_Lib[],MATCH(AT$2,SP_ACQ_Lib[#Headers],0),FALSE)=0,"",VLOOKUP(CONCATENATE($A40,"_",AT$1),SP_ACQ_Lib[],MATCH(AT$2,SP_ACQ_Lib[#Headers],0),FALSE)),"")</f>
        <v/>
      </c>
      <c r="AU40" s="251" t="str">
        <f>IFERROR(IF(VLOOKUP(CONCATENATE($A40,"_",AU$1),SP_ACQ_Lib[],MATCH(AU$2,SP_ACQ_Lib[#Headers],0),FALSE)=0,"",VLOOKUP(CONCATENATE($A40,"_",AU$1),SP_ACQ_Lib[],MATCH(AU$2,SP_ACQ_Lib[#Headers],0),FALSE)),"")</f>
        <v/>
      </c>
      <c r="AV40" s="225" t="str">
        <f>IFERROR(IF(VLOOKUP(CONCATENATE($A40,"_",AV$1),SP_ACQ_Lib[],MATCH(AV$2,SP_ACQ_Lib[#Headers],0),FALSE)=0,"",VLOOKUP(CONCATENATE($A40,"_",AV$1),SP_ACQ_Lib[],MATCH(AV$2,SP_ACQ_Lib[#Headers],0),FALSE)),"")</f>
        <v/>
      </c>
      <c r="AW40" s="251" t="str">
        <f>IFERROR(IF(VLOOKUP(CONCATENATE($A40,"_",AW$1),SP_ACQ_Lib[],MATCH(AW$2,SP_ACQ_Lib[#Headers],0),FALSE)=0,"",VLOOKUP(CONCATENATE($A40,"_",AW$1),SP_ACQ_Lib[],MATCH(AW$2,SP_ACQ_Lib[#Headers],0),FALSE)),"")</f>
        <v/>
      </c>
      <c r="AX40" s="251" t="str">
        <f>IFERROR(IF(VLOOKUP(CONCATENATE($A40,"_",AX$1),SP_ACQ_Lib[],MATCH(AX$2,SP_ACQ_Lib[#Headers],0),FALSE)=0,"",VLOOKUP(CONCATENATE($A40,"_",AX$1),SP_ACQ_Lib[],MATCH(AX$2,SP_ACQ_Lib[#Headers],0),FALSE)),"")</f>
        <v/>
      </c>
      <c r="AY40" s="251" t="str">
        <f>IFERROR(IF(VLOOKUP(CONCATENATE($A40,"_",AY$1),SP_ACQ_Lib[],MATCH(AY$2,SP_ACQ_Lib[#Headers],0),FALSE)=0,"",VLOOKUP(CONCATENATE($A40,"_",AY$1),SP_ACQ_Lib[],MATCH(AY$2,SP_ACQ_Lib[#Headers],0),FALSE)),"")</f>
        <v/>
      </c>
      <c r="AZ40" s="251" t="str">
        <f>IFERROR(IF(VLOOKUP(CONCATENATE($A40,"_",AZ$1),SP_ACQ_Lib[],MATCH(AZ$2,SP_ACQ_Lib[#Headers],0),FALSE)=0,"",VLOOKUP(CONCATENATE($A40,"_",AZ$1),SP_ACQ_Lib[],MATCH(AZ$2,SP_ACQ_Lib[#Headers],0),FALSE)),"")</f>
        <v/>
      </c>
      <c r="BA40" s="251" t="str">
        <f>IFERROR(IF(VLOOKUP(CONCATENATE($A40,"_",BA$1),SP_ACQ_Lib[],MATCH(BA$2,SP_ACQ_Lib[#Headers],0),FALSE)=0,"",VLOOKUP(CONCATENATE($A40,"_",BA$1),SP_ACQ_Lib[],MATCH(BA$2,SP_ACQ_Lib[#Headers],0),FALSE)),"")</f>
        <v/>
      </c>
      <c r="BB40" s="224">
        <f>IFERROR(VLOOKUP(CONCATENATE($A40,"_",BB$1),SP_ACQ_Lib[],MATCH(BB$2,SP_ACQ_Lib[#Headers],0),FALSE),0)</f>
        <v>0</v>
      </c>
      <c r="BC40" s="231">
        <f>IFERROR(VLOOKUP($A40,SP_AcqTract_DB[],MATCH(BC$2,SP_AcqTract_DB[#Headers],0),FALSE),"")</f>
        <v>0</v>
      </c>
      <c r="BD40" s="231">
        <f>IFERROR(VLOOKUP($A40,SP_AcqTract_DB[],MATCH(BD$2,SP_AcqTract_DB[#Headers],0),FALSE),"")</f>
        <v>0</v>
      </c>
      <c r="BE40" s="249" t="str">
        <f>IFERROR(IF(VLOOKUP(CONCATENATE($A40,"_",BE$1),SP_ACQ_Lib[],MATCH(BE$2,SP_ACQ_Lib[#Headers],0),FALSE)=0,"",VLOOKUP(CONCATENATE($A40,"_",BE$1),SP_ACQ_Lib[],MATCH(BE$2,SP_ACQ_Lib[#Headers],0),FALSE)),"")</f>
        <v/>
      </c>
      <c r="BF40" s="249" t="str">
        <f>IFERROR(IF(VLOOKUP(CONCATENATE($A40,"_",BF$1),SP_ACQ_Lib[],MATCH(BF$2,SP_ACQ_Lib[#Headers],0),FALSE)=0,"",VLOOKUP(CONCATENATE($A40,"_",BF$1),SP_ACQ_Lib[],MATCH(BF$2,SP_ACQ_Lib[#Headers],0),FALSE)),"")</f>
        <v/>
      </c>
      <c r="BG40" s="249" t="str">
        <f>IFERROR(IF(VLOOKUP(CONCATENATE($A40,"_",BG$1),SP_ACQ_Lib[],MATCH(BG$2,SP_ACQ_Lib[#Headers],0),FALSE)=0,"",VLOOKUP(CONCATENATE($A40,"_",BG$1),SP_ACQ_Lib[],MATCH(BG$2,SP_ACQ_Lib[#Headers],0),FALSE)),"")</f>
        <v/>
      </c>
      <c r="BH40" s="249" t="str">
        <f>IFERROR(IF(VLOOKUP(CONCATENATE($A40,"_",BH$1),SP_ACQ_Lib[],MATCH(BH$2,SP_ACQ_Lib[#Headers],0),FALSE)=0,"",VLOOKUP(CONCATENATE($A40,"_",BH$1),SP_ACQ_Lib[],MATCH(BH$2,SP_ACQ_Lib[#Headers],0),FALSE)),"")</f>
        <v/>
      </c>
      <c r="BI40" s="249" t="str">
        <f>IFERROR(IF(VLOOKUP(CONCATENATE($A40,"_",BI$1),SP_ACQ_Lib[],MATCH(BI$2,SP_ACQ_Lib[#Headers],0),FALSE)=0,"",VLOOKUP(CONCATENATE($A40,"_",BI$1),SP_ACQ_Lib[],MATCH(BI$2,SP_ACQ_Lib[#Headers],0),FALSE)),"")</f>
        <v/>
      </c>
      <c r="BJ40" s="249" t="str">
        <f>IFERROR(IF(VLOOKUP(CONCATENATE($A40,"_",BJ$1),SP_ACQ_Lib[],MATCH(BJ$2,SP_ACQ_Lib[#Headers],0),FALSE)=0,"",VLOOKUP(CONCATENATE($A40,"_",BJ$1),SP_ACQ_Lib[],MATCH(BJ$2,SP_ACQ_Lib[#Headers],0),FALSE)),"")</f>
        <v/>
      </c>
      <c r="BK40" s="250">
        <f>IFERROR(IF(VLOOKUP(CONCATENATE($A40,"_",BK$1),SP_ACQ_Lib[],MATCH(BK$2,SP_ACQ_Lib[#Headers],0),FALSE)=0,"",VLOOKUP(CONCATENATE($A40,"_",BK$1),SP_ACQ_Lib[],MATCH(BK$2,SP_ACQ_Lib[#Headers],0),FALSE)),"")</f>
        <v>43748</v>
      </c>
      <c r="BL40" s="249" t="str">
        <f>IFERROR(IF(VLOOKUP(CONCATENATE($A40,"_",BL$1),SP_ACQ_Lib[],MATCH(BL$2,SP_ACQ_Lib[#Headers],0),FALSE)=0,"",VLOOKUP(CONCATENATE($A40,"_",BL$1),SP_ACQ_Lib[],MATCH(BL$2,SP_ACQ_Lib[#Headers],0),FALSE)),"")</f>
        <v/>
      </c>
      <c r="BM40" s="249" t="str">
        <f>IFERROR(IF(VLOOKUP(CONCATENATE($A40,"_",BM$1),SP_ACQ_Lib[],MATCH(BM$2,SP_ACQ_Lib[#Headers],0),FALSE)=0,"",VLOOKUP(CONCATENATE($A40,"_",BM$1),SP_ACQ_Lib[],MATCH(BM$2,SP_ACQ_Lib[#Headers],0),FALSE)),"")</f>
        <v/>
      </c>
      <c r="BN40" s="249" t="str">
        <f>IFERROR(IF(VLOOKUP(CONCATENATE($A40,"_",BN$1),SP_ACQ_Lib[],MATCH(BN$2,SP_ACQ_Lib[#Headers],0),FALSE)=0,"",VLOOKUP(CONCATENATE($A40,"_",BN$1),SP_ACQ_Lib[],MATCH(BN$2,SP_ACQ_Lib[#Headers],0),FALSE)),"")</f>
        <v/>
      </c>
    </row>
    <row r="41" spans="1:66" s="226" customFormat="1" ht="38.25" x14ac:dyDescent="0.2">
      <c r="A41" s="192" t="s">
        <v>45</v>
      </c>
      <c r="B41" s="227" t="str">
        <f>IFERROR(VLOOKUP($A41,SP_AcqTract_DB[],MATCH(B$2,SP_AcqTract_DB[#Headers],0),FALSE),"")</f>
        <v>R018556</v>
      </c>
      <c r="C41" s="228" t="str">
        <f>IFERROR(VLOOKUP($A41,SP_AcqTract_DB[],MATCH(C$2,SP_AcqTract_DB[#Headers],0),FALSE),"")</f>
        <v>PH1</v>
      </c>
      <c r="D41" s="208" t="str">
        <f>IFERROR(VLOOKUP($A41,SP_AcqTract_DB[],MATCH(D$2,SP_AcqTract_DB[#Headers],0),FALSE),"")</f>
        <v>Active</v>
      </c>
      <c r="E41" s="208">
        <f>IFERROR(VLOOKUP($A41,SP_AcqTract_DB[],MATCH(E$2,SP_AcqTract_DB[#Headers],0),FALSE),"")</f>
        <v>2</v>
      </c>
      <c r="F41" s="227" t="str">
        <f>IFERROR(VLOOKUP($A41,SP_AcqTract_DB[],MATCH(F$2,SP_AcqTract_DB[#Headers],0),FALSE),"")</f>
        <v>Flowage Esmt/Levee Esmt</v>
      </c>
      <c r="G41" s="227" t="str">
        <f>IFERROR(VLOOKUP($A41,SP_AcqTract_DB[],MATCH(G$2,SP_AcqTract_DB[#Headers],0),FALSE),"")</f>
        <v>Melissa DeLeon</v>
      </c>
      <c r="H41" s="250">
        <f>IFERROR(IF(VLOOKUP(CONCATENATE($A41,"_",H$1),SP_ACQ_Lib[],MATCH(H$2,SP_ACQ_Lib[#Headers],0),FALSE)=0,"",VLOOKUP(CONCATENATE($A41,"_",H$1),SP_ACQ_Lib[],MATCH(H$2,SP_ACQ_Lib[#Headers],0),FALSE)),"")</f>
        <v>43910.482569444444</v>
      </c>
      <c r="I41" s="227" t="str">
        <f>IFERROR(VLOOKUP($A41,SP_AcqTract_DB[],MATCH(I$2,SP_AcqTract_DB[#Headers],0),FALSE),"")</f>
        <v>Centerpoint Energy Houston Electric fka Houston Lighting and Power Co.</v>
      </c>
      <c r="J41" s="227" t="str">
        <f>IFERROR(VLOOKUP($A41,SP_AcqTract_DB[],MATCH(J$2,SP_AcqTract_DB[#Headers],0),FALSE),"")</f>
        <v>Attn: Jasmine Brown, 7th Floor</v>
      </c>
      <c r="K41" s="227" t="str">
        <f>IFERROR(VLOOKUP($A41,SP_AcqTract_DB[],MATCH(K$2,SP_AcqTract_DB[#Headers],0),FALSE),"")</f>
        <v>Centerpoint Energy Houston Electric</v>
      </c>
      <c r="L41" s="227" t="str">
        <f>IFERROR(VLOOKUP($A41,SP_AcqTract_DB[],MATCH(L$2,SP_AcqTract_DB[#Headers],0),FALSE),"")</f>
        <v>PO Box 1700</v>
      </c>
      <c r="M41" s="208" t="str">
        <f>IFERROR(VLOOKUP($A41,SP_AcqTract_DB[],MATCH(M$2,SP_AcqTract_DB[#Headers],0),FALSE),"")</f>
        <v>Houston, TX</v>
      </c>
      <c r="N41" s="227">
        <f>IFERROR(VLOOKUP($A41,SP_AcqTract_DB[],MATCH(N$2,SP_AcqTract_DB[#Headers],0),FALSE),"")</f>
        <v>0</v>
      </c>
      <c r="O41" s="220">
        <f>IFERROR(VLOOKUP($A41,SP_AcqTract_DB[],MATCH(O$2,SP_AcqTract_DB[#Headers],0),FALSE),"")</f>
        <v>0</v>
      </c>
      <c r="P41" s="220">
        <f>IFERROR(VLOOKUP($A41,SP_AcqTract_DB[],MATCH(P$2,SP_AcqTract_DB[#Headers],0),FALSE),"")</f>
        <v>0</v>
      </c>
      <c r="Q41" s="208" t="str">
        <f>IFERROR(VLOOKUP($A41,SP_AcqTract_DB[],MATCH(Q$2,SP_AcqTract_DB[#Headers],0),FALSE),"")</f>
        <v>2019-0759</v>
      </c>
      <c r="R41" s="250">
        <f>IFERROR(IF(VLOOKUP(CONCATENATE($A41,"_",R$1),SP_ACQ_Lib[],MATCH(R$2,SP_ACQ_Lib[#Headers],0),FALSE)=0,"",VLOOKUP(CONCATENATE($A41,"_",R$1),SP_ACQ_Lib[],MATCH(R$2,SP_ACQ_Lib[#Headers],0),FALSE)),"")</f>
        <v>43669</v>
      </c>
      <c r="S41" s="253">
        <f>IFERROR(IF(VLOOKUP(CONCATENATE($A41,"_",S$1),SP_ACQ_Lib[],MATCH(S$2,SP_ACQ_Lib[#Headers],0),FALSE)=0,"",VLOOKUP(CONCATENATE($A41,"_",S$1),SP_ACQ_Lib[],MATCH(S$2,SP_ACQ_Lib[#Headers],0),FALSE)),"")</f>
        <v>43677</v>
      </c>
      <c r="T41" s="205" t="str">
        <f>IFERROR(VLOOKUP(CONCATENATE($A41,"_",T$1),SP_ACQ_Lib[],MATCH(T$2,SP_ACQ_Lib[#Headers],0),FALSE),0)</f>
        <v>Accepted</v>
      </c>
      <c r="U41" s="250">
        <f>IFERROR(IF(VLOOKUP(CONCATENATE($A41,"_",U$1),SP_ACQ_Lib[],MATCH(U$2,SP_ACQ_Lib[#Headers],0),FALSE)=0,"",VLOOKUP(CONCATENATE($A41,"_",U$1),SP_ACQ_Lib[],MATCH(U$2,SP_ACQ_Lib[#Headers],0),FALSE)),"")</f>
        <v>43812</v>
      </c>
      <c r="V41" s="205" t="str">
        <f>IFERROR(VLOOKUP(CONCATENATE($A41,"_",V$1),SP_ACQ_Lib[],MATCH(V$2,SP_ACQ_Lib[#Headers],0),FALSE),0)</f>
        <v>Accepted</v>
      </c>
      <c r="W41" s="209" t="str">
        <f>IFERROR(VLOOKUP(CONCATENATE($A41,"_",W$1),SP_ACQ_Lib[],MATCH(W$2,SP_ACQ_Lib[#Headers],0),FALSE),0)</f>
        <v>Accepted</v>
      </c>
      <c r="X41" s="250">
        <f>IFERROR(VLOOKUP($A41,SP_AcqTract_DB[],MATCH(X$2,SP_AcqTract_DB[#Headers],0),FALSE),"")</f>
        <v>43704</v>
      </c>
      <c r="Y41" s="237">
        <f>IFERROR(VLOOKUP($A41,SP_AcqTract_DB[],MATCH(Y$2,SP_AcqTract_DB[#Headers],0),FALSE),"")</f>
        <v>2.9797979797979799E-2</v>
      </c>
      <c r="Z41" s="229">
        <f>IFERROR(VLOOKUP($A41,SP_AcqTract_DB[],MATCH(Z$2,SP_AcqTract_DB[#Headers],0),FALSE),"")</f>
        <v>1298</v>
      </c>
      <c r="AA41" s="229" t="str">
        <f>IFERROR(VLOOKUP($A41,SP_AcqTract_DB[],MATCH(AA$2,SP_AcqTract_DB[#Headers],0),FALSE),"")</f>
        <v>No</v>
      </c>
      <c r="AB41" s="250" t="str">
        <f>IFERROR(IF(VLOOKUP(CONCATENATE($A41,"_",AB$1),SP_ACQ_Lib[],MATCH(AB$2,SP_ACQ_Lib[#Headers],0),FALSE)=0,"",VLOOKUP(CONCATENATE($A41,"_",AB$1),SP_ACQ_Lib[],MATCH(AB$2,SP_ACQ_Lib[#Headers],0),FALSE)),"")</f>
        <v/>
      </c>
      <c r="AC41" s="250" t="str">
        <f>IFERROR(IF(VLOOKUP(CONCATENATE($A41,"_",AC$1),SP_ACQ_Lib[],MATCH(AC$2,SP_ACQ_Lib[#Headers],0),FALSE)=0,"",VLOOKUP(CONCATENATE($A41,"_",AC$1),SP_ACQ_Lib[],MATCH(AC$2,SP_ACQ_Lib[#Headers],0),FALSE)),"")</f>
        <v/>
      </c>
      <c r="AD41" s="229" t="str">
        <f>IFERROR(VLOOKUP($A41,SP_AcqTract_DB[],MATCH(AD$2,SP_AcqTract_DB[#Headers],0),FALSE),"")</f>
        <v>Yes</v>
      </c>
      <c r="AE41" s="250">
        <f>IFERROR(IF(VLOOKUP(CONCATENATE($A41,"_",AE$1),SP_ACQ_Lib[],MATCH(AE$2,SP_ACQ_Lib[#Headers],0),FALSE)=0,"",VLOOKUP(CONCATENATE($A41,"_",AE$1),SP_ACQ_Lib[],MATCH(AE$2,SP_ACQ_Lib[#Headers],0),FALSE)),"")</f>
        <v>43991</v>
      </c>
      <c r="AF41" s="250">
        <f>IFERROR(IF(VLOOKUP(CONCATENATE($A41,"_",AF$1),SP_ACQ_Lib[],MATCH(AF$2,SP_ACQ_Lib[#Headers],0),FALSE)=0,"",VLOOKUP(CONCATENATE($A41,"_",AF$1),SP_ACQ_Lib[],MATCH(AF$2,SP_ACQ_Lib[#Headers],0),FALSE)),"")</f>
        <v>43993</v>
      </c>
      <c r="AG41" s="250" t="str">
        <f>IFERROR(IF(VLOOKUP(CONCATENATE($A41,"_",AG$1),SP_ACQ_Lib[],MATCH(AG$2,SP_ACQ_Lib[#Headers],0),FALSE)=0,"",VLOOKUP(CONCATENATE($A41,"_",AG$1),SP_ACQ_Lib[],MATCH(AG$2,SP_ACQ_Lib[#Headers],0),FALSE)),"")</f>
        <v/>
      </c>
      <c r="AH41" s="250">
        <f>IFERROR(IF(VLOOKUP(CONCATENATE($A41,"_",AH$1),SP_ACQ_Lib[],MATCH(AH$2,SP_ACQ_Lib[#Headers],0),FALSE)=0,"",VLOOKUP(CONCATENATE($A41,"_",AH$1),SP_ACQ_Lib[],MATCH(AH$2,SP_ACQ_Lib[#Headers],0),FALSE)),"")</f>
        <v>43705</v>
      </c>
      <c r="AI41" s="249" t="str">
        <f>IFERROR(IF(VLOOKUP(CONCATENATE($A41,"_",AI$1),SP_ACQ_Lib[],MATCH(AI$2,SP_ACQ_Lib[#Headers],0),FALSE)=0,"",VLOOKUP(CONCATENATE($A41,"_",AI$1),SP_ACQ_Lib[],MATCH(AI$2,SP_ACQ_Lib[#Headers],0),FALSE)),"")</f>
        <v/>
      </c>
      <c r="AJ41" s="249" t="str">
        <f>IFERROR(IF(VLOOKUP(CONCATENATE($A41,"_",AJ$1),SP_ACQ_Lib[],MATCH(AJ$2,SP_ACQ_Lib[#Headers],0),FALSE)=0,"",VLOOKUP(CONCATENATE($A41,"_",AJ$1),SP_ACQ_Lib[],MATCH(AJ$2,SP_ACQ_Lib[#Headers],0),FALSE)),"")</f>
        <v/>
      </c>
      <c r="AK41" s="249" t="str">
        <f>IFERROR(IF(VLOOKUP(CONCATENATE($A41,"_",AK$1),SP_ACQ_Lib[],MATCH(AK$2,SP_ACQ_Lib[#Headers],0),FALSE)=0,"",VLOOKUP(CONCATENATE($A41,"_",AK$1),SP_ACQ_Lib[],MATCH(AK$2,SP_ACQ_Lib[#Headers],0),FALSE)),"")</f>
        <v/>
      </c>
      <c r="AL41" s="249">
        <f>IFERROR(VLOOKUP($A41,SP_AcqTract_DB[],MATCH(AL$2,SP_AcqTract_DB[#Headers],0),FALSE),"")</f>
        <v>43994</v>
      </c>
      <c r="AM41" s="227" t="str">
        <f>IFERROR(VLOOKUP($A41,SP_AcqTract_DB[],MATCH(AM$2,SP_AcqTract_DB[#Headers],0),FALSE),"")</f>
        <v>David Ambrose</v>
      </c>
      <c r="AN41" s="227" t="str">
        <f>IFERROR(VLOOKUP($A41,SP_AcqTract_DB[],MATCH(AN$2,SP_AcqTract_DB[#Headers],0),FALSE),"")</f>
        <v>Lory Johnson, Atrium</v>
      </c>
      <c r="AO41" s="228">
        <f>IFERROR(VLOOKUP($A41,SP_AcqTract_DB[],MATCH(AO$2,SP_AcqTract_DB[#Headers],0),FALSE),"")</f>
        <v>0</v>
      </c>
      <c r="AP41" s="210" t="str">
        <f>IFERROR(VLOOKUP($A41,SP_AcqTract_DB[],MATCH(AP$2,SP_AcqTract_DB[#Headers],0),FALSE),"")</f>
        <v>V</v>
      </c>
      <c r="AQ41" s="252" t="str">
        <f>IFERROR(IF(VLOOKUP(CONCATENATE($A41,"_",AQ$1),SP_ACQ_Lib[],MATCH(AQ$2,SP_ACQ_Lib[#Headers],0),FALSE)=0,"",VLOOKUP(CONCATENATE($A41,"_",AQ$1),SP_ACQ_Lib[],MATCH(AQ$2,SP_ACQ_Lib[#Headers],0),FALSE)),"")</f>
        <v/>
      </c>
      <c r="AR41" s="250" t="str">
        <f>IFERROR(IF(VLOOKUP(CONCATENATE($A41,"_",AR$1),SP_ACQ_Lib[],MATCH(AR$2,SP_ACQ_Lib[#Headers],0),FALSE)=0,"",VLOOKUP(CONCATENATE($A41,"_",AR$1),SP_ACQ_Lib[],MATCH(AR$2,SP_ACQ_Lib[#Headers],0),FALSE)),"")</f>
        <v/>
      </c>
      <c r="AS41" s="249">
        <f>IFERROR(IF(VLOOKUP(CONCATENATE($A41,"_",AS$1),SP_ACQ_Lib[],MATCH(AS$2,SP_ACQ_Lib[#Headers],0),FALSE)=0,"",VLOOKUP(CONCATENATE($A41,"_",AS$1),SP_ACQ_Lib[],MATCH(AS$2,SP_ACQ_Lib[#Headers],0),FALSE)),"")</f>
        <v>43765</v>
      </c>
      <c r="AT41" s="251">
        <f>IFERROR(IF(VLOOKUP(CONCATENATE($A41,"_",AT$1),SP_ACQ_Lib[],MATCH(AT$2,SP_ACQ_Lib[#Headers],0),FALSE)=0,"",VLOOKUP(CONCATENATE($A41,"_",AT$1),SP_ACQ_Lib[],MATCH(AT$2,SP_ACQ_Lib[#Headers],0),FALSE)),"")</f>
        <v>43960</v>
      </c>
      <c r="AU41" s="251" t="str">
        <f>IFERROR(IF(VLOOKUP(CONCATENATE($A41,"_",AU$1),SP_ACQ_Lib[],MATCH(AU$2,SP_ACQ_Lib[#Headers],0),FALSE)=0,"",VLOOKUP(CONCATENATE($A41,"_",AU$1),SP_ACQ_Lib[],MATCH(AU$2,SP_ACQ_Lib[#Headers],0),FALSE)),"")</f>
        <v/>
      </c>
      <c r="AV41" s="225">
        <f>IFERROR(IF(VLOOKUP(CONCATENATE($A41,"_",AV$1),SP_ACQ_Lib[],MATCH(AV$2,SP_ACQ_Lib[#Headers],0),FALSE)=0,"",VLOOKUP(CONCATENATE($A41,"_",AV$1),SP_ACQ_Lib[],MATCH(AV$2,SP_ACQ_Lib[#Headers],0),FALSE)),"")</f>
        <v>149</v>
      </c>
      <c r="AW41" s="251">
        <f>IFERROR(IF(VLOOKUP(CONCATENATE($A41,"_",AW$1),SP_ACQ_Lib[],MATCH(AW$2,SP_ACQ_Lib[#Headers],0),FALSE)=0,"",VLOOKUP(CONCATENATE($A41,"_",AW$1),SP_ACQ_Lib[],MATCH(AW$2,SP_ACQ_Lib[#Headers],0),FALSE)),"")</f>
        <v>44018</v>
      </c>
      <c r="AX41" s="251">
        <f>IFERROR(IF(VLOOKUP(CONCATENATE($A41,"_",AX$1),SP_ACQ_Lib[],MATCH(AX$2,SP_ACQ_Lib[#Headers],0),FALSE)=0,"",VLOOKUP(CONCATENATE($A41,"_",AX$1),SP_ACQ_Lib[],MATCH(AX$2,SP_ACQ_Lib[#Headers],0),FALSE)),"")</f>
        <v>44018</v>
      </c>
      <c r="AY41" s="251">
        <f>IFERROR(IF(VLOOKUP(CONCATENATE($A41,"_",AY$1),SP_ACQ_Lib[],MATCH(AY$2,SP_ACQ_Lib[#Headers],0),FALSE)=0,"",VLOOKUP(CONCATENATE($A41,"_",AY$1),SP_ACQ_Lib[],MATCH(AY$2,SP_ACQ_Lib[#Headers],0),FALSE)),"")</f>
        <v>44018</v>
      </c>
      <c r="AZ41" s="251" t="str">
        <f>IFERROR(IF(VLOOKUP(CONCATENATE($A41,"_",AZ$1),SP_ACQ_Lib[],MATCH(AZ$2,SP_ACQ_Lib[#Headers],0),FALSE)=0,"",VLOOKUP(CONCATENATE($A41,"_",AZ$1),SP_ACQ_Lib[],MATCH(AZ$2,SP_ACQ_Lib[#Headers],0),FALSE)),"")</f>
        <v/>
      </c>
      <c r="BA41" s="251" t="str">
        <f>IFERROR(IF(VLOOKUP(CONCATENATE($A41,"_",BA$1),SP_ACQ_Lib[],MATCH(BA$2,SP_ACQ_Lib[#Headers],0),FALSE)=0,"",VLOOKUP(CONCATENATE($A41,"_",BA$1),SP_ACQ_Lib[],MATCH(BA$2,SP_ACQ_Lib[#Headers],0),FALSE)),"")</f>
        <v/>
      </c>
      <c r="BB41" s="224">
        <f>IFERROR(VLOOKUP(CONCATENATE($A41,"_",BB$1),SP_ACQ_Lib[],MATCH(BB$2,SP_ACQ_Lib[#Headers],0),FALSE),0)</f>
        <v>0</v>
      </c>
      <c r="BC41" s="231">
        <f>IFERROR(VLOOKUP($A41,SP_AcqTract_DB[],MATCH(BC$2,SP_AcqTract_DB[#Headers],0),FALSE),"")</f>
        <v>0</v>
      </c>
      <c r="BD41" s="231">
        <f>IFERROR(VLOOKUP($A41,SP_AcqTract_DB[],MATCH(BD$2,SP_AcqTract_DB[#Headers],0),FALSE),"")</f>
        <v>0</v>
      </c>
      <c r="BE41" s="249" t="str">
        <f>IFERROR(IF(VLOOKUP(CONCATENATE($A41,"_",BE$1),SP_ACQ_Lib[],MATCH(BE$2,SP_ACQ_Lib[#Headers],0),FALSE)=0,"",VLOOKUP(CONCATENATE($A41,"_",BE$1),SP_ACQ_Lib[],MATCH(BE$2,SP_ACQ_Lib[#Headers],0),FALSE)),"")</f>
        <v/>
      </c>
      <c r="BF41" s="249" t="str">
        <f>IFERROR(IF(VLOOKUP(CONCATENATE($A41,"_",BF$1),SP_ACQ_Lib[],MATCH(BF$2,SP_ACQ_Lib[#Headers],0),FALSE)=0,"",VLOOKUP(CONCATENATE($A41,"_",BF$1),SP_ACQ_Lib[],MATCH(BF$2,SP_ACQ_Lib[#Headers],0),FALSE)),"")</f>
        <v/>
      </c>
      <c r="BG41" s="249" t="str">
        <f>IFERROR(IF(VLOOKUP(CONCATENATE($A41,"_",BG$1),SP_ACQ_Lib[],MATCH(BG$2,SP_ACQ_Lib[#Headers],0),FALSE)=0,"",VLOOKUP(CONCATENATE($A41,"_",BG$1),SP_ACQ_Lib[],MATCH(BG$2,SP_ACQ_Lib[#Headers],0),FALSE)),"")</f>
        <v/>
      </c>
      <c r="BH41" s="249" t="str">
        <f>IFERROR(IF(VLOOKUP(CONCATENATE($A41,"_",BH$1),SP_ACQ_Lib[],MATCH(BH$2,SP_ACQ_Lib[#Headers],0),FALSE)=0,"",VLOOKUP(CONCATENATE($A41,"_",BH$1),SP_ACQ_Lib[],MATCH(BH$2,SP_ACQ_Lib[#Headers],0),FALSE)),"")</f>
        <v/>
      </c>
      <c r="BI41" s="249" t="str">
        <f>IFERROR(IF(VLOOKUP(CONCATENATE($A41,"_",BI$1),SP_ACQ_Lib[],MATCH(BI$2,SP_ACQ_Lib[#Headers],0),FALSE)=0,"",VLOOKUP(CONCATENATE($A41,"_",BI$1),SP_ACQ_Lib[],MATCH(BI$2,SP_ACQ_Lib[#Headers],0),FALSE)),"")</f>
        <v/>
      </c>
      <c r="BJ41" s="249" t="str">
        <f>IFERROR(IF(VLOOKUP(CONCATENATE($A41,"_",BJ$1),SP_ACQ_Lib[],MATCH(BJ$2,SP_ACQ_Lib[#Headers],0),FALSE)=0,"",VLOOKUP(CONCATENATE($A41,"_",BJ$1),SP_ACQ_Lib[],MATCH(BJ$2,SP_ACQ_Lib[#Headers],0),FALSE)),"")</f>
        <v/>
      </c>
      <c r="BK41" s="250">
        <f>IFERROR(IF(VLOOKUP(CONCATENATE($A41,"_",BK$1),SP_ACQ_Lib[],MATCH(BK$2,SP_ACQ_Lib[#Headers],0),FALSE)=0,"",VLOOKUP(CONCATENATE($A41,"_",BK$1),SP_ACQ_Lib[],MATCH(BK$2,SP_ACQ_Lib[#Headers],0),FALSE)),"")</f>
        <v>43748</v>
      </c>
      <c r="BL41" s="249" t="str">
        <f>IFERROR(IF(VLOOKUP(CONCATENATE($A41,"_",BL$1),SP_ACQ_Lib[],MATCH(BL$2,SP_ACQ_Lib[#Headers],0),FALSE)=0,"",VLOOKUP(CONCATENATE($A41,"_",BL$1),SP_ACQ_Lib[],MATCH(BL$2,SP_ACQ_Lib[#Headers],0),FALSE)),"")</f>
        <v/>
      </c>
      <c r="BM41" s="249" t="str">
        <f>IFERROR(IF(VLOOKUP(CONCATENATE($A41,"_",BM$1),SP_ACQ_Lib[],MATCH(BM$2,SP_ACQ_Lib[#Headers],0),FALSE)=0,"",VLOOKUP(CONCATENATE($A41,"_",BM$1),SP_ACQ_Lib[],MATCH(BM$2,SP_ACQ_Lib[#Headers],0),FALSE)),"")</f>
        <v/>
      </c>
      <c r="BN41" s="249" t="str">
        <f>IFERROR(IF(VLOOKUP(CONCATENATE($A41,"_",BN$1),SP_ACQ_Lib[],MATCH(BN$2,SP_ACQ_Lib[#Headers],0),FALSE)=0,"",VLOOKUP(CONCATENATE($A41,"_",BN$1),SP_ACQ_Lib[],MATCH(BN$2,SP_ACQ_Lib[#Headers],0),FALSE)),"")</f>
        <v/>
      </c>
    </row>
    <row r="42" spans="1:66" s="226" customFormat="1" ht="25.5" x14ac:dyDescent="0.2">
      <c r="A42" s="192" t="s">
        <v>46</v>
      </c>
      <c r="B42" s="227" t="str">
        <f>IFERROR(VLOOKUP($A42,SP_AcqTract_DB[],MATCH(B$2,SP_AcqTract_DB[#Headers],0),FALSE),"")</f>
        <v>R018586</v>
      </c>
      <c r="C42" s="228" t="str">
        <f>IFERROR(VLOOKUP($A42,SP_AcqTract_DB[],MATCH(C$2,SP_AcqTract_DB[#Headers],0),FALSE),"")</f>
        <v>PH1</v>
      </c>
      <c r="D42" s="208" t="str">
        <f>IFERROR(VLOOKUP($A42,SP_AcqTract_DB[],MATCH(D$2,SP_AcqTract_DB[#Headers],0),FALSE),"")</f>
        <v>Active</v>
      </c>
      <c r="E42" s="208">
        <f>IFERROR(VLOOKUP($A42,SP_AcqTract_DB[],MATCH(E$2,SP_AcqTract_DB[#Headers],0),FALSE),"")</f>
        <v>1</v>
      </c>
      <c r="F42" s="227" t="str">
        <f>IFERROR(VLOOKUP($A42,SP_AcqTract_DB[],MATCH(F$2,SP_AcqTract_DB[#Headers],0),FALSE),"")</f>
        <v>Flowage Esmt</v>
      </c>
      <c r="G42" s="227" t="str">
        <f>IFERROR(VLOOKUP($A42,SP_AcqTract_DB[],MATCH(G$2,SP_AcqTract_DB[#Headers],0),FALSE),"")</f>
        <v>Lily Khan</v>
      </c>
      <c r="H42" s="250">
        <f>IFERROR(IF(VLOOKUP(CONCATENATE($A42,"_",H$1),SP_ACQ_Lib[],MATCH(H$2,SP_ACQ_Lib[#Headers],0),FALSE)=0,"",VLOOKUP(CONCATENATE($A42,"_",H$1),SP_ACQ_Lib[],MATCH(H$2,SP_ACQ_Lib[#Headers],0),FALSE)),"")</f>
        <v>43998.639201388891</v>
      </c>
      <c r="I42" s="227" t="str">
        <f>IFERROR(VLOOKUP($A42,SP_AcqTract_DB[],MATCH(I$2,SP_AcqTract_DB[#Headers],0),FALSE),"")</f>
        <v>Elias Rodriguez</v>
      </c>
      <c r="J42" s="227">
        <f>IFERROR(VLOOKUP($A42,SP_AcqTract_DB[],MATCH(J$2,SP_AcqTract_DB[#Headers],0),FALSE),"")</f>
        <v>0</v>
      </c>
      <c r="K42" s="227" t="str">
        <f>IFERROR(VLOOKUP($A42,SP_AcqTract_DB[],MATCH(K$2,SP_AcqTract_DB[#Headers],0),FALSE),"")</f>
        <v>Elias Rodriguez</v>
      </c>
      <c r="L42" s="227" t="str">
        <f>IFERROR(VLOOKUP($A42,SP_AcqTract_DB[],MATCH(L$2,SP_AcqTract_DB[#Headers],0),FALSE),"")</f>
        <v>408 S. Ford Street</v>
      </c>
      <c r="M42" s="208" t="str">
        <f>IFERROR(VLOOKUP($A42,SP_AcqTract_DB[],MATCH(M$2,SP_AcqTract_DB[#Headers],0),FALSE),"")</f>
        <v>Wharton, TX  77488</v>
      </c>
      <c r="N42" s="227" t="str">
        <f>IFERROR(VLOOKUP($A42,SP_AcqTract_DB[],MATCH(N$2,SP_AcqTract_DB[#Headers],0),FALSE),"")</f>
        <v>560 S Ford</v>
      </c>
      <c r="O42" s="220">
        <f>IFERROR(VLOOKUP($A42,SP_AcqTract_DB[],MATCH(O$2,SP_AcqTract_DB[#Headers],0),FALSE),"")</f>
        <v>0</v>
      </c>
      <c r="P42" s="220">
        <f>IFERROR(VLOOKUP($A42,SP_AcqTract_DB[],MATCH(P$2,SP_AcqTract_DB[#Headers],0),FALSE),"")</f>
        <v>0</v>
      </c>
      <c r="Q42" s="208" t="str">
        <f>IFERROR(VLOOKUP($A42,SP_AcqTract_DB[],MATCH(Q$2,SP_AcqTract_DB[#Headers],0),FALSE),"")</f>
        <v>2019-0894</v>
      </c>
      <c r="R42" s="250">
        <f>IFERROR(IF(VLOOKUP(CONCATENATE($A42,"_",R$1),SP_ACQ_Lib[],MATCH(R$2,SP_ACQ_Lib[#Headers],0),FALSE)=0,"",VLOOKUP(CONCATENATE($A42,"_",R$1),SP_ACQ_Lib[],MATCH(R$2,SP_ACQ_Lib[#Headers],0),FALSE)),"")</f>
        <v>43952</v>
      </c>
      <c r="S42" s="253">
        <f>IFERROR(IF(VLOOKUP(CONCATENATE($A42,"_",S$1),SP_ACQ_Lib[],MATCH(S$2,SP_ACQ_Lib[#Headers],0),FALSE)=0,"",VLOOKUP(CONCATENATE($A42,"_",S$1),SP_ACQ_Lib[],MATCH(S$2,SP_ACQ_Lib[#Headers],0),FALSE)),"")</f>
        <v>43963</v>
      </c>
      <c r="T42" s="205" t="str">
        <f>IFERROR(VLOOKUP(CONCATENATE($A42,"_",T$1),SP_ACQ_Lib[],MATCH(T$2,SP_ACQ_Lib[#Headers],0),FALSE),0)</f>
        <v>Accepted</v>
      </c>
      <c r="U42" s="250">
        <f>IFERROR(IF(VLOOKUP(CONCATENATE($A42,"_",U$1),SP_ACQ_Lib[],MATCH(U$2,SP_ACQ_Lib[#Headers],0),FALSE)=0,"",VLOOKUP(CONCATENATE($A42,"_",U$1),SP_ACQ_Lib[],MATCH(U$2,SP_ACQ_Lib[#Headers],0),FALSE)),"")</f>
        <v>43812</v>
      </c>
      <c r="V42" s="205" t="str">
        <f>IFERROR(VLOOKUP(CONCATENATE($A42,"_",V$1),SP_ACQ_Lib[],MATCH(V$2,SP_ACQ_Lib[#Headers],0),FALSE),0)</f>
        <v>Accepted</v>
      </c>
      <c r="W42" s="209">
        <f>IFERROR(VLOOKUP(CONCATENATE($A42,"_",W$1),SP_ACQ_Lib[],MATCH(W$2,SP_ACQ_Lib[#Headers],0),FALSE),0)</f>
        <v>0</v>
      </c>
      <c r="X42" s="250">
        <f>IFERROR(VLOOKUP($A42,SP_AcqTract_DB[],MATCH(X$2,SP_AcqTract_DB[#Headers],0),FALSE),"")</f>
        <v>43704</v>
      </c>
      <c r="Y42" s="237">
        <f>IFERROR(VLOOKUP($A42,SP_AcqTract_DB[],MATCH(Y$2,SP_AcqTract_DB[#Headers],0),FALSE),"")</f>
        <v>0.17208448117538999</v>
      </c>
      <c r="Z42" s="229">
        <f>IFERROR(VLOOKUP($A42,SP_AcqTract_DB[],MATCH(Z$2,SP_AcqTract_DB[#Headers],0),FALSE),"")</f>
        <v>7496</v>
      </c>
      <c r="AA42" s="229" t="str">
        <f>IFERROR(VLOOKUP($A42,SP_AcqTract_DB[],MATCH(AA$2,SP_AcqTract_DB[#Headers],0),FALSE),"")</f>
        <v>Yes</v>
      </c>
      <c r="AB42" s="250">
        <f>IFERROR(IF(VLOOKUP(CONCATENATE($A42,"_",AB$1),SP_ACQ_Lib[],MATCH(AB$2,SP_ACQ_Lib[#Headers],0),FALSE)=0,"",VLOOKUP(CONCATENATE($A42,"_",AB$1),SP_ACQ_Lib[],MATCH(AB$2,SP_ACQ_Lib[#Headers],0),FALSE)),"")</f>
        <v>43859</v>
      </c>
      <c r="AC42" s="250">
        <f>IFERROR(IF(VLOOKUP(CONCATENATE($A42,"_",AC$1),SP_ACQ_Lib[],MATCH(AC$2,SP_ACQ_Lib[#Headers],0),FALSE)=0,"",VLOOKUP(CONCATENATE($A42,"_",AC$1),SP_ACQ_Lib[],MATCH(AC$2,SP_ACQ_Lib[#Headers],0),FALSE)),"")</f>
        <v>43913</v>
      </c>
      <c r="AD42" s="229" t="str">
        <f>IFERROR(VLOOKUP($A42,SP_AcqTract_DB[],MATCH(AD$2,SP_AcqTract_DB[#Headers],0),FALSE),"")</f>
        <v>Yes</v>
      </c>
      <c r="AE42" s="250">
        <f>IFERROR(IF(VLOOKUP(CONCATENATE($A42,"_",AE$1),SP_ACQ_Lib[],MATCH(AE$2,SP_ACQ_Lib[#Headers],0),FALSE)=0,"",VLOOKUP(CONCATENATE($A42,"_",AE$1),SP_ACQ_Lib[],MATCH(AE$2,SP_ACQ_Lib[#Headers],0),FALSE)),"")</f>
        <v>43859</v>
      </c>
      <c r="AF42" s="250">
        <f>IFERROR(IF(VLOOKUP(CONCATENATE($A42,"_",AF$1),SP_ACQ_Lib[],MATCH(AF$2,SP_ACQ_Lib[#Headers],0),FALSE)=0,"",VLOOKUP(CONCATENATE($A42,"_",AF$1),SP_ACQ_Lib[],MATCH(AF$2,SP_ACQ_Lib[#Headers],0),FALSE)),"")</f>
        <v>43948</v>
      </c>
      <c r="AG42" s="250">
        <f>IFERROR(IF(VLOOKUP(CONCATENATE($A42,"_",AG$1),SP_ACQ_Lib[],MATCH(AG$2,SP_ACQ_Lib[#Headers],0),FALSE)=0,"",VLOOKUP(CONCATENATE($A42,"_",AG$1),SP_ACQ_Lib[],MATCH(AG$2,SP_ACQ_Lib[#Headers],0),FALSE)),"")</f>
        <v>43691</v>
      </c>
      <c r="AH42" s="250">
        <f>IFERROR(IF(VLOOKUP(CONCATENATE($A42,"_",AH$1),SP_ACQ_Lib[],MATCH(AH$2,SP_ACQ_Lib[#Headers],0),FALSE)=0,"",VLOOKUP(CONCATENATE($A42,"_",AH$1),SP_ACQ_Lib[],MATCH(AH$2,SP_ACQ_Lib[#Headers],0),FALSE)),"")</f>
        <v>43700</v>
      </c>
      <c r="AI42" s="249" t="str">
        <f>IFERROR(IF(VLOOKUP(CONCATENATE($A42,"_",AI$1),SP_ACQ_Lib[],MATCH(AI$2,SP_ACQ_Lib[#Headers],0),FALSE)=0,"",VLOOKUP(CONCATENATE($A42,"_",AI$1),SP_ACQ_Lib[],MATCH(AI$2,SP_ACQ_Lib[#Headers],0),FALSE)),"")</f>
        <v/>
      </c>
      <c r="AJ42" s="249" t="str">
        <f>IFERROR(IF(VLOOKUP(CONCATENATE($A42,"_",AJ$1),SP_ACQ_Lib[],MATCH(AJ$2,SP_ACQ_Lib[#Headers],0),FALSE)=0,"",VLOOKUP(CONCATENATE($A42,"_",AJ$1),SP_ACQ_Lib[],MATCH(AJ$2,SP_ACQ_Lib[#Headers],0),FALSE)),"")</f>
        <v/>
      </c>
      <c r="AK42" s="249" t="str">
        <f>IFERROR(IF(VLOOKUP(CONCATENATE($A42,"_",AK$1),SP_ACQ_Lib[],MATCH(AK$2,SP_ACQ_Lib[#Headers],0),FALSE)=0,"",VLOOKUP(CONCATENATE($A42,"_",AK$1),SP_ACQ_Lib[],MATCH(AK$2,SP_ACQ_Lib[#Headers],0),FALSE)),"")</f>
        <v/>
      </c>
      <c r="AL42" s="249">
        <f>IFERROR(VLOOKUP($A42,SP_AcqTract_DB[],MATCH(AL$2,SP_AcqTract_DB[#Headers],0),FALSE),"")</f>
        <v>43950</v>
      </c>
      <c r="AM42" s="227" t="str">
        <f>IFERROR(VLOOKUP($A42,SP_AcqTract_DB[],MATCH(AM$2,SP_AcqTract_DB[#Headers],0),FALSE),"")</f>
        <v>David Ambrose</v>
      </c>
      <c r="AN42" s="227" t="str">
        <f>IFERROR(VLOOKUP($A42,SP_AcqTract_DB[],MATCH(AN$2,SP_AcqTract_DB[#Headers],0),FALSE),"")</f>
        <v>Lory Johnson, Atrium</v>
      </c>
      <c r="AO42" s="228">
        <f>IFERROR(VLOOKUP($A42,SP_AcqTract_DB[],MATCH(AO$2,SP_AcqTract_DB[#Headers],0),FALSE),"")</f>
        <v>0</v>
      </c>
      <c r="AP42" s="210" t="str">
        <f>IFERROR(VLOOKUP($A42,SP_AcqTract_DB[],MATCH(AP$2,SP_AcqTract_DB[#Headers],0),FALSE),"")</f>
        <v>V</v>
      </c>
      <c r="AQ42" s="252" t="str">
        <f>IFERROR(IF(VLOOKUP(CONCATENATE($A42,"_",AQ$1),SP_ACQ_Lib[],MATCH(AQ$2,SP_ACQ_Lib[#Headers],0),FALSE)=0,"",VLOOKUP(CONCATENATE($A42,"_",AQ$1),SP_ACQ_Lib[],MATCH(AQ$2,SP_ACQ_Lib[#Headers],0),FALSE)),"")</f>
        <v/>
      </c>
      <c r="AR42" s="250" t="str">
        <f>IFERROR(IF(VLOOKUP(CONCATENATE($A42,"_",AR$1),SP_ACQ_Lib[],MATCH(AR$2,SP_ACQ_Lib[#Headers],0),FALSE)=0,"",VLOOKUP(CONCATENATE($A42,"_",AR$1),SP_ACQ_Lib[],MATCH(AR$2,SP_ACQ_Lib[#Headers],0),FALSE)),"")</f>
        <v/>
      </c>
      <c r="AS42" s="249">
        <f>IFERROR(IF(VLOOKUP(CONCATENATE($A42,"_",AS$1),SP_ACQ_Lib[],MATCH(AS$2,SP_ACQ_Lib[#Headers],0),FALSE)=0,"",VLOOKUP(CONCATENATE($A42,"_",AS$1),SP_ACQ_Lib[],MATCH(AS$2,SP_ACQ_Lib[#Headers],0),FALSE)),"")</f>
        <v>43765</v>
      </c>
      <c r="AT42" s="251">
        <f>IFERROR(IF(VLOOKUP(CONCATENATE($A42,"_",AT$1),SP_ACQ_Lib[],MATCH(AT$2,SP_ACQ_Lib[#Headers],0),FALSE)=0,"",VLOOKUP(CONCATENATE($A42,"_",AT$1),SP_ACQ_Lib[],MATCH(AT$2,SP_ACQ_Lib[#Headers],0),FALSE)),"")</f>
        <v>43960</v>
      </c>
      <c r="AU42" s="251" t="str">
        <f>IFERROR(IF(VLOOKUP(CONCATENATE($A42,"_",AU$1),SP_ACQ_Lib[],MATCH(AU$2,SP_ACQ_Lib[#Headers],0),FALSE)=0,"",VLOOKUP(CONCATENATE($A42,"_",AU$1),SP_ACQ_Lib[],MATCH(AU$2,SP_ACQ_Lib[#Headers],0),FALSE)),"")</f>
        <v/>
      </c>
      <c r="AV42" s="225">
        <f>IFERROR(IF(VLOOKUP(CONCATENATE($A42,"_",AV$1),SP_ACQ_Lib[],MATCH(AV$2,SP_ACQ_Lib[#Headers],0),FALSE)=0,"",VLOOKUP(CONCATENATE($A42,"_",AV$1),SP_ACQ_Lib[],MATCH(AV$2,SP_ACQ_Lib[#Headers],0),FALSE)),"")</f>
        <v>7496</v>
      </c>
      <c r="AW42" s="251">
        <f>IFERROR(IF(VLOOKUP(CONCATENATE($A42,"_",AW$1),SP_ACQ_Lib[],MATCH(AW$2,SP_ACQ_Lib[#Headers],0),FALSE)=0,"",VLOOKUP(CONCATENATE($A42,"_",AW$1),SP_ACQ_Lib[],MATCH(AW$2,SP_ACQ_Lib[#Headers],0),FALSE)),"")</f>
        <v>44004</v>
      </c>
      <c r="AX42" s="251">
        <f>IFERROR(IF(VLOOKUP(CONCATENATE($A42,"_",AX$1),SP_ACQ_Lib[],MATCH(AX$2,SP_ACQ_Lib[#Headers],0),FALSE)=0,"",VLOOKUP(CONCATENATE($A42,"_",AX$1),SP_ACQ_Lib[],MATCH(AX$2,SP_ACQ_Lib[#Headers],0),FALSE)),"")</f>
        <v>44004</v>
      </c>
      <c r="AY42" s="251">
        <f>IFERROR(IF(VLOOKUP(CONCATENATE($A42,"_",AY$1),SP_ACQ_Lib[],MATCH(AY$2,SP_ACQ_Lib[#Headers],0),FALSE)=0,"",VLOOKUP(CONCATENATE($A42,"_",AY$1),SP_ACQ_Lib[],MATCH(AY$2,SP_ACQ_Lib[#Headers],0),FALSE)),"")</f>
        <v>44004</v>
      </c>
      <c r="AZ42" s="251" t="str">
        <f>IFERROR(IF(VLOOKUP(CONCATENATE($A42,"_",AZ$1),SP_ACQ_Lib[],MATCH(AZ$2,SP_ACQ_Lib[#Headers],0),FALSE)=0,"",VLOOKUP(CONCATENATE($A42,"_",AZ$1),SP_ACQ_Lib[],MATCH(AZ$2,SP_ACQ_Lib[#Headers],0),FALSE)),"")</f>
        <v/>
      </c>
      <c r="BA42" s="251" t="str">
        <f>IFERROR(IF(VLOOKUP(CONCATENATE($A42,"_",BA$1),SP_ACQ_Lib[],MATCH(BA$2,SP_ACQ_Lib[#Headers],0),FALSE)=0,"",VLOOKUP(CONCATENATE($A42,"_",BA$1),SP_ACQ_Lib[],MATCH(BA$2,SP_ACQ_Lib[#Headers],0),FALSE)),"")</f>
        <v/>
      </c>
      <c r="BB42" s="224">
        <f>IFERROR(VLOOKUP(CONCATENATE($A42,"_",BB$1),SP_ACQ_Lib[],MATCH(BB$2,SP_ACQ_Lib[#Headers],0),FALSE),0)</f>
        <v>0</v>
      </c>
      <c r="BC42" s="231">
        <f>IFERROR(VLOOKUP($A42,SP_AcqTract_DB[],MATCH(BC$2,SP_AcqTract_DB[#Headers],0),FALSE),"")</f>
        <v>44006</v>
      </c>
      <c r="BD42" s="231">
        <f>IFERROR(VLOOKUP($A42,SP_AcqTract_DB[],MATCH(BD$2,SP_AcqTract_DB[#Headers],0),FALSE),"")</f>
        <v>0</v>
      </c>
      <c r="BE42" s="249" t="str">
        <f>IFERROR(IF(VLOOKUP(CONCATENATE($A42,"_",BE$1),SP_ACQ_Lib[],MATCH(BE$2,SP_ACQ_Lib[#Headers],0),FALSE)=0,"",VLOOKUP(CONCATENATE($A42,"_",BE$1),SP_ACQ_Lib[],MATCH(BE$2,SP_ACQ_Lib[#Headers],0),FALSE)),"")</f>
        <v/>
      </c>
      <c r="BF42" s="249" t="str">
        <f>IFERROR(IF(VLOOKUP(CONCATENATE($A42,"_",BF$1),SP_ACQ_Lib[],MATCH(BF$2,SP_ACQ_Lib[#Headers],0),FALSE)=0,"",VLOOKUP(CONCATENATE($A42,"_",BF$1),SP_ACQ_Lib[],MATCH(BF$2,SP_ACQ_Lib[#Headers],0),FALSE)),"")</f>
        <v/>
      </c>
      <c r="BG42" s="249" t="str">
        <f>IFERROR(IF(VLOOKUP(CONCATENATE($A42,"_",BG$1),SP_ACQ_Lib[],MATCH(BG$2,SP_ACQ_Lib[#Headers],0),FALSE)=0,"",VLOOKUP(CONCATENATE($A42,"_",BG$1),SP_ACQ_Lib[],MATCH(BG$2,SP_ACQ_Lib[#Headers],0),FALSE)),"")</f>
        <v/>
      </c>
      <c r="BH42" s="249" t="str">
        <f>IFERROR(IF(VLOOKUP(CONCATENATE($A42,"_",BH$1),SP_ACQ_Lib[],MATCH(BH$2,SP_ACQ_Lib[#Headers],0),FALSE)=0,"",VLOOKUP(CONCATENATE($A42,"_",BH$1),SP_ACQ_Lib[],MATCH(BH$2,SP_ACQ_Lib[#Headers],0),FALSE)),"")</f>
        <v/>
      </c>
      <c r="BI42" s="249" t="str">
        <f>IFERROR(IF(VLOOKUP(CONCATENATE($A42,"_",BI$1),SP_ACQ_Lib[],MATCH(BI$2,SP_ACQ_Lib[#Headers],0),FALSE)=0,"",VLOOKUP(CONCATENATE($A42,"_",BI$1),SP_ACQ_Lib[],MATCH(BI$2,SP_ACQ_Lib[#Headers],0),FALSE)),"")</f>
        <v/>
      </c>
      <c r="BJ42" s="249" t="str">
        <f>IFERROR(IF(VLOOKUP(CONCATENATE($A42,"_",BJ$1),SP_ACQ_Lib[],MATCH(BJ$2,SP_ACQ_Lib[#Headers],0),FALSE)=0,"",VLOOKUP(CONCATENATE($A42,"_",BJ$1),SP_ACQ_Lib[],MATCH(BJ$2,SP_ACQ_Lib[#Headers],0),FALSE)),"")</f>
        <v/>
      </c>
      <c r="BK42" s="250">
        <f>IFERROR(IF(VLOOKUP(CONCATENATE($A42,"_",BK$1),SP_ACQ_Lib[],MATCH(BK$2,SP_ACQ_Lib[#Headers],0),FALSE)=0,"",VLOOKUP(CONCATENATE($A42,"_",BK$1),SP_ACQ_Lib[],MATCH(BK$2,SP_ACQ_Lib[#Headers],0),FALSE)),"")</f>
        <v>43748</v>
      </c>
      <c r="BL42" s="249" t="str">
        <f>IFERROR(IF(VLOOKUP(CONCATENATE($A42,"_",BL$1),SP_ACQ_Lib[],MATCH(BL$2,SP_ACQ_Lib[#Headers],0),FALSE)=0,"",VLOOKUP(CONCATENATE($A42,"_",BL$1),SP_ACQ_Lib[],MATCH(BL$2,SP_ACQ_Lib[#Headers],0),FALSE)),"")</f>
        <v/>
      </c>
      <c r="BM42" s="249" t="str">
        <f>IFERROR(IF(VLOOKUP(CONCATENATE($A42,"_",BM$1),SP_ACQ_Lib[],MATCH(BM$2,SP_ACQ_Lib[#Headers],0),FALSE)=0,"",VLOOKUP(CONCATENATE($A42,"_",BM$1),SP_ACQ_Lib[],MATCH(BM$2,SP_ACQ_Lib[#Headers],0),FALSE)),"")</f>
        <v/>
      </c>
      <c r="BN42" s="249" t="str">
        <f>IFERROR(IF(VLOOKUP(CONCATENATE($A42,"_",BN$1),SP_ACQ_Lib[],MATCH(BN$2,SP_ACQ_Lib[#Headers],0),FALSE)=0,"",VLOOKUP(CONCATENATE($A42,"_",BN$1),SP_ACQ_Lib[],MATCH(BN$2,SP_ACQ_Lib[#Headers],0),FALSE)),"")</f>
        <v/>
      </c>
    </row>
    <row r="43" spans="1:66" s="226" customFormat="1" ht="63.75" x14ac:dyDescent="0.2">
      <c r="A43" s="192" t="s">
        <v>47</v>
      </c>
      <c r="B43" s="227" t="str">
        <f>IFERROR(VLOOKUP($A43,SP_AcqTract_DB[],MATCH(B$2,SP_AcqTract_DB[#Headers],0),FALSE),"")</f>
        <v>R018587</v>
      </c>
      <c r="C43" s="228" t="str">
        <f>IFERROR(VLOOKUP($A43,SP_AcqTract_DB[],MATCH(C$2,SP_AcqTract_DB[#Headers],0),FALSE),"")</f>
        <v>PH1</v>
      </c>
      <c r="D43" s="208" t="str">
        <f>IFERROR(VLOOKUP($A43,SP_AcqTract_DB[],MATCH(D$2,SP_AcqTract_DB[#Headers],0),FALSE),"")</f>
        <v>Active</v>
      </c>
      <c r="E43" s="208">
        <f>IFERROR(VLOOKUP($A43,SP_AcqTract_DB[],MATCH(E$2,SP_AcqTract_DB[#Headers],0),FALSE),"")</f>
        <v>1</v>
      </c>
      <c r="F43" s="227" t="str">
        <f>IFERROR(VLOOKUP($A43,SP_AcqTract_DB[],MATCH(F$2,SP_AcqTract_DB[#Headers],0),FALSE),"")</f>
        <v>Flowage Esmt</v>
      </c>
      <c r="G43" s="227" t="str">
        <f>IFERROR(VLOOKUP($A43,SP_AcqTract_DB[],MATCH(G$2,SP_AcqTract_DB[#Headers],0),FALSE),"")</f>
        <v>Lily Khan</v>
      </c>
      <c r="H43" s="250">
        <f>IFERROR(IF(VLOOKUP(CONCATENATE($A43,"_",H$1),SP_ACQ_Lib[],MATCH(H$2,SP_ACQ_Lib[#Headers],0),FALSE)=0,"",VLOOKUP(CONCATENATE($A43,"_",H$1),SP_ACQ_Lib[],MATCH(H$2,SP_ACQ_Lib[#Headers],0),FALSE)),"")</f>
        <v>43998.642060185186</v>
      </c>
      <c r="I43" s="227" t="str">
        <f>IFERROR(VLOOKUP($A43,SP_AcqTract_DB[],MATCH(I$2,SP_AcqTract_DB[#Headers],0),FALSE),"")</f>
        <v>David Anthony Pascoe</v>
      </c>
      <c r="J43" s="227">
        <f>IFERROR(VLOOKUP($A43,SP_AcqTract_DB[],MATCH(J$2,SP_AcqTract_DB[#Headers],0),FALSE),"")</f>
        <v>0</v>
      </c>
      <c r="K43" s="227" t="str">
        <f>IFERROR(VLOOKUP($A43,SP_AcqTract_DB[],MATCH(K$2,SP_AcqTract_DB[#Headers],0),FALSE),"")</f>
        <v>David Anthony Pascoe</v>
      </c>
      <c r="L43" s="227" t="str">
        <f>IFERROR(VLOOKUP($A43,SP_AcqTract_DB[],MATCH(L$2,SP_AcqTract_DB[#Headers],0),FALSE),"")</f>
        <v>101 Black Street / 2nd Mailing: 123 chip lane, el paso tx 88888</v>
      </c>
      <c r="M43" s="208" t="str">
        <f>IFERROR(VLOOKUP($A43,SP_AcqTract_DB[],MATCH(M$2,SP_AcqTract_DB[#Headers],0),FALSE),"")</f>
        <v xml:space="preserve">Schulenburg, TX 78956-2205     </v>
      </c>
      <c r="N43" s="227" t="str">
        <f>IFERROR(VLOOKUP($A43,SP_AcqTract_DB[],MATCH(N$2,SP_AcqTract_DB[#Headers],0),FALSE),"")</f>
        <v>532 S Ford</v>
      </c>
      <c r="O43" s="220">
        <f>IFERROR(VLOOKUP($A43,SP_AcqTract_DB[],MATCH(O$2,SP_AcqTract_DB[#Headers],0),FALSE),"")</f>
        <v>0</v>
      </c>
      <c r="P43" s="220" t="str">
        <f>IFERROR(VLOOKUP($A43,SP_AcqTract_DB[],MATCH(P$2,SP_AcqTract_DB[#Headers],0),FALSE),"")</f>
        <v>X</v>
      </c>
      <c r="Q43" s="208" t="str">
        <f>IFERROR(VLOOKUP($A43,SP_AcqTract_DB[],MATCH(Q$2,SP_AcqTract_DB[#Headers],0),FALSE),"")</f>
        <v>2019-0831</v>
      </c>
      <c r="R43" s="250">
        <f>IFERROR(IF(VLOOKUP(CONCATENATE($A43,"_",R$1),SP_ACQ_Lib[],MATCH(R$2,SP_ACQ_Lib[#Headers],0),FALSE)=0,"",VLOOKUP(CONCATENATE($A43,"_",R$1),SP_ACQ_Lib[],MATCH(R$2,SP_ACQ_Lib[#Headers],0),FALSE)),"")</f>
        <v>43952</v>
      </c>
      <c r="S43" s="253">
        <f>IFERROR(IF(VLOOKUP(CONCATENATE($A43,"_",S$1),SP_ACQ_Lib[],MATCH(S$2,SP_ACQ_Lib[#Headers],0),FALSE)=0,"",VLOOKUP(CONCATENATE($A43,"_",S$1),SP_ACQ_Lib[],MATCH(S$2,SP_ACQ_Lib[#Headers],0),FALSE)),"")</f>
        <v>43963</v>
      </c>
      <c r="T43" s="205" t="str">
        <f>IFERROR(VLOOKUP(CONCATENATE($A43,"_",T$1),SP_ACQ_Lib[],MATCH(T$2,SP_ACQ_Lib[#Headers],0),FALSE),0)</f>
        <v>Accepted</v>
      </c>
      <c r="U43" s="250">
        <f>IFERROR(IF(VLOOKUP(CONCATENATE($A43,"_",U$1),SP_ACQ_Lib[],MATCH(U$2,SP_ACQ_Lib[#Headers],0),FALSE)=0,"",VLOOKUP(CONCATENATE($A43,"_",U$1),SP_ACQ_Lib[],MATCH(U$2,SP_ACQ_Lib[#Headers],0),FALSE)),"")</f>
        <v>43812</v>
      </c>
      <c r="V43" s="205" t="str">
        <f>IFERROR(VLOOKUP(CONCATENATE($A43,"_",V$1),SP_ACQ_Lib[],MATCH(V$2,SP_ACQ_Lib[#Headers],0),FALSE),0)</f>
        <v>Accepted</v>
      </c>
      <c r="W43" s="209">
        <f>IFERROR(VLOOKUP(CONCATENATE($A43,"_",W$1),SP_ACQ_Lib[],MATCH(W$2,SP_ACQ_Lib[#Headers],0),FALSE),0)</f>
        <v>0</v>
      </c>
      <c r="X43" s="250">
        <f>IFERROR(VLOOKUP($A43,SP_AcqTract_DB[],MATCH(X$2,SP_AcqTract_DB[#Headers],0),FALSE),"")</f>
        <v>0</v>
      </c>
      <c r="Y43" s="237">
        <f>IFERROR(VLOOKUP($A43,SP_AcqTract_DB[],MATCH(Y$2,SP_AcqTract_DB[#Headers],0),FALSE),"")</f>
        <v>0.19247015610651999</v>
      </c>
      <c r="Z43" s="229">
        <f>IFERROR(VLOOKUP($A43,SP_AcqTract_DB[],MATCH(Z$2,SP_AcqTract_DB[#Headers],0),FALSE),"")</f>
        <v>8384</v>
      </c>
      <c r="AA43" s="229" t="str">
        <f>IFERROR(VLOOKUP($A43,SP_AcqTract_DB[],MATCH(AA$2,SP_AcqTract_DB[#Headers],0),FALSE),"")</f>
        <v>Yes</v>
      </c>
      <c r="AB43" s="250">
        <f>IFERROR(IF(VLOOKUP(CONCATENATE($A43,"_",AB$1),SP_ACQ_Lib[],MATCH(AB$2,SP_ACQ_Lib[#Headers],0),FALSE)=0,"",VLOOKUP(CONCATENATE($A43,"_",AB$1),SP_ACQ_Lib[],MATCH(AB$2,SP_ACQ_Lib[#Headers],0),FALSE)),"")</f>
        <v>43859</v>
      </c>
      <c r="AC43" s="250">
        <f>IFERROR(IF(VLOOKUP(CONCATENATE($A43,"_",AC$1),SP_ACQ_Lib[],MATCH(AC$2,SP_ACQ_Lib[#Headers],0),FALSE)=0,"",VLOOKUP(CONCATENATE($A43,"_",AC$1),SP_ACQ_Lib[],MATCH(AC$2,SP_ACQ_Lib[#Headers],0),FALSE)),"")</f>
        <v>43913</v>
      </c>
      <c r="AD43" s="229" t="str">
        <f>IFERROR(VLOOKUP($A43,SP_AcqTract_DB[],MATCH(AD$2,SP_AcqTract_DB[#Headers],0),FALSE),"")</f>
        <v>Yes</v>
      </c>
      <c r="AE43" s="250">
        <f>IFERROR(IF(VLOOKUP(CONCATENATE($A43,"_",AE$1),SP_ACQ_Lib[],MATCH(AE$2,SP_ACQ_Lib[#Headers],0),FALSE)=0,"",VLOOKUP(CONCATENATE($A43,"_",AE$1),SP_ACQ_Lib[],MATCH(AE$2,SP_ACQ_Lib[#Headers],0),FALSE)),"")</f>
        <v>43859</v>
      </c>
      <c r="AF43" s="250">
        <f>IFERROR(IF(VLOOKUP(CONCATENATE($A43,"_",AF$1),SP_ACQ_Lib[],MATCH(AF$2,SP_ACQ_Lib[#Headers],0),FALSE)=0,"",VLOOKUP(CONCATENATE($A43,"_",AF$1),SP_ACQ_Lib[],MATCH(AF$2,SP_ACQ_Lib[#Headers],0),FALSE)),"")</f>
        <v>43948</v>
      </c>
      <c r="AG43" s="250">
        <f>IFERROR(IF(VLOOKUP(CONCATENATE($A43,"_",AG$1),SP_ACQ_Lib[],MATCH(AG$2,SP_ACQ_Lib[#Headers],0),FALSE)=0,"",VLOOKUP(CONCATENATE($A43,"_",AG$1),SP_ACQ_Lib[],MATCH(AG$2,SP_ACQ_Lib[#Headers],0),FALSE)),"")</f>
        <v>43691</v>
      </c>
      <c r="AH43" s="250" t="str">
        <f>IFERROR(IF(VLOOKUP(CONCATENATE($A43,"_",AH$1),SP_ACQ_Lib[],MATCH(AH$2,SP_ACQ_Lib[#Headers],0),FALSE)=0,"",VLOOKUP(CONCATENATE($A43,"_",AH$1),SP_ACQ_Lib[],MATCH(AH$2,SP_ACQ_Lib[#Headers],0),FALSE)),"")</f>
        <v/>
      </c>
      <c r="AI43" s="249" t="str">
        <f>IFERROR(IF(VLOOKUP(CONCATENATE($A43,"_",AI$1),SP_ACQ_Lib[],MATCH(AI$2,SP_ACQ_Lib[#Headers],0),FALSE)=0,"",VLOOKUP(CONCATENATE($A43,"_",AI$1),SP_ACQ_Lib[],MATCH(AI$2,SP_ACQ_Lib[#Headers],0),FALSE)),"")</f>
        <v/>
      </c>
      <c r="AJ43" s="249" t="str">
        <f>IFERROR(IF(VLOOKUP(CONCATENATE($A43,"_",AJ$1),SP_ACQ_Lib[],MATCH(AJ$2,SP_ACQ_Lib[#Headers],0),FALSE)=0,"",VLOOKUP(CONCATENATE($A43,"_",AJ$1),SP_ACQ_Lib[],MATCH(AJ$2,SP_ACQ_Lib[#Headers],0),FALSE)),"")</f>
        <v/>
      </c>
      <c r="AK43" s="249" t="str">
        <f>IFERROR(IF(VLOOKUP(CONCATENATE($A43,"_",AK$1),SP_ACQ_Lib[],MATCH(AK$2,SP_ACQ_Lib[#Headers],0),FALSE)=0,"",VLOOKUP(CONCATENATE($A43,"_",AK$1),SP_ACQ_Lib[],MATCH(AK$2,SP_ACQ_Lib[#Headers],0),FALSE)),"")</f>
        <v/>
      </c>
      <c r="AL43" s="249">
        <f>IFERROR(VLOOKUP($A43,SP_AcqTract_DB[],MATCH(AL$2,SP_AcqTract_DB[#Headers],0),FALSE),"")</f>
        <v>43950</v>
      </c>
      <c r="AM43" s="227" t="str">
        <f>IFERROR(VLOOKUP($A43,SP_AcqTract_DB[],MATCH(AM$2,SP_AcqTract_DB[#Headers],0),FALSE),"")</f>
        <v>David Ambrose</v>
      </c>
      <c r="AN43" s="227" t="str">
        <f>IFERROR(VLOOKUP($A43,SP_AcqTract_DB[],MATCH(AN$2,SP_AcqTract_DB[#Headers],0),FALSE),"")</f>
        <v>Lory Johnson, Atrium</v>
      </c>
      <c r="AO43" s="228">
        <f>IFERROR(VLOOKUP($A43,SP_AcqTract_DB[],MATCH(AO$2,SP_AcqTract_DB[#Headers],0),FALSE),"")</f>
        <v>0</v>
      </c>
      <c r="AP43" s="210" t="str">
        <f>IFERROR(VLOOKUP($A43,SP_AcqTract_DB[],MATCH(AP$2,SP_AcqTract_DB[#Headers],0),FALSE),"")</f>
        <v>R</v>
      </c>
      <c r="AQ43" s="252" t="str">
        <f>IFERROR(IF(VLOOKUP(CONCATENATE($A43,"_",AQ$1),SP_ACQ_Lib[],MATCH(AQ$2,SP_ACQ_Lib[#Headers],0),FALSE)=0,"",VLOOKUP(CONCATENATE($A43,"_",AQ$1),SP_ACQ_Lib[],MATCH(AQ$2,SP_ACQ_Lib[#Headers],0),FALSE)),"")</f>
        <v/>
      </c>
      <c r="AR43" s="250" t="str">
        <f>IFERROR(IF(VLOOKUP(CONCATENATE($A43,"_",AR$1),SP_ACQ_Lib[],MATCH(AR$2,SP_ACQ_Lib[#Headers],0),FALSE)=0,"",VLOOKUP(CONCATENATE($A43,"_",AR$1),SP_ACQ_Lib[],MATCH(AR$2,SP_ACQ_Lib[#Headers],0),FALSE)),"")</f>
        <v/>
      </c>
      <c r="AS43" s="249">
        <f>IFERROR(IF(VLOOKUP(CONCATENATE($A43,"_",AS$1),SP_ACQ_Lib[],MATCH(AS$2,SP_ACQ_Lib[#Headers],0),FALSE)=0,"",VLOOKUP(CONCATENATE($A43,"_",AS$1),SP_ACQ_Lib[],MATCH(AS$2,SP_ACQ_Lib[#Headers],0),FALSE)),"")</f>
        <v>43765</v>
      </c>
      <c r="AT43" s="251">
        <f>IFERROR(IF(VLOOKUP(CONCATENATE($A43,"_",AT$1),SP_ACQ_Lib[],MATCH(AT$2,SP_ACQ_Lib[#Headers],0),FALSE)=0,"",VLOOKUP(CONCATENATE($A43,"_",AT$1),SP_ACQ_Lib[],MATCH(AT$2,SP_ACQ_Lib[#Headers],0),FALSE)),"")</f>
        <v>43960</v>
      </c>
      <c r="AU43" s="251" t="str">
        <f>IFERROR(IF(VLOOKUP(CONCATENATE($A43,"_",AU$1),SP_ACQ_Lib[],MATCH(AU$2,SP_ACQ_Lib[#Headers],0),FALSE)=0,"",VLOOKUP(CONCATENATE($A43,"_",AU$1),SP_ACQ_Lib[],MATCH(AU$2,SP_ACQ_Lib[#Headers],0),FALSE)),"")</f>
        <v/>
      </c>
      <c r="AV43" s="225">
        <f>IFERROR(IF(VLOOKUP(CONCATENATE($A43,"_",AV$1),SP_ACQ_Lib[],MATCH(AV$2,SP_ACQ_Lib[#Headers],0),FALSE)=0,"",VLOOKUP(CONCATENATE($A43,"_",AV$1),SP_ACQ_Lib[],MATCH(AV$2,SP_ACQ_Lib[#Headers],0),FALSE)),"")</f>
        <v>8384</v>
      </c>
      <c r="AW43" s="251">
        <f>IFERROR(IF(VLOOKUP(CONCATENATE($A43,"_",AW$1),SP_ACQ_Lib[],MATCH(AW$2,SP_ACQ_Lib[#Headers],0),FALSE)=0,"",VLOOKUP(CONCATENATE($A43,"_",AW$1),SP_ACQ_Lib[],MATCH(AW$2,SP_ACQ_Lib[#Headers],0),FALSE)),"")</f>
        <v>44004</v>
      </c>
      <c r="AX43" s="251">
        <f>IFERROR(IF(VLOOKUP(CONCATENATE($A43,"_",AX$1),SP_ACQ_Lib[],MATCH(AX$2,SP_ACQ_Lib[#Headers],0),FALSE)=0,"",VLOOKUP(CONCATENATE($A43,"_",AX$1),SP_ACQ_Lib[],MATCH(AX$2,SP_ACQ_Lib[#Headers],0),FALSE)),"")</f>
        <v>44004</v>
      </c>
      <c r="AY43" s="251">
        <f>IFERROR(IF(VLOOKUP(CONCATENATE($A43,"_",AY$1),SP_ACQ_Lib[],MATCH(AY$2,SP_ACQ_Lib[#Headers],0),FALSE)=0,"",VLOOKUP(CONCATENATE($A43,"_",AY$1),SP_ACQ_Lib[],MATCH(AY$2,SP_ACQ_Lib[#Headers],0),FALSE)),"")</f>
        <v>44004</v>
      </c>
      <c r="AZ43" s="251" t="str">
        <f>IFERROR(IF(VLOOKUP(CONCATENATE($A43,"_",AZ$1),SP_ACQ_Lib[],MATCH(AZ$2,SP_ACQ_Lib[#Headers],0),FALSE)=0,"",VLOOKUP(CONCATENATE($A43,"_",AZ$1),SP_ACQ_Lib[],MATCH(AZ$2,SP_ACQ_Lib[#Headers],0),FALSE)),"")</f>
        <v/>
      </c>
      <c r="BA43" s="251" t="str">
        <f>IFERROR(IF(VLOOKUP(CONCATENATE($A43,"_",BA$1),SP_ACQ_Lib[],MATCH(BA$2,SP_ACQ_Lib[#Headers],0),FALSE)=0,"",VLOOKUP(CONCATENATE($A43,"_",BA$1),SP_ACQ_Lib[],MATCH(BA$2,SP_ACQ_Lib[#Headers],0),FALSE)),"")</f>
        <v/>
      </c>
      <c r="BB43" s="224">
        <f>IFERROR(VLOOKUP(CONCATENATE($A43,"_",BB$1),SP_ACQ_Lib[],MATCH(BB$2,SP_ACQ_Lib[#Headers],0),FALSE),0)</f>
        <v>0</v>
      </c>
      <c r="BC43" s="231">
        <f>IFERROR(VLOOKUP($A43,SP_AcqTract_DB[],MATCH(BC$2,SP_AcqTract_DB[#Headers],0),FALSE),"")</f>
        <v>44006</v>
      </c>
      <c r="BD43" s="231">
        <f>IFERROR(VLOOKUP($A43,SP_AcqTract_DB[],MATCH(BD$2,SP_AcqTract_DB[#Headers],0),FALSE),"")</f>
        <v>0</v>
      </c>
      <c r="BE43" s="249" t="str">
        <f>IFERROR(IF(VLOOKUP(CONCATENATE($A43,"_",BE$1),SP_ACQ_Lib[],MATCH(BE$2,SP_ACQ_Lib[#Headers],0),FALSE)=0,"",VLOOKUP(CONCATENATE($A43,"_",BE$1),SP_ACQ_Lib[],MATCH(BE$2,SP_ACQ_Lib[#Headers],0),FALSE)),"")</f>
        <v/>
      </c>
      <c r="BF43" s="249" t="str">
        <f>IFERROR(IF(VLOOKUP(CONCATENATE($A43,"_",BF$1),SP_ACQ_Lib[],MATCH(BF$2,SP_ACQ_Lib[#Headers],0),FALSE)=0,"",VLOOKUP(CONCATENATE($A43,"_",BF$1),SP_ACQ_Lib[],MATCH(BF$2,SP_ACQ_Lib[#Headers],0),FALSE)),"")</f>
        <v/>
      </c>
      <c r="BG43" s="249" t="str">
        <f>IFERROR(IF(VLOOKUP(CONCATENATE($A43,"_",BG$1),SP_ACQ_Lib[],MATCH(BG$2,SP_ACQ_Lib[#Headers],0),FALSE)=0,"",VLOOKUP(CONCATENATE($A43,"_",BG$1),SP_ACQ_Lib[],MATCH(BG$2,SP_ACQ_Lib[#Headers],0),FALSE)),"")</f>
        <v/>
      </c>
      <c r="BH43" s="249" t="str">
        <f>IFERROR(IF(VLOOKUP(CONCATENATE($A43,"_",BH$1),SP_ACQ_Lib[],MATCH(BH$2,SP_ACQ_Lib[#Headers],0),FALSE)=0,"",VLOOKUP(CONCATENATE($A43,"_",BH$1),SP_ACQ_Lib[],MATCH(BH$2,SP_ACQ_Lib[#Headers],0),FALSE)),"")</f>
        <v/>
      </c>
      <c r="BI43" s="249" t="str">
        <f>IFERROR(IF(VLOOKUP(CONCATENATE($A43,"_",BI$1),SP_ACQ_Lib[],MATCH(BI$2,SP_ACQ_Lib[#Headers],0),FALSE)=0,"",VLOOKUP(CONCATENATE($A43,"_",BI$1),SP_ACQ_Lib[],MATCH(BI$2,SP_ACQ_Lib[#Headers],0),FALSE)),"")</f>
        <v/>
      </c>
      <c r="BJ43" s="249" t="str">
        <f>IFERROR(IF(VLOOKUP(CONCATENATE($A43,"_",BJ$1),SP_ACQ_Lib[],MATCH(BJ$2,SP_ACQ_Lib[#Headers],0),FALSE)=0,"",VLOOKUP(CONCATENATE($A43,"_",BJ$1),SP_ACQ_Lib[],MATCH(BJ$2,SP_ACQ_Lib[#Headers],0),FALSE)),"")</f>
        <v/>
      </c>
      <c r="BK43" s="250">
        <f>IFERROR(IF(VLOOKUP(CONCATENATE($A43,"_",BK$1),SP_ACQ_Lib[],MATCH(BK$2,SP_ACQ_Lib[#Headers],0),FALSE)=0,"",VLOOKUP(CONCATENATE($A43,"_",BK$1),SP_ACQ_Lib[],MATCH(BK$2,SP_ACQ_Lib[#Headers],0),FALSE)),"")</f>
        <v>43748</v>
      </c>
      <c r="BL43" s="249" t="str">
        <f>IFERROR(IF(VLOOKUP(CONCATENATE($A43,"_",BL$1),SP_ACQ_Lib[],MATCH(BL$2,SP_ACQ_Lib[#Headers],0),FALSE)=0,"",VLOOKUP(CONCATENATE($A43,"_",BL$1),SP_ACQ_Lib[],MATCH(BL$2,SP_ACQ_Lib[#Headers],0),FALSE)),"")</f>
        <v/>
      </c>
      <c r="BM43" s="249" t="str">
        <f>IFERROR(IF(VLOOKUP(CONCATENATE($A43,"_",BM$1),SP_ACQ_Lib[],MATCH(BM$2,SP_ACQ_Lib[#Headers],0),FALSE)=0,"",VLOOKUP(CONCATENATE($A43,"_",BM$1),SP_ACQ_Lib[],MATCH(BM$2,SP_ACQ_Lib[#Headers],0),FALSE)),"")</f>
        <v/>
      </c>
      <c r="BN43" s="249" t="str">
        <f>IFERROR(IF(VLOOKUP(CONCATENATE($A43,"_",BN$1),SP_ACQ_Lib[],MATCH(BN$2,SP_ACQ_Lib[#Headers],0),FALSE)=0,"",VLOOKUP(CONCATENATE($A43,"_",BN$1),SP_ACQ_Lib[],MATCH(BN$2,SP_ACQ_Lib[#Headers],0),FALSE)),"")</f>
        <v/>
      </c>
    </row>
    <row r="44" spans="1:66" s="226" customFormat="1" ht="76.5" x14ac:dyDescent="0.2">
      <c r="A44" s="192" t="s">
        <v>48</v>
      </c>
      <c r="B44" s="227" t="str">
        <f>IFERROR(VLOOKUP($A44,SP_AcqTract_DB[],MATCH(B$2,SP_AcqTract_DB[#Headers],0),FALSE),"")</f>
        <v>R018588;R018589</v>
      </c>
      <c r="C44" s="228" t="str">
        <f>IFERROR(VLOOKUP($A44,SP_AcqTract_DB[],MATCH(C$2,SP_AcqTract_DB[#Headers],0),FALSE),"")</f>
        <v>PH1</v>
      </c>
      <c r="D44" s="208" t="str">
        <f>IFERROR(VLOOKUP($A44,SP_AcqTract_DB[],MATCH(D$2,SP_AcqTract_DB[#Headers],0),FALSE),"")</f>
        <v>Active</v>
      </c>
      <c r="E44" s="208">
        <f>IFERROR(VLOOKUP($A44,SP_AcqTract_DB[],MATCH(E$2,SP_AcqTract_DB[#Headers],0),FALSE),"")</f>
        <v>3</v>
      </c>
      <c r="F44" s="227" t="str">
        <f>IFERROR(VLOOKUP($A44,SP_AcqTract_DB[],MATCH(F$2,SP_AcqTract_DB[#Headers],0),FALSE),"")</f>
        <v>Flowage Esmt/Flowage &amp; Sump Esmt/Levee Esmt</v>
      </c>
      <c r="G44" s="227" t="str">
        <f>IFERROR(VLOOKUP($A44,SP_AcqTract_DB[],MATCH(G$2,SP_AcqTract_DB[#Headers],0),FALSE),"")</f>
        <v>Lily Khan</v>
      </c>
      <c r="H44" s="250">
        <f>IFERROR(IF(VLOOKUP(CONCATENATE($A44,"_",H$1),SP_ACQ_Lib[],MATCH(H$2,SP_ACQ_Lib[#Headers],0),FALSE)=0,"",VLOOKUP(CONCATENATE($A44,"_",H$1),SP_ACQ_Lib[],MATCH(H$2,SP_ACQ_Lib[#Headers],0),FALSE)),"")</f>
        <v>44007.664409722223</v>
      </c>
      <c r="I44" s="227" t="str">
        <f>IFERROR(VLOOKUP($A44,SP_AcqTract_DB[],MATCH(I$2,SP_AcqTract_DB[#Headers],0),FALSE),"")</f>
        <v>Leovilgildo Panes and Prospera Panes; Erlinda Panes and Primo Panes; Jocelyn Manlongat and Jose Manlongat Jr and Belino Guzman, Sr. and Fe Guzman</v>
      </c>
      <c r="J44" s="227">
        <f>IFERROR(VLOOKUP($A44,SP_AcqTract_DB[],MATCH(J$2,SP_AcqTract_DB[#Headers],0),FALSE),"")</f>
        <v>0</v>
      </c>
      <c r="K44" s="227" t="str">
        <f>IFERROR(VLOOKUP($A44,SP_AcqTract_DB[],MATCH(K$2,SP_AcqTract_DB[#Headers],0),FALSE),"")</f>
        <v>Leovilgildo Panes and Prospera Panes; Erlinda Panes and Primo Panes; Jocelyn Manlongat and Jose Manlongat Jr and Belino Guzman, Sr. and Fe Guzman</v>
      </c>
      <c r="L44" s="227" t="str">
        <f>IFERROR(VLOOKUP($A44,SP_AcqTract_DB[],MATCH(L$2,SP_AcqTract_DB[#Headers],0),FALSE),"")</f>
        <v>12809 Tyler CT</v>
      </c>
      <c r="M44" s="208" t="str">
        <f>IFERROR(VLOOKUP($A44,SP_AcqTract_DB[],MATCH(M$2,SP_AcqTract_DB[#Headers],0),FALSE),"")</f>
        <v>Stafford, TX</v>
      </c>
      <c r="N44" s="227" t="str">
        <f>IFERROR(VLOOKUP($A44,SP_AcqTract_DB[],MATCH(N$2,SP_AcqTract_DB[#Headers],0),FALSE),"")</f>
        <v>0 S Sheppard</v>
      </c>
      <c r="O44" s="220" t="str">
        <f>IFERROR(VLOOKUP($A44,SP_AcqTract_DB[],MATCH(O$2,SP_AcqTract_DB[#Headers],0),FALSE),"")</f>
        <v>Electric Transmission Line-Houston Lighting &amp; Power</v>
      </c>
      <c r="P44" s="220" t="str">
        <f>IFERROR(VLOOKUP($A44,SP_AcqTract_DB[],MATCH(P$2,SP_AcqTract_DB[#Headers],0),FALSE),"")</f>
        <v>X</v>
      </c>
      <c r="Q44" s="208" t="str">
        <f>IFERROR(VLOOKUP($A44,SP_AcqTract_DB[],MATCH(Q$2,SP_AcqTract_DB[#Headers],0),FALSE),"")</f>
        <v>2019-0761</v>
      </c>
      <c r="R44" s="250">
        <f>IFERROR(IF(VLOOKUP(CONCATENATE($A44,"_",R$1),SP_ACQ_Lib[],MATCH(R$2,SP_ACQ_Lib[#Headers],0),FALSE)=0,"",VLOOKUP(CONCATENATE($A44,"_",R$1),SP_ACQ_Lib[],MATCH(R$2,SP_ACQ_Lib[#Headers],0),FALSE)),"")</f>
        <v>43684</v>
      </c>
      <c r="S44" s="253">
        <f>IFERROR(IF(VLOOKUP(CONCATENATE($A44,"_",S$1),SP_ACQ_Lib[],MATCH(S$2,SP_ACQ_Lib[#Headers],0),FALSE)=0,"",VLOOKUP(CONCATENATE($A44,"_",S$1),SP_ACQ_Lib[],MATCH(S$2,SP_ACQ_Lib[#Headers],0),FALSE)),"")</f>
        <v>43692</v>
      </c>
      <c r="T44" s="205" t="str">
        <f>IFERROR(VLOOKUP(CONCATENATE($A44,"_",T$1),SP_ACQ_Lib[],MATCH(T$2,SP_ACQ_Lib[#Headers],0),FALSE),0)</f>
        <v>Accepted</v>
      </c>
      <c r="U44" s="250">
        <f>IFERROR(IF(VLOOKUP(CONCATENATE($A44,"_",U$1),SP_ACQ_Lib[],MATCH(U$2,SP_ACQ_Lib[#Headers],0),FALSE)=0,"",VLOOKUP(CONCATENATE($A44,"_",U$1),SP_ACQ_Lib[],MATCH(U$2,SP_ACQ_Lib[#Headers],0),FALSE)),"")</f>
        <v>43812</v>
      </c>
      <c r="V44" s="205" t="str">
        <f>IFERROR(VLOOKUP(CONCATENATE($A44,"_",V$1),SP_ACQ_Lib[],MATCH(V$2,SP_ACQ_Lib[#Headers],0),FALSE),0)</f>
        <v>Accepted</v>
      </c>
      <c r="W44" s="209">
        <f>IFERROR(VLOOKUP(CONCATENATE($A44,"_",W$1),SP_ACQ_Lib[],MATCH(W$2,SP_ACQ_Lib[#Headers],0),FALSE),0)</f>
        <v>0</v>
      </c>
      <c r="X44" s="250">
        <f>IFERROR(VLOOKUP($A44,SP_AcqTract_DB[],MATCH(X$2,SP_AcqTract_DB[#Headers],0),FALSE),"")</f>
        <v>43693</v>
      </c>
      <c r="Y44" s="237">
        <f>IFERROR(VLOOKUP($A44,SP_AcqTract_DB[],MATCH(Y$2,SP_AcqTract_DB[#Headers],0),FALSE),"")</f>
        <v>0.123393021120294</v>
      </c>
      <c r="Z44" s="229">
        <f>IFERROR(VLOOKUP($A44,SP_AcqTract_DB[],MATCH(Z$2,SP_AcqTract_DB[#Headers],0),FALSE),"")</f>
        <v>5375</v>
      </c>
      <c r="AA44" s="229" t="str">
        <f>IFERROR(VLOOKUP($A44,SP_AcqTract_DB[],MATCH(AA$2,SP_AcqTract_DB[#Headers],0),FALSE),"")</f>
        <v>Yes</v>
      </c>
      <c r="AB44" s="250">
        <f>IFERROR(IF(VLOOKUP(CONCATENATE($A44,"_",AB$1),SP_ACQ_Lib[],MATCH(AB$2,SP_ACQ_Lib[#Headers],0),FALSE)=0,"",VLOOKUP(CONCATENATE($A44,"_",AB$1),SP_ACQ_Lib[],MATCH(AB$2,SP_ACQ_Lib[#Headers],0),FALSE)),"")</f>
        <v>43937</v>
      </c>
      <c r="AC44" s="250">
        <f>IFERROR(IF(VLOOKUP(CONCATENATE($A44,"_",AC$1),SP_ACQ_Lib[],MATCH(AC$2,SP_ACQ_Lib[#Headers],0),FALSE)=0,"",VLOOKUP(CONCATENATE($A44,"_",AC$1),SP_ACQ_Lib[],MATCH(AC$2,SP_ACQ_Lib[#Headers],0),FALSE)),"")</f>
        <v>43958</v>
      </c>
      <c r="AD44" s="229" t="str">
        <f>IFERROR(VLOOKUP($A44,SP_AcqTract_DB[],MATCH(AD$2,SP_AcqTract_DB[#Headers],0),FALSE),"")</f>
        <v>Yes</v>
      </c>
      <c r="AE44" s="250">
        <f>IFERROR(IF(VLOOKUP(CONCATENATE($A44,"_",AE$1),SP_ACQ_Lib[],MATCH(AE$2,SP_ACQ_Lib[#Headers],0),FALSE)=0,"",VLOOKUP(CONCATENATE($A44,"_",AE$1),SP_ACQ_Lib[],MATCH(AE$2,SP_ACQ_Lib[#Headers],0),FALSE)),"")</f>
        <v>43937</v>
      </c>
      <c r="AF44" s="250">
        <f>IFERROR(IF(VLOOKUP(CONCATENATE($A44,"_",AF$1),SP_ACQ_Lib[],MATCH(AF$2,SP_ACQ_Lib[#Headers],0),FALSE)=0,"",VLOOKUP(CONCATENATE($A44,"_",AF$1),SP_ACQ_Lib[],MATCH(AF$2,SP_ACQ_Lib[#Headers],0),FALSE)),"")</f>
        <v>43990</v>
      </c>
      <c r="AG44" s="250">
        <f>IFERROR(IF(VLOOKUP(CONCATENATE($A44,"_",AG$1),SP_ACQ_Lib[],MATCH(AG$2,SP_ACQ_Lib[#Headers],0),FALSE)=0,"",VLOOKUP(CONCATENATE($A44,"_",AG$1),SP_ACQ_Lib[],MATCH(AG$2,SP_ACQ_Lib[#Headers],0),FALSE)),"")</f>
        <v>43684</v>
      </c>
      <c r="AH44" s="250">
        <f>IFERROR(IF(VLOOKUP(CONCATENATE($A44,"_",AH$1),SP_ACQ_Lib[],MATCH(AH$2,SP_ACQ_Lib[#Headers],0),FALSE)=0,"",VLOOKUP(CONCATENATE($A44,"_",AH$1),SP_ACQ_Lib[],MATCH(AH$2,SP_ACQ_Lib[#Headers],0),FALSE)),"")</f>
        <v>43689</v>
      </c>
      <c r="AI44" s="249" t="str">
        <f>IFERROR(IF(VLOOKUP(CONCATENATE($A44,"_",AI$1),SP_ACQ_Lib[],MATCH(AI$2,SP_ACQ_Lib[#Headers],0),FALSE)=0,"",VLOOKUP(CONCATENATE($A44,"_",AI$1),SP_ACQ_Lib[],MATCH(AI$2,SP_ACQ_Lib[#Headers],0),FALSE)),"")</f>
        <v/>
      </c>
      <c r="AJ44" s="249" t="str">
        <f>IFERROR(IF(VLOOKUP(CONCATENATE($A44,"_",AJ$1),SP_ACQ_Lib[],MATCH(AJ$2,SP_ACQ_Lib[#Headers],0),FALSE)=0,"",VLOOKUP(CONCATENATE($A44,"_",AJ$1),SP_ACQ_Lib[],MATCH(AJ$2,SP_ACQ_Lib[#Headers],0),FALSE)),"")</f>
        <v/>
      </c>
      <c r="AK44" s="249" t="str">
        <f>IFERROR(IF(VLOOKUP(CONCATENATE($A44,"_",AK$1),SP_ACQ_Lib[],MATCH(AK$2,SP_ACQ_Lib[#Headers],0),FALSE)=0,"",VLOOKUP(CONCATENATE($A44,"_",AK$1),SP_ACQ_Lib[],MATCH(AK$2,SP_ACQ_Lib[#Headers],0),FALSE)),"")</f>
        <v/>
      </c>
      <c r="AL44" s="249">
        <f>IFERROR(VLOOKUP($A44,SP_AcqTract_DB[],MATCH(AL$2,SP_AcqTract_DB[#Headers],0),FALSE),"")</f>
        <v>43994</v>
      </c>
      <c r="AM44" s="227" t="str">
        <f>IFERROR(VLOOKUP($A44,SP_AcqTract_DB[],MATCH(AM$2,SP_AcqTract_DB[#Headers],0),FALSE),"")</f>
        <v>David Ambrose</v>
      </c>
      <c r="AN44" s="227" t="str">
        <f>IFERROR(VLOOKUP($A44,SP_AcqTract_DB[],MATCH(AN$2,SP_AcqTract_DB[#Headers],0),FALSE),"")</f>
        <v>Lory Johnson, Atrium</v>
      </c>
      <c r="AO44" s="228">
        <f>IFERROR(VLOOKUP($A44,SP_AcqTract_DB[],MATCH(AO$2,SP_AcqTract_DB[#Headers],0),FALSE),"")</f>
        <v>0</v>
      </c>
      <c r="AP44" s="210" t="str">
        <f>IFERROR(VLOOKUP($A44,SP_AcqTract_DB[],MATCH(AP$2,SP_AcqTract_DB[#Headers],0),FALSE),"")</f>
        <v>A</v>
      </c>
      <c r="AQ44" s="252" t="str">
        <f>IFERROR(IF(VLOOKUP(CONCATENATE($A44,"_",AQ$1),SP_ACQ_Lib[],MATCH(AQ$2,SP_ACQ_Lib[#Headers],0),FALSE)=0,"",VLOOKUP(CONCATENATE($A44,"_",AQ$1),SP_ACQ_Lib[],MATCH(AQ$2,SP_ACQ_Lib[#Headers],0),FALSE)),"")</f>
        <v/>
      </c>
      <c r="AR44" s="250">
        <f>IFERROR(IF(VLOOKUP(CONCATENATE($A44,"_",AR$1),SP_ACQ_Lib[],MATCH(AR$2,SP_ACQ_Lib[#Headers],0),FALSE)=0,"",VLOOKUP(CONCATENATE($A44,"_",AR$1),SP_ACQ_Lib[],MATCH(AR$2,SP_ACQ_Lib[#Headers],0),FALSE)),"")</f>
        <v>43685</v>
      </c>
      <c r="AS44" s="249">
        <f>IFERROR(IF(VLOOKUP(CONCATENATE($A44,"_",AS$1),SP_ACQ_Lib[],MATCH(AS$2,SP_ACQ_Lib[#Headers],0),FALSE)=0,"",VLOOKUP(CONCATENATE($A44,"_",AS$1),SP_ACQ_Lib[],MATCH(AS$2,SP_ACQ_Lib[#Headers],0),FALSE)),"")</f>
        <v>43765</v>
      </c>
      <c r="AT44" s="251">
        <f>IFERROR(IF(VLOOKUP(CONCATENATE($A44,"_",AT$1),SP_ACQ_Lib[],MATCH(AT$2,SP_ACQ_Lib[#Headers],0),FALSE)=0,"",VLOOKUP(CONCATENATE($A44,"_",AT$1),SP_ACQ_Lib[],MATCH(AT$2,SP_ACQ_Lib[#Headers],0),FALSE)),"")</f>
        <v>43960</v>
      </c>
      <c r="AU44" s="251" t="str">
        <f>IFERROR(IF(VLOOKUP(CONCATENATE($A44,"_",AU$1),SP_ACQ_Lib[],MATCH(AU$2,SP_ACQ_Lib[#Headers],0),FALSE)=0,"",VLOOKUP(CONCATENATE($A44,"_",AU$1),SP_ACQ_Lib[],MATCH(AU$2,SP_ACQ_Lib[#Headers],0),FALSE)),"")</f>
        <v/>
      </c>
      <c r="AV44" s="225">
        <f>IFERROR(IF(VLOOKUP(CONCATENATE($A44,"_",AV$1),SP_ACQ_Lib[],MATCH(AV$2,SP_ACQ_Lib[#Headers],0),FALSE)=0,"",VLOOKUP(CONCATENATE($A44,"_",AV$1),SP_ACQ_Lib[],MATCH(AV$2,SP_ACQ_Lib[#Headers],0),FALSE)),"")</f>
        <v>331917</v>
      </c>
      <c r="AW44" s="251">
        <f>IFERROR(IF(VLOOKUP(CONCATENATE($A44,"_",AW$1),SP_ACQ_Lib[],MATCH(AW$2,SP_ACQ_Lib[#Headers],0),FALSE)=0,"",VLOOKUP(CONCATENATE($A44,"_",AW$1),SP_ACQ_Lib[],MATCH(AW$2,SP_ACQ_Lib[#Headers],0),FALSE)),"")</f>
        <v>44021</v>
      </c>
      <c r="AX44" s="251">
        <f>IFERROR(IF(VLOOKUP(CONCATENATE($A44,"_",AX$1),SP_ACQ_Lib[],MATCH(AX$2,SP_ACQ_Lib[#Headers],0),FALSE)=0,"",VLOOKUP(CONCATENATE($A44,"_",AX$1),SP_ACQ_Lib[],MATCH(AX$2,SP_ACQ_Lib[#Headers],0),FALSE)),"")</f>
        <v>44021</v>
      </c>
      <c r="AY44" s="251">
        <f>IFERROR(IF(VLOOKUP(CONCATENATE($A44,"_",AY$1),SP_ACQ_Lib[],MATCH(AY$2,SP_ACQ_Lib[#Headers],0),FALSE)=0,"",VLOOKUP(CONCATENATE($A44,"_",AY$1),SP_ACQ_Lib[],MATCH(AY$2,SP_ACQ_Lib[#Headers],0),FALSE)),"")</f>
        <v>44025</v>
      </c>
      <c r="AZ44" s="251" t="str">
        <f>IFERROR(IF(VLOOKUP(CONCATENATE($A44,"_",AZ$1),SP_ACQ_Lib[],MATCH(AZ$2,SP_ACQ_Lib[#Headers],0),FALSE)=0,"",VLOOKUP(CONCATENATE($A44,"_",AZ$1),SP_ACQ_Lib[],MATCH(AZ$2,SP_ACQ_Lib[#Headers],0),FALSE)),"")</f>
        <v/>
      </c>
      <c r="BA44" s="251" t="str">
        <f>IFERROR(IF(VLOOKUP(CONCATENATE($A44,"_",BA$1),SP_ACQ_Lib[],MATCH(BA$2,SP_ACQ_Lib[#Headers],0),FALSE)=0,"",VLOOKUP(CONCATENATE($A44,"_",BA$1),SP_ACQ_Lib[],MATCH(BA$2,SP_ACQ_Lib[#Headers],0),FALSE)),"")</f>
        <v/>
      </c>
      <c r="BB44" s="224">
        <f>IFERROR(VLOOKUP(CONCATENATE($A44,"_",BB$1),SP_ACQ_Lib[],MATCH(BB$2,SP_ACQ_Lib[#Headers],0),FALSE),0)</f>
        <v>0</v>
      </c>
      <c r="BC44" s="231">
        <f>IFERROR(VLOOKUP($A44,SP_AcqTract_DB[],MATCH(BC$2,SP_AcqTract_DB[#Headers],0),FALSE),"")</f>
        <v>0</v>
      </c>
      <c r="BD44" s="231">
        <f>IFERROR(VLOOKUP($A44,SP_AcqTract_DB[],MATCH(BD$2,SP_AcqTract_DB[#Headers],0),FALSE),"")</f>
        <v>0</v>
      </c>
      <c r="BE44" s="249" t="str">
        <f>IFERROR(IF(VLOOKUP(CONCATENATE($A44,"_",BE$1),SP_ACQ_Lib[],MATCH(BE$2,SP_ACQ_Lib[#Headers],0),FALSE)=0,"",VLOOKUP(CONCATENATE($A44,"_",BE$1),SP_ACQ_Lib[],MATCH(BE$2,SP_ACQ_Lib[#Headers],0),FALSE)),"")</f>
        <v/>
      </c>
      <c r="BF44" s="249" t="str">
        <f>IFERROR(IF(VLOOKUP(CONCATENATE($A44,"_",BF$1),SP_ACQ_Lib[],MATCH(BF$2,SP_ACQ_Lib[#Headers],0),FALSE)=0,"",VLOOKUP(CONCATENATE($A44,"_",BF$1),SP_ACQ_Lib[],MATCH(BF$2,SP_ACQ_Lib[#Headers],0),FALSE)),"")</f>
        <v/>
      </c>
      <c r="BG44" s="249" t="str">
        <f>IFERROR(IF(VLOOKUP(CONCATENATE($A44,"_",BG$1),SP_ACQ_Lib[],MATCH(BG$2,SP_ACQ_Lib[#Headers],0),FALSE)=0,"",VLOOKUP(CONCATENATE($A44,"_",BG$1),SP_ACQ_Lib[],MATCH(BG$2,SP_ACQ_Lib[#Headers],0),FALSE)),"")</f>
        <v/>
      </c>
      <c r="BH44" s="249" t="str">
        <f>IFERROR(IF(VLOOKUP(CONCATENATE($A44,"_",BH$1),SP_ACQ_Lib[],MATCH(BH$2,SP_ACQ_Lib[#Headers],0),FALSE)=0,"",VLOOKUP(CONCATENATE($A44,"_",BH$1),SP_ACQ_Lib[],MATCH(BH$2,SP_ACQ_Lib[#Headers],0),FALSE)),"")</f>
        <v/>
      </c>
      <c r="BI44" s="249" t="str">
        <f>IFERROR(IF(VLOOKUP(CONCATENATE($A44,"_",BI$1),SP_ACQ_Lib[],MATCH(BI$2,SP_ACQ_Lib[#Headers],0),FALSE)=0,"",VLOOKUP(CONCATENATE($A44,"_",BI$1),SP_ACQ_Lib[],MATCH(BI$2,SP_ACQ_Lib[#Headers],0),FALSE)),"")</f>
        <v/>
      </c>
      <c r="BJ44" s="249" t="str">
        <f>IFERROR(IF(VLOOKUP(CONCATENATE($A44,"_",BJ$1),SP_ACQ_Lib[],MATCH(BJ$2,SP_ACQ_Lib[#Headers],0),FALSE)=0,"",VLOOKUP(CONCATENATE($A44,"_",BJ$1),SP_ACQ_Lib[],MATCH(BJ$2,SP_ACQ_Lib[#Headers],0),FALSE)),"")</f>
        <v/>
      </c>
      <c r="BK44" s="250">
        <f>IFERROR(IF(VLOOKUP(CONCATENATE($A44,"_",BK$1),SP_ACQ_Lib[],MATCH(BK$2,SP_ACQ_Lib[#Headers],0),FALSE)=0,"",VLOOKUP(CONCATENATE($A44,"_",BK$1),SP_ACQ_Lib[],MATCH(BK$2,SP_ACQ_Lib[#Headers],0),FALSE)),"")</f>
        <v>43748</v>
      </c>
      <c r="BL44" s="249" t="str">
        <f>IFERROR(IF(VLOOKUP(CONCATENATE($A44,"_",BL$1),SP_ACQ_Lib[],MATCH(BL$2,SP_ACQ_Lib[#Headers],0),FALSE)=0,"",VLOOKUP(CONCATENATE($A44,"_",BL$1),SP_ACQ_Lib[],MATCH(BL$2,SP_ACQ_Lib[#Headers],0),FALSE)),"")</f>
        <v/>
      </c>
      <c r="BM44" s="249" t="str">
        <f>IFERROR(IF(VLOOKUP(CONCATENATE($A44,"_",BM$1),SP_ACQ_Lib[],MATCH(BM$2,SP_ACQ_Lib[#Headers],0),FALSE)=0,"",VLOOKUP(CONCATENATE($A44,"_",BM$1),SP_ACQ_Lib[],MATCH(BM$2,SP_ACQ_Lib[#Headers],0),FALSE)),"")</f>
        <v/>
      </c>
      <c r="BN44" s="249" t="str">
        <f>IFERROR(IF(VLOOKUP(CONCATENATE($A44,"_",BN$1),SP_ACQ_Lib[],MATCH(BN$2,SP_ACQ_Lib[#Headers],0),FALSE)=0,"",VLOOKUP(CONCATENATE($A44,"_",BN$1),SP_ACQ_Lib[],MATCH(BN$2,SP_ACQ_Lib[#Headers],0),FALSE)),"")</f>
        <v/>
      </c>
    </row>
    <row r="45" spans="1:66" s="226" customFormat="1" ht="51" x14ac:dyDescent="0.2">
      <c r="A45" s="192" t="s">
        <v>49</v>
      </c>
      <c r="B45" s="227" t="str">
        <f>IFERROR(VLOOKUP($A45,SP_AcqTract_DB[],MATCH(B$2,SP_AcqTract_DB[#Headers],0),FALSE),"")</f>
        <v>R018590;R018591;R018592</v>
      </c>
      <c r="C45" s="228" t="str">
        <f>IFERROR(VLOOKUP($A45,SP_AcqTract_DB[],MATCH(C$2,SP_AcqTract_DB[#Headers],0),FALSE),"")</f>
        <v>PH1</v>
      </c>
      <c r="D45" s="208" t="str">
        <f>IFERROR(VLOOKUP($A45,SP_AcqTract_DB[],MATCH(D$2,SP_AcqTract_DB[#Headers],0),FALSE),"")</f>
        <v>Active</v>
      </c>
      <c r="E45" s="208">
        <f>IFERROR(VLOOKUP($A45,SP_AcqTract_DB[],MATCH(E$2,SP_AcqTract_DB[#Headers],0),FALSE),"")</f>
        <v>2</v>
      </c>
      <c r="F45" s="227" t="str">
        <f>IFERROR(VLOOKUP($A45,SP_AcqTract_DB[],MATCH(F$2,SP_AcqTract_DB[#Headers],0),FALSE),"")</f>
        <v>Flowage &amp; Sump Esmt/Levee Esmt</v>
      </c>
      <c r="G45" s="227" t="str">
        <f>IFERROR(VLOOKUP($A45,SP_AcqTract_DB[],MATCH(G$2,SP_AcqTract_DB[#Headers],0),FALSE),"")</f>
        <v>Lily Khan</v>
      </c>
      <c r="H45" s="250">
        <f>IFERROR(IF(VLOOKUP(CONCATENATE($A45,"_",H$1),SP_ACQ_Lib[],MATCH(H$2,SP_ACQ_Lib[#Headers],0),FALSE)=0,"",VLOOKUP(CONCATENATE($A45,"_",H$1),SP_ACQ_Lib[],MATCH(H$2,SP_ACQ_Lib[#Headers],0),FALSE)),"")</f>
        <v>43998.649907407409</v>
      </c>
      <c r="I45" s="227" t="str">
        <f>IFERROR(VLOOKUP($A45,SP_AcqTract_DB[],MATCH(I$2,SP_AcqTract_DB[#Headers],0),FALSE),"")</f>
        <v>Tracts 1 &amp; 2:  Jeffery Hayes Tracts 3 &amp; 4: Jeffery Hayes and Bessie Hayes</v>
      </c>
      <c r="J45" s="227">
        <f>IFERROR(VLOOKUP($A45,SP_AcqTract_DB[],MATCH(J$2,SP_AcqTract_DB[#Headers],0),FALSE),"")</f>
        <v>0</v>
      </c>
      <c r="K45" s="227" t="str">
        <f>IFERROR(VLOOKUP($A45,SP_AcqTract_DB[],MATCH(K$2,SP_AcqTract_DB[#Headers],0),FALSE),"")</f>
        <v>Jeffery and Bessie Hayes</v>
      </c>
      <c r="L45" s="227" t="str">
        <f>IFERROR(VLOOKUP($A45,SP_AcqTract_DB[],MATCH(L$2,SP_AcqTract_DB[#Headers],0),FALSE),"")</f>
        <v>404 Ford St</v>
      </c>
      <c r="M45" s="208" t="str">
        <f>IFERROR(VLOOKUP($A45,SP_AcqTract_DB[],MATCH(M$2,SP_AcqTract_DB[#Headers],0),FALSE),"")</f>
        <v>Wharton, TX  77488</v>
      </c>
      <c r="N45" s="227" t="str">
        <f>IFERROR(VLOOKUP($A45,SP_AcqTract_DB[],MATCH(N$2,SP_AcqTract_DB[#Headers],0),FALSE),"")</f>
        <v>501 &amp; 503 S Ford</v>
      </c>
      <c r="O45" s="220">
        <f>IFERROR(VLOOKUP($A45,SP_AcqTract_DB[],MATCH(O$2,SP_AcqTract_DB[#Headers],0),FALSE),"")</f>
        <v>0</v>
      </c>
      <c r="P45" s="220" t="str">
        <f>IFERROR(VLOOKUP($A45,SP_AcqTract_DB[],MATCH(P$2,SP_AcqTract_DB[#Headers],0),FALSE),"")</f>
        <v>X</v>
      </c>
      <c r="Q45" s="208" t="str">
        <f>IFERROR(VLOOKUP($A45,SP_AcqTract_DB[],MATCH(Q$2,SP_AcqTract_DB[#Headers],0),FALSE),"")</f>
        <v>2019-0760</v>
      </c>
      <c r="R45" s="250">
        <f>IFERROR(IF(VLOOKUP(CONCATENATE($A45,"_",R$1),SP_ACQ_Lib[],MATCH(R$2,SP_ACQ_Lib[#Headers],0),FALSE)=0,"",VLOOKUP(CONCATENATE($A45,"_",R$1),SP_ACQ_Lib[],MATCH(R$2,SP_ACQ_Lib[#Headers],0),FALSE)),"")</f>
        <v>43980</v>
      </c>
      <c r="S45" s="253">
        <f>IFERROR(IF(VLOOKUP(CONCATENATE($A45,"_",S$1),SP_ACQ_Lib[],MATCH(S$2,SP_ACQ_Lib[#Headers],0),FALSE)=0,"",VLOOKUP(CONCATENATE($A45,"_",S$1),SP_ACQ_Lib[],MATCH(S$2,SP_ACQ_Lib[#Headers],0),FALSE)),"")</f>
        <v>43991</v>
      </c>
      <c r="T45" s="205" t="str">
        <f>IFERROR(VLOOKUP(CONCATENATE($A45,"_",T$1),SP_ACQ_Lib[],MATCH(T$2,SP_ACQ_Lib[#Headers],0),FALSE),0)</f>
        <v>Accepted</v>
      </c>
      <c r="U45" s="250">
        <f>IFERROR(IF(VLOOKUP(CONCATENATE($A45,"_",U$1),SP_ACQ_Lib[],MATCH(U$2,SP_ACQ_Lib[#Headers],0),FALSE)=0,"",VLOOKUP(CONCATENATE($A45,"_",U$1),SP_ACQ_Lib[],MATCH(U$2,SP_ACQ_Lib[#Headers],0),FALSE)),"")</f>
        <v>43812</v>
      </c>
      <c r="V45" s="205" t="str">
        <f>IFERROR(VLOOKUP(CONCATENATE($A45,"_",V$1),SP_ACQ_Lib[],MATCH(V$2,SP_ACQ_Lib[#Headers],0),FALSE),0)</f>
        <v>Accepted</v>
      </c>
      <c r="W45" s="209">
        <f>IFERROR(VLOOKUP(CONCATENATE($A45,"_",W$1),SP_ACQ_Lib[],MATCH(W$2,SP_ACQ_Lib[#Headers],0),FALSE),0)</f>
        <v>0</v>
      </c>
      <c r="X45" s="250">
        <f>IFERROR(VLOOKUP($A45,SP_AcqTract_DB[],MATCH(X$2,SP_AcqTract_DB[#Headers],0),FALSE),"")</f>
        <v>43693</v>
      </c>
      <c r="Y45" s="237">
        <f>IFERROR(VLOOKUP($A45,SP_AcqTract_DB[],MATCH(Y$2,SP_AcqTract_DB[#Headers],0),FALSE),"")</f>
        <v>2.2460055096418698</v>
      </c>
      <c r="Z45" s="229">
        <f>IFERROR(VLOOKUP($A45,SP_AcqTract_DB[],MATCH(Z$2,SP_AcqTract_DB[#Headers],0),FALSE),"")</f>
        <v>97836</v>
      </c>
      <c r="AA45" s="229" t="str">
        <f>IFERROR(VLOOKUP($A45,SP_AcqTract_DB[],MATCH(AA$2,SP_AcqTract_DB[#Headers],0),FALSE),"")</f>
        <v>Yes</v>
      </c>
      <c r="AB45" s="250">
        <f>IFERROR(IF(VLOOKUP(CONCATENATE($A45,"_",AB$1),SP_ACQ_Lib[],MATCH(AB$2,SP_ACQ_Lib[#Headers],0),FALSE)=0,"",VLOOKUP(CONCATENATE($A45,"_",AB$1),SP_ACQ_Lib[],MATCH(AB$2,SP_ACQ_Lib[#Headers],0),FALSE)),"")</f>
        <v>43942</v>
      </c>
      <c r="AC45" s="250">
        <f>IFERROR(IF(VLOOKUP(CONCATENATE($A45,"_",AC$1),SP_ACQ_Lib[],MATCH(AC$2,SP_ACQ_Lib[#Headers],0),FALSE)=0,"",VLOOKUP(CONCATENATE($A45,"_",AC$1),SP_ACQ_Lib[],MATCH(AC$2,SP_ACQ_Lib[#Headers],0),FALSE)),"")</f>
        <v>43963</v>
      </c>
      <c r="AD45" s="229" t="str">
        <f>IFERROR(VLOOKUP($A45,SP_AcqTract_DB[],MATCH(AD$2,SP_AcqTract_DB[#Headers],0),FALSE),"")</f>
        <v>Yes</v>
      </c>
      <c r="AE45" s="250">
        <f>IFERROR(IF(VLOOKUP(CONCATENATE($A45,"_",AE$1),SP_ACQ_Lib[],MATCH(AE$2,SP_ACQ_Lib[#Headers],0),FALSE)=0,"",VLOOKUP(CONCATENATE($A45,"_",AE$1),SP_ACQ_Lib[],MATCH(AE$2,SP_ACQ_Lib[#Headers],0),FALSE)),"")</f>
        <v>43942</v>
      </c>
      <c r="AF45" s="250">
        <f>IFERROR(IF(VLOOKUP(CONCATENATE($A45,"_",AF$1),SP_ACQ_Lib[],MATCH(AF$2,SP_ACQ_Lib[#Headers],0),FALSE)=0,"",VLOOKUP(CONCATENATE($A45,"_",AF$1),SP_ACQ_Lib[],MATCH(AF$2,SP_ACQ_Lib[#Headers],0),FALSE)),"")</f>
        <v>43963</v>
      </c>
      <c r="AG45" s="250" t="str">
        <f>IFERROR(IF(VLOOKUP(CONCATENATE($A45,"_",AG$1),SP_ACQ_Lib[],MATCH(AG$2,SP_ACQ_Lib[#Headers],0),FALSE)=0,"",VLOOKUP(CONCATENATE($A45,"_",AG$1),SP_ACQ_Lib[],MATCH(AG$2,SP_ACQ_Lib[#Headers],0),FALSE)),"")</f>
        <v/>
      </c>
      <c r="AH45" s="250">
        <f>IFERROR(IF(VLOOKUP(CONCATENATE($A45,"_",AH$1),SP_ACQ_Lib[],MATCH(AH$2,SP_ACQ_Lib[#Headers],0),FALSE)=0,"",VLOOKUP(CONCATENATE($A45,"_",AH$1),SP_ACQ_Lib[],MATCH(AH$2,SP_ACQ_Lib[#Headers],0),FALSE)),"")</f>
        <v>43689</v>
      </c>
      <c r="AI45" s="249" t="str">
        <f>IFERROR(IF(VLOOKUP(CONCATENATE($A45,"_",AI$1),SP_ACQ_Lib[],MATCH(AI$2,SP_ACQ_Lib[#Headers],0),FALSE)=0,"",VLOOKUP(CONCATENATE($A45,"_",AI$1),SP_ACQ_Lib[],MATCH(AI$2,SP_ACQ_Lib[#Headers],0),FALSE)),"")</f>
        <v/>
      </c>
      <c r="AJ45" s="249" t="str">
        <f>IFERROR(IF(VLOOKUP(CONCATENATE($A45,"_",AJ$1),SP_ACQ_Lib[],MATCH(AJ$2,SP_ACQ_Lib[#Headers],0),FALSE)=0,"",VLOOKUP(CONCATENATE($A45,"_",AJ$1),SP_ACQ_Lib[],MATCH(AJ$2,SP_ACQ_Lib[#Headers],0),FALSE)),"")</f>
        <v/>
      </c>
      <c r="AK45" s="249" t="str">
        <f>IFERROR(IF(VLOOKUP(CONCATENATE($A45,"_",AK$1),SP_ACQ_Lib[],MATCH(AK$2,SP_ACQ_Lib[#Headers],0),FALSE)=0,"",VLOOKUP(CONCATENATE($A45,"_",AK$1),SP_ACQ_Lib[],MATCH(AK$2,SP_ACQ_Lib[#Headers],0),FALSE)),"")</f>
        <v/>
      </c>
      <c r="AL45" s="249">
        <f>IFERROR(VLOOKUP($A45,SP_AcqTract_DB[],MATCH(AL$2,SP_AcqTract_DB[#Headers],0),FALSE),"")</f>
        <v>43964</v>
      </c>
      <c r="AM45" s="227" t="str">
        <f>IFERROR(VLOOKUP($A45,SP_AcqTract_DB[],MATCH(AM$2,SP_AcqTract_DB[#Headers],0),FALSE),"")</f>
        <v>Richard Hudgins</v>
      </c>
      <c r="AN45" s="227" t="str">
        <f>IFERROR(VLOOKUP($A45,SP_AcqTract_DB[],MATCH(AN$2,SP_AcqTract_DB[#Headers],0),FALSE),"")</f>
        <v>Richard McGee</v>
      </c>
      <c r="AO45" s="228">
        <f>IFERROR(VLOOKUP($A45,SP_AcqTract_DB[],MATCH(AO$2,SP_AcqTract_DB[#Headers],0),FALSE),"")</f>
        <v>0</v>
      </c>
      <c r="AP45" s="210" t="str">
        <f>IFERROR(VLOOKUP($A45,SP_AcqTract_DB[],MATCH(AP$2,SP_AcqTract_DB[#Headers],0),FALSE),"")</f>
        <v>C</v>
      </c>
      <c r="AQ45" s="252" t="str">
        <f>IFERROR(IF(VLOOKUP(CONCATENATE($A45,"_",AQ$1),SP_ACQ_Lib[],MATCH(AQ$2,SP_ACQ_Lib[#Headers],0),FALSE)=0,"",VLOOKUP(CONCATENATE($A45,"_",AQ$1),SP_ACQ_Lib[],MATCH(AQ$2,SP_ACQ_Lib[#Headers],0),FALSE)),"")</f>
        <v/>
      </c>
      <c r="AR45" s="250">
        <f>IFERROR(IF(VLOOKUP(CONCATENATE($A45,"_",AR$1),SP_ACQ_Lib[],MATCH(AR$2,SP_ACQ_Lib[#Headers],0),FALSE)=0,"",VLOOKUP(CONCATENATE($A45,"_",AR$1),SP_ACQ_Lib[],MATCH(AR$2,SP_ACQ_Lib[#Headers],0),FALSE)),"")</f>
        <v>43686</v>
      </c>
      <c r="AS45" s="249">
        <f>IFERROR(IF(VLOOKUP(CONCATENATE($A45,"_",AS$1),SP_ACQ_Lib[],MATCH(AS$2,SP_ACQ_Lib[#Headers],0),FALSE)=0,"",VLOOKUP(CONCATENATE($A45,"_",AS$1),SP_ACQ_Lib[],MATCH(AS$2,SP_ACQ_Lib[#Headers],0),FALSE)),"")</f>
        <v>43765</v>
      </c>
      <c r="AT45" s="251">
        <f>IFERROR(IF(VLOOKUP(CONCATENATE($A45,"_",AT$1),SP_ACQ_Lib[],MATCH(AT$2,SP_ACQ_Lib[#Headers],0),FALSE)=0,"",VLOOKUP(CONCATENATE($A45,"_",AT$1),SP_ACQ_Lib[],MATCH(AT$2,SP_ACQ_Lib[#Headers],0),FALSE)),"")</f>
        <v>43965</v>
      </c>
      <c r="AU45" s="251" t="str">
        <f>IFERROR(IF(VLOOKUP(CONCATENATE($A45,"_",AU$1),SP_ACQ_Lib[],MATCH(AU$2,SP_ACQ_Lib[#Headers],0),FALSE)=0,"",VLOOKUP(CONCATENATE($A45,"_",AU$1),SP_ACQ_Lib[],MATCH(AU$2,SP_ACQ_Lib[#Headers],0),FALSE)),"")</f>
        <v/>
      </c>
      <c r="AV45" s="225">
        <f>IFERROR(IF(VLOOKUP(CONCATENATE($A45,"_",AV$1),SP_ACQ_Lib[],MATCH(AV$2,SP_ACQ_Lib[#Headers],0),FALSE)=0,"",VLOOKUP(CONCATENATE($A45,"_",AV$1),SP_ACQ_Lib[],MATCH(AV$2,SP_ACQ_Lib[#Headers],0),FALSE)),"")</f>
        <v>65550</v>
      </c>
      <c r="AW45" s="251">
        <f>IFERROR(IF(VLOOKUP(CONCATENATE($A45,"_",AW$1),SP_ACQ_Lib[],MATCH(AW$2,SP_ACQ_Lib[#Headers],0),FALSE)=0,"",VLOOKUP(CONCATENATE($A45,"_",AW$1),SP_ACQ_Lib[],MATCH(AW$2,SP_ACQ_Lib[#Headers],0),FALSE)),"")</f>
        <v>44000</v>
      </c>
      <c r="AX45" s="251">
        <f>IFERROR(IF(VLOOKUP(CONCATENATE($A45,"_",AX$1),SP_ACQ_Lib[],MATCH(AX$2,SP_ACQ_Lib[#Headers],0),FALSE)=0,"",VLOOKUP(CONCATENATE($A45,"_",AX$1),SP_ACQ_Lib[],MATCH(AX$2,SP_ACQ_Lib[#Headers],0),FALSE)),"")</f>
        <v>44000</v>
      </c>
      <c r="AY45" s="251">
        <f>IFERROR(IF(VLOOKUP(CONCATENATE($A45,"_",AY$1),SP_ACQ_Lib[],MATCH(AY$2,SP_ACQ_Lib[#Headers],0),FALSE)=0,"",VLOOKUP(CONCATENATE($A45,"_",AY$1),SP_ACQ_Lib[],MATCH(AY$2,SP_ACQ_Lib[#Headers],0),FALSE)),"")</f>
        <v>44000</v>
      </c>
      <c r="AZ45" s="251" t="str">
        <f>IFERROR(IF(VLOOKUP(CONCATENATE($A45,"_",AZ$1),SP_ACQ_Lib[],MATCH(AZ$2,SP_ACQ_Lib[#Headers],0),FALSE)=0,"",VLOOKUP(CONCATENATE($A45,"_",AZ$1),SP_ACQ_Lib[],MATCH(AZ$2,SP_ACQ_Lib[#Headers],0),FALSE)),"")</f>
        <v/>
      </c>
      <c r="BA45" s="251" t="str">
        <f>IFERROR(IF(VLOOKUP(CONCATENATE($A45,"_",BA$1),SP_ACQ_Lib[],MATCH(BA$2,SP_ACQ_Lib[#Headers],0),FALSE)=0,"",VLOOKUP(CONCATENATE($A45,"_",BA$1),SP_ACQ_Lib[],MATCH(BA$2,SP_ACQ_Lib[#Headers],0),FALSE)),"")</f>
        <v/>
      </c>
      <c r="BB45" s="224">
        <f>IFERROR(VLOOKUP(CONCATENATE($A45,"_",BB$1),SP_ACQ_Lib[],MATCH(BB$2,SP_ACQ_Lib[#Headers],0),FALSE),0)</f>
        <v>0</v>
      </c>
      <c r="BC45" s="231">
        <f>IFERROR(VLOOKUP($A45,SP_AcqTract_DB[],MATCH(BC$2,SP_AcqTract_DB[#Headers],0),FALSE),"")</f>
        <v>44006</v>
      </c>
      <c r="BD45" s="231">
        <f>IFERROR(VLOOKUP($A45,SP_AcqTract_DB[],MATCH(BD$2,SP_AcqTract_DB[#Headers],0),FALSE),"")</f>
        <v>0</v>
      </c>
      <c r="BE45" s="249" t="str">
        <f>IFERROR(IF(VLOOKUP(CONCATENATE($A45,"_",BE$1),SP_ACQ_Lib[],MATCH(BE$2,SP_ACQ_Lib[#Headers],0),FALSE)=0,"",VLOOKUP(CONCATENATE($A45,"_",BE$1),SP_ACQ_Lib[],MATCH(BE$2,SP_ACQ_Lib[#Headers],0),FALSE)),"")</f>
        <v/>
      </c>
      <c r="BF45" s="249" t="str">
        <f>IFERROR(IF(VLOOKUP(CONCATENATE($A45,"_",BF$1),SP_ACQ_Lib[],MATCH(BF$2,SP_ACQ_Lib[#Headers],0),FALSE)=0,"",VLOOKUP(CONCATENATE($A45,"_",BF$1),SP_ACQ_Lib[],MATCH(BF$2,SP_ACQ_Lib[#Headers],0),FALSE)),"")</f>
        <v/>
      </c>
      <c r="BG45" s="249" t="str">
        <f>IFERROR(IF(VLOOKUP(CONCATENATE($A45,"_",BG$1),SP_ACQ_Lib[],MATCH(BG$2,SP_ACQ_Lib[#Headers],0),FALSE)=0,"",VLOOKUP(CONCATENATE($A45,"_",BG$1),SP_ACQ_Lib[],MATCH(BG$2,SP_ACQ_Lib[#Headers],0),FALSE)),"")</f>
        <v/>
      </c>
      <c r="BH45" s="249" t="str">
        <f>IFERROR(IF(VLOOKUP(CONCATENATE($A45,"_",BH$1),SP_ACQ_Lib[],MATCH(BH$2,SP_ACQ_Lib[#Headers],0),FALSE)=0,"",VLOOKUP(CONCATENATE($A45,"_",BH$1),SP_ACQ_Lib[],MATCH(BH$2,SP_ACQ_Lib[#Headers],0),FALSE)),"")</f>
        <v/>
      </c>
      <c r="BI45" s="249" t="str">
        <f>IFERROR(IF(VLOOKUP(CONCATENATE($A45,"_",BI$1),SP_ACQ_Lib[],MATCH(BI$2,SP_ACQ_Lib[#Headers],0),FALSE)=0,"",VLOOKUP(CONCATENATE($A45,"_",BI$1),SP_ACQ_Lib[],MATCH(BI$2,SP_ACQ_Lib[#Headers],0),FALSE)),"")</f>
        <v/>
      </c>
      <c r="BJ45" s="249" t="str">
        <f>IFERROR(IF(VLOOKUP(CONCATENATE($A45,"_",BJ$1),SP_ACQ_Lib[],MATCH(BJ$2,SP_ACQ_Lib[#Headers],0),FALSE)=0,"",VLOOKUP(CONCATENATE($A45,"_",BJ$1),SP_ACQ_Lib[],MATCH(BJ$2,SP_ACQ_Lib[#Headers],0),FALSE)),"")</f>
        <v/>
      </c>
      <c r="BK45" s="250">
        <f>IFERROR(IF(VLOOKUP(CONCATENATE($A45,"_",BK$1),SP_ACQ_Lib[],MATCH(BK$2,SP_ACQ_Lib[#Headers],0),FALSE)=0,"",VLOOKUP(CONCATENATE($A45,"_",BK$1),SP_ACQ_Lib[],MATCH(BK$2,SP_ACQ_Lib[#Headers],0),FALSE)),"")</f>
        <v>43748</v>
      </c>
      <c r="BL45" s="249" t="str">
        <f>IFERROR(IF(VLOOKUP(CONCATENATE($A45,"_",BL$1),SP_ACQ_Lib[],MATCH(BL$2,SP_ACQ_Lib[#Headers],0),FALSE)=0,"",VLOOKUP(CONCATENATE($A45,"_",BL$1),SP_ACQ_Lib[],MATCH(BL$2,SP_ACQ_Lib[#Headers],0),FALSE)),"")</f>
        <v/>
      </c>
      <c r="BM45" s="249" t="str">
        <f>IFERROR(IF(VLOOKUP(CONCATENATE($A45,"_",BM$1),SP_ACQ_Lib[],MATCH(BM$2,SP_ACQ_Lib[#Headers],0),FALSE)=0,"",VLOOKUP(CONCATENATE($A45,"_",BM$1),SP_ACQ_Lib[],MATCH(BM$2,SP_ACQ_Lib[#Headers],0),FALSE)),"")</f>
        <v/>
      </c>
      <c r="BN45" s="249" t="str">
        <f>IFERROR(IF(VLOOKUP(CONCATENATE($A45,"_",BN$1),SP_ACQ_Lib[],MATCH(BN$2,SP_ACQ_Lib[#Headers],0),FALSE)=0,"",VLOOKUP(CONCATENATE($A45,"_",BN$1),SP_ACQ_Lib[],MATCH(BN$2,SP_ACQ_Lib[#Headers],0),FALSE)),"")</f>
        <v/>
      </c>
    </row>
    <row r="46" spans="1:66" s="226" customFormat="1" ht="25.5" x14ac:dyDescent="0.2">
      <c r="A46" s="192" t="s">
        <v>878</v>
      </c>
      <c r="B46" s="227" t="str">
        <f>IFERROR(VLOOKUP($A46,SP_AcqTract_DB[],MATCH(B$2,SP_AcqTract_DB[#Headers],0),FALSE),"")</f>
        <v>R056768</v>
      </c>
      <c r="C46" s="228" t="str">
        <f>IFERROR(VLOOKUP($A46,SP_AcqTract_DB[],MATCH(C$2,SP_AcqTract_DB[#Headers],0),FALSE),"")</f>
        <v>PH1</v>
      </c>
      <c r="D46" s="208" t="str">
        <f>IFERROR(VLOOKUP($A46,SP_AcqTract_DB[],MATCH(D$2,SP_AcqTract_DB[#Headers],0),FALSE),"")</f>
        <v>Active</v>
      </c>
      <c r="E46" s="208">
        <f>IFERROR(VLOOKUP($A46,SP_AcqTract_DB[],MATCH(E$2,SP_AcqTract_DB[#Headers],0),FALSE),"")</f>
        <v>0</v>
      </c>
      <c r="F46" s="227" t="str">
        <f>IFERROR(VLOOKUP($A46,SP_AcqTract_DB[],MATCH(F$2,SP_AcqTract_DB[#Headers],0),FALSE),"")</f>
        <v>PP</v>
      </c>
      <c r="G46" s="227" t="str">
        <f>IFERROR(VLOOKUP($A46,SP_AcqTract_DB[],MATCH(G$2,SP_AcqTract_DB[#Headers],0),FALSE),"")</f>
        <v>Lily Khan</v>
      </c>
      <c r="H46" s="250">
        <f>IFERROR(IF(VLOOKUP(CONCATENATE($A46,"_",H$1),SP_ACQ_Lib[],MATCH(H$2,SP_ACQ_Lib[#Headers],0),FALSE)=0,"",VLOOKUP(CONCATENATE($A46,"_",H$1),SP_ACQ_Lib[],MATCH(H$2,SP_ACQ_Lib[#Headers],0),FALSE)),"")</f>
        <v>43998.651412037034</v>
      </c>
      <c r="I46" s="227" t="str">
        <f>IFERROR(VLOOKUP($A46,SP_AcqTract_DB[],MATCH(I$2,SP_AcqTract_DB[#Headers],0),FALSE),"")</f>
        <v>Raymond L. Frazier and wife, Demetria Frazier</v>
      </c>
      <c r="J46" s="227">
        <f>IFERROR(VLOOKUP($A46,SP_AcqTract_DB[],MATCH(J$2,SP_AcqTract_DB[#Headers],0),FALSE),"")</f>
        <v>0</v>
      </c>
      <c r="K46" s="227" t="str">
        <f>IFERROR(VLOOKUP($A46,SP_AcqTract_DB[],MATCH(K$2,SP_AcqTract_DB[#Headers],0),FALSE),"")</f>
        <v>Raymond and Demetria Frazier</v>
      </c>
      <c r="L46" s="227" t="str">
        <f>IFERROR(VLOOKUP($A46,SP_AcqTract_DB[],MATCH(L$2,SP_AcqTract_DB[#Headers],0),FALSE),"")</f>
        <v>505 S Ford</v>
      </c>
      <c r="M46" s="208">
        <f>IFERROR(VLOOKUP($A46,SP_AcqTract_DB[],MATCH(M$2,SP_AcqTract_DB[#Headers],0),FALSE),"")</f>
        <v>0</v>
      </c>
      <c r="N46" s="227" t="str">
        <f>IFERROR(VLOOKUP($A46,SP_AcqTract_DB[],MATCH(N$2,SP_AcqTract_DB[#Headers],0),FALSE),"")</f>
        <v>505 S Ford</v>
      </c>
      <c r="O46" s="220">
        <f>IFERROR(VLOOKUP($A46,SP_AcqTract_DB[],MATCH(O$2,SP_AcqTract_DB[#Headers],0),FALSE),"")</f>
        <v>0</v>
      </c>
      <c r="P46" s="220">
        <f>IFERROR(VLOOKUP($A46,SP_AcqTract_DB[],MATCH(P$2,SP_AcqTract_DB[#Headers],0),FALSE),"")</f>
        <v>0</v>
      </c>
      <c r="Q46" s="208">
        <f>IFERROR(VLOOKUP($A46,SP_AcqTract_DB[],MATCH(Q$2,SP_AcqTract_DB[#Headers],0),FALSE),"")</f>
        <v>0</v>
      </c>
      <c r="R46" s="250" t="str">
        <f>IFERROR(IF(VLOOKUP(CONCATENATE($A46,"_",R$1),SP_ACQ_Lib[],MATCH(R$2,SP_ACQ_Lib[#Headers],0),FALSE)=0,"",VLOOKUP(CONCATENATE($A46,"_",R$1),SP_ACQ_Lib[],MATCH(R$2,SP_ACQ_Lib[#Headers],0),FALSE)),"")</f>
        <v/>
      </c>
      <c r="S46" s="253" t="str">
        <f>IFERROR(IF(VLOOKUP(CONCATENATE($A46,"_",S$1),SP_ACQ_Lib[],MATCH(S$2,SP_ACQ_Lib[#Headers],0),FALSE)=0,"",VLOOKUP(CONCATENATE($A46,"_",S$1),SP_ACQ_Lib[],MATCH(S$2,SP_ACQ_Lib[#Headers],0),FALSE)),"")</f>
        <v/>
      </c>
      <c r="T46" s="205">
        <f>IFERROR(VLOOKUP(CONCATENATE($A46,"_",T$1),SP_ACQ_Lib[],MATCH(T$2,SP_ACQ_Lib[#Headers],0),FALSE),0)</f>
        <v>0</v>
      </c>
      <c r="U46" s="250" t="str">
        <f>IFERROR(IF(VLOOKUP(CONCATENATE($A46,"_",U$1),SP_ACQ_Lib[],MATCH(U$2,SP_ACQ_Lib[#Headers],0),FALSE)=0,"",VLOOKUP(CONCATENATE($A46,"_",U$1),SP_ACQ_Lib[],MATCH(U$2,SP_ACQ_Lib[#Headers],0),FALSE)),"")</f>
        <v/>
      </c>
      <c r="V46" s="205" t="str">
        <f>IFERROR(VLOOKUP(CONCATENATE($A46,"_",V$1),SP_ACQ_Lib[],MATCH(V$2,SP_ACQ_Lib[#Headers],0),FALSE),0)</f>
        <v>Accepted</v>
      </c>
      <c r="W46" s="209">
        <f>IFERROR(VLOOKUP(CONCATENATE($A46,"_",W$1),SP_ACQ_Lib[],MATCH(W$2,SP_ACQ_Lib[#Headers],0),FALSE),0)</f>
        <v>0</v>
      </c>
      <c r="X46" s="250">
        <f>IFERROR(VLOOKUP($A46,SP_AcqTract_DB[],MATCH(X$2,SP_AcqTract_DB[#Headers],0),FALSE),"")</f>
        <v>0</v>
      </c>
      <c r="Y46" s="237">
        <f>IFERROR(VLOOKUP($A46,SP_AcqTract_DB[],MATCH(Y$2,SP_AcqTract_DB[#Headers],0),FALSE),"")</f>
        <v>0</v>
      </c>
      <c r="Z46" s="229">
        <f>IFERROR(VLOOKUP($A46,SP_AcqTract_DB[],MATCH(Z$2,SP_AcqTract_DB[#Headers],0),FALSE),"")</f>
        <v>0</v>
      </c>
      <c r="AA46" s="229" t="str">
        <f>IFERROR(VLOOKUP($A46,SP_AcqTract_DB[],MATCH(AA$2,SP_AcqTract_DB[#Headers],0),FALSE),"")</f>
        <v>No</v>
      </c>
      <c r="AB46" s="250" t="str">
        <f>IFERROR(IF(VLOOKUP(CONCATENATE($A46,"_",AB$1),SP_ACQ_Lib[],MATCH(AB$2,SP_ACQ_Lib[#Headers],0),FALSE)=0,"",VLOOKUP(CONCATENATE($A46,"_",AB$1),SP_ACQ_Lib[],MATCH(AB$2,SP_ACQ_Lib[#Headers],0),FALSE)),"")</f>
        <v/>
      </c>
      <c r="AC46" s="250" t="str">
        <f>IFERROR(IF(VLOOKUP(CONCATENATE($A46,"_",AC$1),SP_ACQ_Lib[],MATCH(AC$2,SP_ACQ_Lib[#Headers],0),FALSE)=0,"",VLOOKUP(CONCATENATE($A46,"_",AC$1),SP_ACQ_Lib[],MATCH(AC$2,SP_ACQ_Lib[#Headers],0),FALSE)),"")</f>
        <v/>
      </c>
      <c r="AD46" s="229" t="str">
        <f>IFERROR(VLOOKUP($A46,SP_AcqTract_DB[],MATCH(AD$2,SP_AcqTract_DB[#Headers],0),FALSE),"")</f>
        <v>No</v>
      </c>
      <c r="AE46" s="250" t="str">
        <f>IFERROR(IF(VLOOKUP(CONCATENATE($A46,"_",AE$1),SP_ACQ_Lib[],MATCH(AE$2,SP_ACQ_Lib[#Headers],0),FALSE)=0,"",VLOOKUP(CONCATENATE($A46,"_",AE$1),SP_ACQ_Lib[],MATCH(AE$2,SP_ACQ_Lib[#Headers],0),FALSE)),"")</f>
        <v/>
      </c>
      <c r="AF46" s="250" t="str">
        <f>IFERROR(IF(VLOOKUP(CONCATENATE($A46,"_",AF$1),SP_ACQ_Lib[],MATCH(AF$2,SP_ACQ_Lib[#Headers],0),FALSE)=0,"",VLOOKUP(CONCATENATE($A46,"_",AF$1),SP_ACQ_Lib[],MATCH(AF$2,SP_ACQ_Lib[#Headers],0),FALSE)),"")</f>
        <v/>
      </c>
      <c r="AG46" s="250">
        <f>IFERROR(IF(VLOOKUP(CONCATENATE($A46,"_",AG$1),SP_ACQ_Lib[],MATCH(AG$2,SP_ACQ_Lib[#Headers],0),FALSE)=0,"",VLOOKUP(CONCATENATE($A46,"_",AG$1),SP_ACQ_Lib[],MATCH(AG$2,SP_ACQ_Lib[#Headers],0),FALSE)),"")</f>
        <v>43727</v>
      </c>
      <c r="AH46" s="250" t="str">
        <f>IFERROR(IF(VLOOKUP(CONCATENATE($A46,"_",AH$1),SP_ACQ_Lib[],MATCH(AH$2,SP_ACQ_Lib[#Headers],0),FALSE)=0,"",VLOOKUP(CONCATENATE($A46,"_",AH$1),SP_ACQ_Lib[],MATCH(AH$2,SP_ACQ_Lib[#Headers],0),FALSE)),"")</f>
        <v/>
      </c>
      <c r="AI46" s="249" t="str">
        <f>IFERROR(IF(VLOOKUP(CONCATENATE($A46,"_",AI$1),SP_ACQ_Lib[],MATCH(AI$2,SP_ACQ_Lib[#Headers],0),FALSE)=0,"",VLOOKUP(CONCATENATE($A46,"_",AI$1),SP_ACQ_Lib[],MATCH(AI$2,SP_ACQ_Lib[#Headers],0),FALSE)),"")</f>
        <v/>
      </c>
      <c r="AJ46" s="249" t="str">
        <f>IFERROR(IF(VLOOKUP(CONCATENATE($A46,"_",AJ$1),SP_ACQ_Lib[],MATCH(AJ$2,SP_ACQ_Lib[#Headers],0),FALSE)=0,"",VLOOKUP(CONCATENATE($A46,"_",AJ$1),SP_ACQ_Lib[],MATCH(AJ$2,SP_ACQ_Lib[#Headers],0),FALSE)),"")</f>
        <v/>
      </c>
      <c r="AK46" s="249" t="str">
        <f>IFERROR(IF(VLOOKUP(CONCATENATE($A46,"_",AK$1),SP_ACQ_Lib[],MATCH(AK$2,SP_ACQ_Lib[#Headers],0),FALSE)=0,"",VLOOKUP(CONCATENATE($A46,"_",AK$1),SP_ACQ_Lib[],MATCH(AK$2,SP_ACQ_Lib[#Headers],0),FALSE)),"")</f>
        <v/>
      </c>
      <c r="AL46" s="249">
        <f>IFERROR(VLOOKUP($A46,SP_AcqTract_DB[],MATCH(AL$2,SP_AcqTract_DB[#Headers],0),FALSE),"")</f>
        <v>0</v>
      </c>
      <c r="AM46" s="227" t="str">
        <f>IFERROR(VLOOKUP($A46,SP_AcqTract_DB[],MATCH(AM$2,SP_AcqTract_DB[#Headers],0),FALSE),"")</f>
        <v>David Ambrose</v>
      </c>
      <c r="AN46" s="227">
        <f>IFERROR(VLOOKUP($A46,SP_AcqTract_DB[],MATCH(AN$2,SP_AcqTract_DB[#Headers],0),FALSE),"")</f>
        <v>0</v>
      </c>
      <c r="AO46" s="228">
        <f>IFERROR(VLOOKUP($A46,SP_AcqTract_DB[],MATCH(AO$2,SP_AcqTract_DB[#Headers],0),FALSE),"")</f>
        <v>0</v>
      </c>
      <c r="AP46" s="210" t="str">
        <f>IFERROR(VLOOKUP($A46,SP_AcqTract_DB[],MATCH(AP$2,SP_AcqTract_DB[#Headers],0),FALSE),"")</f>
        <v>R</v>
      </c>
      <c r="AQ46" s="252" t="str">
        <f>IFERROR(IF(VLOOKUP(CONCATENATE($A46,"_",AQ$1),SP_ACQ_Lib[],MATCH(AQ$2,SP_ACQ_Lib[#Headers],0),FALSE)=0,"",VLOOKUP(CONCATENATE($A46,"_",AQ$1),SP_ACQ_Lib[],MATCH(AQ$2,SP_ACQ_Lib[#Headers],0),FALSE)),"")</f>
        <v/>
      </c>
      <c r="AR46" s="250" t="str">
        <f>IFERROR(IF(VLOOKUP(CONCATENATE($A46,"_",AR$1),SP_ACQ_Lib[],MATCH(AR$2,SP_ACQ_Lib[#Headers],0),FALSE)=0,"",VLOOKUP(CONCATENATE($A46,"_",AR$1),SP_ACQ_Lib[],MATCH(AR$2,SP_ACQ_Lib[#Headers],0),FALSE)),"")</f>
        <v/>
      </c>
      <c r="AS46" s="249">
        <f>IFERROR(IF(VLOOKUP(CONCATENATE($A46,"_",AS$1),SP_ACQ_Lib[],MATCH(AS$2,SP_ACQ_Lib[#Headers],0),FALSE)=0,"",VLOOKUP(CONCATENATE($A46,"_",AS$1),SP_ACQ_Lib[],MATCH(AS$2,SP_ACQ_Lib[#Headers],0),FALSE)),"")</f>
        <v>43765</v>
      </c>
      <c r="AT46" s="251" t="str">
        <f>IFERROR(IF(VLOOKUP(CONCATENATE($A46,"_",AT$1),SP_ACQ_Lib[],MATCH(AT$2,SP_ACQ_Lib[#Headers],0),FALSE)=0,"",VLOOKUP(CONCATENATE($A46,"_",AT$1),SP_ACQ_Lib[],MATCH(AT$2,SP_ACQ_Lib[#Headers],0),FALSE)),"")</f>
        <v/>
      </c>
      <c r="AU46" s="251" t="str">
        <f>IFERROR(IF(VLOOKUP(CONCATENATE($A46,"_",AU$1),SP_ACQ_Lib[],MATCH(AU$2,SP_ACQ_Lib[#Headers],0),FALSE)=0,"",VLOOKUP(CONCATENATE($A46,"_",AU$1),SP_ACQ_Lib[],MATCH(AU$2,SP_ACQ_Lib[#Headers],0),FALSE)),"")</f>
        <v/>
      </c>
      <c r="AV46" s="225" t="str">
        <f>IFERROR(IF(VLOOKUP(CONCATENATE($A46,"_",AV$1),SP_ACQ_Lib[],MATCH(AV$2,SP_ACQ_Lib[#Headers],0),FALSE)=0,"",VLOOKUP(CONCATENATE($A46,"_",AV$1),SP_ACQ_Lib[],MATCH(AV$2,SP_ACQ_Lib[#Headers],0),FALSE)),"")</f>
        <v/>
      </c>
      <c r="AW46" s="251" t="str">
        <f>IFERROR(IF(VLOOKUP(CONCATENATE($A46,"_",AW$1),SP_ACQ_Lib[],MATCH(AW$2,SP_ACQ_Lib[#Headers],0),FALSE)=0,"",VLOOKUP(CONCATENATE($A46,"_",AW$1),SP_ACQ_Lib[],MATCH(AW$2,SP_ACQ_Lib[#Headers],0),FALSE)),"")</f>
        <v/>
      </c>
      <c r="AX46" s="251" t="str">
        <f>IFERROR(IF(VLOOKUP(CONCATENATE($A46,"_",AX$1),SP_ACQ_Lib[],MATCH(AX$2,SP_ACQ_Lib[#Headers],0),FALSE)=0,"",VLOOKUP(CONCATENATE($A46,"_",AX$1),SP_ACQ_Lib[],MATCH(AX$2,SP_ACQ_Lib[#Headers],0),FALSE)),"")</f>
        <v/>
      </c>
      <c r="AY46" s="251" t="str">
        <f>IFERROR(IF(VLOOKUP(CONCATENATE($A46,"_",AY$1),SP_ACQ_Lib[],MATCH(AY$2,SP_ACQ_Lib[#Headers],0),FALSE)=0,"",VLOOKUP(CONCATENATE($A46,"_",AY$1),SP_ACQ_Lib[],MATCH(AY$2,SP_ACQ_Lib[#Headers],0),FALSE)),"")</f>
        <v/>
      </c>
      <c r="AZ46" s="251" t="str">
        <f>IFERROR(IF(VLOOKUP(CONCATENATE($A46,"_",AZ$1),SP_ACQ_Lib[],MATCH(AZ$2,SP_ACQ_Lib[#Headers],0),FALSE)=0,"",VLOOKUP(CONCATENATE($A46,"_",AZ$1),SP_ACQ_Lib[],MATCH(AZ$2,SP_ACQ_Lib[#Headers],0),FALSE)),"")</f>
        <v/>
      </c>
      <c r="BA46" s="251" t="str">
        <f>IFERROR(IF(VLOOKUP(CONCATENATE($A46,"_",BA$1),SP_ACQ_Lib[],MATCH(BA$2,SP_ACQ_Lib[#Headers],0),FALSE)=0,"",VLOOKUP(CONCATENATE($A46,"_",BA$1),SP_ACQ_Lib[],MATCH(BA$2,SP_ACQ_Lib[#Headers],0),FALSE)),"")</f>
        <v/>
      </c>
      <c r="BB46" s="224">
        <f>IFERROR(VLOOKUP(CONCATENATE($A46,"_",BB$1),SP_ACQ_Lib[],MATCH(BB$2,SP_ACQ_Lib[#Headers],0),FALSE),0)</f>
        <v>0</v>
      </c>
      <c r="BC46" s="231">
        <f>IFERROR(VLOOKUP($A46,SP_AcqTract_DB[],MATCH(BC$2,SP_AcqTract_DB[#Headers],0),FALSE),"")</f>
        <v>0</v>
      </c>
      <c r="BD46" s="231">
        <f>IFERROR(VLOOKUP($A46,SP_AcqTract_DB[],MATCH(BD$2,SP_AcqTract_DB[#Headers],0),FALSE),"")</f>
        <v>0</v>
      </c>
      <c r="BE46" s="249" t="str">
        <f>IFERROR(IF(VLOOKUP(CONCATENATE($A46,"_",BE$1),SP_ACQ_Lib[],MATCH(BE$2,SP_ACQ_Lib[#Headers],0),FALSE)=0,"",VLOOKUP(CONCATENATE($A46,"_",BE$1),SP_ACQ_Lib[],MATCH(BE$2,SP_ACQ_Lib[#Headers],0),FALSE)),"")</f>
        <v/>
      </c>
      <c r="BF46" s="249" t="str">
        <f>IFERROR(IF(VLOOKUP(CONCATENATE($A46,"_",BF$1),SP_ACQ_Lib[],MATCH(BF$2,SP_ACQ_Lib[#Headers],0),FALSE)=0,"",VLOOKUP(CONCATENATE($A46,"_",BF$1),SP_ACQ_Lib[],MATCH(BF$2,SP_ACQ_Lib[#Headers],0),FALSE)),"")</f>
        <v/>
      </c>
      <c r="BG46" s="249" t="str">
        <f>IFERROR(IF(VLOOKUP(CONCATENATE($A46,"_",BG$1),SP_ACQ_Lib[],MATCH(BG$2,SP_ACQ_Lib[#Headers],0),FALSE)=0,"",VLOOKUP(CONCATENATE($A46,"_",BG$1),SP_ACQ_Lib[],MATCH(BG$2,SP_ACQ_Lib[#Headers],0),FALSE)),"")</f>
        <v/>
      </c>
      <c r="BH46" s="249" t="str">
        <f>IFERROR(IF(VLOOKUP(CONCATENATE($A46,"_",BH$1),SP_ACQ_Lib[],MATCH(BH$2,SP_ACQ_Lib[#Headers],0),FALSE)=0,"",VLOOKUP(CONCATENATE($A46,"_",BH$1),SP_ACQ_Lib[],MATCH(BH$2,SP_ACQ_Lib[#Headers],0),FALSE)),"")</f>
        <v/>
      </c>
      <c r="BI46" s="249" t="str">
        <f>IFERROR(IF(VLOOKUP(CONCATENATE($A46,"_",BI$1),SP_ACQ_Lib[],MATCH(BI$2,SP_ACQ_Lib[#Headers],0),FALSE)=0,"",VLOOKUP(CONCATENATE($A46,"_",BI$1),SP_ACQ_Lib[],MATCH(BI$2,SP_ACQ_Lib[#Headers],0),FALSE)),"")</f>
        <v/>
      </c>
      <c r="BJ46" s="249" t="str">
        <f>IFERROR(IF(VLOOKUP(CONCATENATE($A46,"_",BJ$1),SP_ACQ_Lib[],MATCH(BJ$2,SP_ACQ_Lib[#Headers],0),FALSE)=0,"",VLOOKUP(CONCATENATE($A46,"_",BJ$1),SP_ACQ_Lib[],MATCH(BJ$2,SP_ACQ_Lib[#Headers],0),FALSE)),"")</f>
        <v/>
      </c>
      <c r="BK46" s="250" t="str">
        <f>IFERROR(IF(VLOOKUP(CONCATENATE($A46,"_",BK$1),SP_ACQ_Lib[],MATCH(BK$2,SP_ACQ_Lib[#Headers],0),FALSE)=0,"",VLOOKUP(CONCATENATE($A46,"_",BK$1),SP_ACQ_Lib[],MATCH(BK$2,SP_ACQ_Lib[#Headers],0),FALSE)),"")</f>
        <v/>
      </c>
      <c r="BL46" s="249" t="str">
        <f>IFERROR(IF(VLOOKUP(CONCATENATE($A46,"_",BL$1),SP_ACQ_Lib[],MATCH(BL$2,SP_ACQ_Lib[#Headers],0),FALSE)=0,"",VLOOKUP(CONCATENATE($A46,"_",BL$1),SP_ACQ_Lib[],MATCH(BL$2,SP_ACQ_Lib[#Headers],0),FALSE)),"")</f>
        <v/>
      </c>
      <c r="BM46" s="249" t="str">
        <f>IFERROR(IF(VLOOKUP(CONCATENATE($A46,"_",BM$1),SP_ACQ_Lib[],MATCH(BM$2,SP_ACQ_Lib[#Headers],0),FALSE)=0,"",VLOOKUP(CONCATENATE($A46,"_",BM$1),SP_ACQ_Lib[],MATCH(BM$2,SP_ACQ_Lib[#Headers],0),FALSE)),"")</f>
        <v/>
      </c>
      <c r="BN46" s="249" t="str">
        <f>IFERROR(IF(VLOOKUP(CONCATENATE($A46,"_",BN$1),SP_ACQ_Lib[],MATCH(BN$2,SP_ACQ_Lib[#Headers],0),FALSE)=0,"",VLOOKUP(CONCATENATE($A46,"_",BN$1),SP_ACQ_Lib[],MATCH(BN$2,SP_ACQ_Lib[#Headers],0),FALSE)),"")</f>
        <v/>
      </c>
    </row>
    <row r="47" spans="1:66" s="226" customFormat="1" ht="38.25" x14ac:dyDescent="0.2">
      <c r="A47" s="192" t="s">
        <v>1174</v>
      </c>
      <c r="B47" s="227" t="str">
        <f>IFERROR(VLOOKUP($A47,SP_AcqTract_DB[],MATCH(B$2,SP_AcqTract_DB[#Headers],0),FALSE),"")</f>
        <v>UNKN004</v>
      </c>
      <c r="C47" s="228" t="str">
        <f>IFERROR(VLOOKUP($A47,SP_AcqTract_DB[],MATCH(C$2,SP_AcqTract_DB[#Headers],0),FALSE),"")</f>
        <v>PH1</v>
      </c>
      <c r="D47" s="208" t="str">
        <f>IFERROR(VLOOKUP($A47,SP_AcqTract_DB[],MATCH(D$2,SP_AcqTract_DB[#Headers],0),FALSE),"")</f>
        <v>Active</v>
      </c>
      <c r="E47" s="208">
        <f>IFERROR(VLOOKUP($A47,SP_AcqTract_DB[],MATCH(E$2,SP_AcqTract_DB[#Headers],0),FALSE),"")</f>
        <v>3</v>
      </c>
      <c r="F47" s="227" t="str">
        <f>IFERROR(VLOOKUP($A47,SP_AcqTract_DB[],MATCH(F$2,SP_AcqTract_DB[#Headers],0),FALSE),"")</f>
        <v>Flowage Esmt/Levee Esmt</v>
      </c>
      <c r="G47" s="227">
        <f>IFERROR(VLOOKUP($A47,SP_AcqTract_DB[],MATCH(G$2,SP_AcqTract_DB[#Headers],0),FALSE),"")</f>
        <v>0</v>
      </c>
      <c r="H47" s="250">
        <f>IFERROR(IF(VLOOKUP(CONCATENATE($A47,"_",H$1),SP_ACQ_Lib[],MATCH(H$2,SP_ACQ_Lib[#Headers],0),FALSE)=0,"",VLOOKUP(CONCATENATE($A47,"_",H$1),SP_ACQ_Lib[],MATCH(H$2,SP_ACQ_Lib[#Headers],0),FALSE)),"")</f>
        <v>43874.600983796299</v>
      </c>
      <c r="I47" s="227" t="str">
        <f>IFERROR(VLOOKUP($A47,SP_AcqTract_DB[],MATCH(I$2,SP_AcqTract_DB[#Headers],0),FALSE),"")</f>
        <v>City of Wharton</v>
      </c>
      <c r="J47" s="227" t="str">
        <f>IFERROR(VLOOKUP($A47,SP_AcqTract_DB[],MATCH(J$2,SP_AcqTract_DB[#Headers],0),FALSE),"")</f>
        <v>City of Wharton</v>
      </c>
      <c r="K47" s="227" t="str">
        <f>IFERROR(VLOOKUP($A47,SP_AcqTract_DB[],MATCH(K$2,SP_AcqTract_DB[#Headers],0),FALSE),"")</f>
        <v>City of Wharton</v>
      </c>
      <c r="L47" s="227" t="str">
        <f>IFERROR(VLOOKUP($A47,SP_AcqTract_DB[],MATCH(L$2,SP_AcqTract_DB[#Headers],0),FALSE),"")</f>
        <v>120 E Caney</v>
      </c>
      <c r="M47" s="208" t="str">
        <f>IFERROR(VLOOKUP($A47,SP_AcqTract_DB[],MATCH(M$2,SP_AcqTract_DB[#Headers],0),FALSE),"")</f>
        <v>Wharton, TX  77488</v>
      </c>
      <c r="N47" s="227" t="str">
        <f>IFERROR(VLOOKUP($A47,SP_AcqTract_DB[],MATCH(N$2,SP_AcqTract_DB[#Headers],0),FALSE),"")</f>
        <v>0 Sunset St</v>
      </c>
      <c r="O47" s="220">
        <f>IFERROR(VLOOKUP($A47,SP_AcqTract_DB[],MATCH(O$2,SP_AcqTract_DB[#Headers],0),FALSE),"")</f>
        <v>0</v>
      </c>
      <c r="P47" s="220">
        <f>IFERROR(VLOOKUP($A47,SP_AcqTract_DB[],MATCH(P$2,SP_AcqTract_DB[#Headers],0),FALSE),"")</f>
        <v>0</v>
      </c>
      <c r="Q47" s="208">
        <f>IFERROR(VLOOKUP($A47,SP_AcqTract_DB[],MATCH(Q$2,SP_AcqTract_DB[#Headers],0),FALSE),"")</f>
        <v>0</v>
      </c>
      <c r="R47" s="250" t="str">
        <f>IFERROR(IF(VLOOKUP(CONCATENATE($A47,"_",R$1),SP_ACQ_Lib[],MATCH(R$2,SP_ACQ_Lib[#Headers],0),FALSE)=0,"",VLOOKUP(CONCATENATE($A47,"_",R$1),SP_ACQ_Lib[],MATCH(R$2,SP_ACQ_Lib[#Headers],0),FALSE)),"")</f>
        <v/>
      </c>
      <c r="S47" s="253" t="str">
        <f>IFERROR(IF(VLOOKUP(CONCATENATE($A47,"_",S$1),SP_ACQ_Lib[],MATCH(S$2,SP_ACQ_Lib[#Headers],0),FALSE)=0,"",VLOOKUP(CONCATENATE($A47,"_",S$1),SP_ACQ_Lib[],MATCH(S$2,SP_ACQ_Lib[#Headers],0),FALSE)),"")</f>
        <v/>
      </c>
      <c r="T47" s="205">
        <f>IFERROR(VLOOKUP(CONCATENATE($A47,"_",T$1),SP_ACQ_Lib[],MATCH(T$2,SP_ACQ_Lib[#Headers],0),FALSE),0)</f>
        <v>0</v>
      </c>
      <c r="U47" s="250" t="str">
        <f>IFERROR(IF(VLOOKUP(CONCATENATE($A47,"_",U$1),SP_ACQ_Lib[],MATCH(U$2,SP_ACQ_Lib[#Headers],0),FALSE)=0,"",VLOOKUP(CONCATENATE($A47,"_",U$1),SP_ACQ_Lib[],MATCH(U$2,SP_ACQ_Lib[#Headers],0),FALSE)),"")</f>
        <v/>
      </c>
      <c r="V47" s="205">
        <f>IFERROR(VLOOKUP(CONCATENATE($A47,"_",V$1),SP_ACQ_Lib[],MATCH(V$2,SP_ACQ_Lib[#Headers],0),FALSE),0)</f>
        <v>0</v>
      </c>
      <c r="W47" s="209">
        <f>IFERROR(VLOOKUP(CONCATENATE($A47,"_",W$1),SP_ACQ_Lib[],MATCH(W$2,SP_ACQ_Lib[#Headers],0),FALSE),0)</f>
        <v>0</v>
      </c>
      <c r="X47" s="250">
        <f>IFERROR(VLOOKUP($A47,SP_AcqTract_DB[],MATCH(X$2,SP_AcqTract_DB[#Headers],0),FALSE),"")</f>
        <v>0</v>
      </c>
      <c r="Y47" s="237">
        <f>IFERROR(VLOOKUP($A47,SP_AcqTract_DB[],MATCH(Y$2,SP_AcqTract_DB[#Headers],0),FALSE),"")</f>
        <v>1.0079</v>
      </c>
      <c r="Z47" s="229">
        <f>IFERROR(VLOOKUP($A47,SP_AcqTract_DB[],MATCH(Z$2,SP_AcqTract_DB[#Headers],0),FALSE),"")</f>
        <v>43904.124000000003</v>
      </c>
      <c r="AA47" s="229" t="str">
        <f>IFERROR(VLOOKUP($A47,SP_AcqTract_DB[],MATCH(AA$2,SP_AcqTract_DB[#Headers],0),FALSE),"")</f>
        <v>No</v>
      </c>
      <c r="AB47" s="250" t="str">
        <f>IFERROR(IF(VLOOKUP(CONCATENATE($A47,"_",AB$1),SP_ACQ_Lib[],MATCH(AB$2,SP_ACQ_Lib[#Headers],0),FALSE)=0,"",VLOOKUP(CONCATENATE($A47,"_",AB$1),SP_ACQ_Lib[],MATCH(AB$2,SP_ACQ_Lib[#Headers],0),FALSE)),"")</f>
        <v/>
      </c>
      <c r="AC47" s="250" t="str">
        <f>IFERROR(IF(VLOOKUP(CONCATENATE($A47,"_",AC$1),SP_ACQ_Lib[],MATCH(AC$2,SP_ACQ_Lib[#Headers],0),FALSE)=0,"",VLOOKUP(CONCATENATE($A47,"_",AC$1),SP_ACQ_Lib[],MATCH(AC$2,SP_ACQ_Lib[#Headers],0),FALSE)),"")</f>
        <v/>
      </c>
      <c r="AD47" s="229" t="str">
        <f>IFERROR(VLOOKUP($A47,SP_AcqTract_DB[],MATCH(AD$2,SP_AcqTract_DB[#Headers],0),FALSE),"")</f>
        <v>Yes</v>
      </c>
      <c r="AE47" s="250">
        <f>IFERROR(IF(VLOOKUP(CONCATENATE($A47,"_",AE$1),SP_ACQ_Lib[],MATCH(AE$2,SP_ACQ_Lib[#Headers],0),FALSE)=0,"",VLOOKUP(CONCATENATE($A47,"_",AE$1),SP_ACQ_Lib[],MATCH(AE$2,SP_ACQ_Lib[#Headers],0),FALSE)),"")</f>
        <v>43991</v>
      </c>
      <c r="AF47" s="250">
        <f>IFERROR(IF(VLOOKUP(CONCATENATE($A47,"_",AF$1),SP_ACQ_Lib[],MATCH(AF$2,SP_ACQ_Lib[#Headers],0),FALSE)=0,"",VLOOKUP(CONCATENATE($A47,"_",AF$1),SP_ACQ_Lib[],MATCH(AF$2,SP_ACQ_Lib[#Headers],0),FALSE)),"")</f>
        <v>43993</v>
      </c>
      <c r="AG47" s="250" t="str">
        <f>IFERROR(IF(VLOOKUP(CONCATENATE($A47,"_",AG$1),SP_ACQ_Lib[],MATCH(AG$2,SP_ACQ_Lib[#Headers],0),FALSE)=0,"",VLOOKUP(CONCATENATE($A47,"_",AG$1),SP_ACQ_Lib[],MATCH(AG$2,SP_ACQ_Lib[#Headers],0),FALSE)),"")</f>
        <v/>
      </c>
      <c r="AH47" s="250" t="str">
        <f>IFERROR(IF(VLOOKUP(CONCATENATE($A47,"_",AH$1),SP_ACQ_Lib[],MATCH(AH$2,SP_ACQ_Lib[#Headers],0),FALSE)=0,"",VLOOKUP(CONCATENATE($A47,"_",AH$1),SP_ACQ_Lib[],MATCH(AH$2,SP_ACQ_Lib[#Headers],0),FALSE)),"")</f>
        <v/>
      </c>
      <c r="AI47" s="249" t="str">
        <f>IFERROR(IF(VLOOKUP(CONCATENATE($A47,"_",AI$1),SP_ACQ_Lib[],MATCH(AI$2,SP_ACQ_Lib[#Headers],0),FALSE)=0,"",VLOOKUP(CONCATENATE($A47,"_",AI$1),SP_ACQ_Lib[],MATCH(AI$2,SP_ACQ_Lib[#Headers],0),FALSE)),"")</f>
        <v/>
      </c>
      <c r="AJ47" s="249" t="str">
        <f>IFERROR(IF(VLOOKUP(CONCATENATE($A47,"_",AJ$1),SP_ACQ_Lib[],MATCH(AJ$2,SP_ACQ_Lib[#Headers],0),FALSE)=0,"",VLOOKUP(CONCATENATE($A47,"_",AJ$1),SP_ACQ_Lib[],MATCH(AJ$2,SP_ACQ_Lib[#Headers],0),FALSE)),"")</f>
        <v/>
      </c>
      <c r="AK47" s="249" t="str">
        <f>IFERROR(IF(VLOOKUP(CONCATENATE($A47,"_",AK$1),SP_ACQ_Lib[],MATCH(AK$2,SP_ACQ_Lib[#Headers],0),FALSE)=0,"",VLOOKUP(CONCATENATE($A47,"_",AK$1),SP_ACQ_Lib[],MATCH(AK$2,SP_ACQ_Lib[#Headers],0),FALSE)),"")</f>
        <v/>
      </c>
      <c r="AL47" s="249">
        <f>IFERROR(VLOOKUP($A47,SP_AcqTract_DB[],MATCH(AL$2,SP_AcqTract_DB[#Headers],0),FALSE),"")</f>
        <v>0</v>
      </c>
      <c r="AM47" s="227">
        <f>IFERROR(VLOOKUP($A47,SP_AcqTract_DB[],MATCH(AM$2,SP_AcqTract_DB[#Headers],0),FALSE),"")</f>
        <v>0</v>
      </c>
      <c r="AN47" s="227">
        <f>IFERROR(VLOOKUP($A47,SP_AcqTract_DB[],MATCH(AN$2,SP_AcqTract_DB[#Headers],0),FALSE),"")</f>
        <v>0</v>
      </c>
      <c r="AO47" s="228">
        <f>IFERROR(VLOOKUP($A47,SP_AcqTract_DB[],MATCH(AO$2,SP_AcqTract_DB[#Headers],0),FALSE),"")</f>
        <v>0</v>
      </c>
      <c r="AP47" s="210">
        <f>IFERROR(VLOOKUP($A47,SP_AcqTract_DB[],MATCH(AP$2,SP_AcqTract_DB[#Headers],0),FALSE),"")</f>
        <v>0</v>
      </c>
      <c r="AQ47" s="252" t="str">
        <f>IFERROR(IF(VLOOKUP(CONCATENATE($A47,"_",AQ$1),SP_ACQ_Lib[],MATCH(AQ$2,SP_ACQ_Lib[#Headers],0),FALSE)=0,"",VLOOKUP(CONCATENATE($A47,"_",AQ$1),SP_ACQ_Lib[],MATCH(AQ$2,SP_ACQ_Lib[#Headers],0),FALSE)),"")</f>
        <v/>
      </c>
      <c r="AR47" s="250" t="str">
        <f>IFERROR(IF(VLOOKUP(CONCATENATE($A47,"_",AR$1),SP_ACQ_Lib[],MATCH(AR$2,SP_ACQ_Lib[#Headers],0),FALSE)=0,"",VLOOKUP(CONCATENATE($A47,"_",AR$1),SP_ACQ_Lib[],MATCH(AR$2,SP_ACQ_Lib[#Headers],0),FALSE)),"")</f>
        <v/>
      </c>
      <c r="AS47" s="249" t="str">
        <f>IFERROR(IF(VLOOKUP(CONCATENATE($A47,"_",AS$1),SP_ACQ_Lib[],MATCH(AS$2,SP_ACQ_Lib[#Headers],0),FALSE)=0,"",VLOOKUP(CONCATENATE($A47,"_",AS$1),SP_ACQ_Lib[],MATCH(AS$2,SP_ACQ_Lib[#Headers],0),FALSE)),"")</f>
        <v/>
      </c>
      <c r="AT47" s="251" t="str">
        <f>IFERROR(IF(VLOOKUP(CONCATENATE($A47,"_",AT$1),SP_ACQ_Lib[],MATCH(AT$2,SP_ACQ_Lib[#Headers],0),FALSE)=0,"",VLOOKUP(CONCATENATE($A47,"_",AT$1),SP_ACQ_Lib[],MATCH(AT$2,SP_ACQ_Lib[#Headers],0),FALSE)),"")</f>
        <v/>
      </c>
      <c r="AU47" s="251" t="str">
        <f>IFERROR(IF(VLOOKUP(CONCATENATE($A47,"_",AU$1),SP_ACQ_Lib[],MATCH(AU$2,SP_ACQ_Lib[#Headers],0),FALSE)=0,"",VLOOKUP(CONCATENATE($A47,"_",AU$1),SP_ACQ_Lib[],MATCH(AU$2,SP_ACQ_Lib[#Headers],0),FALSE)),"")</f>
        <v/>
      </c>
      <c r="AV47" s="225" t="str">
        <f>IFERROR(IF(VLOOKUP(CONCATENATE($A47,"_",AV$1),SP_ACQ_Lib[],MATCH(AV$2,SP_ACQ_Lib[#Headers],0),FALSE)=0,"",VLOOKUP(CONCATENATE($A47,"_",AV$1),SP_ACQ_Lib[],MATCH(AV$2,SP_ACQ_Lib[#Headers],0),FALSE)),"")</f>
        <v/>
      </c>
      <c r="AW47" s="251" t="str">
        <f>IFERROR(IF(VLOOKUP(CONCATENATE($A47,"_",AW$1),SP_ACQ_Lib[],MATCH(AW$2,SP_ACQ_Lib[#Headers],0),FALSE)=0,"",VLOOKUP(CONCATENATE($A47,"_",AW$1),SP_ACQ_Lib[],MATCH(AW$2,SP_ACQ_Lib[#Headers],0),FALSE)),"")</f>
        <v/>
      </c>
      <c r="AX47" s="251" t="str">
        <f>IFERROR(IF(VLOOKUP(CONCATENATE($A47,"_",AX$1),SP_ACQ_Lib[],MATCH(AX$2,SP_ACQ_Lib[#Headers],0),FALSE)=0,"",VLOOKUP(CONCATENATE($A47,"_",AX$1),SP_ACQ_Lib[],MATCH(AX$2,SP_ACQ_Lib[#Headers],0),FALSE)),"")</f>
        <v/>
      </c>
      <c r="AY47" s="251" t="str">
        <f>IFERROR(IF(VLOOKUP(CONCATENATE($A47,"_",AY$1),SP_ACQ_Lib[],MATCH(AY$2,SP_ACQ_Lib[#Headers],0),FALSE)=0,"",VLOOKUP(CONCATENATE($A47,"_",AY$1),SP_ACQ_Lib[],MATCH(AY$2,SP_ACQ_Lib[#Headers],0),FALSE)),"")</f>
        <v/>
      </c>
      <c r="AZ47" s="251" t="str">
        <f>IFERROR(IF(VLOOKUP(CONCATENATE($A47,"_",AZ$1),SP_ACQ_Lib[],MATCH(AZ$2,SP_ACQ_Lib[#Headers],0),FALSE)=0,"",VLOOKUP(CONCATENATE($A47,"_",AZ$1),SP_ACQ_Lib[],MATCH(AZ$2,SP_ACQ_Lib[#Headers],0),FALSE)),"")</f>
        <v/>
      </c>
      <c r="BA47" s="251" t="str">
        <f>IFERROR(IF(VLOOKUP(CONCATENATE($A47,"_",BA$1),SP_ACQ_Lib[],MATCH(BA$2,SP_ACQ_Lib[#Headers],0),FALSE)=0,"",VLOOKUP(CONCATENATE($A47,"_",BA$1),SP_ACQ_Lib[],MATCH(BA$2,SP_ACQ_Lib[#Headers],0),FALSE)),"")</f>
        <v/>
      </c>
      <c r="BB47" s="224">
        <f>IFERROR(VLOOKUP(CONCATENATE($A47,"_",BB$1),SP_ACQ_Lib[],MATCH(BB$2,SP_ACQ_Lib[#Headers],0),FALSE),0)</f>
        <v>0</v>
      </c>
      <c r="BC47" s="231">
        <f>IFERROR(VLOOKUP($A47,SP_AcqTract_DB[],MATCH(BC$2,SP_AcqTract_DB[#Headers],0),FALSE),"")</f>
        <v>0</v>
      </c>
      <c r="BD47" s="231">
        <f>IFERROR(VLOOKUP($A47,SP_AcqTract_DB[],MATCH(BD$2,SP_AcqTract_DB[#Headers],0),FALSE),"")</f>
        <v>0</v>
      </c>
      <c r="BE47" s="249" t="str">
        <f>IFERROR(IF(VLOOKUP(CONCATENATE($A47,"_",BE$1),SP_ACQ_Lib[],MATCH(BE$2,SP_ACQ_Lib[#Headers],0),FALSE)=0,"",VLOOKUP(CONCATENATE($A47,"_",BE$1),SP_ACQ_Lib[],MATCH(BE$2,SP_ACQ_Lib[#Headers],0),FALSE)),"")</f>
        <v/>
      </c>
      <c r="BF47" s="249" t="str">
        <f>IFERROR(IF(VLOOKUP(CONCATENATE($A47,"_",BF$1),SP_ACQ_Lib[],MATCH(BF$2,SP_ACQ_Lib[#Headers],0),FALSE)=0,"",VLOOKUP(CONCATENATE($A47,"_",BF$1),SP_ACQ_Lib[],MATCH(BF$2,SP_ACQ_Lib[#Headers],0),FALSE)),"")</f>
        <v/>
      </c>
      <c r="BG47" s="249" t="str">
        <f>IFERROR(IF(VLOOKUP(CONCATENATE($A47,"_",BG$1),SP_ACQ_Lib[],MATCH(BG$2,SP_ACQ_Lib[#Headers],0),FALSE)=0,"",VLOOKUP(CONCATENATE($A47,"_",BG$1),SP_ACQ_Lib[],MATCH(BG$2,SP_ACQ_Lib[#Headers],0),FALSE)),"")</f>
        <v/>
      </c>
      <c r="BH47" s="249" t="str">
        <f>IFERROR(IF(VLOOKUP(CONCATENATE($A47,"_",BH$1),SP_ACQ_Lib[],MATCH(BH$2,SP_ACQ_Lib[#Headers],0),FALSE)=0,"",VLOOKUP(CONCATENATE($A47,"_",BH$1),SP_ACQ_Lib[],MATCH(BH$2,SP_ACQ_Lib[#Headers],0),FALSE)),"")</f>
        <v/>
      </c>
      <c r="BI47" s="249" t="str">
        <f>IFERROR(IF(VLOOKUP(CONCATENATE($A47,"_",BI$1),SP_ACQ_Lib[],MATCH(BI$2,SP_ACQ_Lib[#Headers],0),FALSE)=0,"",VLOOKUP(CONCATENATE($A47,"_",BI$1),SP_ACQ_Lib[],MATCH(BI$2,SP_ACQ_Lib[#Headers],0),FALSE)),"")</f>
        <v/>
      </c>
      <c r="BJ47" s="249" t="str">
        <f>IFERROR(IF(VLOOKUP(CONCATENATE($A47,"_",BJ$1),SP_ACQ_Lib[],MATCH(BJ$2,SP_ACQ_Lib[#Headers],0),FALSE)=0,"",VLOOKUP(CONCATENATE($A47,"_",BJ$1),SP_ACQ_Lib[],MATCH(BJ$2,SP_ACQ_Lib[#Headers],0),FALSE)),"")</f>
        <v/>
      </c>
      <c r="BK47" s="250">
        <f>IFERROR(IF(VLOOKUP(CONCATENATE($A47,"_",BK$1),SP_ACQ_Lib[],MATCH(BK$2,SP_ACQ_Lib[#Headers],0),FALSE)=0,"",VLOOKUP(CONCATENATE($A47,"_",BK$1),SP_ACQ_Lib[],MATCH(BK$2,SP_ACQ_Lib[#Headers],0),FALSE)),"")</f>
        <v>43748</v>
      </c>
      <c r="BL47" s="249" t="str">
        <f>IFERROR(IF(VLOOKUP(CONCATENATE($A47,"_",BL$1),SP_ACQ_Lib[],MATCH(BL$2,SP_ACQ_Lib[#Headers],0),FALSE)=0,"",VLOOKUP(CONCATENATE($A47,"_",BL$1),SP_ACQ_Lib[],MATCH(BL$2,SP_ACQ_Lib[#Headers],0),FALSE)),"")</f>
        <v/>
      </c>
      <c r="BM47" s="249" t="str">
        <f>IFERROR(IF(VLOOKUP(CONCATENATE($A47,"_",BM$1),SP_ACQ_Lib[],MATCH(BM$2,SP_ACQ_Lib[#Headers],0),FALSE)=0,"",VLOOKUP(CONCATENATE($A47,"_",BM$1),SP_ACQ_Lib[],MATCH(BM$2,SP_ACQ_Lib[#Headers],0),FALSE)),"")</f>
        <v/>
      </c>
      <c r="BN47" s="249" t="str">
        <f>IFERROR(IF(VLOOKUP(CONCATENATE($A47,"_",BN$1),SP_ACQ_Lib[],MATCH(BN$2,SP_ACQ_Lib[#Headers],0),FALSE)=0,"",VLOOKUP(CONCATENATE($A47,"_",BN$1),SP_ACQ_Lib[],MATCH(BN$2,SP_ACQ_Lib[#Headers],0),FALSE)),"")</f>
        <v/>
      </c>
    </row>
    <row r="48" spans="1:66" s="226" customFormat="1" ht="63.75" x14ac:dyDescent="0.2">
      <c r="A48" s="192" t="s">
        <v>50</v>
      </c>
      <c r="B48" s="227" t="str">
        <f>IFERROR(VLOOKUP($A48,SP_AcqTract_DB[],MATCH(B$2,SP_AcqTract_DB[#Headers],0),FALSE),"")</f>
        <v>R022999</v>
      </c>
      <c r="C48" s="228" t="str">
        <f>IFERROR(VLOOKUP($A48,SP_AcqTract_DB[],MATCH(C$2,SP_AcqTract_DB[#Headers],0),FALSE),"")</f>
        <v>PH1</v>
      </c>
      <c r="D48" s="208" t="str">
        <f>IFERROR(VLOOKUP($A48,SP_AcqTract_DB[],MATCH(D$2,SP_AcqTract_DB[#Headers],0),FALSE),"")</f>
        <v>Inactive</v>
      </c>
      <c r="E48" s="208">
        <f>IFERROR(VLOOKUP($A48,SP_AcqTract_DB[],MATCH(E$2,SP_AcqTract_DB[#Headers],0),FALSE),"")</f>
        <v>0</v>
      </c>
      <c r="F48" s="227" t="str">
        <f>IFERROR(VLOOKUP($A48,SP_AcqTract_DB[],MATCH(F$2,SP_AcqTract_DB[#Headers],0),FALSE),"")</f>
        <v>None</v>
      </c>
      <c r="G48" s="227" t="str">
        <f>IFERROR(VLOOKUP($A48,SP_AcqTract_DB[],MATCH(G$2,SP_AcqTract_DB[#Headers],0),FALSE),"")</f>
        <v>Melissa DeLeon</v>
      </c>
      <c r="H48" s="250">
        <f>IFERROR(IF(VLOOKUP(CONCATENATE($A48,"_",H$1),SP_ACQ_Lib[],MATCH(H$2,SP_ACQ_Lib[#Headers],0),FALSE)=0,"",VLOOKUP(CONCATENATE($A48,"_",H$1),SP_ACQ_Lib[],MATCH(H$2,SP_ACQ_Lib[#Headers],0),FALSE)),"")</f>
        <v>43872.546481481484</v>
      </c>
      <c r="I48" s="227" t="str">
        <f>IFERROR(VLOOKUP($A48,SP_AcqTract_DB[],MATCH(I$2,SP_AcqTract_DB[#Headers],0),FALSE),"")</f>
        <v>Latin American Council of Christian Churches, a corporation</v>
      </c>
      <c r="J48" s="227" t="str">
        <f>IFERROR(VLOOKUP($A48,SP_AcqTract_DB[],MATCH(J$2,SP_AcqTract_DB[#Headers],0),FALSE),"")</f>
        <v>Latin American Council of Christian Churches, a corporation</v>
      </c>
      <c r="K48" s="227" t="str">
        <f>IFERROR(VLOOKUP($A48,SP_AcqTract_DB[],MATCH(K$2,SP_AcqTract_DB[#Headers],0),FALSE),"")</f>
        <v>Latin American Council of Christian Churches, a corporation</v>
      </c>
      <c r="L48" s="227" t="str">
        <f>IFERROR(VLOOKUP($A48,SP_AcqTract_DB[],MATCH(L$2,SP_AcqTract_DB[#Headers],0),FALSE),"")</f>
        <v>P.O. Box 3670</v>
      </c>
      <c r="M48" s="208" t="str">
        <f>IFERROR(VLOOKUP($A48,SP_AcqTract_DB[],MATCH(M$2,SP_AcqTract_DB[#Headers],0),FALSE),"")</f>
        <v>Brownsville, TX 78523</v>
      </c>
      <c r="N48" s="227" t="str">
        <f>IFERROR(VLOOKUP($A48,SP_AcqTract_DB[],MATCH(N$2,SP_AcqTract_DB[#Headers],0),FALSE),"")</f>
        <v>419 S Sunset</v>
      </c>
      <c r="O48" s="220">
        <f>IFERROR(VLOOKUP($A48,SP_AcqTract_DB[],MATCH(O$2,SP_AcqTract_DB[#Headers],0),FALSE),"")</f>
        <v>0</v>
      </c>
      <c r="P48" s="220">
        <f>IFERROR(VLOOKUP($A48,SP_AcqTract_DB[],MATCH(P$2,SP_AcqTract_DB[#Headers],0),FALSE),"")</f>
        <v>0</v>
      </c>
      <c r="Q48" s="208" t="str">
        <f>IFERROR(VLOOKUP($A48,SP_AcqTract_DB[],MATCH(Q$2,SP_AcqTract_DB[#Headers],0),FALSE),"")</f>
        <v>2019-0832</v>
      </c>
      <c r="R48" s="250">
        <f>IFERROR(IF(VLOOKUP(CONCATENATE($A48,"_",R$1),SP_ACQ_Lib[],MATCH(R$2,SP_ACQ_Lib[#Headers],0),FALSE)=0,"",VLOOKUP(CONCATENATE($A48,"_",R$1),SP_ACQ_Lib[],MATCH(R$2,SP_ACQ_Lib[#Headers],0),FALSE)),"")</f>
        <v>43854</v>
      </c>
      <c r="S48" s="253">
        <f>IFERROR(IF(VLOOKUP(CONCATENATE($A48,"_",S$1),SP_ACQ_Lib[],MATCH(S$2,SP_ACQ_Lib[#Headers],0),FALSE)=0,"",VLOOKUP(CONCATENATE($A48,"_",S$1),SP_ACQ_Lib[],MATCH(S$2,SP_ACQ_Lib[#Headers],0),FALSE)),"")</f>
        <v>43867</v>
      </c>
      <c r="T48" s="205" t="str">
        <f>IFERROR(VLOOKUP(CONCATENATE($A48,"_",T$1),SP_ACQ_Lib[],MATCH(T$2,SP_ACQ_Lib[#Headers],0),FALSE),0)</f>
        <v>Accepted</v>
      </c>
      <c r="U48" s="250">
        <f>IFERROR(IF(VLOOKUP(CONCATENATE($A48,"_",U$1),SP_ACQ_Lib[],MATCH(U$2,SP_ACQ_Lib[#Headers],0),FALSE)=0,"",VLOOKUP(CONCATENATE($A48,"_",U$1),SP_ACQ_Lib[],MATCH(U$2,SP_ACQ_Lib[#Headers],0),FALSE)),"")</f>
        <v>43812</v>
      </c>
      <c r="V48" s="205" t="str">
        <f>IFERROR(VLOOKUP(CONCATENATE($A48,"_",V$1),SP_ACQ_Lib[],MATCH(V$2,SP_ACQ_Lib[#Headers],0),FALSE),0)</f>
        <v>Accepted</v>
      </c>
      <c r="W48" s="209" t="str">
        <f>IFERROR(VLOOKUP(CONCATENATE($A48,"_",W$1),SP_ACQ_Lib[],MATCH(W$2,SP_ACQ_Lib[#Headers],0),FALSE),0)</f>
        <v>Accepted</v>
      </c>
      <c r="X48" s="250">
        <f>IFERROR(VLOOKUP($A48,SP_AcqTract_DB[],MATCH(X$2,SP_AcqTract_DB[#Headers],0),FALSE),"")</f>
        <v>0</v>
      </c>
      <c r="Y48" s="237">
        <f>IFERROR(VLOOKUP($A48,SP_AcqTract_DB[],MATCH(Y$2,SP_AcqTract_DB[#Headers],0),FALSE),"")</f>
        <v>0</v>
      </c>
      <c r="Z48" s="229">
        <f>IFERROR(VLOOKUP($A48,SP_AcqTract_DB[],MATCH(Z$2,SP_AcqTract_DB[#Headers],0),FALSE),"")</f>
        <v>0</v>
      </c>
      <c r="AA48" s="229" t="str">
        <f>IFERROR(VLOOKUP($A48,SP_AcqTract_DB[],MATCH(AA$2,SP_AcqTract_DB[#Headers],0),FALSE),"")</f>
        <v>No</v>
      </c>
      <c r="AB48" s="250" t="str">
        <f>IFERROR(IF(VLOOKUP(CONCATENATE($A48,"_",AB$1),SP_ACQ_Lib[],MATCH(AB$2,SP_ACQ_Lib[#Headers],0),FALSE)=0,"",VLOOKUP(CONCATENATE($A48,"_",AB$1),SP_ACQ_Lib[],MATCH(AB$2,SP_ACQ_Lib[#Headers],0),FALSE)),"")</f>
        <v/>
      </c>
      <c r="AC48" s="250" t="str">
        <f>IFERROR(IF(VLOOKUP(CONCATENATE($A48,"_",AC$1),SP_ACQ_Lib[],MATCH(AC$2,SP_ACQ_Lib[#Headers],0),FALSE)=0,"",VLOOKUP(CONCATENATE($A48,"_",AC$1),SP_ACQ_Lib[],MATCH(AC$2,SP_ACQ_Lib[#Headers],0),FALSE)),"")</f>
        <v/>
      </c>
      <c r="AD48" s="229" t="str">
        <f>IFERROR(VLOOKUP($A48,SP_AcqTract_DB[],MATCH(AD$2,SP_AcqTract_DB[#Headers],0),FALSE),"")</f>
        <v>No</v>
      </c>
      <c r="AE48" s="250" t="str">
        <f>IFERROR(IF(VLOOKUP(CONCATENATE($A48,"_",AE$1),SP_ACQ_Lib[],MATCH(AE$2,SP_ACQ_Lib[#Headers],0),FALSE)=0,"",VLOOKUP(CONCATENATE($A48,"_",AE$1),SP_ACQ_Lib[],MATCH(AE$2,SP_ACQ_Lib[#Headers],0),FALSE)),"")</f>
        <v/>
      </c>
      <c r="AF48" s="250" t="str">
        <f>IFERROR(IF(VLOOKUP(CONCATENATE($A48,"_",AF$1),SP_ACQ_Lib[],MATCH(AF$2,SP_ACQ_Lib[#Headers],0),FALSE)=0,"",VLOOKUP(CONCATENATE($A48,"_",AF$1),SP_ACQ_Lib[],MATCH(AF$2,SP_ACQ_Lib[#Headers],0),FALSE)),"")</f>
        <v/>
      </c>
      <c r="AG48" s="250" t="str">
        <f>IFERROR(IF(VLOOKUP(CONCATENATE($A48,"_",AG$1),SP_ACQ_Lib[],MATCH(AG$2,SP_ACQ_Lib[#Headers],0),FALSE)=0,"",VLOOKUP(CONCATENATE($A48,"_",AG$1),SP_ACQ_Lib[],MATCH(AG$2,SP_ACQ_Lib[#Headers],0),FALSE)),"")</f>
        <v/>
      </c>
      <c r="AH48" s="250">
        <f>IFERROR(IF(VLOOKUP(CONCATENATE($A48,"_",AH$1),SP_ACQ_Lib[],MATCH(AH$2,SP_ACQ_Lib[#Headers],0),FALSE)=0,"",VLOOKUP(CONCATENATE($A48,"_",AH$1),SP_ACQ_Lib[],MATCH(AH$2,SP_ACQ_Lib[#Headers],0),FALSE)),"")</f>
        <v>43740</v>
      </c>
      <c r="AI48" s="249" t="str">
        <f>IFERROR(IF(VLOOKUP(CONCATENATE($A48,"_",AI$1),SP_ACQ_Lib[],MATCH(AI$2,SP_ACQ_Lib[#Headers],0),FALSE)=0,"",VLOOKUP(CONCATENATE($A48,"_",AI$1),SP_ACQ_Lib[],MATCH(AI$2,SP_ACQ_Lib[#Headers],0),FALSE)),"")</f>
        <v/>
      </c>
      <c r="AJ48" s="249" t="str">
        <f>IFERROR(IF(VLOOKUP(CONCATENATE($A48,"_",AJ$1),SP_ACQ_Lib[],MATCH(AJ$2,SP_ACQ_Lib[#Headers],0),FALSE)=0,"",VLOOKUP(CONCATENATE($A48,"_",AJ$1),SP_ACQ_Lib[],MATCH(AJ$2,SP_ACQ_Lib[#Headers],0),FALSE)),"")</f>
        <v/>
      </c>
      <c r="AK48" s="249" t="str">
        <f>IFERROR(IF(VLOOKUP(CONCATENATE($A48,"_",AK$1),SP_ACQ_Lib[],MATCH(AK$2,SP_ACQ_Lib[#Headers],0),FALSE)=0,"",VLOOKUP(CONCATENATE($A48,"_",AK$1),SP_ACQ_Lib[],MATCH(AK$2,SP_ACQ_Lib[#Headers],0),FALSE)),"")</f>
        <v/>
      </c>
      <c r="AL48" s="249">
        <f>IFERROR(VLOOKUP($A48,SP_AcqTract_DB[],MATCH(AL$2,SP_AcqTract_DB[#Headers],0),FALSE),"")</f>
        <v>0</v>
      </c>
      <c r="AM48" s="227">
        <f>IFERROR(VLOOKUP($A48,SP_AcqTract_DB[],MATCH(AM$2,SP_AcqTract_DB[#Headers],0),FALSE),"")</f>
        <v>0</v>
      </c>
      <c r="AN48" s="227">
        <f>IFERROR(VLOOKUP($A48,SP_AcqTract_DB[],MATCH(AN$2,SP_AcqTract_DB[#Headers],0),FALSE),"")</f>
        <v>0</v>
      </c>
      <c r="AO48" s="228">
        <f>IFERROR(VLOOKUP($A48,SP_AcqTract_DB[],MATCH(AO$2,SP_AcqTract_DB[#Headers],0),FALSE),"")</f>
        <v>0</v>
      </c>
      <c r="AP48" s="210">
        <f>IFERROR(VLOOKUP($A48,SP_AcqTract_DB[],MATCH(AP$2,SP_AcqTract_DB[#Headers],0),FALSE),"")</f>
        <v>0</v>
      </c>
      <c r="AQ48" s="252" t="str">
        <f>IFERROR(IF(VLOOKUP(CONCATENATE($A48,"_",AQ$1),SP_ACQ_Lib[],MATCH(AQ$2,SP_ACQ_Lib[#Headers],0),FALSE)=0,"",VLOOKUP(CONCATENATE($A48,"_",AQ$1),SP_ACQ_Lib[],MATCH(AQ$2,SP_ACQ_Lib[#Headers],0),FALSE)),"")</f>
        <v/>
      </c>
      <c r="AR48" s="250" t="str">
        <f>IFERROR(IF(VLOOKUP(CONCATENATE($A48,"_",AR$1),SP_ACQ_Lib[],MATCH(AR$2,SP_ACQ_Lib[#Headers],0),FALSE)=0,"",VLOOKUP(CONCATENATE($A48,"_",AR$1),SP_ACQ_Lib[],MATCH(AR$2,SP_ACQ_Lib[#Headers],0),FALSE)),"")</f>
        <v/>
      </c>
      <c r="AS48" s="249">
        <f>IFERROR(IF(VLOOKUP(CONCATENATE($A48,"_",AS$1),SP_ACQ_Lib[],MATCH(AS$2,SP_ACQ_Lib[#Headers],0),FALSE)=0,"",VLOOKUP(CONCATENATE($A48,"_",AS$1),SP_ACQ_Lib[],MATCH(AS$2,SP_ACQ_Lib[#Headers],0),FALSE)),"")</f>
        <v>43765</v>
      </c>
      <c r="AT48" s="251" t="str">
        <f>IFERROR(IF(VLOOKUP(CONCATENATE($A48,"_",AT$1),SP_ACQ_Lib[],MATCH(AT$2,SP_ACQ_Lib[#Headers],0),FALSE)=0,"",VLOOKUP(CONCATENATE($A48,"_",AT$1),SP_ACQ_Lib[],MATCH(AT$2,SP_ACQ_Lib[#Headers],0),FALSE)),"")</f>
        <v/>
      </c>
      <c r="AU48" s="251" t="str">
        <f>IFERROR(IF(VLOOKUP(CONCATENATE($A48,"_",AU$1),SP_ACQ_Lib[],MATCH(AU$2,SP_ACQ_Lib[#Headers],0),FALSE)=0,"",VLOOKUP(CONCATENATE($A48,"_",AU$1),SP_ACQ_Lib[],MATCH(AU$2,SP_ACQ_Lib[#Headers],0),FALSE)),"")</f>
        <v/>
      </c>
      <c r="AV48" s="225" t="str">
        <f>IFERROR(IF(VLOOKUP(CONCATENATE($A48,"_",AV$1),SP_ACQ_Lib[],MATCH(AV$2,SP_ACQ_Lib[#Headers],0),FALSE)=0,"",VLOOKUP(CONCATENATE($A48,"_",AV$1),SP_ACQ_Lib[],MATCH(AV$2,SP_ACQ_Lib[#Headers],0),FALSE)),"")</f>
        <v/>
      </c>
      <c r="AW48" s="251" t="str">
        <f>IFERROR(IF(VLOOKUP(CONCATENATE($A48,"_",AW$1),SP_ACQ_Lib[],MATCH(AW$2,SP_ACQ_Lib[#Headers],0),FALSE)=0,"",VLOOKUP(CONCATENATE($A48,"_",AW$1),SP_ACQ_Lib[],MATCH(AW$2,SP_ACQ_Lib[#Headers],0),FALSE)),"")</f>
        <v/>
      </c>
      <c r="AX48" s="251" t="str">
        <f>IFERROR(IF(VLOOKUP(CONCATENATE($A48,"_",AX$1),SP_ACQ_Lib[],MATCH(AX$2,SP_ACQ_Lib[#Headers],0),FALSE)=0,"",VLOOKUP(CONCATENATE($A48,"_",AX$1),SP_ACQ_Lib[],MATCH(AX$2,SP_ACQ_Lib[#Headers],0),FALSE)),"")</f>
        <v/>
      </c>
      <c r="AY48" s="251" t="str">
        <f>IFERROR(IF(VLOOKUP(CONCATENATE($A48,"_",AY$1),SP_ACQ_Lib[],MATCH(AY$2,SP_ACQ_Lib[#Headers],0),FALSE)=0,"",VLOOKUP(CONCATENATE($A48,"_",AY$1),SP_ACQ_Lib[],MATCH(AY$2,SP_ACQ_Lib[#Headers],0),FALSE)),"")</f>
        <v/>
      </c>
      <c r="AZ48" s="251" t="str">
        <f>IFERROR(IF(VLOOKUP(CONCATENATE($A48,"_",AZ$1),SP_ACQ_Lib[],MATCH(AZ$2,SP_ACQ_Lib[#Headers],0),FALSE)=0,"",VLOOKUP(CONCATENATE($A48,"_",AZ$1),SP_ACQ_Lib[],MATCH(AZ$2,SP_ACQ_Lib[#Headers],0),FALSE)),"")</f>
        <v/>
      </c>
      <c r="BA48" s="251" t="str">
        <f>IFERROR(IF(VLOOKUP(CONCATENATE($A48,"_",BA$1),SP_ACQ_Lib[],MATCH(BA$2,SP_ACQ_Lib[#Headers],0),FALSE)=0,"",VLOOKUP(CONCATENATE($A48,"_",BA$1),SP_ACQ_Lib[],MATCH(BA$2,SP_ACQ_Lib[#Headers],0),FALSE)),"")</f>
        <v/>
      </c>
      <c r="BB48" s="224">
        <f>IFERROR(VLOOKUP(CONCATENATE($A48,"_",BB$1),SP_ACQ_Lib[],MATCH(BB$2,SP_ACQ_Lib[#Headers],0),FALSE),0)</f>
        <v>0</v>
      </c>
      <c r="BC48" s="231">
        <f>IFERROR(VLOOKUP($A48,SP_AcqTract_DB[],MATCH(BC$2,SP_AcqTract_DB[#Headers],0),FALSE),"")</f>
        <v>0</v>
      </c>
      <c r="BD48" s="231">
        <f>IFERROR(VLOOKUP($A48,SP_AcqTract_DB[],MATCH(BD$2,SP_AcqTract_DB[#Headers],0),FALSE),"")</f>
        <v>0</v>
      </c>
      <c r="BE48" s="249" t="str">
        <f>IFERROR(IF(VLOOKUP(CONCATENATE($A48,"_",BE$1),SP_ACQ_Lib[],MATCH(BE$2,SP_ACQ_Lib[#Headers],0),FALSE)=0,"",VLOOKUP(CONCATENATE($A48,"_",BE$1),SP_ACQ_Lib[],MATCH(BE$2,SP_ACQ_Lib[#Headers],0),FALSE)),"")</f>
        <v/>
      </c>
      <c r="BF48" s="249" t="str">
        <f>IFERROR(IF(VLOOKUP(CONCATENATE($A48,"_",BF$1),SP_ACQ_Lib[],MATCH(BF$2,SP_ACQ_Lib[#Headers],0),FALSE)=0,"",VLOOKUP(CONCATENATE($A48,"_",BF$1),SP_ACQ_Lib[],MATCH(BF$2,SP_ACQ_Lib[#Headers],0),FALSE)),"")</f>
        <v/>
      </c>
      <c r="BG48" s="249" t="str">
        <f>IFERROR(IF(VLOOKUP(CONCATENATE($A48,"_",BG$1),SP_ACQ_Lib[],MATCH(BG$2,SP_ACQ_Lib[#Headers],0),FALSE)=0,"",VLOOKUP(CONCATENATE($A48,"_",BG$1),SP_ACQ_Lib[],MATCH(BG$2,SP_ACQ_Lib[#Headers],0),FALSE)),"")</f>
        <v/>
      </c>
      <c r="BH48" s="249" t="str">
        <f>IFERROR(IF(VLOOKUP(CONCATENATE($A48,"_",BH$1),SP_ACQ_Lib[],MATCH(BH$2,SP_ACQ_Lib[#Headers],0),FALSE)=0,"",VLOOKUP(CONCATENATE($A48,"_",BH$1),SP_ACQ_Lib[],MATCH(BH$2,SP_ACQ_Lib[#Headers],0),FALSE)),"")</f>
        <v/>
      </c>
      <c r="BI48" s="249" t="str">
        <f>IFERROR(IF(VLOOKUP(CONCATENATE($A48,"_",BI$1),SP_ACQ_Lib[],MATCH(BI$2,SP_ACQ_Lib[#Headers],0),FALSE)=0,"",VLOOKUP(CONCATENATE($A48,"_",BI$1),SP_ACQ_Lib[],MATCH(BI$2,SP_ACQ_Lib[#Headers],0),FALSE)),"")</f>
        <v/>
      </c>
      <c r="BJ48" s="249" t="str">
        <f>IFERROR(IF(VLOOKUP(CONCATENATE($A48,"_",BJ$1),SP_ACQ_Lib[],MATCH(BJ$2,SP_ACQ_Lib[#Headers],0),FALSE)=0,"",VLOOKUP(CONCATENATE($A48,"_",BJ$1),SP_ACQ_Lib[],MATCH(BJ$2,SP_ACQ_Lib[#Headers],0),FALSE)),"")</f>
        <v/>
      </c>
      <c r="BK48" s="250">
        <f>IFERROR(IF(VLOOKUP(CONCATENATE($A48,"_",BK$1),SP_ACQ_Lib[],MATCH(BK$2,SP_ACQ_Lib[#Headers],0),FALSE)=0,"",VLOOKUP(CONCATENATE($A48,"_",BK$1),SP_ACQ_Lib[],MATCH(BK$2,SP_ACQ_Lib[#Headers],0),FALSE)),"")</f>
        <v>43748</v>
      </c>
      <c r="BL48" s="249" t="str">
        <f>IFERROR(IF(VLOOKUP(CONCATENATE($A48,"_",BL$1),SP_ACQ_Lib[],MATCH(BL$2,SP_ACQ_Lib[#Headers],0),FALSE)=0,"",VLOOKUP(CONCATENATE($A48,"_",BL$1),SP_ACQ_Lib[],MATCH(BL$2,SP_ACQ_Lib[#Headers],0),FALSE)),"")</f>
        <v/>
      </c>
      <c r="BM48" s="249" t="str">
        <f>IFERROR(IF(VLOOKUP(CONCATENATE($A48,"_",BM$1),SP_ACQ_Lib[],MATCH(BM$2,SP_ACQ_Lib[#Headers],0),FALSE)=0,"",VLOOKUP(CONCATENATE($A48,"_",BM$1),SP_ACQ_Lib[],MATCH(BM$2,SP_ACQ_Lib[#Headers],0),FALSE)),"")</f>
        <v/>
      </c>
      <c r="BN48" s="249" t="str">
        <f>IFERROR(IF(VLOOKUP(CONCATENATE($A48,"_",BN$1),SP_ACQ_Lib[],MATCH(BN$2,SP_ACQ_Lib[#Headers],0),FALSE)=0,"",VLOOKUP(CONCATENATE($A48,"_",BN$1),SP_ACQ_Lib[],MATCH(BN$2,SP_ACQ_Lib[#Headers],0),FALSE)),"")</f>
        <v/>
      </c>
    </row>
    <row r="49" spans="1:66" s="226" customFormat="1" ht="25.5" x14ac:dyDescent="0.2">
      <c r="A49" s="192" t="s">
        <v>51</v>
      </c>
      <c r="B49" s="227" t="str">
        <f>IFERROR(VLOOKUP($A49,SP_AcqTract_DB[],MATCH(B$2,SP_AcqTract_DB[#Headers],0),FALSE),"")</f>
        <v>R023000</v>
      </c>
      <c r="C49" s="228" t="str">
        <f>IFERROR(VLOOKUP($A49,SP_AcqTract_DB[],MATCH(C$2,SP_AcqTract_DB[#Headers],0),FALSE),"")</f>
        <v>PH1</v>
      </c>
      <c r="D49" s="208" t="str">
        <f>IFERROR(VLOOKUP($A49,SP_AcqTract_DB[],MATCH(D$2,SP_AcqTract_DB[#Headers],0),FALSE),"")</f>
        <v>Active</v>
      </c>
      <c r="E49" s="208">
        <f>IFERROR(VLOOKUP($A49,SP_AcqTract_DB[],MATCH(E$2,SP_AcqTract_DB[#Headers],0),FALSE),"")</f>
        <v>1</v>
      </c>
      <c r="F49" s="227" t="str">
        <f>IFERROR(VLOOKUP($A49,SP_AcqTract_DB[],MATCH(F$2,SP_AcqTract_DB[#Headers],0),FALSE),"")</f>
        <v>Road Esmt</v>
      </c>
      <c r="G49" s="227" t="str">
        <f>IFERROR(VLOOKUP($A49,SP_AcqTract_DB[],MATCH(G$2,SP_AcqTract_DB[#Headers],0),FALSE),"")</f>
        <v>Lily Khan</v>
      </c>
      <c r="H49" s="250">
        <f>IFERROR(IF(VLOOKUP(CONCATENATE($A49,"_",H$1),SP_ACQ_Lib[],MATCH(H$2,SP_ACQ_Lib[#Headers],0),FALSE)=0,"",VLOOKUP(CONCATENATE($A49,"_",H$1),SP_ACQ_Lib[],MATCH(H$2,SP_ACQ_Lib[#Headers],0),FALSE)),"")</f>
        <v>44018.385358796295</v>
      </c>
      <c r="I49" s="227" t="str">
        <f>IFERROR(VLOOKUP($A49,SP_AcqTract_DB[],MATCH(I$2,SP_AcqTract_DB[#Headers],0),FALSE),"")</f>
        <v>Annie Garza Torres</v>
      </c>
      <c r="J49" s="227" t="str">
        <f>IFERROR(VLOOKUP($A49,SP_AcqTract_DB[],MATCH(J$2,SP_AcqTract_DB[#Headers],0),FALSE),"")</f>
        <v>Annie Garza Torres</v>
      </c>
      <c r="K49" s="227" t="str">
        <f>IFERROR(VLOOKUP($A49,SP_AcqTract_DB[],MATCH(K$2,SP_AcqTract_DB[#Headers],0),FALSE),"")</f>
        <v>Annie Garza Torres</v>
      </c>
      <c r="L49" s="227" t="str">
        <f>IFERROR(VLOOKUP($A49,SP_AcqTract_DB[],MATCH(L$2,SP_AcqTract_DB[#Headers],0),FALSE),"")</f>
        <v>PO Box 1205</v>
      </c>
      <c r="M49" s="208" t="str">
        <f>IFERROR(VLOOKUP($A49,SP_AcqTract_DB[],MATCH(M$2,SP_AcqTract_DB[#Headers],0),FALSE),"")</f>
        <v>Wharton, TX</v>
      </c>
      <c r="N49" s="227" t="str">
        <f>IFERROR(VLOOKUP($A49,SP_AcqTract_DB[],MATCH(N$2,SP_AcqTract_DB[#Headers],0),FALSE),"")</f>
        <v>425 Sunset</v>
      </c>
      <c r="O49" s="220">
        <f>IFERROR(VLOOKUP($A49,SP_AcqTract_DB[],MATCH(O$2,SP_AcqTract_DB[#Headers],0),FALSE),"")</f>
        <v>0</v>
      </c>
      <c r="P49" s="220">
        <f>IFERROR(VLOOKUP($A49,SP_AcqTract_DB[],MATCH(P$2,SP_AcqTract_DB[#Headers],0),FALSE),"")</f>
        <v>0</v>
      </c>
      <c r="Q49" s="208" t="str">
        <f>IFERROR(VLOOKUP($A49,SP_AcqTract_DB[],MATCH(Q$2,SP_AcqTract_DB[#Headers],0),FALSE),"")</f>
        <v>2019-0833</v>
      </c>
      <c r="R49" s="250">
        <f>IFERROR(IF(VLOOKUP(CONCATENATE($A49,"_",R$1),SP_ACQ_Lib[],MATCH(R$2,SP_ACQ_Lib[#Headers],0),FALSE)=0,"",VLOOKUP(CONCATENATE($A49,"_",R$1),SP_ACQ_Lib[],MATCH(R$2,SP_ACQ_Lib[#Headers],0),FALSE)),"")</f>
        <v>43889</v>
      </c>
      <c r="S49" s="253">
        <f>IFERROR(IF(VLOOKUP(CONCATENATE($A49,"_",S$1),SP_ACQ_Lib[],MATCH(S$2,SP_ACQ_Lib[#Headers],0),FALSE)=0,"",VLOOKUP(CONCATENATE($A49,"_",S$1),SP_ACQ_Lib[],MATCH(S$2,SP_ACQ_Lib[#Headers],0),FALSE)),"")</f>
        <v>43902</v>
      </c>
      <c r="T49" s="205" t="str">
        <f>IFERROR(VLOOKUP(CONCATENATE($A49,"_",T$1),SP_ACQ_Lib[],MATCH(T$2,SP_ACQ_Lib[#Headers],0),FALSE),0)</f>
        <v>Accepted</v>
      </c>
      <c r="U49" s="250">
        <f>IFERROR(IF(VLOOKUP(CONCATENATE($A49,"_",U$1),SP_ACQ_Lib[],MATCH(U$2,SP_ACQ_Lib[#Headers],0),FALSE)=0,"",VLOOKUP(CONCATENATE($A49,"_",U$1),SP_ACQ_Lib[],MATCH(U$2,SP_ACQ_Lib[#Headers],0),FALSE)),"")</f>
        <v>43812</v>
      </c>
      <c r="V49" s="205" t="str">
        <f>IFERROR(VLOOKUP(CONCATENATE($A49,"_",V$1),SP_ACQ_Lib[],MATCH(V$2,SP_ACQ_Lib[#Headers],0),FALSE),0)</f>
        <v>Accepted</v>
      </c>
      <c r="W49" s="209">
        <f>IFERROR(VLOOKUP(CONCATENATE($A49,"_",W$1),SP_ACQ_Lib[],MATCH(W$2,SP_ACQ_Lib[#Headers],0),FALSE),0)</f>
        <v>0</v>
      </c>
      <c r="X49" s="250">
        <f>IFERROR(VLOOKUP($A49,SP_AcqTract_DB[],MATCH(X$2,SP_AcqTract_DB[#Headers],0),FALSE),"")</f>
        <v>0</v>
      </c>
      <c r="Y49" s="237">
        <f>IFERROR(VLOOKUP($A49,SP_AcqTract_DB[],MATCH(Y$2,SP_AcqTract_DB[#Headers],0),FALSE),"")</f>
        <v>1.044536271809E-2</v>
      </c>
      <c r="Z49" s="229">
        <f>IFERROR(VLOOKUP($A49,SP_AcqTract_DB[],MATCH(Z$2,SP_AcqTract_DB[#Headers],0),FALSE),"")</f>
        <v>455</v>
      </c>
      <c r="AA49" s="229" t="str">
        <f>IFERROR(VLOOKUP($A49,SP_AcqTract_DB[],MATCH(AA$2,SP_AcqTract_DB[#Headers],0),FALSE),"")</f>
        <v>Yes</v>
      </c>
      <c r="AB49" s="250">
        <f>IFERROR(IF(VLOOKUP(CONCATENATE($A49,"_",AB$1),SP_ACQ_Lib[],MATCH(AB$2,SP_ACQ_Lib[#Headers],0),FALSE)=0,"",VLOOKUP(CONCATENATE($A49,"_",AB$1),SP_ACQ_Lib[],MATCH(AB$2,SP_ACQ_Lib[#Headers],0),FALSE)),"")</f>
        <v>43867</v>
      </c>
      <c r="AC49" s="250">
        <f>IFERROR(IF(VLOOKUP(CONCATENATE($A49,"_",AC$1),SP_ACQ_Lib[],MATCH(AC$2,SP_ACQ_Lib[#Headers],0),FALSE)=0,"",VLOOKUP(CONCATENATE($A49,"_",AC$1),SP_ACQ_Lib[],MATCH(AC$2,SP_ACQ_Lib[#Headers],0),FALSE)),"")</f>
        <v>43886</v>
      </c>
      <c r="AD49" s="229" t="str">
        <f>IFERROR(VLOOKUP($A49,SP_AcqTract_DB[],MATCH(AD$2,SP_AcqTract_DB[#Headers],0),FALSE),"")</f>
        <v>Yes</v>
      </c>
      <c r="AE49" s="250">
        <f>IFERROR(IF(VLOOKUP(CONCATENATE($A49,"_",AE$1),SP_ACQ_Lib[],MATCH(AE$2,SP_ACQ_Lib[#Headers],0),FALSE)=0,"",VLOOKUP(CONCATENATE($A49,"_",AE$1),SP_ACQ_Lib[],MATCH(AE$2,SP_ACQ_Lib[#Headers],0),FALSE)),"")</f>
        <v>43991</v>
      </c>
      <c r="AF49" s="250">
        <f>IFERROR(IF(VLOOKUP(CONCATENATE($A49,"_",AF$1),SP_ACQ_Lib[],MATCH(AF$2,SP_ACQ_Lib[#Headers],0),FALSE)=0,"",VLOOKUP(CONCATENATE($A49,"_",AF$1),SP_ACQ_Lib[],MATCH(AF$2,SP_ACQ_Lib[#Headers],0),FALSE)),"")</f>
        <v>43993</v>
      </c>
      <c r="AG49" s="250">
        <f>IFERROR(IF(VLOOKUP(CONCATENATE($A49,"_",AG$1),SP_ACQ_Lib[],MATCH(AG$2,SP_ACQ_Lib[#Headers],0),FALSE)=0,"",VLOOKUP(CONCATENATE($A49,"_",AG$1),SP_ACQ_Lib[],MATCH(AG$2,SP_ACQ_Lib[#Headers],0),FALSE)),"")</f>
        <v>43691</v>
      </c>
      <c r="AH49" s="250">
        <f>IFERROR(IF(VLOOKUP(CONCATENATE($A49,"_",AH$1),SP_ACQ_Lib[],MATCH(AH$2,SP_ACQ_Lib[#Headers],0),FALSE)=0,"",VLOOKUP(CONCATENATE($A49,"_",AH$1),SP_ACQ_Lib[],MATCH(AH$2,SP_ACQ_Lib[#Headers],0),FALSE)),"")</f>
        <v>43732</v>
      </c>
      <c r="AI49" s="249" t="str">
        <f>IFERROR(IF(VLOOKUP(CONCATENATE($A49,"_",AI$1),SP_ACQ_Lib[],MATCH(AI$2,SP_ACQ_Lib[#Headers],0),FALSE)=0,"",VLOOKUP(CONCATENATE($A49,"_",AI$1),SP_ACQ_Lib[],MATCH(AI$2,SP_ACQ_Lib[#Headers],0),FALSE)),"")</f>
        <v/>
      </c>
      <c r="AJ49" s="249" t="str">
        <f>IFERROR(IF(VLOOKUP(CONCATENATE($A49,"_",AJ$1),SP_ACQ_Lib[],MATCH(AJ$2,SP_ACQ_Lib[#Headers],0),FALSE)=0,"",VLOOKUP(CONCATENATE($A49,"_",AJ$1),SP_ACQ_Lib[],MATCH(AJ$2,SP_ACQ_Lib[#Headers],0),FALSE)),"")</f>
        <v/>
      </c>
      <c r="AK49" s="249" t="str">
        <f>IFERROR(IF(VLOOKUP(CONCATENATE($A49,"_",AK$1),SP_ACQ_Lib[],MATCH(AK$2,SP_ACQ_Lib[#Headers],0),FALSE)=0,"",VLOOKUP(CONCATENATE($A49,"_",AK$1),SP_ACQ_Lib[],MATCH(AK$2,SP_ACQ_Lib[#Headers],0),FALSE)),"")</f>
        <v/>
      </c>
      <c r="AL49" s="249">
        <f>IFERROR(VLOOKUP($A49,SP_AcqTract_DB[],MATCH(AL$2,SP_AcqTract_DB[#Headers],0),FALSE),"")</f>
        <v>43994</v>
      </c>
      <c r="AM49" s="227" t="str">
        <f>IFERROR(VLOOKUP($A49,SP_AcqTract_DB[],MATCH(AM$2,SP_AcqTract_DB[#Headers],0),FALSE),"")</f>
        <v>Cameron Boone</v>
      </c>
      <c r="AN49" s="227" t="str">
        <f>IFERROR(VLOOKUP($A49,SP_AcqTract_DB[],MATCH(AN$2,SP_AcqTract_DB[#Headers],0),FALSE),"")</f>
        <v>Lory Johnson, Atrium</v>
      </c>
      <c r="AO49" s="228">
        <f>IFERROR(VLOOKUP($A49,SP_AcqTract_DB[],MATCH(AO$2,SP_AcqTract_DB[#Headers],0),FALSE),"")</f>
        <v>0</v>
      </c>
      <c r="AP49" s="210" t="str">
        <f>IFERROR(VLOOKUP($A49,SP_AcqTract_DB[],MATCH(AP$2,SP_AcqTract_DB[#Headers],0),FALSE),"")</f>
        <v>R</v>
      </c>
      <c r="AQ49" s="252" t="str">
        <f>IFERROR(IF(VLOOKUP(CONCATENATE($A49,"_",AQ$1),SP_ACQ_Lib[],MATCH(AQ$2,SP_ACQ_Lib[#Headers],0),FALSE)=0,"",VLOOKUP(CONCATENATE($A49,"_",AQ$1),SP_ACQ_Lib[],MATCH(AQ$2,SP_ACQ_Lib[#Headers],0),FALSE)),"")</f>
        <v/>
      </c>
      <c r="AR49" s="250" t="str">
        <f>IFERROR(IF(VLOOKUP(CONCATENATE($A49,"_",AR$1),SP_ACQ_Lib[],MATCH(AR$2,SP_ACQ_Lib[#Headers],0),FALSE)=0,"",VLOOKUP(CONCATENATE($A49,"_",AR$1),SP_ACQ_Lib[],MATCH(AR$2,SP_ACQ_Lib[#Headers],0),FALSE)),"")</f>
        <v/>
      </c>
      <c r="AS49" s="249">
        <f>IFERROR(IF(VLOOKUP(CONCATENATE($A49,"_",AS$1),SP_ACQ_Lib[],MATCH(AS$2,SP_ACQ_Lib[#Headers],0),FALSE)=0,"",VLOOKUP(CONCATENATE($A49,"_",AS$1),SP_ACQ_Lib[],MATCH(AS$2,SP_ACQ_Lib[#Headers],0),FALSE)),"")</f>
        <v>43765</v>
      </c>
      <c r="AT49" s="251">
        <f>IFERROR(IF(VLOOKUP(CONCATENATE($A49,"_",AT$1),SP_ACQ_Lib[],MATCH(AT$2,SP_ACQ_Lib[#Headers],0),FALSE)=0,"",VLOOKUP(CONCATENATE($A49,"_",AT$1),SP_ACQ_Lib[],MATCH(AT$2,SP_ACQ_Lib[#Headers],0),FALSE)),"")</f>
        <v>43912</v>
      </c>
      <c r="AU49" s="251" t="str">
        <f>IFERROR(IF(VLOOKUP(CONCATENATE($A49,"_",AU$1),SP_ACQ_Lib[],MATCH(AU$2,SP_ACQ_Lib[#Headers],0),FALSE)=0,"",VLOOKUP(CONCATENATE($A49,"_",AU$1),SP_ACQ_Lib[],MATCH(AU$2,SP_ACQ_Lib[#Headers],0),FALSE)),"")</f>
        <v/>
      </c>
      <c r="AV49" s="225">
        <f>IFERROR(IF(VLOOKUP(CONCATENATE($A49,"_",AV$1),SP_ACQ_Lib[],MATCH(AV$2,SP_ACQ_Lib[#Headers],0),FALSE)=0,"",VLOOKUP(CONCATENATE($A49,"_",AV$1),SP_ACQ_Lib[],MATCH(AV$2,SP_ACQ_Lib[#Headers],0),FALSE)),"")</f>
        <v>403</v>
      </c>
      <c r="AW49" s="251">
        <f>IFERROR(IF(VLOOKUP(CONCATENATE($A49,"_",AW$1),SP_ACQ_Lib[],MATCH(AW$2,SP_ACQ_Lib[#Headers],0),FALSE)=0,"",VLOOKUP(CONCATENATE($A49,"_",AW$1),SP_ACQ_Lib[],MATCH(AW$2,SP_ACQ_Lib[#Headers],0),FALSE)),"")</f>
        <v>44022</v>
      </c>
      <c r="AX49" s="251">
        <f>IFERROR(IF(VLOOKUP(CONCATENATE($A49,"_",AX$1),SP_ACQ_Lib[],MATCH(AX$2,SP_ACQ_Lib[#Headers],0),FALSE)=0,"",VLOOKUP(CONCATENATE($A49,"_",AX$1),SP_ACQ_Lib[],MATCH(AX$2,SP_ACQ_Lib[#Headers],0),FALSE)),"")</f>
        <v>44022</v>
      </c>
      <c r="AY49" s="251">
        <f>IFERROR(IF(VLOOKUP(CONCATENATE($A49,"_",AY$1),SP_ACQ_Lib[],MATCH(AY$2,SP_ACQ_Lib[#Headers],0),FALSE)=0,"",VLOOKUP(CONCATENATE($A49,"_",AY$1),SP_ACQ_Lib[],MATCH(AY$2,SP_ACQ_Lib[#Headers],0),FALSE)),"")</f>
        <v>44025</v>
      </c>
      <c r="AZ49" s="251" t="str">
        <f>IFERROR(IF(VLOOKUP(CONCATENATE($A49,"_",AZ$1),SP_ACQ_Lib[],MATCH(AZ$2,SP_ACQ_Lib[#Headers],0),FALSE)=0,"",VLOOKUP(CONCATENATE($A49,"_",AZ$1),SP_ACQ_Lib[],MATCH(AZ$2,SP_ACQ_Lib[#Headers],0),FALSE)),"")</f>
        <v/>
      </c>
      <c r="BA49" s="251" t="str">
        <f>IFERROR(IF(VLOOKUP(CONCATENATE($A49,"_",BA$1),SP_ACQ_Lib[],MATCH(BA$2,SP_ACQ_Lib[#Headers],0),FALSE)=0,"",VLOOKUP(CONCATENATE($A49,"_",BA$1),SP_ACQ_Lib[],MATCH(BA$2,SP_ACQ_Lib[#Headers],0),FALSE)),"")</f>
        <v/>
      </c>
      <c r="BB49" s="224">
        <f>IFERROR(VLOOKUP(CONCATENATE($A49,"_",BB$1),SP_ACQ_Lib[],MATCH(BB$2,SP_ACQ_Lib[#Headers],0),FALSE),0)</f>
        <v>0</v>
      </c>
      <c r="BC49" s="231">
        <f>IFERROR(VLOOKUP($A49,SP_AcqTract_DB[],MATCH(BC$2,SP_AcqTract_DB[#Headers],0),FALSE),"")</f>
        <v>0</v>
      </c>
      <c r="BD49" s="231">
        <f>IFERROR(VLOOKUP($A49,SP_AcqTract_DB[],MATCH(BD$2,SP_AcqTract_DB[#Headers],0),FALSE),"")</f>
        <v>0</v>
      </c>
      <c r="BE49" s="249" t="str">
        <f>IFERROR(IF(VLOOKUP(CONCATENATE($A49,"_",BE$1),SP_ACQ_Lib[],MATCH(BE$2,SP_ACQ_Lib[#Headers],0),FALSE)=0,"",VLOOKUP(CONCATENATE($A49,"_",BE$1),SP_ACQ_Lib[],MATCH(BE$2,SP_ACQ_Lib[#Headers],0),FALSE)),"")</f>
        <v/>
      </c>
      <c r="BF49" s="249" t="str">
        <f>IFERROR(IF(VLOOKUP(CONCATENATE($A49,"_",BF$1),SP_ACQ_Lib[],MATCH(BF$2,SP_ACQ_Lib[#Headers],0),FALSE)=0,"",VLOOKUP(CONCATENATE($A49,"_",BF$1),SP_ACQ_Lib[],MATCH(BF$2,SP_ACQ_Lib[#Headers],0),FALSE)),"")</f>
        <v/>
      </c>
      <c r="BG49" s="249" t="str">
        <f>IFERROR(IF(VLOOKUP(CONCATENATE($A49,"_",BG$1),SP_ACQ_Lib[],MATCH(BG$2,SP_ACQ_Lib[#Headers],0),FALSE)=0,"",VLOOKUP(CONCATENATE($A49,"_",BG$1),SP_ACQ_Lib[],MATCH(BG$2,SP_ACQ_Lib[#Headers],0),FALSE)),"")</f>
        <v/>
      </c>
      <c r="BH49" s="249" t="str">
        <f>IFERROR(IF(VLOOKUP(CONCATENATE($A49,"_",BH$1),SP_ACQ_Lib[],MATCH(BH$2,SP_ACQ_Lib[#Headers],0),FALSE)=0,"",VLOOKUP(CONCATENATE($A49,"_",BH$1),SP_ACQ_Lib[],MATCH(BH$2,SP_ACQ_Lib[#Headers],0),FALSE)),"")</f>
        <v/>
      </c>
      <c r="BI49" s="249" t="str">
        <f>IFERROR(IF(VLOOKUP(CONCATENATE($A49,"_",BI$1),SP_ACQ_Lib[],MATCH(BI$2,SP_ACQ_Lib[#Headers],0),FALSE)=0,"",VLOOKUP(CONCATENATE($A49,"_",BI$1),SP_ACQ_Lib[],MATCH(BI$2,SP_ACQ_Lib[#Headers],0),FALSE)),"")</f>
        <v/>
      </c>
      <c r="BJ49" s="249" t="str">
        <f>IFERROR(IF(VLOOKUP(CONCATENATE($A49,"_",BJ$1),SP_ACQ_Lib[],MATCH(BJ$2,SP_ACQ_Lib[#Headers],0),FALSE)=0,"",VLOOKUP(CONCATENATE($A49,"_",BJ$1),SP_ACQ_Lib[],MATCH(BJ$2,SP_ACQ_Lib[#Headers],0),FALSE)),"")</f>
        <v/>
      </c>
      <c r="BK49" s="250">
        <f>IFERROR(IF(VLOOKUP(CONCATENATE($A49,"_",BK$1),SP_ACQ_Lib[],MATCH(BK$2,SP_ACQ_Lib[#Headers],0),FALSE)=0,"",VLOOKUP(CONCATENATE($A49,"_",BK$1),SP_ACQ_Lib[],MATCH(BK$2,SP_ACQ_Lib[#Headers],0),FALSE)),"")</f>
        <v>43748</v>
      </c>
      <c r="BL49" s="249" t="str">
        <f>IFERROR(IF(VLOOKUP(CONCATENATE($A49,"_",BL$1),SP_ACQ_Lib[],MATCH(BL$2,SP_ACQ_Lib[#Headers],0),FALSE)=0,"",VLOOKUP(CONCATENATE($A49,"_",BL$1),SP_ACQ_Lib[],MATCH(BL$2,SP_ACQ_Lib[#Headers],0),FALSE)),"")</f>
        <v/>
      </c>
      <c r="BM49" s="249" t="str">
        <f>IFERROR(IF(VLOOKUP(CONCATENATE($A49,"_",BM$1),SP_ACQ_Lib[],MATCH(BM$2,SP_ACQ_Lib[#Headers],0),FALSE)=0,"",VLOOKUP(CONCATENATE($A49,"_",BM$1),SP_ACQ_Lib[],MATCH(BM$2,SP_ACQ_Lib[#Headers],0),FALSE)),"")</f>
        <v/>
      </c>
      <c r="BN49" s="249" t="str">
        <f>IFERROR(IF(VLOOKUP(CONCATENATE($A49,"_",BN$1),SP_ACQ_Lib[],MATCH(BN$2,SP_ACQ_Lib[#Headers],0),FALSE)=0,"",VLOOKUP(CONCATENATE($A49,"_",BN$1),SP_ACQ_Lib[],MATCH(BN$2,SP_ACQ_Lib[#Headers],0),FALSE)),"")</f>
        <v/>
      </c>
    </row>
    <row r="50" spans="1:66" s="226" customFormat="1" ht="51" x14ac:dyDescent="0.2">
      <c r="A50" s="192" t="s">
        <v>52</v>
      </c>
      <c r="B50" s="227" t="str">
        <f>IFERROR(VLOOKUP($A50,SP_AcqTract_DB[],MATCH(B$2,SP_AcqTract_DB[#Headers],0),FALSE),"")</f>
        <v>R023001</v>
      </c>
      <c r="C50" s="228" t="str">
        <f>IFERROR(VLOOKUP($A50,SP_AcqTract_DB[],MATCH(C$2,SP_AcqTract_DB[#Headers],0),FALSE),"")</f>
        <v>PH1</v>
      </c>
      <c r="D50" s="208" t="str">
        <f>IFERROR(VLOOKUP($A50,SP_AcqTract_DB[],MATCH(D$2,SP_AcqTract_DB[#Headers],0),FALSE),"")</f>
        <v>Active</v>
      </c>
      <c r="E50" s="208">
        <f>IFERROR(VLOOKUP($A50,SP_AcqTract_DB[],MATCH(E$2,SP_AcqTract_DB[#Headers],0),FALSE),"")</f>
        <v>3</v>
      </c>
      <c r="F50" s="227" t="str">
        <f>IFERROR(VLOOKUP($A50,SP_AcqTract_DB[],MATCH(F$2,SP_AcqTract_DB[#Headers],0),FALSE),"")</f>
        <v>Flowage Esmt/Levee Esmt/Road Esmt</v>
      </c>
      <c r="G50" s="227" t="str">
        <f>IFERROR(VLOOKUP($A50,SP_AcqTract_DB[],MATCH(G$2,SP_AcqTract_DB[#Headers],0),FALSE),"")</f>
        <v>Melissa DeLeon</v>
      </c>
      <c r="H50" s="250">
        <f>IFERROR(IF(VLOOKUP(CONCATENATE($A50,"_",H$1),SP_ACQ_Lib[],MATCH(H$2,SP_ACQ_Lib[#Headers],0),FALSE)=0,"",VLOOKUP(CONCATENATE($A50,"_",H$1),SP_ACQ_Lib[],MATCH(H$2,SP_ACQ_Lib[#Headers],0),FALSE)),"")</f>
        <v>44021.575590277775</v>
      </c>
      <c r="I50" s="227" t="str">
        <f>IFERROR(VLOOKUP($A50,SP_AcqTract_DB[],MATCH(I$2,SP_AcqTract_DB[#Headers],0),FALSE),"")</f>
        <v>Raymond G. Rodriguez and Mollie Garza (as her interest may appear) and Julian Cantero (as his interest may appear)</v>
      </c>
      <c r="J50" s="227">
        <f>IFERROR(VLOOKUP($A50,SP_AcqTract_DB[],MATCH(J$2,SP_AcqTract_DB[#Headers],0),FALSE),"")</f>
        <v>0</v>
      </c>
      <c r="K50" s="227" t="str">
        <f>IFERROR(VLOOKUP($A50,SP_AcqTract_DB[],MATCH(K$2,SP_AcqTract_DB[#Headers],0),FALSE),"")</f>
        <v xml:space="preserve">Raymond G. Rodriguez and Mollie Garza </v>
      </c>
      <c r="L50" s="227" t="str">
        <f>IFERROR(VLOOKUP($A50,SP_AcqTract_DB[],MATCH(L$2,SP_AcqTract_DB[#Headers],0),FALSE),"")</f>
        <v>505 S Sunset</v>
      </c>
      <c r="M50" s="208" t="str">
        <f>IFERROR(VLOOKUP($A50,SP_AcqTract_DB[],MATCH(M$2,SP_AcqTract_DB[#Headers],0),FALSE),"")</f>
        <v>Wharton, TX</v>
      </c>
      <c r="N50" s="227" t="str">
        <f>IFERROR(VLOOKUP($A50,SP_AcqTract_DB[],MATCH(N$2,SP_AcqTract_DB[#Headers],0),FALSE),"")</f>
        <v>505 Sunset</v>
      </c>
      <c r="O50" s="220">
        <f>IFERROR(VLOOKUP($A50,SP_AcqTract_DB[],MATCH(O$2,SP_AcqTract_DB[#Headers],0),FALSE),"")</f>
        <v>0</v>
      </c>
      <c r="P50" s="220">
        <f>IFERROR(VLOOKUP($A50,SP_AcqTract_DB[],MATCH(P$2,SP_AcqTract_DB[#Headers],0),FALSE),"")</f>
        <v>0</v>
      </c>
      <c r="Q50" s="208" t="str">
        <f>IFERROR(VLOOKUP($A50,SP_AcqTract_DB[],MATCH(Q$2,SP_AcqTract_DB[#Headers],0),FALSE),"")</f>
        <v>2019-0834</v>
      </c>
      <c r="R50" s="250">
        <f>IFERROR(IF(VLOOKUP(CONCATENATE($A50,"_",R$1),SP_ACQ_Lib[],MATCH(R$2,SP_ACQ_Lib[#Headers],0),FALSE)=0,"",VLOOKUP(CONCATENATE($A50,"_",R$1),SP_ACQ_Lib[],MATCH(R$2,SP_ACQ_Lib[#Headers],0),FALSE)),"")</f>
        <v>43952</v>
      </c>
      <c r="S50" s="253">
        <f>IFERROR(IF(VLOOKUP(CONCATENATE($A50,"_",S$1),SP_ACQ_Lib[],MATCH(S$2,SP_ACQ_Lib[#Headers],0),FALSE)=0,"",VLOOKUP(CONCATENATE($A50,"_",S$1),SP_ACQ_Lib[],MATCH(S$2,SP_ACQ_Lib[#Headers],0),FALSE)),"")</f>
        <v>43963</v>
      </c>
      <c r="T50" s="205" t="str">
        <f>IFERROR(VLOOKUP(CONCATENATE($A50,"_",T$1),SP_ACQ_Lib[],MATCH(T$2,SP_ACQ_Lib[#Headers],0),FALSE),0)</f>
        <v>Accepted</v>
      </c>
      <c r="U50" s="250">
        <f>IFERROR(IF(VLOOKUP(CONCATENATE($A50,"_",U$1),SP_ACQ_Lib[],MATCH(U$2,SP_ACQ_Lib[#Headers],0),FALSE)=0,"",VLOOKUP(CONCATENATE($A50,"_",U$1),SP_ACQ_Lib[],MATCH(U$2,SP_ACQ_Lib[#Headers],0),FALSE)),"")</f>
        <v>43804</v>
      </c>
      <c r="V50" s="205" t="str">
        <f>IFERROR(VLOOKUP(CONCATENATE($A50,"_",V$1),SP_ACQ_Lib[],MATCH(V$2,SP_ACQ_Lib[#Headers],0),FALSE),0)</f>
        <v>Accepted</v>
      </c>
      <c r="W50" s="209">
        <f>IFERROR(VLOOKUP(CONCATENATE($A50,"_",W$1),SP_ACQ_Lib[],MATCH(W$2,SP_ACQ_Lib[#Headers],0),FALSE),0)</f>
        <v>0</v>
      </c>
      <c r="X50" s="250">
        <f>IFERROR(VLOOKUP($A50,SP_AcqTract_DB[],MATCH(X$2,SP_AcqTract_DB[#Headers],0),FALSE),"")</f>
        <v>0</v>
      </c>
      <c r="Y50" s="237">
        <f>IFERROR(VLOOKUP($A50,SP_AcqTract_DB[],MATCH(Y$2,SP_AcqTract_DB[#Headers],0),FALSE),"")</f>
        <v>0.2428145087236</v>
      </c>
      <c r="Z50" s="229">
        <f>IFERROR(VLOOKUP($A50,SP_AcqTract_DB[],MATCH(Z$2,SP_AcqTract_DB[#Headers],0),FALSE),"")</f>
        <v>10577</v>
      </c>
      <c r="AA50" s="229" t="str">
        <f>IFERROR(VLOOKUP($A50,SP_AcqTract_DB[],MATCH(AA$2,SP_AcqTract_DB[#Headers],0),FALSE),"")</f>
        <v>Yes</v>
      </c>
      <c r="AB50" s="250">
        <f>IFERROR(IF(VLOOKUP(CONCATENATE($A50,"_",AB$1),SP_ACQ_Lib[],MATCH(AB$2,SP_ACQ_Lib[#Headers],0),FALSE)=0,"",VLOOKUP(CONCATENATE($A50,"_",AB$1),SP_ACQ_Lib[],MATCH(AB$2,SP_ACQ_Lib[#Headers],0),FALSE)),"")</f>
        <v>43868</v>
      </c>
      <c r="AC50" s="250">
        <f>IFERROR(IF(VLOOKUP(CONCATENATE($A50,"_",AC$1),SP_ACQ_Lib[],MATCH(AC$2,SP_ACQ_Lib[#Headers],0),FALSE)=0,"",VLOOKUP(CONCATENATE($A50,"_",AC$1),SP_ACQ_Lib[],MATCH(AC$2,SP_ACQ_Lib[#Headers],0),FALSE)),"")</f>
        <v>43886</v>
      </c>
      <c r="AD50" s="229" t="str">
        <f>IFERROR(VLOOKUP($A50,SP_AcqTract_DB[],MATCH(AD$2,SP_AcqTract_DB[#Headers],0),FALSE),"")</f>
        <v>Yes</v>
      </c>
      <c r="AE50" s="250">
        <f>IFERROR(IF(VLOOKUP(CONCATENATE($A50,"_",AE$1),SP_ACQ_Lib[],MATCH(AE$2,SP_ACQ_Lib[#Headers],0),FALSE)=0,"",VLOOKUP(CONCATENATE($A50,"_",AE$1),SP_ACQ_Lib[],MATCH(AE$2,SP_ACQ_Lib[#Headers],0),FALSE)),"")</f>
        <v>43868</v>
      </c>
      <c r="AF50" s="250">
        <f>IFERROR(IF(VLOOKUP(CONCATENATE($A50,"_",AF$1),SP_ACQ_Lib[],MATCH(AF$2,SP_ACQ_Lib[#Headers],0),FALSE)=0,"",VLOOKUP(CONCATENATE($A50,"_",AF$1),SP_ACQ_Lib[],MATCH(AF$2,SP_ACQ_Lib[#Headers],0),FALSE)),"")</f>
        <v>43948</v>
      </c>
      <c r="AG50" s="250" t="str">
        <f>IFERROR(IF(VLOOKUP(CONCATENATE($A50,"_",AG$1),SP_ACQ_Lib[],MATCH(AG$2,SP_ACQ_Lib[#Headers],0),FALSE)=0,"",VLOOKUP(CONCATENATE($A50,"_",AG$1),SP_ACQ_Lib[],MATCH(AG$2,SP_ACQ_Lib[#Headers],0),FALSE)),"")</f>
        <v/>
      </c>
      <c r="AH50" s="250">
        <f>IFERROR(IF(VLOOKUP(CONCATENATE($A50,"_",AH$1),SP_ACQ_Lib[],MATCH(AH$2,SP_ACQ_Lib[#Headers],0),FALSE)=0,"",VLOOKUP(CONCATENATE($A50,"_",AH$1),SP_ACQ_Lib[],MATCH(AH$2,SP_ACQ_Lib[#Headers],0),FALSE)),"")</f>
        <v>43724</v>
      </c>
      <c r="AI50" s="249" t="str">
        <f>IFERROR(IF(VLOOKUP(CONCATENATE($A50,"_",AI$1),SP_ACQ_Lib[],MATCH(AI$2,SP_ACQ_Lib[#Headers],0),FALSE)=0,"",VLOOKUP(CONCATENATE($A50,"_",AI$1),SP_ACQ_Lib[],MATCH(AI$2,SP_ACQ_Lib[#Headers],0),FALSE)),"")</f>
        <v/>
      </c>
      <c r="AJ50" s="249" t="str">
        <f>IFERROR(IF(VLOOKUP(CONCATENATE($A50,"_",AJ$1),SP_ACQ_Lib[],MATCH(AJ$2,SP_ACQ_Lib[#Headers],0),FALSE)=0,"",VLOOKUP(CONCATENATE($A50,"_",AJ$1),SP_ACQ_Lib[],MATCH(AJ$2,SP_ACQ_Lib[#Headers],0),FALSE)),"")</f>
        <v/>
      </c>
      <c r="AK50" s="249" t="str">
        <f>IFERROR(IF(VLOOKUP(CONCATENATE($A50,"_",AK$1),SP_ACQ_Lib[],MATCH(AK$2,SP_ACQ_Lib[#Headers],0),FALSE)=0,"",VLOOKUP(CONCATENATE($A50,"_",AK$1),SP_ACQ_Lib[],MATCH(AK$2,SP_ACQ_Lib[#Headers],0),FALSE)),"")</f>
        <v/>
      </c>
      <c r="AL50" s="249">
        <f>IFERROR(VLOOKUP($A50,SP_AcqTract_DB[],MATCH(AL$2,SP_AcqTract_DB[#Headers],0),FALSE),"")</f>
        <v>43950</v>
      </c>
      <c r="AM50" s="227" t="str">
        <f>IFERROR(VLOOKUP($A50,SP_AcqTract_DB[],MATCH(AM$2,SP_AcqTract_DB[#Headers],0),FALSE),"")</f>
        <v>Cameron Boone</v>
      </c>
      <c r="AN50" s="227" t="str">
        <f>IFERROR(VLOOKUP($A50,SP_AcqTract_DB[],MATCH(AN$2,SP_AcqTract_DB[#Headers],0),FALSE),"")</f>
        <v>Richard McGee</v>
      </c>
      <c r="AO50" s="228">
        <f>IFERROR(VLOOKUP($A50,SP_AcqTract_DB[],MATCH(AO$2,SP_AcqTract_DB[#Headers],0),FALSE),"")</f>
        <v>0</v>
      </c>
      <c r="AP50" s="210" t="str">
        <f>IFERROR(VLOOKUP($A50,SP_AcqTract_DB[],MATCH(AP$2,SP_AcqTract_DB[#Headers],0),FALSE),"")</f>
        <v>R</v>
      </c>
      <c r="AQ50" s="252" t="str">
        <f>IFERROR(IF(VLOOKUP(CONCATENATE($A50,"_",AQ$1),SP_ACQ_Lib[],MATCH(AQ$2,SP_ACQ_Lib[#Headers],0),FALSE)=0,"",VLOOKUP(CONCATENATE($A50,"_",AQ$1),SP_ACQ_Lib[],MATCH(AQ$2,SP_ACQ_Lib[#Headers],0),FALSE)),"")</f>
        <v/>
      </c>
      <c r="AR50" s="250" t="str">
        <f>IFERROR(IF(VLOOKUP(CONCATENATE($A50,"_",AR$1),SP_ACQ_Lib[],MATCH(AR$2,SP_ACQ_Lib[#Headers],0),FALSE)=0,"",VLOOKUP(CONCATENATE($A50,"_",AR$1),SP_ACQ_Lib[],MATCH(AR$2,SP_ACQ_Lib[#Headers],0),FALSE)),"")</f>
        <v/>
      </c>
      <c r="AS50" s="249">
        <f>IFERROR(IF(VLOOKUP(CONCATENATE($A50,"_",AS$1),SP_ACQ_Lib[],MATCH(AS$2,SP_ACQ_Lib[#Headers],0),FALSE)=0,"",VLOOKUP(CONCATENATE($A50,"_",AS$1),SP_ACQ_Lib[],MATCH(AS$2,SP_ACQ_Lib[#Headers],0),FALSE)),"")</f>
        <v>43765</v>
      </c>
      <c r="AT50" s="251">
        <f>IFERROR(IF(VLOOKUP(CONCATENATE($A50,"_",AT$1),SP_ACQ_Lib[],MATCH(AT$2,SP_ACQ_Lib[#Headers],0),FALSE)=0,"",VLOOKUP(CONCATENATE($A50,"_",AT$1),SP_ACQ_Lib[],MATCH(AT$2,SP_ACQ_Lib[#Headers],0),FALSE)),"")</f>
        <v>43912</v>
      </c>
      <c r="AU50" s="251">
        <f>IFERROR(IF(VLOOKUP(CONCATENATE($A50,"_",AU$1),SP_ACQ_Lib[],MATCH(AU$2,SP_ACQ_Lib[#Headers],0),FALSE)=0,"",VLOOKUP(CONCATENATE($A50,"_",AU$1),SP_ACQ_Lib[],MATCH(AU$2,SP_ACQ_Lib[#Headers],0),FALSE)),"")</f>
        <v>43992</v>
      </c>
      <c r="AV50" s="225">
        <f>IFERROR(IF(VLOOKUP(CONCATENATE($A50,"_",AV$1),SP_ACQ_Lib[],MATCH(AV$2,SP_ACQ_Lib[#Headers],0),FALSE)=0,"",VLOOKUP(CONCATENATE($A50,"_",AV$1),SP_ACQ_Lib[],MATCH(AV$2,SP_ACQ_Lib[#Headers],0),FALSE)),"")</f>
        <v>70000</v>
      </c>
      <c r="AW50" s="251">
        <f>IFERROR(IF(VLOOKUP(CONCATENATE($A50,"_",AW$1),SP_ACQ_Lib[],MATCH(AW$2,SP_ACQ_Lib[#Headers],0),FALSE)=0,"",VLOOKUP(CONCATENATE($A50,"_",AW$1),SP_ACQ_Lib[],MATCH(AW$2,SP_ACQ_Lib[#Headers],0),FALSE)),"")</f>
        <v>43997</v>
      </c>
      <c r="AX50" s="251">
        <f>IFERROR(IF(VLOOKUP(CONCATENATE($A50,"_",AX$1),SP_ACQ_Lib[],MATCH(AX$2,SP_ACQ_Lib[#Headers],0),FALSE)=0,"",VLOOKUP(CONCATENATE($A50,"_",AX$1),SP_ACQ_Lib[],MATCH(AX$2,SP_ACQ_Lib[#Headers],0),FALSE)),"")</f>
        <v>43997</v>
      </c>
      <c r="AY50" s="251">
        <f>IFERROR(IF(VLOOKUP(CONCATENATE($A50,"_",AY$1),SP_ACQ_Lib[],MATCH(AY$2,SP_ACQ_Lib[#Headers],0),FALSE)=0,"",VLOOKUP(CONCATENATE($A50,"_",AY$1),SP_ACQ_Lib[],MATCH(AY$2,SP_ACQ_Lib[#Headers],0),FALSE)),"")</f>
        <v>43997</v>
      </c>
      <c r="AZ50" s="251">
        <f>IFERROR(IF(VLOOKUP(CONCATENATE($A50,"_",AZ$1),SP_ACQ_Lib[],MATCH(AZ$2,SP_ACQ_Lib[#Headers],0),FALSE)=0,"",VLOOKUP(CONCATENATE($A50,"_",AZ$1),SP_ACQ_Lib[],MATCH(AZ$2,SP_ACQ_Lib[#Headers],0),FALSE)),"")</f>
        <v>44004</v>
      </c>
      <c r="BA50" s="251">
        <f>IFERROR(IF(VLOOKUP(CONCATENATE($A50,"_",BA$1),SP_ACQ_Lib[],MATCH(BA$2,SP_ACQ_Lib[#Headers],0),FALSE)=0,"",VLOOKUP(CONCATENATE($A50,"_",BA$1),SP_ACQ_Lib[],MATCH(BA$2,SP_ACQ_Lib[#Headers],0),FALSE)),"")</f>
        <v>44001</v>
      </c>
      <c r="BB50" s="224">
        <f>IFERROR(VLOOKUP(CONCATENATE($A50,"_",BB$1),SP_ACQ_Lib[],MATCH(BB$2,SP_ACQ_Lib[#Headers],0),FALSE),0)</f>
        <v>0</v>
      </c>
      <c r="BC50" s="231">
        <f>IFERROR(VLOOKUP($A50,SP_AcqTract_DB[],MATCH(BC$2,SP_AcqTract_DB[#Headers],0),FALSE),"")</f>
        <v>43997</v>
      </c>
      <c r="BD50" s="231">
        <f>IFERROR(VLOOKUP($A50,SP_AcqTract_DB[],MATCH(BD$2,SP_AcqTract_DB[#Headers],0),FALSE),"")</f>
        <v>0</v>
      </c>
      <c r="BE50" s="249">
        <f>IFERROR(IF(VLOOKUP(CONCATENATE($A50,"_",BE$1),SP_ACQ_Lib[],MATCH(BE$2,SP_ACQ_Lib[#Headers],0),FALSE)=0,"",VLOOKUP(CONCATENATE($A50,"_",BE$1),SP_ACQ_Lib[],MATCH(BE$2,SP_ACQ_Lib[#Headers],0),FALSE)),"")</f>
        <v>44012</v>
      </c>
      <c r="BF50" s="249">
        <f>IFERROR(IF(VLOOKUP(CONCATENATE($A50,"_",BF$1),SP_ACQ_Lib[],MATCH(BF$2,SP_ACQ_Lib[#Headers],0),FALSE)=0,"",VLOOKUP(CONCATENATE($A50,"_",BF$1),SP_ACQ_Lib[],MATCH(BF$2,SP_ACQ_Lib[#Headers],0),FALSE)),"")</f>
        <v>44019</v>
      </c>
      <c r="BG50" s="249">
        <f>IFERROR(IF(VLOOKUP(CONCATENATE($A50,"_",BG$1),SP_ACQ_Lib[],MATCH(BG$2,SP_ACQ_Lib[#Headers],0),FALSE)=0,"",VLOOKUP(CONCATENATE($A50,"_",BG$1),SP_ACQ_Lib[],MATCH(BG$2,SP_ACQ_Lib[#Headers],0),FALSE)),"")</f>
        <v>44019</v>
      </c>
      <c r="BH50" s="249" t="str">
        <f>IFERROR(IF(VLOOKUP(CONCATENATE($A50,"_",BH$1),SP_ACQ_Lib[],MATCH(BH$2,SP_ACQ_Lib[#Headers],0),FALSE)=0,"",VLOOKUP(CONCATENATE($A50,"_",BH$1),SP_ACQ_Lib[],MATCH(BH$2,SP_ACQ_Lib[#Headers],0),FALSE)),"")</f>
        <v/>
      </c>
      <c r="BI50" s="249" t="str">
        <f>IFERROR(IF(VLOOKUP(CONCATENATE($A50,"_",BI$1),SP_ACQ_Lib[],MATCH(BI$2,SP_ACQ_Lib[#Headers],0),FALSE)=0,"",VLOOKUP(CONCATENATE($A50,"_",BI$1),SP_ACQ_Lib[],MATCH(BI$2,SP_ACQ_Lib[#Headers],0),FALSE)),"")</f>
        <v/>
      </c>
      <c r="BJ50" s="249" t="str">
        <f>IFERROR(IF(VLOOKUP(CONCATENATE($A50,"_",BJ$1),SP_ACQ_Lib[],MATCH(BJ$2,SP_ACQ_Lib[#Headers],0),FALSE)=0,"",VLOOKUP(CONCATENATE($A50,"_",BJ$1),SP_ACQ_Lib[],MATCH(BJ$2,SP_ACQ_Lib[#Headers],0),FALSE)),"")</f>
        <v/>
      </c>
      <c r="BK50" s="250">
        <f>IFERROR(IF(VLOOKUP(CONCATENATE($A50,"_",BK$1),SP_ACQ_Lib[],MATCH(BK$2,SP_ACQ_Lib[#Headers],0),FALSE)=0,"",VLOOKUP(CONCATENATE($A50,"_",BK$1),SP_ACQ_Lib[],MATCH(BK$2,SP_ACQ_Lib[#Headers],0),FALSE)),"")</f>
        <v>43748</v>
      </c>
      <c r="BL50" s="249">
        <f>IFERROR(IF(VLOOKUP(CONCATENATE($A50,"_",BL$1),SP_ACQ_Lib[],MATCH(BL$2,SP_ACQ_Lib[#Headers],0),FALSE)=0,"",VLOOKUP(CONCATENATE($A50,"_",BL$1),SP_ACQ_Lib[],MATCH(BL$2,SP_ACQ_Lib[#Headers],0),FALSE)),"")</f>
        <v>44019</v>
      </c>
      <c r="BM50" s="249" t="str">
        <f>IFERROR(IF(VLOOKUP(CONCATENATE($A50,"_",BM$1),SP_ACQ_Lib[],MATCH(BM$2,SP_ACQ_Lib[#Headers],0),FALSE)=0,"",VLOOKUP(CONCATENATE($A50,"_",BM$1),SP_ACQ_Lib[],MATCH(BM$2,SP_ACQ_Lib[#Headers],0),FALSE)),"")</f>
        <v/>
      </c>
      <c r="BN50" s="249" t="str">
        <f>IFERROR(IF(VLOOKUP(CONCATENATE($A50,"_",BN$1),SP_ACQ_Lib[],MATCH(BN$2,SP_ACQ_Lib[#Headers],0),FALSE)=0,"",VLOOKUP(CONCATENATE($A50,"_",BN$1),SP_ACQ_Lib[],MATCH(BN$2,SP_ACQ_Lib[#Headers],0),FALSE)),"")</f>
        <v/>
      </c>
    </row>
    <row r="51" spans="1:66" s="226" customFormat="1" ht="76.5" x14ac:dyDescent="0.2">
      <c r="A51" s="192" t="s">
        <v>53</v>
      </c>
      <c r="B51" s="227" t="str">
        <f>IFERROR(VLOOKUP($A51,SP_AcqTract_DB[],MATCH(B$2,SP_AcqTract_DB[#Headers],0),FALSE),"")</f>
        <v>R013048</v>
      </c>
      <c r="C51" s="228" t="str">
        <f>IFERROR(VLOOKUP($A51,SP_AcqTract_DB[],MATCH(C$2,SP_AcqTract_DB[#Headers],0),FALSE),"")</f>
        <v>PH1</v>
      </c>
      <c r="D51" s="208" t="str">
        <f>IFERROR(VLOOKUP($A51,SP_AcqTract_DB[],MATCH(D$2,SP_AcqTract_DB[#Headers],0),FALSE),"")</f>
        <v>Active</v>
      </c>
      <c r="E51" s="208">
        <f>IFERROR(VLOOKUP($A51,SP_AcqTract_DB[],MATCH(E$2,SP_AcqTract_DB[#Headers],0),FALSE),"")</f>
        <v>1</v>
      </c>
      <c r="F51" s="227" t="str">
        <f>IFERROR(VLOOKUP($A51,SP_AcqTract_DB[],MATCH(F$2,SP_AcqTract_DB[#Headers],0),FALSE),"")</f>
        <v>Flowage Esmt</v>
      </c>
      <c r="G51" s="227" t="str">
        <f>IFERROR(VLOOKUP($A51,SP_AcqTract_DB[],MATCH(G$2,SP_AcqTract_DB[#Headers],0),FALSE),"")</f>
        <v>Lily Khan</v>
      </c>
      <c r="H51" s="250">
        <f>IFERROR(IF(VLOOKUP(CONCATENATE($A51,"_",H$1),SP_ACQ_Lib[],MATCH(H$2,SP_ACQ_Lib[#Headers],0),FALSE)=0,"",VLOOKUP(CONCATENATE($A51,"_",H$1),SP_ACQ_Lib[],MATCH(H$2,SP_ACQ_Lib[#Headers],0),FALSE)),"")</f>
        <v>43998.656990740739</v>
      </c>
      <c r="I51" s="227" t="str">
        <f>IFERROR(VLOOKUP($A51,SP_AcqTract_DB[],MATCH(I$2,SP_AcqTract_DB[#Headers],0),FALSE),"")</f>
        <v>Juanita Cervantes, Ana Garza, Estanislada Morales, Consuelo Campos, Aniceta Gusman, Magdelena Guerra, Severa Arriaga, Francisco Esparza, Marcelo Esparza, and Serapio Esparza</v>
      </c>
      <c r="J51" s="227">
        <f>IFERROR(VLOOKUP($A51,SP_AcqTract_DB[],MATCH(J$2,SP_AcqTract_DB[#Headers],0),FALSE),"")</f>
        <v>0</v>
      </c>
      <c r="K51" s="227">
        <f>IFERROR(VLOOKUP($A51,SP_AcqTract_DB[],MATCH(K$2,SP_AcqTract_DB[#Headers],0),FALSE),"")</f>
        <v>0</v>
      </c>
      <c r="L51" s="227" t="str">
        <f>IFERROR(VLOOKUP($A51,SP_AcqTract_DB[],MATCH(L$2,SP_AcqTract_DB[#Headers],0),FALSE),"")</f>
        <v>206 E Wayside</v>
      </c>
      <c r="M51" s="208" t="str">
        <f>IFERROR(VLOOKUP($A51,SP_AcqTract_DB[],MATCH(M$2,SP_AcqTract_DB[#Headers],0),FALSE),"")</f>
        <v>Wharton, TX</v>
      </c>
      <c r="N51" s="227" t="str">
        <f>IFERROR(VLOOKUP($A51,SP_AcqTract_DB[],MATCH(N$2,SP_AcqTract_DB[#Headers],0),FALSE),"")</f>
        <v>621 Sunset</v>
      </c>
      <c r="O51" s="220">
        <f>IFERROR(VLOOKUP($A51,SP_AcqTract_DB[],MATCH(O$2,SP_AcqTract_DB[#Headers],0),FALSE),"")</f>
        <v>0</v>
      </c>
      <c r="P51" s="220">
        <f>IFERROR(VLOOKUP($A51,SP_AcqTract_DB[],MATCH(P$2,SP_AcqTract_DB[#Headers],0),FALSE),"")</f>
        <v>0</v>
      </c>
      <c r="Q51" s="208" t="str">
        <f>IFERROR(VLOOKUP($A51,SP_AcqTract_DB[],MATCH(Q$2,SP_AcqTract_DB[#Headers],0),FALSE),"")</f>
        <v>2019-0835</v>
      </c>
      <c r="R51" s="250">
        <f>IFERROR(IF(VLOOKUP(CONCATENATE($A51,"_",R$1),SP_ACQ_Lib[],MATCH(R$2,SP_ACQ_Lib[#Headers],0),FALSE)=0,"",VLOOKUP(CONCATENATE($A51,"_",R$1),SP_ACQ_Lib[],MATCH(R$2,SP_ACQ_Lib[#Headers],0),FALSE)),"")</f>
        <v>43889</v>
      </c>
      <c r="S51" s="253">
        <f>IFERROR(IF(VLOOKUP(CONCATENATE($A51,"_",S$1),SP_ACQ_Lib[],MATCH(S$2,SP_ACQ_Lib[#Headers],0),FALSE)=0,"",VLOOKUP(CONCATENATE($A51,"_",S$1),SP_ACQ_Lib[],MATCH(S$2,SP_ACQ_Lib[#Headers],0),FALSE)),"")</f>
        <v>43902</v>
      </c>
      <c r="T51" s="205" t="str">
        <f>IFERROR(VLOOKUP(CONCATENATE($A51,"_",T$1),SP_ACQ_Lib[],MATCH(T$2,SP_ACQ_Lib[#Headers],0),FALSE),0)</f>
        <v>Accepted</v>
      </c>
      <c r="U51" s="250">
        <f>IFERROR(IF(VLOOKUP(CONCATENATE($A51,"_",U$1),SP_ACQ_Lib[],MATCH(U$2,SP_ACQ_Lib[#Headers],0),FALSE)=0,"",VLOOKUP(CONCATENATE($A51,"_",U$1),SP_ACQ_Lib[],MATCH(U$2,SP_ACQ_Lib[#Headers],0),FALSE)),"")</f>
        <v>43805</v>
      </c>
      <c r="V51" s="205" t="str">
        <f>IFERROR(VLOOKUP(CONCATENATE($A51,"_",V$1),SP_ACQ_Lib[],MATCH(V$2,SP_ACQ_Lib[#Headers],0),FALSE),0)</f>
        <v>Accepted</v>
      </c>
      <c r="W51" s="209">
        <f>IFERROR(VLOOKUP(CONCATENATE($A51,"_",W$1),SP_ACQ_Lib[],MATCH(W$2,SP_ACQ_Lib[#Headers],0),FALSE),0)</f>
        <v>0</v>
      </c>
      <c r="X51" s="250">
        <f>IFERROR(VLOOKUP($A51,SP_AcqTract_DB[],MATCH(X$2,SP_AcqTract_DB[#Headers],0),FALSE),"")</f>
        <v>43693</v>
      </c>
      <c r="Y51" s="237">
        <f>IFERROR(VLOOKUP($A51,SP_AcqTract_DB[],MATCH(Y$2,SP_AcqTract_DB[#Headers],0),FALSE),"")</f>
        <v>0.19240128558310399</v>
      </c>
      <c r="Z51" s="229">
        <f>IFERROR(VLOOKUP($A51,SP_AcqTract_DB[],MATCH(Z$2,SP_AcqTract_DB[#Headers],0),FALSE),"")</f>
        <v>8381</v>
      </c>
      <c r="AA51" s="229" t="str">
        <f>IFERROR(VLOOKUP($A51,SP_AcqTract_DB[],MATCH(AA$2,SP_AcqTract_DB[#Headers],0),FALSE),"")</f>
        <v>Yes</v>
      </c>
      <c r="AB51" s="250">
        <f>IFERROR(IF(VLOOKUP(CONCATENATE($A51,"_",AB$1),SP_ACQ_Lib[],MATCH(AB$2,SP_ACQ_Lib[#Headers],0),FALSE)=0,"",VLOOKUP(CONCATENATE($A51,"_",AB$1),SP_ACQ_Lib[],MATCH(AB$2,SP_ACQ_Lib[#Headers],0),FALSE)),"")</f>
        <v>43868</v>
      </c>
      <c r="AC51" s="250">
        <f>IFERROR(IF(VLOOKUP(CONCATENATE($A51,"_",AC$1),SP_ACQ_Lib[],MATCH(AC$2,SP_ACQ_Lib[#Headers],0),FALSE)=0,"",VLOOKUP(CONCATENATE($A51,"_",AC$1),SP_ACQ_Lib[],MATCH(AC$2,SP_ACQ_Lib[#Headers],0),FALSE)),"")</f>
        <v>43886</v>
      </c>
      <c r="AD51" s="229" t="str">
        <f>IFERROR(VLOOKUP($A51,SP_AcqTract_DB[],MATCH(AD$2,SP_AcqTract_DB[#Headers],0),FALSE),"")</f>
        <v>Yes</v>
      </c>
      <c r="AE51" s="250">
        <f>IFERROR(IF(VLOOKUP(CONCATENATE($A51,"_",AE$1),SP_ACQ_Lib[],MATCH(AE$2,SP_ACQ_Lib[#Headers],0),FALSE)=0,"",VLOOKUP(CONCATENATE($A51,"_",AE$1),SP_ACQ_Lib[],MATCH(AE$2,SP_ACQ_Lib[#Headers],0),FALSE)),"")</f>
        <v>43812</v>
      </c>
      <c r="AF51" s="250">
        <f>IFERROR(IF(VLOOKUP(CONCATENATE($A51,"_",AF$1),SP_ACQ_Lib[],MATCH(AF$2,SP_ACQ_Lib[#Headers],0),FALSE)=0,"",VLOOKUP(CONCATENATE($A51,"_",AF$1),SP_ACQ_Lib[],MATCH(AF$2,SP_ACQ_Lib[#Headers],0),FALSE)),"")</f>
        <v>43965</v>
      </c>
      <c r="AG51" s="250" t="str">
        <f>IFERROR(IF(VLOOKUP(CONCATENATE($A51,"_",AG$1),SP_ACQ_Lib[],MATCH(AG$2,SP_ACQ_Lib[#Headers],0),FALSE)=0,"",VLOOKUP(CONCATENATE($A51,"_",AG$1),SP_ACQ_Lib[],MATCH(AG$2,SP_ACQ_Lib[#Headers],0),FALSE)),"")</f>
        <v/>
      </c>
      <c r="AH51" s="250">
        <f>IFERROR(IF(VLOOKUP(CONCATENATE($A51,"_",AH$1),SP_ACQ_Lib[],MATCH(AH$2,SP_ACQ_Lib[#Headers],0),FALSE)=0,"",VLOOKUP(CONCATENATE($A51,"_",AH$1),SP_ACQ_Lib[],MATCH(AH$2,SP_ACQ_Lib[#Headers],0),FALSE)),"")</f>
        <v>43685</v>
      </c>
      <c r="AI51" s="249" t="str">
        <f>IFERROR(IF(VLOOKUP(CONCATENATE($A51,"_",AI$1),SP_ACQ_Lib[],MATCH(AI$2,SP_ACQ_Lib[#Headers],0),FALSE)=0,"",VLOOKUP(CONCATENATE($A51,"_",AI$1),SP_ACQ_Lib[],MATCH(AI$2,SP_ACQ_Lib[#Headers],0),FALSE)),"")</f>
        <v/>
      </c>
      <c r="AJ51" s="249" t="str">
        <f>IFERROR(IF(VLOOKUP(CONCATENATE($A51,"_",AJ$1),SP_ACQ_Lib[],MATCH(AJ$2,SP_ACQ_Lib[#Headers],0),FALSE)=0,"",VLOOKUP(CONCATENATE($A51,"_",AJ$1),SP_ACQ_Lib[],MATCH(AJ$2,SP_ACQ_Lib[#Headers],0),FALSE)),"")</f>
        <v/>
      </c>
      <c r="AK51" s="249" t="str">
        <f>IFERROR(IF(VLOOKUP(CONCATENATE($A51,"_",AK$1),SP_ACQ_Lib[],MATCH(AK$2,SP_ACQ_Lib[#Headers],0),FALSE)=0,"",VLOOKUP(CONCATENATE($A51,"_",AK$1),SP_ACQ_Lib[],MATCH(AK$2,SP_ACQ_Lib[#Headers],0),FALSE)),"")</f>
        <v/>
      </c>
      <c r="AL51" s="249">
        <f>IFERROR(VLOOKUP($A51,SP_AcqTract_DB[],MATCH(AL$2,SP_AcqTract_DB[#Headers],0),FALSE),"")</f>
        <v>43965</v>
      </c>
      <c r="AM51" s="227" t="str">
        <f>IFERROR(VLOOKUP($A51,SP_AcqTract_DB[],MATCH(AM$2,SP_AcqTract_DB[#Headers],0),FALSE),"")</f>
        <v>David Ambrose</v>
      </c>
      <c r="AN51" s="227" t="str">
        <f>IFERROR(VLOOKUP($A51,SP_AcqTract_DB[],MATCH(AN$2,SP_AcqTract_DB[#Headers],0),FALSE),"")</f>
        <v>Lory Johnson, Atrium</v>
      </c>
      <c r="AO51" s="228">
        <f>IFERROR(VLOOKUP($A51,SP_AcqTract_DB[],MATCH(AO$2,SP_AcqTract_DB[#Headers],0),FALSE),"")</f>
        <v>0</v>
      </c>
      <c r="AP51" s="210">
        <f>IFERROR(VLOOKUP($A51,SP_AcqTract_DB[],MATCH(AP$2,SP_AcqTract_DB[#Headers],0),FALSE),"")</f>
        <v>0</v>
      </c>
      <c r="AQ51" s="252" t="str">
        <f>IFERROR(IF(VLOOKUP(CONCATENATE($A51,"_",AQ$1),SP_ACQ_Lib[],MATCH(AQ$2,SP_ACQ_Lib[#Headers],0),FALSE)=0,"",VLOOKUP(CONCATENATE($A51,"_",AQ$1),SP_ACQ_Lib[],MATCH(AQ$2,SP_ACQ_Lib[#Headers],0),FALSE)),"")</f>
        <v/>
      </c>
      <c r="AR51" s="250">
        <f>IFERROR(IF(VLOOKUP(CONCATENATE($A51,"_",AR$1),SP_ACQ_Lib[],MATCH(AR$2,SP_ACQ_Lib[#Headers],0),FALSE)=0,"",VLOOKUP(CONCATENATE($A51,"_",AR$1),SP_ACQ_Lib[],MATCH(AR$2,SP_ACQ_Lib[#Headers],0),FALSE)),"")</f>
        <v>43685</v>
      </c>
      <c r="AS51" s="249">
        <f>IFERROR(IF(VLOOKUP(CONCATENATE($A51,"_",AS$1),SP_ACQ_Lib[],MATCH(AS$2,SP_ACQ_Lib[#Headers],0),FALSE)=0,"",VLOOKUP(CONCATENATE($A51,"_",AS$1),SP_ACQ_Lib[],MATCH(AS$2,SP_ACQ_Lib[#Headers],0),FALSE)),"")</f>
        <v>43765</v>
      </c>
      <c r="AT51" s="251">
        <f>IFERROR(IF(VLOOKUP(CONCATENATE($A51,"_",AT$1),SP_ACQ_Lib[],MATCH(AT$2,SP_ACQ_Lib[#Headers],0),FALSE)=0,"",VLOOKUP(CONCATENATE($A51,"_",AT$1),SP_ACQ_Lib[],MATCH(AT$2,SP_ACQ_Lib[#Headers],0),FALSE)),"")</f>
        <v>43960</v>
      </c>
      <c r="AU51" s="251" t="str">
        <f>IFERROR(IF(VLOOKUP(CONCATENATE($A51,"_",AU$1),SP_ACQ_Lib[],MATCH(AU$2,SP_ACQ_Lib[#Headers],0),FALSE)=0,"",VLOOKUP(CONCATENATE($A51,"_",AU$1),SP_ACQ_Lib[],MATCH(AU$2,SP_ACQ_Lib[#Headers],0),FALSE)),"")</f>
        <v/>
      </c>
      <c r="AV51" s="225">
        <f>IFERROR(IF(VLOOKUP(CONCATENATE($A51,"_",AV$1),SP_ACQ_Lib[],MATCH(AV$2,SP_ACQ_Lib[#Headers],0),FALSE)=0,"",VLOOKUP(CONCATENATE($A51,"_",AV$1),SP_ACQ_Lib[],MATCH(AV$2,SP_ACQ_Lib[#Headers],0),FALSE)),"")</f>
        <v>15473</v>
      </c>
      <c r="AW51" s="251">
        <f>IFERROR(IF(VLOOKUP(CONCATENATE($A51,"_",AW$1),SP_ACQ_Lib[],MATCH(AW$2,SP_ACQ_Lib[#Headers],0),FALSE)=0,"",VLOOKUP(CONCATENATE($A51,"_",AW$1),SP_ACQ_Lib[],MATCH(AW$2,SP_ACQ_Lib[#Headers],0),FALSE)),"")</f>
        <v>44005</v>
      </c>
      <c r="AX51" s="251">
        <f>IFERROR(IF(VLOOKUP(CONCATENATE($A51,"_",AX$1),SP_ACQ_Lib[],MATCH(AX$2,SP_ACQ_Lib[#Headers],0),FALSE)=0,"",VLOOKUP(CONCATENATE($A51,"_",AX$1),SP_ACQ_Lib[],MATCH(AX$2,SP_ACQ_Lib[#Headers],0),FALSE)),"")</f>
        <v>44005</v>
      </c>
      <c r="AY51" s="251">
        <f>IFERROR(IF(VLOOKUP(CONCATENATE($A51,"_",AY$1),SP_ACQ_Lib[],MATCH(AY$2,SP_ACQ_Lib[#Headers],0),FALSE)=0,"",VLOOKUP(CONCATENATE($A51,"_",AY$1),SP_ACQ_Lib[],MATCH(AY$2,SP_ACQ_Lib[#Headers],0),FALSE)),"")</f>
        <v>44005</v>
      </c>
      <c r="AZ51" s="251" t="str">
        <f>IFERROR(IF(VLOOKUP(CONCATENATE($A51,"_",AZ$1),SP_ACQ_Lib[],MATCH(AZ$2,SP_ACQ_Lib[#Headers],0),FALSE)=0,"",VLOOKUP(CONCATENATE($A51,"_",AZ$1),SP_ACQ_Lib[],MATCH(AZ$2,SP_ACQ_Lib[#Headers],0),FALSE)),"")</f>
        <v/>
      </c>
      <c r="BA51" s="251" t="str">
        <f>IFERROR(IF(VLOOKUP(CONCATENATE($A51,"_",BA$1),SP_ACQ_Lib[],MATCH(BA$2,SP_ACQ_Lib[#Headers],0),FALSE)=0,"",VLOOKUP(CONCATENATE($A51,"_",BA$1),SP_ACQ_Lib[],MATCH(BA$2,SP_ACQ_Lib[#Headers],0),FALSE)),"")</f>
        <v/>
      </c>
      <c r="BB51" s="224">
        <f>IFERROR(VLOOKUP(CONCATENATE($A51,"_",BB$1),SP_ACQ_Lib[],MATCH(BB$2,SP_ACQ_Lib[#Headers],0),FALSE),0)</f>
        <v>0</v>
      </c>
      <c r="BC51" s="231">
        <f>IFERROR(VLOOKUP($A51,SP_AcqTract_DB[],MATCH(BC$2,SP_AcqTract_DB[#Headers],0),FALSE),"")</f>
        <v>44006</v>
      </c>
      <c r="BD51" s="231">
        <f>IFERROR(VLOOKUP($A51,SP_AcqTract_DB[],MATCH(BD$2,SP_AcqTract_DB[#Headers],0),FALSE),"")</f>
        <v>0</v>
      </c>
      <c r="BE51" s="249" t="str">
        <f>IFERROR(IF(VLOOKUP(CONCATENATE($A51,"_",BE$1),SP_ACQ_Lib[],MATCH(BE$2,SP_ACQ_Lib[#Headers],0),FALSE)=0,"",VLOOKUP(CONCATENATE($A51,"_",BE$1),SP_ACQ_Lib[],MATCH(BE$2,SP_ACQ_Lib[#Headers],0),FALSE)),"")</f>
        <v/>
      </c>
      <c r="BF51" s="249" t="str">
        <f>IFERROR(IF(VLOOKUP(CONCATENATE($A51,"_",BF$1),SP_ACQ_Lib[],MATCH(BF$2,SP_ACQ_Lib[#Headers],0),FALSE)=0,"",VLOOKUP(CONCATENATE($A51,"_",BF$1),SP_ACQ_Lib[],MATCH(BF$2,SP_ACQ_Lib[#Headers],0),FALSE)),"")</f>
        <v/>
      </c>
      <c r="BG51" s="249" t="str">
        <f>IFERROR(IF(VLOOKUP(CONCATENATE($A51,"_",BG$1),SP_ACQ_Lib[],MATCH(BG$2,SP_ACQ_Lib[#Headers],0),FALSE)=0,"",VLOOKUP(CONCATENATE($A51,"_",BG$1),SP_ACQ_Lib[],MATCH(BG$2,SP_ACQ_Lib[#Headers],0),FALSE)),"")</f>
        <v/>
      </c>
      <c r="BH51" s="249" t="str">
        <f>IFERROR(IF(VLOOKUP(CONCATENATE($A51,"_",BH$1),SP_ACQ_Lib[],MATCH(BH$2,SP_ACQ_Lib[#Headers],0),FALSE)=0,"",VLOOKUP(CONCATENATE($A51,"_",BH$1),SP_ACQ_Lib[],MATCH(BH$2,SP_ACQ_Lib[#Headers],0),FALSE)),"")</f>
        <v/>
      </c>
      <c r="BI51" s="249" t="str">
        <f>IFERROR(IF(VLOOKUP(CONCATENATE($A51,"_",BI$1),SP_ACQ_Lib[],MATCH(BI$2,SP_ACQ_Lib[#Headers],0),FALSE)=0,"",VLOOKUP(CONCATENATE($A51,"_",BI$1),SP_ACQ_Lib[],MATCH(BI$2,SP_ACQ_Lib[#Headers],0),FALSE)),"")</f>
        <v/>
      </c>
      <c r="BJ51" s="249" t="str">
        <f>IFERROR(IF(VLOOKUP(CONCATENATE($A51,"_",BJ$1),SP_ACQ_Lib[],MATCH(BJ$2,SP_ACQ_Lib[#Headers],0),FALSE)=0,"",VLOOKUP(CONCATENATE($A51,"_",BJ$1),SP_ACQ_Lib[],MATCH(BJ$2,SP_ACQ_Lib[#Headers],0),FALSE)),"")</f>
        <v/>
      </c>
      <c r="BK51" s="250">
        <f>IFERROR(IF(VLOOKUP(CONCATENATE($A51,"_",BK$1),SP_ACQ_Lib[],MATCH(BK$2,SP_ACQ_Lib[#Headers],0),FALSE)=0,"",VLOOKUP(CONCATENATE($A51,"_",BK$1),SP_ACQ_Lib[],MATCH(BK$2,SP_ACQ_Lib[#Headers],0),FALSE)),"")</f>
        <v>43748</v>
      </c>
      <c r="BL51" s="249" t="str">
        <f>IFERROR(IF(VLOOKUP(CONCATENATE($A51,"_",BL$1),SP_ACQ_Lib[],MATCH(BL$2,SP_ACQ_Lib[#Headers],0),FALSE)=0,"",VLOOKUP(CONCATENATE($A51,"_",BL$1),SP_ACQ_Lib[],MATCH(BL$2,SP_ACQ_Lib[#Headers],0),FALSE)),"")</f>
        <v/>
      </c>
      <c r="BM51" s="249" t="str">
        <f>IFERROR(IF(VLOOKUP(CONCATENATE($A51,"_",BM$1),SP_ACQ_Lib[],MATCH(BM$2,SP_ACQ_Lib[#Headers],0),FALSE)=0,"",VLOOKUP(CONCATENATE($A51,"_",BM$1),SP_ACQ_Lib[],MATCH(BM$2,SP_ACQ_Lib[#Headers],0),FALSE)),"")</f>
        <v/>
      </c>
      <c r="BN51" s="249" t="str">
        <f>IFERROR(IF(VLOOKUP(CONCATENATE($A51,"_",BN$1),SP_ACQ_Lib[],MATCH(BN$2,SP_ACQ_Lib[#Headers],0),FALSE)=0,"",VLOOKUP(CONCATENATE($A51,"_",BN$1),SP_ACQ_Lib[],MATCH(BN$2,SP_ACQ_Lib[#Headers],0),FALSE)),"")</f>
        <v/>
      </c>
    </row>
    <row r="52" spans="1:66" s="226" customFormat="1" ht="25.5" x14ac:dyDescent="0.2">
      <c r="A52" s="192" t="s">
        <v>54</v>
      </c>
      <c r="B52" s="227" t="str">
        <f>IFERROR(VLOOKUP($A52,SP_AcqTract_DB[],MATCH(B$2,SP_AcqTract_DB[#Headers],0),FALSE),"")</f>
        <v>R013043</v>
      </c>
      <c r="C52" s="228" t="str">
        <f>IFERROR(VLOOKUP($A52,SP_AcqTract_DB[],MATCH(C$2,SP_AcqTract_DB[#Headers],0),FALSE),"")</f>
        <v>PH1</v>
      </c>
      <c r="D52" s="208" t="str">
        <f>IFERROR(VLOOKUP($A52,SP_AcqTract_DB[],MATCH(D$2,SP_AcqTract_DB[#Headers],0),FALSE),"")</f>
        <v>Active</v>
      </c>
      <c r="E52" s="208">
        <f>IFERROR(VLOOKUP($A52,SP_AcqTract_DB[],MATCH(E$2,SP_AcqTract_DB[#Headers],0),FALSE),"")</f>
        <v>1</v>
      </c>
      <c r="F52" s="227" t="str">
        <f>IFERROR(VLOOKUP($A52,SP_AcqTract_DB[],MATCH(F$2,SP_AcqTract_DB[#Headers],0),FALSE),"")</f>
        <v>Flowage Esmt</v>
      </c>
      <c r="G52" s="227" t="str">
        <f>IFERROR(VLOOKUP($A52,SP_AcqTract_DB[],MATCH(G$2,SP_AcqTract_DB[#Headers],0),FALSE),"")</f>
        <v>Melissa DeLeon</v>
      </c>
      <c r="H52" s="250">
        <f>IFERROR(IF(VLOOKUP(CONCATENATE($A52,"_",H$1),SP_ACQ_Lib[],MATCH(H$2,SP_ACQ_Lib[#Headers],0),FALSE)=0,"",VLOOKUP(CONCATENATE($A52,"_",H$1),SP_ACQ_Lib[],MATCH(H$2,SP_ACQ_Lib[#Headers],0),FALSE)),"")</f>
        <v>44022.693356481483</v>
      </c>
      <c r="I52" s="227" t="str">
        <f>IFERROR(VLOOKUP($A52,SP_AcqTract_DB[],MATCH(I$2,SP_AcqTract_DB[#Headers],0),FALSE),"")</f>
        <v>Israel Cruz</v>
      </c>
      <c r="J52" s="227">
        <f>IFERROR(VLOOKUP($A52,SP_AcqTract_DB[],MATCH(J$2,SP_AcqTract_DB[#Headers],0),FALSE),"")</f>
        <v>0</v>
      </c>
      <c r="K52" s="227" t="str">
        <f>IFERROR(VLOOKUP($A52,SP_AcqTract_DB[],MATCH(K$2,SP_AcqTract_DB[#Headers],0),FALSE),"")</f>
        <v>Israel Cruz</v>
      </c>
      <c r="L52" s="227" t="str">
        <f>IFERROR(VLOOKUP($A52,SP_AcqTract_DB[],MATCH(L$2,SP_AcqTract_DB[#Headers],0),FALSE),"")</f>
        <v>1213 Ebbtide Cove</v>
      </c>
      <c r="M52" s="208" t="str">
        <f>IFERROR(VLOOKUP($A52,SP_AcqTract_DB[],MATCH(M$2,SP_AcqTract_DB[#Headers],0),FALSE),"")</f>
        <v>College Station, TX  77845</v>
      </c>
      <c r="N52" s="227" t="str">
        <f>IFERROR(VLOOKUP($A52,SP_AcqTract_DB[],MATCH(N$2,SP_AcqTract_DB[#Headers],0),FALSE),"")</f>
        <v>509 Bell Street</v>
      </c>
      <c r="O52" s="220" t="str">
        <f>IFERROR(VLOOKUP($A52,SP_AcqTract_DB[],MATCH(O$2,SP_AcqTract_DB[#Headers],0),FALSE),"")</f>
        <v>Public Utilities Easements</v>
      </c>
      <c r="P52" s="220">
        <f>IFERROR(VLOOKUP($A52,SP_AcqTract_DB[],MATCH(P$2,SP_AcqTract_DB[#Headers],0),FALSE),"")</f>
        <v>0</v>
      </c>
      <c r="Q52" s="208" t="str">
        <f>IFERROR(VLOOKUP($A52,SP_AcqTract_DB[],MATCH(Q$2,SP_AcqTract_DB[#Headers],0),FALSE),"")</f>
        <v>2019-0836</v>
      </c>
      <c r="R52" s="250">
        <f>IFERROR(IF(VLOOKUP(CONCATENATE($A52,"_",R$1),SP_ACQ_Lib[],MATCH(R$2,SP_ACQ_Lib[#Headers],0),FALSE)=0,"",VLOOKUP(CONCATENATE($A52,"_",R$1),SP_ACQ_Lib[],MATCH(R$2,SP_ACQ_Lib[#Headers],0),FALSE)),"")</f>
        <v>43986</v>
      </c>
      <c r="S52" s="253">
        <f>IFERROR(IF(VLOOKUP(CONCATENATE($A52,"_",S$1),SP_ACQ_Lib[],MATCH(S$2,SP_ACQ_Lib[#Headers],0),FALSE)=0,"",VLOOKUP(CONCATENATE($A52,"_",S$1),SP_ACQ_Lib[],MATCH(S$2,SP_ACQ_Lib[#Headers],0),FALSE)),"")</f>
        <v>43994</v>
      </c>
      <c r="T52" s="205" t="str">
        <f>IFERROR(VLOOKUP(CONCATENATE($A52,"_",T$1),SP_ACQ_Lib[],MATCH(T$2,SP_ACQ_Lib[#Headers],0),FALSE),0)</f>
        <v>Accepted</v>
      </c>
      <c r="U52" s="250">
        <f>IFERROR(IF(VLOOKUP(CONCATENATE($A52,"_",U$1),SP_ACQ_Lib[],MATCH(U$2,SP_ACQ_Lib[#Headers],0),FALSE)=0,"",VLOOKUP(CONCATENATE($A52,"_",U$1),SP_ACQ_Lib[],MATCH(U$2,SP_ACQ_Lib[#Headers],0),FALSE)),"")</f>
        <v>43805</v>
      </c>
      <c r="V52" s="205" t="str">
        <f>IFERROR(VLOOKUP(CONCATENATE($A52,"_",V$1),SP_ACQ_Lib[],MATCH(V$2,SP_ACQ_Lib[#Headers],0),FALSE),0)</f>
        <v>Accepted</v>
      </c>
      <c r="W52" s="209">
        <f>IFERROR(VLOOKUP(CONCATENATE($A52,"_",W$1),SP_ACQ_Lib[],MATCH(W$2,SP_ACQ_Lib[#Headers],0),FALSE),0)</f>
        <v>0</v>
      </c>
      <c r="X52" s="250">
        <f>IFERROR(VLOOKUP($A52,SP_AcqTract_DB[],MATCH(X$2,SP_AcqTract_DB[#Headers],0),FALSE),"")</f>
        <v>0</v>
      </c>
      <c r="Y52" s="237">
        <f>IFERROR(VLOOKUP($A52,SP_AcqTract_DB[],MATCH(Y$2,SP_AcqTract_DB[#Headers],0),FALSE),"")</f>
        <v>0.34377869605142303</v>
      </c>
      <c r="Z52" s="229">
        <f>IFERROR(VLOOKUP($A52,SP_AcqTract_DB[],MATCH(Z$2,SP_AcqTract_DB[#Headers],0),FALSE),"")</f>
        <v>14975</v>
      </c>
      <c r="AA52" s="229" t="str">
        <f>IFERROR(VLOOKUP($A52,SP_AcqTract_DB[],MATCH(AA$2,SP_AcqTract_DB[#Headers],0),FALSE),"")</f>
        <v>Yes</v>
      </c>
      <c r="AB52" s="250">
        <f>IFERROR(IF(VLOOKUP(CONCATENATE($A52,"_",AB$1),SP_ACQ_Lib[],MATCH(AB$2,SP_ACQ_Lib[#Headers],0),FALSE)=0,"",VLOOKUP(CONCATENATE($A52,"_",AB$1),SP_ACQ_Lib[],MATCH(AB$2,SP_ACQ_Lib[#Headers],0),FALSE)),"")</f>
        <v>43735</v>
      </c>
      <c r="AC52" s="250">
        <f>IFERROR(IF(VLOOKUP(CONCATENATE($A52,"_",AC$1),SP_ACQ_Lib[],MATCH(AC$2,SP_ACQ_Lib[#Headers],0),FALSE)=0,"",VLOOKUP(CONCATENATE($A52,"_",AC$1),SP_ACQ_Lib[],MATCH(AC$2,SP_ACQ_Lib[#Headers],0),FALSE)),"")</f>
        <v>43886</v>
      </c>
      <c r="AD52" s="229" t="str">
        <f>IFERROR(VLOOKUP($A52,SP_AcqTract_DB[],MATCH(AD$2,SP_AcqTract_DB[#Headers],0),FALSE),"")</f>
        <v>Yes</v>
      </c>
      <c r="AE52" s="250">
        <f>IFERROR(IF(VLOOKUP(CONCATENATE($A52,"_",AE$1),SP_ACQ_Lib[],MATCH(AE$2,SP_ACQ_Lib[#Headers],0),FALSE)=0,"",VLOOKUP(CONCATENATE($A52,"_",AE$1),SP_ACQ_Lib[],MATCH(AE$2,SP_ACQ_Lib[#Headers],0),FALSE)),"")</f>
        <v>43735</v>
      </c>
      <c r="AF52" s="250">
        <f>IFERROR(IF(VLOOKUP(CONCATENATE($A52,"_",AF$1),SP_ACQ_Lib[],MATCH(AF$2,SP_ACQ_Lib[#Headers],0),FALSE)=0,"",VLOOKUP(CONCATENATE($A52,"_",AF$1),SP_ACQ_Lib[],MATCH(AF$2,SP_ACQ_Lib[#Headers],0),FALSE)),"")</f>
        <v>43948</v>
      </c>
      <c r="AG52" s="250">
        <f>IFERROR(IF(VLOOKUP(CONCATENATE($A52,"_",AG$1),SP_ACQ_Lib[],MATCH(AG$2,SP_ACQ_Lib[#Headers],0),FALSE)=0,"",VLOOKUP(CONCATENATE($A52,"_",AG$1),SP_ACQ_Lib[],MATCH(AG$2,SP_ACQ_Lib[#Headers],0),FALSE)),"")</f>
        <v>43691</v>
      </c>
      <c r="AH52" s="250">
        <f>IFERROR(IF(VLOOKUP(CONCATENATE($A52,"_",AH$1),SP_ACQ_Lib[],MATCH(AH$2,SP_ACQ_Lib[#Headers],0),FALSE)=0,"",VLOOKUP(CONCATENATE($A52,"_",AH$1),SP_ACQ_Lib[],MATCH(AH$2,SP_ACQ_Lib[#Headers],0),FALSE)),"")</f>
        <v>43718</v>
      </c>
      <c r="AI52" s="249" t="str">
        <f>IFERROR(IF(VLOOKUP(CONCATENATE($A52,"_",AI$1),SP_ACQ_Lib[],MATCH(AI$2,SP_ACQ_Lib[#Headers],0),FALSE)=0,"",VLOOKUP(CONCATENATE($A52,"_",AI$1),SP_ACQ_Lib[],MATCH(AI$2,SP_ACQ_Lib[#Headers],0),FALSE)),"")</f>
        <v/>
      </c>
      <c r="AJ52" s="249" t="str">
        <f>IFERROR(IF(VLOOKUP(CONCATENATE($A52,"_",AJ$1),SP_ACQ_Lib[],MATCH(AJ$2,SP_ACQ_Lib[#Headers],0),FALSE)=0,"",VLOOKUP(CONCATENATE($A52,"_",AJ$1),SP_ACQ_Lib[],MATCH(AJ$2,SP_ACQ_Lib[#Headers],0),FALSE)),"")</f>
        <v/>
      </c>
      <c r="AK52" s="249" t="str">
        <f>IFERROR(IF(VLOOKUP(CONCATENATE($A52,"_",AK$1),SP_ACQ_Lib[],MATCH(AK$2,SP_ACQ_Lib[#Headers],0),FALSE)=0,"",VLOOKUP(CONCATENATE($A52,"_",AK$1),SP_ACQ_Lib[],MATCH(AK$2,SP_ACQ_Lib[#Headers],0),FALSE)),"")</f>
        <v/>
      </c>
      <c r="AL52" s="249">
        <f>IFERROR(VLOOKUP($A52,SP_AcqTract_DB[],MATCH(AL$2,SP_AcqTract_DB[#Headers],0),FALSE),"")</f>
        <v>43950</v>
      </c>
      <c r="AM52" s="227" t="str">
        <f>IFERROR(VLOOKUP($A52,SP_AcqTract_DB[],MATCH(AM$2,SP_AcqTract_DB[#Headers],0),FALSE),"")</f>
        <v>Cameron Boone</v>
      </c>
      <c r="AN52" s="227" t="str">
        <f>IFERROR(VLOOKUP($A52,SP_AcqTract_DB[],MATCH(AN$2,SP_AcqTract_DB[#Headers],0),FALSE),"")</f>
        <v>Richard McGee</v>
      </c>
      <c r="AO52" s="228" t="str">
        <f>IFERROR(VLOOKUP($A52,SP_AcqTract_DB[],MATCH(AO$2,SP_AcqTract_DB[#Headers],0),FALSE),"")</f>
        <v>Yes</v>
      </c>
      <c r="AP52" s="210" t="str">
        <f>IFERROR(VLOOKUP($A52,SP_AcqTract_DB[],MATCH(AP$2,SP_AcqTract_DB[#Headers],0),FALSE),"")</f>
        <v>R</v>
      </c>
      <c r="AQ52" s="252" t="str">
        <f>IFERROR(IF(VLOOKUP(CONCATENATE($A52,"_",AQ$1),SP_ACQ_Lib[],MATCH(AQ$2,SP_ACQ_Lib[#Headers],0),FALSE)=0,"",VLOOKUP(CONCATENATE($A52,"_",AQ$1),SP_ACQ_Lib[],MATCH(AQ$2,SP_ACQ_Lib[#Headers],0),FALSE)),"")</f>
        <v/>
      </c>
      <c r="AR52" s="250" t="str">
        <f>IFERROR(IF(VLOOKUP(CONCATENATE($A52,"_",AR$1),SP_ACQ_Lib[],MATCH(AR$2,SP_ACQ_Lib[#Headers],0),FALSE)=0,"",VLOOKUP(CONCATENATE($A52,"_",AR$1),SP_ACQ_Lib[],MATCH(AR$2,SP_ACQ_Lib[#Headers],0),FALSE)),"")</f>
        <v/>
      </c>
      <c r="AS52" s="249">
        <f>IFERROR(IF(VLOOKUP(CONCATENATE($A52,"_",AS$1),SP_ACQ_Lib[],MATCH(AS$2,SP_ACQ_Lib[#Headers],0),FALSE)=0,"",VLOOKUP(CONCATENATE($A52,"_",AS$1),SP_ACQ_Lib[],MATCH(AS$2,SP_ACQ_Lib[#Headers],0),FALSE)),"")</f>
        <v>43765</v>
      </c>
      <c r="AT52" s="251">
        <f>IFERROR(IF(VLOOKUP(CONCATENATE($A52,"_",AT$1),SP_ACQ_Lib[],MATCH(AT$2,SP_ACQ_Lib[#Headers],0),FALSE)=0,"",VLOOKUP(CONCATENATE($A52,"_",AT$1),SP_ACQ_Lib[],MATCH(AT$2,SP_ACQ_Lib[#Headers],0),FALSE)),"")</f>
        <v>43912</v>
      </c>
      <c r="AU52" s="251">
        <f>IFERROR(IF(VLOOKUP(CONCATENATE($A52,"_",AU$1),SP_ACQ_Lib[],MATCH(AU$2,SP_ACQ_Lib[#Headers],0),FALSE)=0,"",VLOOKUP(CONCATENATE($A52,"_",AU$1),SP_ACQ_Lib[],MATCH(AU$2,SP_ACQ_Lib[#Headers],0),FALSE)),"")</f>
        <v>43992</v>
      </c>
      <c r="AV52" s="225">
        <f>IFERROR(IF(VLOOKUP(CONCATENATE($A52,"_",AV$1),SP_ACQ_Lib[],MATCH(AV$2,SP_ACQ_Lib[#Headers],0),FALSE)=0,"",VLOOKUP(CONCATENATE($A52,"_",AV$1),SP_ACQ_Lib[],MATCH(AV$2,SP_ACQ_Lib[#Headers],0),FALSE)),"")</f>
        <v>155200</v>
      </c>
      <c r="AW52" s="251">
        <f>IFERROR(IF(VLOOKUP(CONCATENATE($A52,"_",AW$1),SP_ACQ_Lib[],MATCH(AW$2,SP_ACQ_Lib[#Headers],0),FALSE)=0,"",VLOOKUP(CONCATENATE($A52,"_",AW$1),SP_ACQ_Lib[],MATCH(AW$2,SP_ACQ_Lib[#Headers],0),FALSE)),"")</f>
        <v>43997</v>
      </c>
      <c r="AX52" s="251">
        <f>IFERROR(IF(VLOOKUP(CONCATENATE($A52,"_",AX$1),SP_ACQ_Lib[],MATCH(AX$2,SP_ACQ_Lib[#Headers],0),FALSE)=0,"",VLOOKUP(CONCATENATE($A52,"_",AX$1),SP_ACQ_Lib[],MATCH(AX$2,SP_ACQ_Lib[#Headers],0),FALSE)),"")</f>
        <v>43997</v>
      </c>
      <c r="AY52" s="251">
        <f>IFERROR(IF(VLOOKUP(CONCATENATE($A52,"_",AY$1),SP_ACQ_Lib[],MATCH(AY$2,SP_ACQ_Lib[#Headers],0),FALSE)=0,"",VLOOKUP(CONCATENATE($A52,"_",AY$1),SP_ACQ_Lib[],MATCH(AY$2,SP_ACQ_Lib[#Headers],0),FALSE)),"")</f>
        <v>43997</v>
      </c>
      <c r="AZ52" s="251">
        <f>IFERROR(IF(VLOOKUP(CONCATENATE($A52,"_",AZ$1),SP_ACQ_Lib[],MATCH(AZ$2,SP_ACQ_Lib[#Headers],0),FALSE)=0,"",VLOOKUP(CONCATENATE($A52,"_",AZ$1),SP_ACQ_Lib[],MATCH(AZ$2,SP_ACQ_Lib[#Headers],0),FALSE)),"")</f>
        <v>44012</v>
      </c>
      <c r="BA52" s="251">
        <f>IFERROR(IF(VLOOKUP(CONCATENATE($A52,"_",BA$1),SP_ACQ_Lib[],MATCH(BA$2,SP_ACQ_Lib[#Headers],0),FALSE)=0,"",VLOOKUP(CONCATENATE($A52,"_",BA$1),SP_ACQ_Lib[],MATCH(BA$2,SP_ACQ_Lib[#Headers],0),FALSE)),"")</f>
        <v>44012</v>
      </c>
      <c r="BB52" s="224">
        <f>IFERROR(VLOOKUP(CONCATENATE($A52,"_",BB$1),SP_ACQ_Lib[],MATCH(BB$2,SP_ACQ_Lib[#Headers],0),FALSE),0)</f>
        <v>0</v>
      </c>
      <c r="BC52" s="231">
        <f>IFERROR(VLOOKUP($A52,SP_AcqTract_DB[],MATCH(BC$2,SP_AcqTract_DB[#Headers],0),FALSE),"")</f>
        <v>44012</v>
      </c>
      <c r="BD52" s="231">
        <f>IFERROR(VLOOKUP($A52,SP_AcqTract_DB[],MATCH(BD$2,SP_AcqTract_DB[#Headers],0),FALSE),"")</f>
        <v>0</v>
      </c>
      <c r="BE52" s="249">
        <f>IFERROR(IF(VLOOKUP(CONCATENATE($A52,"_",BE$1),SP_ACQ_Lib[],MATCH(BE$2,SP_ACQ_Lib[#Headers],0),FALSE)=0,"",VLOOKUP(CONCATENATE($A52,"_",BE$1),SP_ACQ_Lib[],MATCH(BE$2,SP_ACQ_Lib[#Headers],0),FALSE)),"")</f>
        <v>44018</v>
      </c>
      <c r="BF52" s="249">
        <f>IFERROR(IF(VLOOKUP(CONCATENATE($A52,"_",BF$1),SP_ACQ_Lib[],MATCH(BF$2,SP_ACQ_Lib[#Headers],0),FALSE)=0,"",VLOOKUP(CONCATENATE($A52,"_",BF$1),SP_ACQ_Lib[],MATCH(BF$2,SP_ACQ_Lib[#Headers],0),FALSE)),"")</f>
        <v>44020</v>
      </c>
      <c r="BG52" s="249" t="str">
        <f>IFERROR(IF(VLOOKUP(CONCATENATE($A52,"_",BG$1),SP_ACQ_Lib[],MATCH(BG$2,SP_ACQ_Lib[#Headers],0),FALSE)=0,"",VLOOKUP(CONCATENATE($A52,"_",BG$1),SP_ACQ_Lib[],MATCH(BG$2,SP_ACQ_Lib[#Headers],0),FALSE)),"")</f>
        <v/>
      </c>
      <c r="BH52" s="249" t="str">
        <f>IFERROR(IF(VLOOKUP(CONCATENATE($A52,"_",BH$1),SP_ACQ_Lib[],MATCH(BH$2,SP_ACQ_Lib[#Headers],0),FALSE)=0,"",VLOOKUP(CONCATENATE($A52,"_",BH$1),SP_ACQ_Lib[],MATCH(BH$2,SP_ACQ_Lib[#Headers],0),FALSE)),"")</f>
        <v/>
      </c>
      <c r="BI52" s="249" t="str">
        <f>IFERROR(IF(VLOOKUP(CONCATENATE($A52,"_",BI$1),SP_ACQ_Lib[],MATCH(BI$2,SP_ACQ_Lib[#Headers],0),FALSE)=0,"",VLOOKUP(CONCATENATE($A52,"_",BI$1),SP_ACQ_Lib[],MATCH(BI$2,SP_ACQ_Lib[#Headers],0),FALSE)),"")</f>
        <v/>
      </c>
      <c r="BJ52" s="249" t="str">
        <f>IFERROR(IF(VLOOKUP(CONCATENATE($A52,"_",BJ$1),SP_ACQ_Lib[],MATCH(BJ$2,SP_ACQ_Lib[#Headers],0),FALSE)=0,"",VLOOKUP(CONCATENATE($A52,"_",BJ$1),SP_ACQ_Lib[],MATCH(BJ$2,SP_ACQ_Lib[#Headers],0),FALSE)),"")</f>
        <v/>
      </c>
      <c r="BK52" s="250">
        <f>IFERROR(IF(VLOOKUP(CONCATENATE($A52,"_",BK$1),SP_ACQ_Lib[],MATCH(BK$2,SP_ACQ_Lib[#Headers],0),FALSE)=0,"",VLOOKUP(CONCATENATE($A52,"_",BK$1),SP_ACQ_Lib[],MATCH(BK$2,SP_ACQ_Lib[#Headers],0),FALSE)),"")</f>
        <v>43748</v>
      </c>
      <c r="BL52" s="249" t="str">
        <f>IFERROR(IF(VLOOKUP(CONCATENATE($A52,"_",BL$1),SP_ACQ_Lib[],MATCH(BL$2,SP_ACQ_Lib[#Headers],0),FALSE)=0,"",VLOOKUP(CONCATENATE($A52,"_",BL$1),SP_ACQ_Lib[],MATCH(BL$2,SP_ACQ_Lib[#Headers],0),FALSE)),"")</f>
        <v/>
      </c>
      <c r="BM52" s="249" t="str">
        <f>IFERROR(IF(VLOOKUP(CONCATENATE($A52,"_",BM$1),SP_ACQ_Lib[],MATCH(BM$2,SP_ACQ_Lib[#Headers],0),FALSE)=0,"",VLOOKUP(CONCATENATE($A52,"_",BM$1),SP_ACQ_Lib[],MATCH(BM$2,SP_ACQ_Lib[#Headers],0),FALSE)),"")</f>
        <v/>
      </c>
      <c r="BN52" s="249" t="str">
        <f>IFERROR(IF(VLOOKUP(CONCATENATE($A52,"_",BN$1),SP_ACQ_Lib[],MATCH(BN$2,SP_ACQ_Lib[#Headers],0),FALSE)=0,"",VLOOKUP(CONCATENATE($A52,"_",BN$1),SP_ACQ_Lib[],MATCH(BN$2,SP_ACQ_Lib[#Headers],0),FALSE)),"")</f>
        <v/>
      </c>
    </row>
    <row r="53" spans="1:66" s="226" customFormat="1" ht="25.5" x14ac:dyDescent="0.2">
      <c r="A53" s="192" t="s">
        <v>55</v>
      </c>
      <c r="B53" s="227" t="str">
        <f>IFERROR(VLOOKUP($A53,SP_AcqTract_DB[],MATCH(B$2,SP_AcqTract_DB[#Headers],0),FALSE),"")</f>
        <v>R013047</v>
      </c>
      <c r="C53" s="228" t="str">
        <f>IFERROR(VLOOKUP($A53,SP_AcqTract_DB[],MATCH(C$2,SP_AcqTract_DB[#Headers],0),FALSE),"")</f>
        <v>PH1</v>
      </c>
      <c r="D53" s="208" t="str">
        <f>IFERROR(VLOOKUP($A53,SP_AcqTract_DB[],MATCH(D$2,SP_AcqTract_DB[#Headers],0),FALSE),"")</f>
        <v>Active</v>
      </c>
      <c r="E53" s="208">
        <f>IFERROR(VLOOKUP($A53,SP_AcqTract_DB[],MATCH(E$2,SP_AcqTract_DB[#Headers],0),FALSE),"")</f>
        <v>1</v>
      </c>
      <c r="F53" s="227" t="str">
        <f>IFERROR(VLOOKUP($A53,SP_AcqTract_DB[],MATCH(F$2,SP_AcqTract_DB[#Headers],0),FALSE),"")</f>
        <v>Flowage Esmt</v>
      </c>
      <c r="G53" s="227" t="str">
        <f>IFERROR(VLOOKUP($A53,SP_AcqTract_DB[],MATCH(G$2,SP_AcqTract_DB[#Headers],0),FALSE),"")</f>
        <v>Lily Khan</v>
      </c>
      <c r="H53" s="250">
        <f>IFERROR(IF(VLOOKUP(CONCATENATE($A53,"_",H$1),SP_ACQ_Lib[],MATCH(H$2,SP_ACQ_Lib[#Headers],0),FALSE)=0,"",VLOOKUP(CONCATENATE($A53,"_",H$1),SP_ACQ_Lib[],MATCH(H$2,SP_ACQ_Lib[#Headers],0),FALSE)),"")</f>
        <v>43998.659837962965</v>
      </c>
      <c r="I53" s="227" t="str">
        <f>IFERROR(VLOOKUP($A53,SP_AcqTract_DB[],MATCH(I$2,SP_AcqTract_DB[#Headers],0),FALSE),"")</f>
        <v>Raymond Limas and Cindy Limas</v>
      </c>
      <c r="J53" s="227">
        <f>IFERROR(VLOOKUP($A53,SP_AcqTract_DB[],MATCH(J$2,SP_AcqTract_DB[#Headers],0),FALSE),"")</f>
        <v>0</v>
      </c>
      <c r="K53" s="227" t="str">
        <f>IFERROR(VLOOKUP($A53,SP_AcqTract_DB[],MATCH(K$2,SP_AcqTract_DB[#Headers],0),FALSE),"")</f>
        <v xml:space="preserve">Raymond Limas </v>
      </c>
      <c r="L53" s="227" t="str">
        <f>IFERROR(VLOOKUP($A53,SP_AcqTract_DB[],MATCH(L$2,SP_AcqTract_DB[#Headers],0),FALSE),"")</f>
        <v>616 S Sunset</v>
      </c>
      <c r="M53" s="208" t="str">
        <f>IFERROR(VLOOKUP($A53,SP_AcqTract_DB[],MATCH(M$2,SP_AcqTract_DB[#Headers],0),FALSE),"")</f>
        <v>Wharton, TX</v>
      </c>
      <c r="N53" s="227" t="str">
        <f>IFERROR(VLOOKUP($A53,SP_AcqTract_DB[],MATCH(N$2,SP_AcqTract_DB[#Headers],0),FALSE),"")</f>
        <v>0 Sunset</v>
      </c>
      <c r="O53" s="220">
        <f>IFERROR(VLOOKUP($A53,SP_AcqTract_DB[],MATCH(O$2,SP_AcqTract_DB[#Headers],0),FALSE),"")</f>
        <v>0</v>
      </c>
      <c r="P53" s="220">
        <f>IFERROR(VLOOKUP($A53,SP_AcqTract_DB[],MATCH(P$2,SP_AcqTract_DB[#Headers],0),FALSE),"")</f>
        <v>0</v>
      </c>
      <c r="Q53" s="208" t="str">
        <f>IFERROR(VLOOKUP($A53,SP_AcqTract_DB[],MATCH(Q$2,SP_AcqTract_DB[#Headers],0),FALSE),"")</f>
        <v>2019-0837</v>
      </c>
      <c r="R53" s="250">
        <f>IFERROR(IF(VLOOKUP(CONCATENATE($A53,"_",R$1),SP_ACQ_Lib[],MATCH(R$2,SP_ACQ_Lib[#Headers],0),FALSE)=0,"",VLOOKUP(CONCATENATE($A53,"_",R$1),SP_ACQ_Lib[],MATCH(R$2,SP_ACQ_Lib[#Headers],0),FALSE)),"")</f>
        <v>43986</v>
      </c>
      <c r="S53" s="253">
        <f>IFERROR(IF(VLOOKUP(CONCATENATE($A53,"_",S$1),SP_ACQ_Lib[],MATCH(S$2,SP_ACQ_Lib[#Headers],0),FALSE)=0,"",VLOOKUP(CONCATENATE($A53,"_",S$1),SP_ACQ_Lib[],MATCH(S$2,SP_ACQ_Lib[#Headers],0),FALSE)),"")</f>
        <v>43994</v>
      </c>
      <c r="T53" s="205" t="str">
        <f>IFERROR(VLOOKUP(CONCATENATE($A53,"_",T$1),SP_ACQ_Lib[],MATCH(T$2,SP_ACQ_Lib[#Headers],0),FALSE),0)</f>
        <v>Accepted</v>
      </c>
      <c r="U53" s="250">
        <f>IFERROR(IF(VLOOKUP(CONCATENATE($A53,"_",U$1),SP_ACQ_Lib[],MATCH(U$2,SP_ACQ_Lib[#Headers],0),FALSE)=0,"",VLOOKUP(CONCATENATE($A53,"_",U$1),SP_ACQ_Lib[],MATCH(U$2,SP_ACQ_Lib[#Headers],0),FALSE)),"")</f>
        <v>43812</v>
      </c>
      <c r="V53" s="205" t="str">
        <f>IFERROR(VLOOKUP(CONCATENATE($A53,"_",V$1),SP_ACQ_Lib[],MATCH(V$2,SP_ACQ_Lib[#Headers],0),FALSE),0)</f>
        <v>Accepted</v>
      </c>
      <c r="W53" s="209">
        <f>IFERROR(VLOOKUP(CONCATENATE($A53,"_",W$1),SP_ACQ_Lib[],MATCH(W$2,SP_ACQ_Lib[#Headers],0),FALSE),0)</f>
        <v>0</v>
      </c>
      <c r="X53" s="250">
        <f>IFERROR(VLOOKUP($A53,SP_AcqTract_DB[],MATCH(X$2,SP_AcqTract_DB[#Headers],0),FALSE),"")</f>
        <v>43693</v>
      </c>
      <c r="Y53" s="237">
        <f>IFERROR(VLOOKUP($A53,SP_AcqTract_DB[],MATCH(Y$2,SP_AcqTract_DB[#Headers],0),FALSE),"")</f>
        <v>9.6143250688705204E-2</v>
      </c>
      <c r="Z53" s="229">
        <f>IFERROR(VLOOKUP($A53,SP_AcqTract_DB[],MATCH(Z$2,SP_AcqTract_DB[#Headers],0),FALSE),"")</f>
        <v>4188</v>
      </c>
      <c r="AA53" s="229" t="str">
        <f>IFERROR(VLOOKUP($A53,SP_AcqTract_DB[],MATCH(AA$2,SP_AcqTract_DB[#Headers],0),FALSE),"")</f>
        <v>Yes</v>
      </c>
      <c r="AB53" s="250">
        <f>IFERROR(IF(VLOOKUP(CONCATENATE($A53,"_",AB$1),SP_ACQ_Lib[],MATCH(AB$2,SP_ACQ_Lib[#Headers],0),FALSE)=0,"",VLOOKUP(CONCATENATE($A53,"_",AB$1),SP_ACQ_Lib[],MATCH(AB$2,SP_ACQ_Lib[#Headers],0),FALSE)),"")</f>
        <v>43868</v>
      </c>
      <c r="AC53" s="250">
        <f>IFERROR(IF(VLOOKUP(CONCATENATE($A53,"_",AC$1),SP_ACQ_Lib[],MATCH(AC$2,SP_ACQ_Lib[#Headers],0),FALSE)=0,"",VLOOKUP(CONCATENATE($A53,"_",AC$1),SP_ACQ_Lib[],MATCH(AC$2,SP_ACQ_Lib[#Headers],0),FALSE)),"")</f>
        <v>43886</v>
      </c>
      <c r="AD53" s="229" t="str">
        <f>IFERROR(VLOOKUP($A53,SP_AcqTract_DB[],MATCH(AD$2,SP_AcqTract_DB[#Headers],0),FALSE),"")</f>
        <v>Yes</v>
      </c>
      <c r="AE53" s="250">
        <f>IFERROR(IF(VLOOKUP(CONCATENATE($A53,"_",AE$1),SP_ACQ_Lib[],MATCH(AE$2,SP_ACQ_Lib[#Headers],0),FALSE)=0,"",VLOOKUP(CONCATENATE($A53,"_",AE$1),SP_ACQ_Lib[],MATCH(AE$2,SP_ACQ_Lib[#Headers],0),FALSE)),"")</f>
        <v>43812</v>
      </c>
      <c r="AF53" s="250">
        <f>IFERROR(IF(VLOOKUP(CONCATENATE($A53,"_",AF$1),SP_ACQ_Lib[],MATCH(AF$2,SP_ACQ_Lib[#Headers],0),FALSE)=0,"",VLOOKUP(CONCATENATE($A53,"_",AF$1),SP_ACQ_Lib[],MATCH(AF$2,SP_ACQ_Lib[#Headers],0),FALSE)),"")</f>
        <v>43948</v>
      </c>
      <c r="AG53" s="250" t="str">
        <f>IFERROR(IF(VLOOKUP(CONCATENATE($A53,"_",AG$1),SP_ACQ_Lib[],MATCH(AG$2,SP_ACQ_Lib[#Headers],0),FALSE)=0,"",VLOOKUP(CONCATENATE($A53,"_",AG$1),SP_ACQ_Lib[],MATCH(AG$2,SP_ACQ_Lib[#Headers],0),FALSE)),"")</f>
        <v/>
      </c>
      <c r="AH53" s="250">
        <f>IFERROR(IF(VLOOKUP(CONCATENATE($A53,"_",AH$1),SP_ACQ_Lib[],MATCH(AH$2,SP_ACQ_Lib[#Headers],0),FALSE)=0,"",VLOOKUP(CONCATENATE($A53,"_",AH$1),SP_ACQ_Lib[],MATCH(AH$2,SP_ACQ_Lib[#Headers],0),FALSE)),"")</f>
        <v>43685</v>
      </c>
      <c r="AI53" s="249" t="str">
        <f>IFERROR(IF(VLOOKUP(CONCATENATE($A53,"_",AI$1),SP_ACQ_Lib[],MATCH(AI$2,SP_ACQ_Lib[#Headers],0),FALSE)=0,"",VLOOKUP(CONCATENATE($A53,"_",AI$1),SP_ACQ_Lib[],MATCH(AI$2,SP_ACQ_Lib[#Headers],0),FALSE)),"")</f>
        <v/>
      </c>
      <c r="AJ53" s="249" t="str">
        <f>IFERROR(IF(VLOOKUP(CONCATENATE($A53,"_",AJ$1),SP_ACQ_Lib[],MATCH(AJ$2,SP_ACQ_Lib[#Headers],0),FALSE)=0,"",VLOOKUP(CONCATENATE($A53,"_",AJ$1),SP_ACQ_Lib[],MATCH(AJ$2,SP_ACQ_Lib[#Headers],0),FALSE)),"")</f>
        <v/>
      </c>
      <c r="AK53" s="249" t="str">
        <f>IFERROR(IF(VLOOKUP(CONCATENATE($A53,"_",AK$1),SP_ACQ_Lib[],MATCH(AK$2,SP_ACQ_Lib[#Headers],0),FALSE)=0,"",VLOOKUP(CONCATENATE($A53,"_",AK$1),SP_ACQ_Lib[],MATCH(AK$2,SP_ACQ_Lib[#Headers],0),FALSE)),"")</f>
        <v/>
      </c>
      <c r="AL53" s="249">
        <f>IFERROR(VLOOKUP($A53,SP_AcqTract_DB[],MATCH(AL$2,SP_AcqTract_DB[#Headers],0),FALSE),"")</f>
        <v>43950</v>
      </c>
      <c r="AM53" s="227" t="str">
        <f>IFERROR(VLOOKUP($A53,SP_AcqTract_DB[],MATCH(AM$2,SP_AcqTract_DB[#Headers],0),FALSE),"")</f>
        <v>David Ambrose</v>
      </c>
      <c r="AN53" s="227" t="str">
        <f>IFERROR(VLOOKUP($A53,SP_AcqTract_DB[],MATCH(AN$2,SP_AcqTract_DB[#Headers],0),FALSE),"")</f>
        <v>Lory Johnson, Atrium</v>
      </c>
      <c r="AO53" s="228">
        <f>IFERROR(VLOOKUP($A53,SP_AcqTract_DB[],MATCH(AO$2,SP_AcqTract_DB[#Headers],0),FALSE),"")</f>
        <v>0</v>
      </c>
      <c r="AP53" s="210" t="str">
        <f>IFERROR(VLOOKUP($A53,SP_AcqTract_DB[],MATCH(AP$2,SP_AcqTract_DB[#Headers],0),FALSE),"")</f>
        <v>V</v>
      </c>
      <c r="AQ53" s="252" t="str">
        <f>IFERROR(IF(VLOOKUP(CONCATENATE($A53,"_",AQ$1),SP_ACQ_Lib[],MATCH(AQ$2,SP_ACQ_Lib[#Headers],0),FALSE)=0,"",VLOOKUP(CONCATENATE($A53,"_",AQ$1),SP_ACQ_Lib[],MATCH(AQ$2,SP_ACQ_Lib[#Headers],0),FALSE)),"")</f>
        <v/>
      </c>
      <c r="AR53" s="250">
        <f>IFERROR(IF(VLOOKUP(CONCATENATE($A53,"_",AR$1),SP_ACQ_Lib[],MATCH(AR$2,SP_ACQ_Lib[#Headers],0),FALSE)=0,"",VLOOKUP(CONCATENATE($A53,"_",AR$1),SP_ACQ_Lib[],MATCH(AR$2,SP_ACQ_Lib[#Headers],0),FALSE)),"")</f>
        <v>43685</v>
      </c>
      <c r="AS53" s="249">
        <f>IFERROR(IF(VLOOKUP(CONCATENATE($A53,"_",AS$1),SP_ACQ_Lib[],MATCH(AS$2,SP_ACQ_Lib[#Headers],0),FALSE)=0,"",VLOOKUP(CONCATENATE($A53,"_",AS$1),SP_ACQ_Lib[],MATCH(AS$2,SP_ACQ_Lib[#Headers],0),FALSE)),"")</f>
        <v>43765</v>
      </c>
      <c r="AT53" s="251">
        <f>IFERROR(IF(VLOOKUP(CONCATENATE($A53,"_",AT$1),SP_ACQ_Lib[],MATCH(AT$2,SP_ACQ_Lib[#Headers],0),FALSE)=0,"",VLOOKUP(CONCATENATE($A53,"_",AT$1),SP_ACQ_Lib[],MATCH(AT$2,SP_ACQ_Lib[#Headers],0),FALSE)),"")</f>
        <v>43960</v>
      </c>
      <c r="AU53" s="251" t="str">
        <f>IFERROR(IF(VLOOKUP(CONCATENATE($A53,"_",AU$1),SP_ACQ_Lib[],MATCH(AU$2,SP_ACQ_Lib[#Headers],0),FALSE)=0,"",VLOOKUP(CONCATENATE($A53,"_",AU$1),SP_ACQ_Lib[],MATCH(AU$2,SP_ACQ_Lib[#Headers],0),FALSE)),"")</f>
        <v/>
      </c>
      <c r="AV53" s="225">
        <f>IFERROR(IF(VLOOKUP(CONCATENATE($A53,"_",AV$1),SP_ACQ_Lib[],MATCH(AV$2,SP_ACQ_Lib[#Headers],0),FALSE)=0,"",VLOOKUP(CONCATENATE($A53,"_",AV$1),SP_ACQ_Lib[],MATCH(AV$2,SP_ACQ_Lib[#Headers],0),FALSE)),"")</f>
        <v>7896</v>
      </c>
      <c r="AW53" s="251">
        <f>IFERROR(IF(VLOOKUP(CONCATENATE($A53,"_",AW$1),SP_ACQ_Lib[],MATCH(AW$2,SP_ACQ_Lib[#Headers],0),FALSE)=0,"",VLOOKUP(CONCATENATE($A53,"_",AW$1),SP_ACQ_Lib[],MATCH(AW$2,SP_ACQ_Lib[#Headers],0),FALSE)),"")</f>
        <v>44006</v>
      </c>
      <c r="AX53" s="251">
        <f>IFERROR(IF(VLOOKUP(CONCATENATE($A53,"_",AX$1),SP_ACQ_Lib[],MATCH(AX$2,SP_ACQ_Lib[#Headers],0),FALSE)=0,"",VLOOKUP(CONCATENATE($A53,"_",AX$1),SP_ACQ_Lib[],MATCH(AX$2,SP_ACQ_Lib[#Headers],0),FALSE)),"")</f>
        <v>44006</v>
      </c>
      <c r="AY53" s="251">
        <f>IFERROR(IF(VLOOKUP(CONCATENATE($A53,"_",AY$1),SP_ACQ_Lib[],MATCH(AY$2,SP_ACQ_Lib[#Headers],0),FALSE)=0,"",VLOOKUP(CONCATENATE($A53,"_",AY$1),SP_ACQ_Lib[],MATCH(AY$2,SP_ACQ_Lib[#Headers],0),FALSE)),"")</f>
        <v>44006</v>
      </c>
      <c r="AZ53" s="251" t="str">
        <f>IFERROR(IF(VLOOKUP(CONCATENATE($A53,"_",AZ$1),SP_ACQ_Lib[],MATCH(AZ$2,SP_ACQ_Lib[#Headers],0),FALSE)=0,"",VLOOKUP(CONCATENATE($A53,"_",AZ$1),SP_ACQ_Lib[],MATCH(AZ$2,SP_ACQ_Lib[#Headers],0),FALSE)),"")</f>
        <v/>
      </c>
      <c r="BA53" s="251" t="str">
        <f>IFERROR(IF(VLOOKUP(CONCATENATE($A53,"_",BA$1),SP_ACQ_Lib[],MATCH(BA$2,SP_ACQ_Lib[#Headers],0),FALSE)=0,"",VLOOKUP(CONCATENATE($A53,"_",BA$1),SP_ACQ_Lib[],MATCH(BA$2,SP_ACQ_Lib[#Headers],0),FALSE)),"")</f>
        <v/>
      </c>
      <c r="BB53" s="224">
        <f>IFERROR(VLOOKUP(CONCATENATE($A53,"_",BB$1),SP_ACQ_Lib[],MATCH(BB$2,SP_ACQ_Lib[#Headers],0),FALSE),0)</f>
        <v>0</v>
      </c>
      <c r="BC53" s="231">
        <f>IFERROR(VLOOKUP($A53,SP_AcqTract_DB[],MATCH(BC$2,SP_AcqTract_DB[#Headers],0),FALSE),"")</f>
        <v>44006</v>
      </c>
      <c r="BD53" s="231">
        <f>IFERROR(VLOOKUP($A53,SP_AcqTract_DB[],MATCH(BD$2,SP_AcqTract_DB[#Headers],0),FALSE),"")</f>
        <v>0</v>
      </c>
      <c r="BE53" s="249" t="str">
        <f>IFERROR(IF(VLOOKUP(CONCATENATE($A53,"_",BE$1),SP_ACQ_Lib[],MATCH(BE$2,SP_ACQ_Lib[#Headers],0),FALSE)=0,"",VLOOKUP(CONCATENATE($A53,"_",BE$1),SP_ACQ_Lib[],MATCH(BE$2,SP_ACQ_Lib[#Headers],0),FALSE)),"")</f>
        <v/>
      </c>
      <c r="BF53" s="249" t="str">
        <f>IFERROR(IF(VLOOKUP(CONCATENATE($A53,"_",BF$1),SP_ACQ_Lib[],MATCH(BF$2,SP_ACQ_Lib[#Headers],0),FALSE)=0,"",VLOOKUP(CONCATENATE($A53,"_",BF$1),SP_ACQ_Lib[],MATCH(BF$2,SP_ACQ_Lib[#Headers],0),FALSE)),"")</f>
        <v/>
      </c>
      <c r="BG53" s="249" t="str">
        <f>IFERROR(IF(VLOOKUP(CONCATENATE($A53,"_",BG$1),SP_ACQ_Lib[],MATCH(BG$2,SP_ACQ_Lib[#Headers],0),FALSE)=0,"",VLOOKUP(CONCATENATE($A53,"_",BG$1),SP_ACQ_Lib[],MATCH(BG$2,SP_ACQ_Lib[#Headers],0),FALSE)),"")</f>
        <v/>
      </c>
      <c r="BH53" s="249" t="str">
        <f>IFERROR(IF(VLOOKUP(CONCATENATE($A53,"_",BH$1),SP_ACQ_Lib[],MATCH(BH$2,SP_ACQ_Lib[#Headers],0),FALSE)=0,"",VLOOKUP(CONCATENATE($A53,"_",BH$1),SP_ACQ_Lib[],MATCH(BH$2,SP_ACQ_Lib[#Headers],0),FALSE)),"")</f>
        <v/>
      </c>
      <c r="BI53" s="249" t="str">
        <f>IFERROR(IF(VLOOKUP(CONCATENATE($A53,"_",BI$1),SP_ACQ_Lib[],MATCH(BI$2,SP_ACQ_Lib[#Headers],0),FALSE)=0,"",VLOOKUP(CONCATENATE($A53,"_",BI$1),SP_ACQ_Lib[],MATCH(BI$2,SP_ACQ_Lib[#Headers],0),FALSE)),"")</f>
        <v/>
      </c>
      <c r="BJ53" s="249">
        <f>IFERROR(IF(VLOOKUP(CONCATENATE($A53,"_",BJ$1),SP_ACQ_Lib[],MATCH(BJ$2,SP_ACQ_Lib[#Headers],0),FALSE)=0,"",VLOOKUP(CONCATENATE($A53,"_",BJ$1),SP_ACQ_Lib[],MATCH(BJ$2,SP_ACQ_Lib[#Headers],0),FALSE)),"")</f>
        <v>43768</v>
      </c>
      <c r="BK53" s="250">
        <f>IFERROR(IF(VLOOKUP(CONCATENATE($A53,"_",BK$1),SP_ACQ_Lib[],MATCH(BK$2,SP_ACQ_Lib[#Headers],0),FALSE)=0,"",VLOOKUP(CONCATENATE($A53,"_",BK$1),SP_ACQ_Lib[],MATCH(BK$2,SP_ACQ_Lib[#Headers],0),FALSE)),"")</f>
        <v>43748</v>
      </c>
      <c r="BL53" s="249" t="str">
        <f>IFERROR(IF(VLOOKUP(CONCATENATE($A53,"_",BL$1),SP_ACQ_Lib[],MATCH(BL$2,SP_ACQ_Lib[#Headers],0),FALSE)=0,"",VLOOKUP(CONCATENATE($A53,"_",BL$1),SP_ACQ_Lib[],MATCH(BL$2,SP_ACQ_Lib[#Headers],0),FALSE)),"")</f>
        <v/>
      </c>
      <c r="BM53" s="249" t="str">
        <f>IFERROR(IF(VLOOKUP(CONCATENATE($A53,"_",BM$1),SP_ACQ_Lib[],MATCH(BM$2,SP_ACQ_Lib[#Headers],0),FALSE)=0,"",VLOOKUP(CONCATENATE($A53,"_",BM$1),SP_ACQ_Lib[],MATCH(BM$2,SP_ACQ_Lib[#Headers],0),FALSE)),"")</f>
        <v/>
      </c>
      <c r="BN53" s="249" t="str">
        <f>IFERROR(IF(VLOOKUP(CONCATENATE($A53,"_",BN$1),SP_ACQ_Lib[],MATCH(BN$2,SP_ACQ_Lib[#Headers],0),FALSE)=0,"",VLOOKUP(CONCATENATE($A53,"_",BN$1),SP_ACQ_Lib[],MATCH(BN$2,SP_ACQ_Lib[#Headers],0),FALSE)),"")</f>
        <v/>
      </c>
    </row>
    <row r="54" spans="1:66" s="226" customFormat="1" ht="38.25" x14ac:dyDescent="0.2">
      <c r="A54" s="192" t="s">
        <v>56</v>
      </c>
      <c r="B54" s="227" t="str">
        <f>IFERROR(VLOOKUP($A54,SP_AcqTract_DB[],MATCH(B$2,SP_AcqTract_DB[#Headers],0),FALSE),"")</f>
        <v>R013049;R013050</v>
      </c>
      <c r="C54" s="228" t="str">
        <f>IFERROR(VLOOKUP($A54,SP_AcqTract_DB[],MATCH(C$2,SP_AcqTract_DB[#Headers],0),FALSE),"")</f>
        <v>PH1</v>
      </c>
      <c r="D54" s="208" t="str">
        <f>IFERROR(VLOOKUP($A54,SP_AcqTract_DB[],MATCH(D$2,SP_AcqTract_DB[#Headers],0),FALSE),"")</f>
        <v>Active</v>
      </c>
      <c r="E54" s="208">
        <f>IFERROR(VLOOKUP($A54,SP_AcqTract_DB[],MATCH(E$2,SP_AcqTract_DB[#Headers],0),FALSE),"")</f>
        <v>2</v>
      </c>
      <c r="F54" s="227" t="str">
        <f>IFERROR(VLOOKUP($A54,SP_AcqTract_DB[],MATCH(F$2,SP_AcqTract_DB[#Headers],0),FALSE),"")</f>
        <v>Flowage Esmt/Levee Esmt</v>
      </c>
      <c r="G54" s="227" t="str">
        <f>IFERROR(VLOOKUP($A54,SP_AcqTract_DB[],MATCH(G$2,SP_AcqTract_DB[#Headers],0),FALSE),"")</f>
        <v>Lily Khan</v>
      </c>
      <c r="H54" s="250">
        <f>IFERROR(IF(VLOOKUP(CONCATENATE($A54,"_",H$1),SP_ACQ_Lib[],MATCH(H$2,SP_ACQ_Lib[#Headers],0),FALSE)=0,"",VLOOKUP(CONCATENATE($A54,"_",H$1),SP_ACQ_Lib[],MATCH(H$2,SP_ACQ_Lib[#Headers],0),FALSE)),"")</f>
        <v>44019.757106481484</v>
      </c>
      <c r="I54" s="227" t="str">
        <f>IFERROR(VLOOKUP($A54,SP_AcqTract_DB[],MATCH(I$2,SP_AcqTract_DB[#Headers],0),FALSE),"")</f>
        <v>Raymond Limas and Cindy Limas</v>
      </c>
      <c r="J54" s="227">
        <f>IFERROR(VLOOKUP($A54,SP_AcqTract_DB[],MATCH(J$2,SP_AcqTract_DB[#Headers],0),FALSE),"")</f>
        <v>0</v>
      </c>
      <c r="K54" s="227" t="str">
        <f>IFERROR(VLOOKUP($A54,SP_AcqTract_DB[],MATCH(K$2,SP_AcqTract_DB[#Headers],0),FALSE),"")</f>
        <v>Raymond and Cindy Limas</v>
      </c>
      <c r="L54" s="227" t="str">
        <f>IFERROR(VLOOKUP($A54,SP_AcqTract_DB[],MATCH(L$2,SP_AcqTract_DB[#Headers],0),FALSE),"")</f>
        <v>616 S Sunset</v>
      </c>
      <c r="M54" s="208" t="str">
        <f>IFERROR(VLOOKUP($A54,SP_AcqTract_DB[],MATCH(M$2,SP_AcqTract_DB[#Headers],0),FALSE),"")</f>
        <v>Wharton, TX</v>
      </c>
      <c r="N54" s="227" t="str">
        <f>IFERROR(VLOOKUP($A54,SP_AcqTract_DB[],MATCH(N$2,SP_AcqTract_DB[#Headers],0),FALSE),"")</f>
        <v>616 Sunset</v>
      </c>
      <c r="O54" s="220">
        <f>IFERROR(VLOOKUP($A54,SP_AcqTract_DB[],MATCH(O$2,SP_AcqTract_DB[#Headers],0),FALSE),"")</f>
        <v>0</v>
      </c>
      <c r="P54" s="220">
        <f>IFERROR(VLOOKUP($A54,SP_AcqTract_DB[],MATCH(P$2,SP_AcqTract_DB[#Headers],0),FALSE),"")</f>
        <v>0</v>
      </c>
      <c r="Q54" s="208" t="str">
        <f>IFERROR(VLOOKUP($A54,SP_AcqTract_DB[],MATCH(Q$2,SP_AcqTract_DB[#Headers],0),FALSE),"")</f>
        <v>2019-0837</v>
      </c>
      <c r="R54" s="250">
        <f>IFERROR(IF(VLOOKUP(CONCATENATE($A54,"_",R$1),SP_ACQ_Lib[],MATCH(R$2,SP_ACQ_Lib[#Headers],0),FALSE)=0,"",VLOOKUP(CONCATENATE($A54,"_",R$1),SP_ACQ_Lib[],MATCH(R$2,SP_ACQ_Lib[#Headers],0),FALSE)),"")</f>
        <v>43889</v>
      </c>
      <c r="S54" s="253">
        <f>IFERROR(IF(VLOOKUP(CONCATENATE($A54,"_",S$1),SP_ACQ_Lib[],MATCH(S$2,SP_ACQ_Lib[#Headers],0),FALSE)=0,"",VLOOKUP(CONCATENATE($A54,"_",S$1),SP_ACQ_Lib[],MATCH(S$2,SP_ACQ_Lib[#Headers],0),FALSE)),"")</f>
        <v>43901</v>
      </c>
      <c r="T54" s="205" t="str">
        <f>IFERROR(VLOOKUP(CONCATENATE($A54,"_",T$1),SP_ACQ_Lib[],MATCH(T$2,SP_ACQ_Lib[#Headers],0),FALSE),0)</f>
        <v>Accepted</v>
      </c>
      <c r="U54" s="250">
        <f>IFERROR(IF(VLOOKUP(CONCATENATE($A54,"_",U$1),SP_ACQ_Lib[],MATCH(U$2,SP_ACQ_Lib[#Headers],0),FALSE)=0,"",VLOOKUP(CONCATENATE($A54,"_",U$1),SP_ACQ_Lib[],MATCH(U$2,SP_ACQ_Lib[#Headers],0),FALSE)),"")</f>
        <v>43815</v>
      </c>
      <c r="V54" s="205" t="str">
        <f>IFERROR(VLOOKUP(CONCATENATE($A54,"_",V$1),SP_ACQ_Lib[],MATCH(V$2,SP_ACQ_Lib[#Headers],0),FALSE),0)</f>
        <v>Accepted</v>
      </c>
      <c r="W54" s="209">
        <f>IFERROR(VLOOKUP(CONCATENATE($A54,"_",W$1),SP_ACQ_Lib[],MATCH(W$2,SP_ACQ_Lib[#Headers],0),FALSE),0)</f>
        <v>0</v>
      </c>
      <c r="X54" s="250">
        <f>IFERROR(VLOOKUP($A54,SP_AcqTract_DB[],MATCH(X$2,SP_AcqTract_DB[#Headers],0),FALSE),"")</f>
        <v>43693</v>
      </c>
      <c r="Y54" s="237">
        <f>IFERROR(VLOOKUP($A54,SP_AcqTract_DB[],MATCH(Y$2,SP_AcqTract_DB[#Headers],0),FALSE),"")</f>
        <v>0.28877410468319598</v>
      </c>
      <c r="Z54" s="229">
        <f>IFERROR(VLOOKUP($A54,SP_AcqTract_DB[],MATCH(Z$2,SP_AcqTract_DB[#Headers],0),FALSE),"")</f>
        <v>12579</v>
      </c>
      <c r="AA54" s="229" t="str">
        <f>IFERROR(VLOOKUP($A54,SP_AcqTract_DB[],MATCH(AA$2,SP_AcqTract_DB[#Headers],0),FALSE),"")</f>
        <v>Yes</v>
      </c>
      <c r="AB54" s="250">
        <f>IFERROR(IF(VLOOKUP(CONCATENATE($A54,"_",AB$1),SP_ACQ_Lib[],MATCH(AB$2,SP_ACQ_Lib[#Headers],0),FALSE)=0,"",VLOOKUP(CONCATENATE($A54,"_",AB$1),SP_ACQ_Lib[],MATCH(AB$2,SP_ACQ_Lib[#Headers],0),FALSE)),"")</f>
        <v>43815</v>
      </c>
      <c r="AC54" s="250">
        <f>IFERROR(IF(VLOOKUP(CONCATENATE($A54,"_",AC$1),SP_ACQ_Lib[],MATCH(AC$2,SP_ACQ_Lib[#Headers],0),FALSE)=0,"",VLOOKUP(CONCATENATE($A54,"_",AC$1),SP_ACQ_Lib[],MATCH(AC$2,SP_ACQ_Lib[#Headers],0),FALSE)),"")</f>
        <v>43886</v>
      </c>
      <c r="AD54" s="229" t="str">
        <f>IFERROR(VLOOKUP($A54,SP_AcqTract_DB[],MATCH(AD$2,SP_AcqTract_DB[#Headers],0),FALSE),"")</f>
        <v>Yes</v>
      </c>
      <c r="AE54" s="250">
        <f>IFERROR(IF(VLOOKUP(CONCATENATE($A54,"_",AE$1),SP_ACQ_Lib[],MATCH(AE$2,SP_ACQ_Lib[#Headers],0),FALSE)=0,"",VLOOKUP(CONCATENATE($A54,"_",AE$1),SP_ACQ_Lib[],MATCH(AE$2,SP_ACQ_Lib[#Headers],0),FALSE)),"")</f>
        <v>43815</v>
      </c>
      <c r="AF54" s="250">
        <f>IFERROR(IF(VLOOKUP(CONCATENATE($A54,"_",AF$1),SP_ACQ_Lib[],MATCH(AF$2,SP_ACQ_Lib[#Headers],0),FALSE)=0,"",VLOOKUP(CONCATENATE($A54,"_",AF$1),SP_ACQ_Lib[],MATCH(AF$2,SP_ACQ_Lib[#Headers],0),FALSE)),"")</f>
        <v>43948</v>
      </c>
      <c r="AG54" s="250" t="str">
        <f>IFERROR(IF(VLOOKUP(CONCATENATE($A54,"_",AG$1),SP_ACQ_Lib[],MATCH(AG$2,SP_ACQ_Lib[#Headers],0),FALSE)=0,"",VLOOKUP(CONCATENATE($A54,"_",AG$1),SP_ACQ_Lib[],MATCH(AG$2,SP_ACQ_Lib[#Headers],0),FALSE)),"")</f>
        <v/>
      </c>
      <c r="AH54" s="250">
        <f>IFERROR(IF(VLOOKUP(CONCATENATE($A54,"_",AH$1),SP_ACQ_Lib[],MATCH(AH$2,SP_ACQ_Lib[#Headers],0),FALSE)=0,"",VLOOKUP(CONCATENATE($A54,"_",AH$1),SP_ACQ_Lib[],MATCH(AH$2,SP_ACQ_Lib[#Headers],0),FALSE)),"")</f>
        <v>43685</v>
      </c>
      <c r="AI54" s="249" t="str">
        <f>IFERROR(IF(VLOOKUP(CONCATENATE($A54,"_",AI$1),SP_ACQ_Lib[],MATCH(AI$2,SP_ACQ_Lib[#Headers],0),FALSE)=0,"",VLOOKUP(CONCATENATE($A54,"_",AI$1),SP_ACQ_Lib[],MATCH(AI$2,SP_ACQ_Lib[#Headers],0),FALSE)),"")</f>
        <v/>
      </c>
      <c r="AJ54" s="249" t="str">
        <f>IFERROR(IF(VLOOKUP(CONCATENATE($A54,"_",AJ$1),SP_ACQ_Lib[],MATCH(AJ$2,SP_ACQ_Lib[#Headers],0),FALSE)=0,"",VLOOKUP(CONCATENATE($A54,"_",AJ$1),SP_ACQ_Lib[],MATCH(AJ$2,SP_ACQ_Lib[#Headers],0),FALSE)),"")</f>
        <v/>
      </c>
      <c r="AK54" s="249" t="str">
        <f>IFERROR(IF(VLOOKUP(CONCATENATE($A54,"_",AK$1),SP_ACQ_Lib[],MATCH(AK$2,SP_ACQ_Lib[#Headers],0),FALSE)=0,"",VLOOKUP(CONCATENATE($A54,"_",AK$1),SP_ACQ_Lib[],MATCH(AK$2,SP_ACQ_Lib[#Headers],0),FALSE)),"")</f>
        <v/>
      </c>
      <c r="AL54" s="249">
        <f>IFERROR(VLOOKUP($A54,SP_AcqTract_DB[],MATCH(AL$2,SP_AcqTract_DB[#Headers],0),FALSE),"")</f>
        <v>43950</v>
      </c>
      <c r="AM54" s="227" t="str">
        <f>IFERROR(VLOOKUP($A54,SP_AcqTract_DB[],MATCH(AM$2,SP_AcqTract_DB[#Headers],0),FALSE),"")</f>
        <v>David Ambrose</v>
      </c>
      <c r="AN54" s="227" t="str">
        <f>IFERROR(VLOOKUP($A54,SP_AcqTract_DB[],MATCH(AN$2,SP_AcqTract_DB[#Headers],0),FALSE),"")</f>
        <v>Lory Johnson, Atrium</v>
      </c>
      <c r="AO54" s="228">
        <f>IFERROR(VLOOKUP($A54,SP_AcqTract_DB[],MATCH(AO$2,SP_AcqTract_DB[#Headers],0),FALSE),"")</f>
        <v>0</v>
      </c>
      <c r="AP54" s="210" t="str">
        <f>IFERROR(VLOOKUP($A54,SP_AcqTract_DB[],MATCH(AP$2,SP_AcqTract_DB[#Headers],0),FALSE),"")</f>
        <v>R</v>
      </c>
      <c r="AQ54" s="252" t="str">
        <f>IFERROR(IF(VLOOKUP(CONCATENATE($A54,"_",AQ$1),SP_ACQ_Lib[],MATCH(AQ$2,SP_ACQ_Lib[#Headers],0),FALSE)=0,"",VLOOKUP(CONCATENATE($A54,"_",AQ$1),SP_ACQ_Lib[],MATCH(AQ$2,SP_ACQ_Lib[#Headers],0),FALSE)),"")</f>
        <v/>
      </c>
      <c r="AR54" s="250">
        <f>IFERROR(IF(VLOOKUP(CONCATENATE($A54,"_",AR$1),SP_ACQ_Lib[],MATCH(AR$2,SP_ACQ_Lib[#Headers],0),FALSE)=0,"",VLOOKUP(CONCATENATE($A54,"_",AR$1),SP_ACQ_Lib[],MATCH(AR$2,SP_ACQ_Lib[#Headers],0),FALSE)),"")</f>
        <v>43685</v>
      </c>
      <c r="AS54" s="249">
        <f>IFERROR(IF(VLOOKUP(CONCATENATE($A54,"_",AS$1),SP_ACQ_Lib[],MATCH(AS$2,SP_ACQ_Lib[#Headers],0),FALSE)=0,"",VLOOKUP(CONCATENATE($A54,"_",AS$1),SP_ACQ_Lib[],MATCH(AS$2,SP_ACQ_Lib[#Headers],0),FALSE)),"")</f>
        <v>43765</v>
      </c>
      <c r="AT54" s="251">
        <f>IFERROR(IF(VLOOKUP(CONCATENATE($A54,"_",AT$1),SP_ACQ_Lib[],MATCH(AT$2,SP_ACQ_Lib[#Headers],0),FALSE)=0,"",VLOOKUP(CONCATENATE($A54,"_",AT$1),SP_ACQ_Lib[],MATCH(AT$2,SP_ACQ_Lib[#Headers],0),FALSE)),"")</f>
        <v>43960</v>
      </c>
      <c r="AU54" s="251">
        <f>IFERROR(IF(VLOOKUP(CONCATENATE($A54,"_",AU$1),SP_ACQ_Lib[],MATCH(AU$2,SP_ACQ_Lib[#Headers],0),FALSE)=0,"",VLOOKUP(CONCATENATE($A54,"_",AU$1),SP_ACQ_Lib[],MATCH(AU$2,SP_ACQ_Lib[#Headers],0),FALSE)),"")</f>
        <v>44013</v>
      </c>
      <c r="AV54" s="225">
        <f>IFERROR(IF(VLOOKUP(CONCATENATE($A54,"_",AV$1),SP_ACQ_Lib[],MATCH(AV$2,SP_ACQ_Lib[#Headers],0),FALSE)=0,"",VLOOKUP(CONCATENATE($A54,"_",AV$1),SP_ACQ_Lib[],MATCH(AV$2,SP_ACQ_Lib[#Headers],0),FALSE)),"")</f>
        <v>81900</v>
      </c>
      <c r="AW54" s="251">
        <f>IFERROR(IF(VLOOKUP(CONCATENATE($A54,"_",AW$1),SP_ACQ_Lib[],MATCH(AW$2,SP_ACQ_Lib[#Headers],0),FALSE)=0,"",VLOOKUP(CONCATENATE($A54,"_",AW$1),SP_ACQ_Lib[],MATCH(AW$2,SP_ACQ_Lib[#Headers],0),FALSE)),"")</f>
        <v>43999</v>
      </c>
      <c r="AX54" s="251">
        <f>IFERROR(IF(VLOOKUP(CONCATENATE($A54,"_",AX$1),SP_ACQ_Lib[],MATCH(AX$2,SP_ACQ_Lib[#Headers],0),FALSE)=0,"",VLOOKUP(CONCATENATE($A54,"_",AX$1),SP_ACQ_Lib[],MATCH(AX$2,SP_ACQ_Lib[#Headers],0),FALSE)),"")</f>
        <v>43999</v>
      </c>
      <c r="AY54" s="251">
        <f>IFERROR(IF(VLOOKUP(CONCATENATE($A54,"_",AY$1),SP_ACQ_Lib[],MATCH(AY$2,SP_ACQ_Lib[#Headers],0),FALSE)=0,"",VLOOKUP(CONCATENATE($A54,"_",AY$1),SP_ACQ_Lib[],MATCH(AY$2,SP_ACQ_Lib[#Headers],0),FALSE)),"")</f>
        <v>43999</v>
      </c>
      <c r="AZ54" s="251">
        <f>IFERROR(IF(VLOOKUP(CONCATENATE($A54,"_",AZ$1),SP_ACQ_Lib[],MATCH(AZ$2,SP_ACQ_Lib[#Headers],0),FALSE)=0,"",VLOOKUP(CONCATENATE($A54,"_",AZ$1),SP_ACQ_Lib[],MATCH(AZ$2,SP_ACQ_Lib[#Headers],0),FALSE)),"")</f>
        <v>44012</v>
      </c>
      <c r="BA54" s="251">
        <f>IFERROR(IF(VLOOKUP(CONCATENATE($A54,"_",BA$1),SP_ACQ_Lib[],MATCH(BA$2,SP_ACQ_Lib[#Headers],0),FALSE)=0,"",VLOOKUP(CONCATENATE($A54,"_",BA$1),SP_ACQ_Lib[],MATCH(BA$2,SP_ACQ_Lib[#Headers],0),FALSE)),"")</f>
        <v>44012</v>
      </c>
      <c r="BB54" s="224">
        <f>IFERROR(VLOOKUP(CONCATENATE($A54,"_",BB$1),SP_ACQ_Lib[],MATCH(BB$2,SP_ACQ_Lib[#Headers],0),FALSE),0)</f>
        <v>0</v>
      </c>
      <c r="BC54" s="231">
        <f>IFERROR(VLOOKUP($A54,SP_AcqTract_DB[],MATCH(BC$2,SP_AcqTract_DB[#Headers],0),FALSE),"")</f>
        <v>44012</v>
      </c>
      <c r="BD54" s="231">
        <f>IFERROR(VLOOKUP($A54,SP_AcqTract_DB[],MATCH(BD$2,SP_AcqTract_DB[#Headers],0),FALSE),"")</f>
        <v>44021</v>
      </c>
      <c r="BE54" s="249">
        <f>IFERROR(IF(VLOOKUP(CONCATENATE($A54,"_",BE$1),SP_ACQ_Lib[],MATCH(BE$2,SP_ACQ_Lib[#Headers],0),FALSE)=0,"",VLOOKUP(CONCATENATE($A54,"_",BE$1),SP_ACQ_Lib[],MATCH(BE$2,SP_ACQ_Lib[#Headers],0),FALSE)),"")</f>
        <v>44021</v>
      </c>
      <c r="BF54" s="249">
        <f>IFERROR(IF(VLOOKUP(CONCATENATE($A54,"_",BF$1),SP_ACQ_Lib[],MATCH(BF$2,SP_ACQ_Lib[#Headers],0),FALSE)=0,"",VLOOKUP(CONCATENATE($A54,"_",BF$1),SP_ACQ_Lib[],MATCH(BF$2,SP_ACQ_Lib[#Headers],0),FALSE)),"")</f>
        <v>44022</v>
      </c>
      <c r="BG54" s="249" t="str">
        <f>IFERROR(IF(VLOOKUP(CONCATENATE($A54,"_",BG$1),SP_ACQ_Lib[],MATCH(BG$2,SP_ACQ_Lib[#Headers],0),FALSE)=0,"",VLOOKUP(CONCATENATE($A54,"_",BG$1),SP_ACQ_Lib[],MATCH(BG$2,SP_ACQ_Lib[#Headers],0),FALSE)),"")</f>
        <v/>
      </c>
      <c r="BH54" s="249" t="str">
        <f>IFERROR(IF(VLOOKUP(CONCATENATE($A54,"_",BH$1),SP_ACQ_Lib[],MATCH(BH$2,SP_ACQ_Lib[#Headers],0),FALSE)=0,"",VLOOKUP(CONCATENATE($A54,"_",BH$1),SP_ACQ_Lib[],MATCH(BH$2,SP_ACQ_Lib[#Headers],0),FALSE)),"")</f>
        <v/>
      </c>
      <c r="BI54" s="249" t="str">
        <f>IFERROR(IF(VLOOKUP(CONCATENATE($A54,"_",BI$1),SP_ACQ_Lib[],MATCH(BI$2,SP_ACQ_Lib[#Headers],0),FALSE)=0,"",VLOOKUP(CONCATENATE($A54,"_",BI$1),SP_ACQ_Lib[],MATCH(BI$2,SP_ACQ_Lib[#Headers],0),FALSE)),"")</f>
        <v/>
      </c>
      <c r="BJ54" s="249">
        <f>IFERROR(IF(VLOOKUP(CONCATENATE($A54,"_",BJ$1),SP_ACQ_Lib[],MATCH(BJ$2,SP_ACQ_Lib[#Headers],0),FALSE)=0,"",VLOOKUP(CONCATENATE($A54,"_",BJ$1),SP_ACQ_Lib[],MATCH(BJ$2,SP_ACQ_Lib[#Headers],0),FALSE)),"")</f>
        <v>43768</v>
      </c>
      <c r="BK54" s="250">
        <f>IFERROR(IF(VLOOKUP(CONCATENATE($A54,"_",BK$1),SP_ACQ_Lib[],MATCH(BK$2,SP_ACQ_Lib[#Headers],0),FALSE)=0,"",VLOOKUP(CONCATENATE($A54,"_",BK$1),SP_ACQ_Lib[],MATCH(BK$2,SP_ACQ_Lib[#Headers],0),FALSE)),"")</f>
        <v>43748</v>
      </c>
      <c r="BL54" s="249" t="str">
        <f>IFERROR(IF(VLOOKUP(CONCATENATE($A54,"_",BL$1),SP_ACQ_Lib[],MATCH(BL$2,SP_ACQ_Lib[#Headers],0),FALSE)=0,"",VLOOKUP(CONCATENATE($A54,"_",BL$1),SP_ACQ_Lib[],MATCH(BL$2,SP_ACQ_Lib[#Headers],0),FALSE)),"")</f>
        <v/>
      </c>
      <c r="BM54" s="249" t="str">
        <f>IFERROR(IF(VLOOKUP(CONCATENATE($A54,"_",BM$1),SP_ACQ_Lib[],MATCH(BM$2,SP_ACQ_Lib[#Headers],0),FALSE)=0,"",VLOOKUP(CONCATENATE($A54,"_",BM$1),SP_ACQ_Lib[],MATCH(BM$2,SP_ACQ_Lib[#Headers],0),FALSE)),"")</f>
        <v/>
      </c>
      <c r="BN54" s="249" t="str">
        <f>IFERROR(IF(VLOOKUP(CONCATENATE($A54,"_",BN$1),SP_ACQ_Lib[],MATCH(BN$2,SP_ACQ_Lib[#Headers],0),FALSE)=0,"",VLOOKUP(CONCATENATE($A54,"_",BN$1),SP_ACQ_Lib[],MATCH(BN$2,SP_ACQ_Lib[#Headers],0),FALSE)),"")</f>
        <v/>
      </c>
    </row>
    <row r="55" spans="1:66" s="226" customFormat="1" ht="38.25" x14ac:dyDescent="0.2">
      <c r="A55" s="192" t="s">
        <v>57</v>
      </c>
      <c r="B55" s="227" t="str">
        <f>IFERROR(VLOOKUP($A55,SP_AcqTract_DB[],MATCH(B$2,SP_AcqTract_DB[#Headers],0),FALSE),"")</f>
        <v>R013045;R013046</v>
      </c>
      <c r="C55" s="228" t="str">
        <f>IFERROR(VLOOKUP($A55,SP_AcqTract_DB[],MATCH(C$2,SP_AcqTract_DB[#Headers],0),FALSE),"")</f>
        <v>PH1</v>
      </c>
      <c r="D55" s="208" t="str">
        <f>IFERROR(VLOOKUP($A55,SP_AcqTract_DB[],MATCH(D$2,SP_AcqTract_DB[#Headers],0),FALSE),"")</f>
        <v>Active</v>
      </c>
      <c r="E55" s="208">
        <f>IFERROR(VLOOKUP($A55,SP_AcqTract_DB[],MATCH(E$2,SP_AcqTract_DB[#Headers],0),FALSE),"")</f>
        <v>2</v>
      </c>
      <c r="F55" s="227" t="str">
        <f>IFERROR(VLOOKUP($A55,SP_AcqTract_DB[],MATCH(F$2,SP_AcqTract_DB[#Headers],0),FALSE),"")</f>
        <v>Flowage Esmt/Levee Esmt</v>
      </c>
      <c r="G55" s="227" t="str">
        <f>IFERROR(VLOOKUP($A55,SP_AcqTract_DB[],MATCH(G$2,SP_AcqTract_DB[#Headers],0),FALSE),"")</f>
        <v>Melissa DeLeon</v>
      </c>
      <c r="H55" s="250">
        <f>IFERROR(IF(VLOOKUP(CONCATENATE($A55,"_",H$1),SP_ACQ_Lib[],MATCH(H$2,SP_ACQ_Lib[#Headers],0),FALSE)=0,"",VLOOKUP(CONCATENATE($A55,"_",H$1),SP_ACQ_Lib[],MATCH(H$2,SP_ACQ_Lib[#Headers],0),FALSE)),"")</f>
        <v>43872.547222222223</v>
      </c>
      <c r="I55" s="227" t="str">
        <f>IFERROR(VLOOKUP($A55,SP_AcqTract_DB[],MATCH(I$2,SP_AcqTract_DB[#Headers],0),FALSE),"")</f>
        <v>Ida Garza and Gilbert Garza, Jr.</v>
      </c>
      <c r="J55" s="227">
        <f>IFERROR(VLOOKUP($A55,SP_AcqTract_DB[],MATCH(J$2,SP_AcqTract_DB[#Headers],0),FALSE),"")</f>
        <v>0</v>
      </c>
      <c r="K55" s="227" t="str">
        <f>IFERROR(VLOOKUP($A55,SP_AcqTract_DB[],MATCH(K$2,SP_AcqTract_DB[#Headers],0),FALSE),"")</f>
        <v>Ida Garza and Gilbert Garza, Jr.</v>
      </c>
      <c r="L55" s="227" t="str">
        <f>IFERROR(VLOOKUP($A55,SP_AcqTract_DB[],MATCH(L$2,SP_AcqTract_DB[#Headers],0),FALSE),"")</f>
        <v>212 Stavena Rd</v>
      </c>
      <c r="M55" s="208" t="str">
        <f>IFERROR(VLOOKUP($A55,SP_AcqTract_DB[],MATCH(M$2,SP_AcqTract_DB[#Headers],0),FALSE),"")</f>
        <v>Wharton, TX</v>
      </c>
      <c r="N55" s="227" t="str">
        <f>IFERROR(VLOOKUP($A55,SP_AcqTract_DB[],MATCH(N$2,SP_AcqTract_DB[#Headers],0),FALSE),"")</f>
        <v>0 Sunset</v>
      </c>
      <c r="O55" s="220">
        <f>IFERROR(VLOOKUP($A55,SP_AcqTract_DB[],MATCH(O$2,SP_AcqTract_DB[#Headers],0),FALSE),"")</f>
        <v>0</v>
      </c>
      <c r="P55" s="220">
        <f>IFERROR(VLOOKUP($A55,SP_AcqTract_DB[],MATCH(P$2,SP_AcqTract_DB[#Headers],0),FALSE),"")</f>
        <v>0</v>
      </c>
      <c r="Q55" s="208" t="str">
        <f>IFERROR(VLOOKUP($A55,SP_AcqTract_DB[],MATCH(Q$2,SP_AcqTract_DB[#Headers],0),FALSE),"")</f>
        <v>2019-0838</v>
      </c>
      <c r="R55" s="250">
        <f>IFERROR(IF(VLOOKUP(CONCATENATE($A55,"_",R$1),SP_ACQ_Lib[],MATCH(R$2,SP_ACQ_Lib[#Headers],0),FALSE)=0,"",VLOOKUP(CONCATENATE($A55,"_",R$1),SP_ACQ_Lib[],MATCH(R$2,SP_ACQ_Lib[#Headers],0),FALSE)),"")</f>
        <v>43889</v>
      </c>
      <c r="S55" s="253">
        <f>IFERROR(IF(VLOOKUP(CONCATENATE($A55,"_",S$1),SP_ACQ_Lib[],MATCH(S$2,SP_ACQ_Lib[#Headers],0),FALSE)=0,"",VLOOKUP(CONCATENATE($A55,"_",S$1),SP_ACQ_Lib[],MATCH(S$2,SP_ACQ_Lib[#Headers],0),FALSE)),"")</f>
        <v>43901</v>
      </c>
      <c r="T55" s="205" t="str">
        <f>IFERROR(VLOOKUP(CONCATENATE($A55,"_",T$1),SP_ACQ_Lib[],MATCH(T$2,SP_ACQ_Lib[#Headers],0),FALSE),0)</f>
        <v>Accepted</v>
      </c>
      <c r="U55" s="250">
        <f>IFERROR(IF(VLOOKUP(CONCATENATE($A55,"_",U$1),SP_ACQ_Lib[],MATCH(U$2,SP_ACQ_Lib[#Headers],0),FALSE)=0,"",VLOOKUP(CONCATENATE($A55,"_",U$1),SP_ACQ_Lib[],MATCH(U$2,SP_ACQ_Lib[#Headers],0),FALSE)),"")</f>
        <v>43815</v>
      </c>
      <c r="V55" s="205" t="str">
        <f>IFERROR(VLOOKUP(CONCATENATE($A55,"_",V$1),SP_ACQ_Lib[],MATCH(V$2,SP_ACQ_Lib[#Headers],0),FALSE),0)</f>
        <v>Accepted</v>
      </c>
      <c r="W55" s="209">
        <f>IFERROR(VLOOKUP(CONCATENATE($A55,"_",W$1),SP_ACQ_Lib[],MATCH(W$2,SP_ACQ_Lib[#Headers],0),FALSE),0)</f>
        <v>0</v>
      </c>
      <c r="X55" s="250">
        <f>IFERROR(VLOOKUP($A55,SP_AcqTract_DB[],MATCH(X$2,SP_AcqTract_DB[#Headers],0),FALSE),"")</f>
        <v>43693</v>
      </c>
      <c r="Y55" s="237">
        <f>IFERROR(VLOOKUP($A55,SP_AcqTract_DB[],MATCH(Y$2,SP_AcqTract_DB[#Headers],0),FALSE),"")</f>
        <v>0.19295224977043199</v>
      </c>
      <c r="Z55" s="229">
        <f>IFERROR(VLOOKUP($A55,SP_AcqTract_DB[],MATCH(Z$2,SP_AcqTract_DB[#Headers],0),FALSE),"")</f>
        <v>8405</v>
      </c>
      <c r="AA55" s="229" t="str">
        <f>IFERROR(VLOOKUP($A55,SP_AcqTract_DB[],MATCH(AA$2,SP_AcqTract_DB[#Headers],0),FALSE),"")</f>
        <v>Yes</v>
      </c>
      <c r="AB55" s="250">
        <f>IFERROR(IF(VLOOKUP(CONCATENATE($A55,"_",AB$1),SP_ACQ_Lib[],MATCH(AB$2,SP_ACQ_Lib[#Headers],0),FALSE)=0,"",VLOOKUP(CONCATENATE($A55,"_",AB$1),SP_ACQ_Lib[],MATCH(AB$2,SP_ACQ_Lib[#Headers],0),FALSE)),"")</f>
        <v>43868</v>
      </c>
      <c r="AC55" s="250">
        <f>IFERROR(IF(VLOOKUP(CONCATENATE($A55,"_",AC$1),SP_ACQ_Lib[],MATCH(AC$2,SP_ACQ_Lib[#Headers],0),FALSE)=0,"",VLOOKUP(CONCATENATE($A55,"_",AC$1),SP_ACQ_Lib[],MATCH(AC$2,SP_ACQ_Lib[#Headers],0),FALSE)),"")</f>
        <v>43886</v>
      </c>
      <c r="AD55" s="229" t="str">
        <f>IFERROR(VLOOKUP($A55,SP_AcqTract_DB[],MATCH(AD$2,SP_AcqTract_DB[#Headers],0),FALSE),"")</f>
        <v>Yes</v>
      </c>
      <c r="AE55" s="250">
        <f>IFERROR(IF(VLOOKUP(CONCATENATE($A55,"_",AE$1),SP_ACQ_Lib[],MATCH(AE$2,SP_ACQ_Lib[#Headers],0),FALSE)=0,"",VLOOKUP(CONCATENATE($A55,"_",AE$1),SP_ACQ_Lib[],MATCH(AE$2,SP_ACQ_Lib[#Headers],0),FALSE)),"")</f>
        <v>43812</v>
      </c>
      <c r="AF55" s="250">
        <f>IFERROR(IF(VLOOKUP(CONCATENATE($A55,"_",AF$1),SP_ACQ_Lib[],MATCH(AF$2,SP_ACQ_Lib[#Headers],0),FALSE)=0,"",VLOOKUP(CONCATENATE($A55,"_",AF$1),SP_ACQ_Lib[],MATCH(AF$2,SP_ACQ_Lib[#Headers],0),FALSE)),"")</f>
        <v>43948</v>
      </c>
      <c r="AG55" s="250" t="str">
        <f>IFERROR(IF(VLOOKUP(CONCATENATE($A55,"_",AG$1),SP_ACQ_Lib[],MATCH(AG$2,SP_ACQ_Lib[#Headers],0),FALSE)=0,"",VLOOKUP(CONCATENATE($A55,"_",AG$1),SP_ACQ_Lib[],MATCH(AG$2,SP_ACQ_Lib[#Headers],0),FALSE)),"")</f>
        <v/>
      </c>
      <c r="AH55" s="250">
        <f>IFERROR(IF(VLOOKUP(CONCATENATE($A55,"_",AH$1),SP_ACQ_Lib[],MATCH(AH$2,SP_ACQ_Lib[#Headers],0),FALSE)=0,"",VLOOKUP(CONCATENATE($A55,"_",AH$1),SP_ACQ_Lib[],MATCH(AH$2,SP_ACQ_Lib[#Headers],0),FALSE)),"")</f>
        <v>43685</v>
      </c>
      <c r="AI55" s="249" t="str">
        <f>IFERROR(IF(VLOOKUP(CONCATENATE($A55,"_",AI$1),SP_ACQ_Lib[],MATCH(AI$2,SP_ACQ_Lib[#Headers],0),FALSE)=0,"",VLOOKUP(CONCATENATE($A55,"_",AI$1),SP_ACQ_Lib[],MATCH(AI$2,SP_ACQ_Lib[#Headers],0),FALSE)),"")</f>
        <v/>
      </c>
      <c r="AJ55" s="249" t="str">
        <f>IFERROR(IF(VLOOKUP(CONCATENATE($A55,"_",AJ$1),SP_ACQ_Lib[],MATCH(AJ$2,SP_ACQ_Lib[#Headers],0),FALSE)=0,"",VLOOKUP(CONCATENATE($A55,"_",AJ$1),SP_ACQ_Lib[],MATCH(AJ$2,SP_ACQ_Lib[#Headers],0),FALSE)),"")</f>
        <v/>
      </c>
      <c r="AK55" s="249" t="str">
        <f>IFERROR(IF(VLOOKUP(CONCATENATE($A55,"_",AK$1),SP_ACQ_Lib[],MATCH(AK$2,SP_ACQ_Lib[#Headers],0),FALSE)=0,"",VLOOKUP(CONCATENATE($A55,"_",AK$1),SP_ACQ_Lib[],MATCH(AK$2,SP_ACQ_Lib[#Headers],0),FALSE)),"")</f>
        <v/>
      </c>
      <c r="AL55" s="249">
        <f>IFERROR(VLOOKUP($A55,SP_AcqTract_DB[],MATCH(AL$2,SP_AcqTract_DB[#Headers],0),FALSE),"")</f>
        <v>43950</v>
      </c>
      <c r="AM55" s="227" t="str">
        <f>IFERROR(VLOOKUP($A55,SP_AcqTract_DB[],MATCH(AM$2,SP_AcqTract_DB[#Headers],0),FALSE),"")</f>
        <v>David Ambrose</v>
      </c>
      <c r="AN55" s="227" t="str">
        <f>IFERROR(VLOOKUP($A55,SP_AcqTract_DB[],MATCH(AN$2,SP_AcqTract_DB[#Headers],0),FALSE),"")</f>
        <v>Lory Johnson, Atrium</v>
      </c>
      <c r="AO55" s="228">
        <f>IFERROR(VLOOKUP($A55,SP_AcqTract_DB[],MATCH(AO$2,SP_AcqTract_DB[#Headers],0),FALSE),"")</f>
        <v>0</v>
      </c>
      <c r="AP55" s="210" t="str">
        <f>IFERROR(VLOOKUP($A55,SP_AcqTract_DB[],MATCH(AP$2,SP_AcqTract_DB[#Headers],0),FALSE),"")</f>
        <v>R</v>
      </c>
      <c r="AQ55" s="252" t="str">
        <f>IFERROR(IF(VLOOKUP(CONCATENATE($A55,"_",AQ$1),SP_ACQ_Lib[],MATCH(AQ$2,SP_ACQ_Lib[#Headers],0),FALSE)=0,"",VLOOKUP(CONCATENATE($A55,"_",AQ$1),SP_ACQ_Lib[],MATCH(AQ$2,SP_ACQ_Lib[#Headers],0),FALSE)),"")</f>
        <v/>
      </c>
      <c r="AR55" s="250" t="str">
        <f>IFERROR(IF(VLOOKUP(CONCATENATE($A55,"_",AR$1),SP_ACQ_Lib[],MATCH(AR$2,SP_ACQ_Lib[#Headers],0),FALSE)=0,"",VLOOKUP(CONCATENATE($A55,"_",AR$1),SP_ACQ_Lib[],MATCH(AR$2,SP_ACQ_Lib[#Headers],0),FALSE)),"")</f>
        <v/>
      </c>
      <c r="AS55" s="249">
        <f>IFERROR(IF(VLOOKUP(CONCATENATE($A55,"_",AS$1),SP_ACQ_Lib[],MATCH(AS$2,SP_ACQ_Lib[#Headers],0),FALSE)=0,"",VLOOKUP(CONCATENATE($A55,"_",AS$1),SP_ACQ_Lib[],MATCH(AS$2,SP_ACQ_Lib[#Headers],0),FALSE)),"")</f>
        <v>43765</v>
      </c>
      <c r="AT55" s="251">
        <f>IFERROR(IF(VLOOKUP(CONCATENATE($A55,"_",AT$1),SP_ACQ_Lib[],MATCH(AT$2,SP_ACQ_Lib[#Headers],0),FALSE)=0,"",VLOOKUP(CONCATENATE($A55,"_",AT$1),SP_ACQ_Lib[],MATCH(AT$2,SP_ACQ_Lib[#Headers],0),FALSE)),"")</f>
        <v>43960</v>
      </c>
      <c r="AU55" s="251" t="str">
        <f>IFERROR(IF(VLOOKUP(CONCATENATE($A55,"_",AU$1),SP_ACQ_Lib[],MATCH(AU$2,SP_ACQ_Lib[#Headers],0),FALSE)=0,"",VLOOKUP(CONCATENATE($A55,"_",AU$1),SP_ACQ_Lib[],MATCH(AU$2,SP_ACQ_Lib[#Headers],0),FALSE)),"")</f>
        <v/>
      </c>
      <c r="AV55" s="225">
        <f>IFERROR(IF(VLOOKUP(CONCATENATE($A55,"_",AV$1),SP_ACQ_Lib[],MATCH(AV$2,SP_ACQ_Lib[#Headers],0),FALSE)=0,"",VLOOKUP(CONCATENATE($A55,"_",AV$1),SP_ACQ_Lib[],MATCH(AV$2,SP_ACQ_Lib[#Headers],0),FALSE)),"")</f>
        <v>8405</v>
      </c>
      <c r="AW55" s="251">
        <f>IFERROR(IF(VLOOKUP(CONCATENATE($A55,"_",AW$1),SP_ACQ_Lib[],MATCH(AW$2,SP_ACQ_Lib[#Headers],0),FALSE)=0,"",VLOOKUP(CONCATENATE($A55,"_",AW$1),SP_ACQ_Lib[],MATCH(AW$2,SP_ACQ_Lib[#Headers],0),FALSE)),"")</f>
        <v>44018</v>
      </c>
      <c r="AX55" s="251">
        <f>IFERROR(IF(VLOOKUP(CONCATENATE($A55,"_",AX$1),SP_ACQ_Lib[],MATCH(AX$2,SP_ACQ_Lib[#Headers],0),FALSE)=0,"",VLOOKUP(CONCATENATE($A55,"_",AX$1),SP_ACQ_Lib[],MATCH(AX$2,SP_ACQ_Lib[#Headers],0),FALSE)),"")</f>
        <v>44018</v>
      </c>
      <c r="AY55" s="251">
        <f>IFERROR(IF(VLOOKUP(CONCATENATE($A55,"_",AY$1),SP_ACQ_Lib[],MATCH(AY$2,SP_ACQ_Lib[#Headers],0),FALSE)=0,"",VLOOKUP(CONCATENATE($A55,"_",AY$1),SP_ACQ_Lib[],MATCH(AY$2,SP_ACQ_Lib[#Headers],0),FALSE)),"")</f>
        <v>44018</v>
      </c>
      <c r="AZ55" s="251" t="str">
        <f>IFERROR(IF(VLOOKUP(CONCATENATE($A55,"_",AZ$1),SP_ACQ_Lib[],MATCH(AZ$2,SP_ACQ_Lib[#Headers],0),FALSE)=0,"",VLOOKUP(CONCATENATE($A55,"_",AZ$1),SP_ACQ_Lib[],MATCH(AZ$2,SP_ACQ_Lib[#Headers],0),FALSE)),"")</f>
        <v/>
      </c>
      <c r="BA55" s="251" t="str">
        <f>IFERROR(IF(VLOOKUP(CONCATENATE($A55,"_",BA$1),SP_ACQ_Lib[],MATCH(BA$2,SP_ACQ_Lib[#Headers],0),FALSE)=0,"",VLOOKUP(CONCATENATE($A55,"_",BA$1),SP_ACQ_Lib[],MATCH(BA$2,SP_ACQ_Lib[#Headers],0),FALSE)),"")</f>
        <v/>
      </c>
      <c r="BB55" s="224">
        <f>IFERROR(VLOOKUP(CONCATENATE($A55,"_",BB$1),SP_ACQ_Lib[],MATCH(BB$2,SP_ACQ_Lib[#Headers],0),FALSE),0)</f>
        <v>0</v>
      </c>
      <c r="BC55" s="231">
        <f>IFERROR(VLOOKUP($A55,SP_AcqTract_DB[],MATCH(BC$2,SP_AcqTract_DB[#Headers],0),FALSE),"")</f>
        <v>0</v>
      </c>
      <c r="BD55" s="231">
        <f>IFERROR(VLOOKUP($A55,SP_AcqTract_DB[],MATCH(BD$2,SP_AcqTract_DB[#Headers],0),FALSE),"")</f>
        <v>0</v>
      </c>
      <c r="BE55" s="249" t="str">
        <f>IFERROR(IF(VLOOKUP(CONCATENATE($A55,"_",BE$1),SP_ACQ_Lib[],MATCH(BE$2,SP_ACQ_Lib[#Headers],0),FALSE)=0,"",VLOOKUP(CONCATENATE($A55,"_",BE$1),SP_ACQ_Lib[],MATCH(BE$2,SP_ACQ_Lib[#Headers],0),FALSE)),"")</f>
        <v/>
      </c>
      <c r="BF55" s="249" t="str">
        <f>IFERROR(IF(VLOOKUP(CONCATENATE($A55,"_",BF$1),SP_ACQ_Lib[],MATCH(BF$2,SP_ACQ_Lib[#Headers],0),FALSE)=0,"",VLOOKUP(CONCATENATE($A55,"_",BF$1),SP_ACQ_Lib[],MATCH(BF$2,SP_ACQ_Lib[#Headers],0),FALSE)),"")</f>
        <v/>
      </c>
      <c r="BG55" s="249" t="str">
        <f>IFERROR(IF(VLOOKUP(CONCATENATE($A55,"_",BG$1),SP_ACQ_Lib[],MATCH(BG$2,SP_ACQ_Lib[#Headers],0),FALSE)=0,"",VLOOKUP(CONCATENATE($A55,"_",BG$1),SP_ACQ_Lib[],MATCH(BG$2,SP_ACQ_Lib[#Headers],0),FALSE)),"")</f>
        <v/>
      </c>
      <c r="BH55" s="249" t="str">
        <f>IFERROR(IF(VLOOKUP(CONCATENATE($A55,"_",BH$1),SP_ACQ_Lib[],MATCH(BH$2,SP_ACQ_Lib[#Headers],0),FALSE)=0,"",VLOOKUP(CONCATENATE($A55,"_",BH$1),SP_ACQ_Lib[],MATCH(BH$2,SP_ACQ_Lib[#Headers],0),FALSE)),"")</f>
        <v/>
      </c>
      <c r="BI55" s="249" t="str">
        <f>IFERROR(IF(VLOOKUP(CONCATENATE($A55,"_",BI$1),SP_ACQ_Lib[],MATCH(BI$2,SP_ACQ_Lib[#Headers],0),FALSE)=0,"",VLOOKUP(CONCATENATE($A55,"_",BI$1),SP_ACQ_Lib[],MATCH(BI$2,SP_ACQ_Lib[#Headers],0),FALSE)),"")</f>
        <v/>
      </c>
      <c r="BJ55" s="249" t="str">
        <f>IFERROR(IF(VLOOKUP(CONCATENATE($A55,"_",BJ$1),SP_ACQ_Lib[],MATCH(BJ$2,SP_ACQ_Lib[#Headers],0),FALSE)=0,"",VLOOKUP(CONCATENATE($A55,"_",BJ$1),SP_ACQ_Lib[],MATCH(BJ$2,SP_ACQ_Lib[#Headers],0),FALSE)),"")</f>
        <v/>
      </c>
      <c r="BK55" s="250">
        <f>IFERROR(IF(VLOOKUP(CONCATENATE($A55,"_",BK$1),SP_ACQ_Lib[],MATCH(BK$2,SP_ACQ_Lib[#Headers],0),FALSE)=0,"",VLOOKUP(CONCATENATE($A55,"_",BK$1),SP_ACQ_Lib[],MATCH(BK$2,SP_ACQ_Lib[#Headers],0),FALSE)),"")</f>
        <v>43748</v>
      </c>
      <c r="BL55" s="249" t="str">
        <f>IFERROR(IF(VLOOKUP(CONCATENATE($A55,"_",BL$1),SP_ACQ_Lib[],MATCH(BL$2,SP_ACQ_Lib[#Headers],0),FALSE)=0,"",VLOOKUP(CONCATENATE($A55,"_",BL$1),SP_ACQ_Lib[],MATCH(BL$2,SP_ACQ_Lib[#Headers],0),FALSE)),"")</f>
        <v/>
      </c>
      <c r="BM55" s="249" t="str">
        <f>IFERROR(IF(VLOOKUP(CONCATENATE($A55,"_",BM$1),SP_ACQ_Lib[],MATCH(BM$2,SP_ACQ_Lib[#Headers],0),FALSE)=0,"",VLOOKUP(CONCATENATE($A55,"_",BM$1),SP_ACQ_Lib[],MATCH(BM$2,SP_ACQ_Lib[#Headers],0),FALSE)),"")</f>
        <v/>
      </c>
      <c r="BN55" s="249" t="str">
        <f>IFERROR(IF(VLOOKUP(CONCATENATE($A55,"_",BN$1),SP_ACQ_Lib[],MATCH(BN$2,SP_ACQ_Lib[#Headers],0),FALSE)=0,"",VLOOKUP(CONCATENATE($A55,"_",BN$1),SP_ACQ_Lib[],MATCH(BN$2,SP_ACQ_Lib[#Headers],0),FALSE)),"")</f>
        <v/>
      </c>
    </row>
    <row r="56" spans="1:66" s="226" customFormat="1" ht="38.25" x14ac:dyDescent="0.2">
      <c r="A56" s="192" t="s">
        <v>58</v>
      </c>
      <c r="B56" s="227" t="str">
        <f>IFERROR(VLOOKUP($A56,SP_AcqTract_DB[],MATCH(B$2,SP_AcqTract_DB[#Headers],0),FALSE),"")</f>
        <v>R013044</v>
      </c>
      <c r="C56" s="228" t="str">
        <f>IFERROR(VLOOKUP($A56,SP_AcqTract_DB[],MATCH(C$2,SP_AcqTract_DB[#Headers],0),FALSE),"")</f>
        <v>PH1</v>
      </c>
      <c r="D56" s="208" t="str">
        <f>IFERROR(VLOOKUP($A56,SP_AcqTract_DB[],MATCH(D$2,SP_AcqTract_DB[#Headers],0),FALSE),"")</f>
        <v>Active</v>
      </c>
      <c r="E56" s="208">
        <f>IFERROR(VLOOKUP($A56,SP_AcqTract_DB[],MATCH(E$2,SP_AcqTract_DB[#Headers],0),FALSE),"")</f>
        <v>2</v>
      </c>
      <c r="F56" s="227" t="str">
        <f>IFERROR(VLOOKUP($A56,SP_AcqTract_DB[],MATCH(F$2,SP_AcqTract_DB[#Headers],0),FALSE),"")</f>
        <v>Flowage Esmt/Levee Esmt</v>
      </c>
      <c r="G56" s="227" t="str">
        <f>IFERROR(VLOOKUP($A56,SP_AcqTract_DB[],MATCH(G$2,SP_AcqTract_DB[#Headers],0),FALSE),"")</f>
        <v>Lily Khan</v>
      </c>
      <c r="H56" s="250">
        <f>IFERROR(IF(VLOOKUP(CONCATENATE($A56,"_",H$1),SP_ACQ_Lib[],MATCH(H$2,SP_ACQ_Lib[#Headers],0),FALSE)=0,"",VLOOKUP(CONCATENATE($A56,"_",H$1),SP_ACQ_Lib[],MATCH(H$2,SP_ACQ_Lib[#Headers],0),FALSE)),"")</f>
        <v>44008.460902777777</v>
      </c>
      <c r="I56" s="227" t="str">
        <f>IFERROR(VLOOKUP($A56,SP_AcqTract_DB[],MATCH(I$2,SP_AcqTract_DB[#Headers],0),FALSE),"")</f>
        <v>Marcelo Esparza and the Estate of Julia Esparza, deceased</v>
      </c>
      <c r="J56" s="227">
        <f>IFERROR(VLOOKUP($A56,SP_AcqTract_DB[],MATCH(J$2,SP_AcqTract_DB[#Headers],0),FALSE),"")</f>
        <v>0</v>
      </c>
      <c r="K56" s="227" t="str">
        <f>IFERROR(VLOOKUP($A56,SP_AcqTract_DB[],MATCH(K$2,SP_AcqTract_DB[#Headers],0),FALSE),"")</f>
        <v>Martha Saenz</v>
      </c>
      <c r="L56" s="227" t="str">
        <f>IFERROR(VLOOKUP($A56,SP_AcqTract_DB[],MATCH(L$2,SP_AcqTract_DB[#Headers],0),FALSE),"")</f>
        <v>4336 Otero Vista Point</v>
      </c>
      <c r="M56" s="208" t="str">
        <f>IFERROR(VLOOKUP($A56,SP_AcqTract_DB[],MATCH(M$2,SP_AcqTract_DB[#Headers],0),FALSE),"")</f>
        <v>Colorado Springs, CO  80916</v>
      </c>
      <c r="N56" s="227" t="str">
        <f>IFERROR(VLOOKUP($A56,SP_AcqTract_DB[],MATCH(N$2,SP_AcqTract_DB[#Headers],0),FALSE),"")</f>
        <v>523 Sunset</v>
      </c>
      <c r="O56" s="220">
        <f>IFERROR(VLOOKUP($A56,SP_AcqTract_DB[],MATCH(O$2,SP_AcqTract_DB[#Headers],0),FALSE),"")</f>
        <v>0</v>
      </c>
      <c r="P56" s="220">
        <f>IFERROR(VLOOKUP($A56,SP_AcqTract_DB[],MATCH(P$2,SP_AcqTract_DB[#Headers],0),FALSE),"")</f>
        <v>0</v>
      </c>
      <c r="Q56" s="208" t="str">
        <f>IFERROR(VLOOKUP($A56,SP_AcqTract_DB[],MATCH(Q$2,SP_AcqTract_DB[#Headers],0),FALSE),"")</f>
        <v>2019-0839</v>
      </c>
      <c r="R56" s="250">
        <f>IFERROR(IF(VLOOKUP(CONCATENATE($A56,"_",R$1),SP_ACQ_Lib[],MATCH(R$2,SP_ACQ_Lib[#Headers],0),FALSE)=0,"",VLOOKUP(CONCATENATE($A56,"_",R$1),SP_ACQ_Lib[],MATCH(R$2,SP_ACQ_Lib[#Headers],0),FALSE)),"")</f>
        <v>43889</v>
      </c>
      <c r="S56" s="253">
        <f>IFERROR(IF(VLOOKUP(CONCATENATE($A56,"_",S$1),SP_ACQ_Lib[],MATCH(S$2,SP_ACQ_Lib[#Headers],0),FALSE)=0,"",VLOOKUP(CONCATENATE($A56,"_",S$1),SP_ACQ_Lib[],MATCH(S$2,SP_ACQ_Lib[#Headers],0),FALSE)),"")</f>
        <v>43902</v>
      </c>
      <c r="T56" s="205" t="str">
        <f>IFERROR(VLOOKUP(CONCATENATE($A56,"_",T$1),SP_ACQ_Lib[],MATCH(T$2,SP_ACQ_Lib[#Headers],0),FALSE),0)</f>
        <v>Accepted</v>
      </c>
      <c r="U56" s="250">
        <f>IFERROR(IF(VLOOKUP(CONCATENATE($A56,"_",U$1),SP_ACQ_Lib[],MATCH(U$2,SP_ACQ_Lib[#Headers],0),FALSE)=0,"",VLOOKUP(CONCATENATE($A56,"_",U$1),SP_ACQ_Lib[],MATCH(U$2,SP_ACQ_Lib[#Headers],0),FALSE)),"")</f>
        <v>43906</v>
      </c>
      <c r="V56" s="205" t="str">
        <f>IFERROR(VLOOKUP(CONCATENATE($A56,"_",V$1),SP_ACQ_Lib[],MATCH(V$2,SP_ACQ_Lib[#Headers],0),FALSE),0)</f>
        <v>Accepted</v>
      </c>
      <c r="W56" s="209">
        <f>IFERROR(VLOOKUP(CONCATENATE($A56,"_",W$1),SP_ACQ_Lib[],MATCH(W$2,SP_ACQ_Lib[#Headers],0),FALSE),0)</f>
        <v>0</v>
      </c>
      <c r="X56" s="250">
        <f>IFERROR(VLOOKUP($A56,SP_AcqTract_DB[],MATCH(X$2,SP_AcqTract_DB[#Headers],0),FALSE),"")</f>
        <v>0</v>
      </c>
      <c r="Y56" s="237">
        <f>IFERROR(VLOOKUP($A56,SP_AcqTract_DB[],MATCH(Y$2,SP_AcqTract_DB[#Headers],0),FALSE),"")</f>
        <v>0.15720844811753901</v>
      </c>
      <c r="Z56" s="229">
        <f>IFERROR(VLOOKUP($A56,SP_AcqTract_DB[],MATCH(Z$2,SP_AcqTract_DB[#Headers],0),FALSE),"")</f>
        <v>6848</v>
      </c>
      <c r="AA56" s="229" t="str">
        <f>IFERROR(VLOOKUP($A56,SP_AcqTract_DB[],MATCH(AA$2,SP_AcqTract_DB[#Headers],0),FALSE),"")</f>
        <v>Yes</v>
      </c>
      <c r="AB56" s="250">
        <f>IFERROR(IF(VLOOKUP(CONCATENATE($A56,"_",AB$1),SP_ACQ_Lib[],MATCH(AB$2,SP_ACQ_Lib[#Headers],0),FALSE)=0,"",VLOOKUP(CONCATENATE($A56,"_",AB$1),SP_ACQ_Lib[],MATCH(AB$2,SP_ACQ_Lib[#Headers],0),FALSE)),"")</f>
        <v>43958</v>
      </c>
      <c r="AC56" s="250">
        <f>IFERROR(IF(VLOOKUP(CONCATENATE($A56,"_",AC$1),SP_ACQ_Lib[],MATCH(AC$2,SP_ACQ_Lib[#Headers],0),FALSE)=0,"",VLOOKUP(CONCATENATE($A56,"_",AC$1),SP_ACQ_Lib[],MATCH(AC$2,SP_ACQ_Lib[#Headers],0),FALSE)),"")</f>
        <v>43999</v>
      </c>
      <c r="AD56" s="229" t="str">
        <f>IFERROR(VLOOKUP($A56,SP_AcqTract_DB[],MATCH(AD$2,SP_AcqTract_DB[#Headers],0),FALSE),"")</f>
        <v>Yes</v>
      </c>
      <c r="AE56" s="250">
        <f>IFERROR(IF(VLOOKUP(CONCATENATE($A56,"_",AE$1),SP_ACQ_Lib[],MATCH(AE$2,SP_ACQ_Lib[#Headers],0),FALSE)=0,"",VLOOKUP(CONCATENATE($A56,"_",AE$1),SP_ACQ_Lib[],MATCH(AE$2,SP_ACQ_Lib[#Headers],0),FALSE)),"")</f>
        <v>43958</v>
      </c>
      <c r="AF56" s="250">
        <f>IFERROR(IF(VLOOKUP(CONCATENATE($A56,"_",AF$1),SP_ACQ_Lib[],MATCH(AF$2,SP_ACQ_Lib[#Headers],0),FALSE)=0,"",VLOOKUP(CONCATENATE($A56,"_",AF$1),SP_ACQ_Lib[],MATCH(AF$2,SP_ACQ_Lib[#Headers],0),FALSE)),"")</f>
        <v>43999</v>
      </c>
      <c r="AG56" s="250">
        <f>IFERROR(IF(VLOOKUP(CONCATENATE($A56,"_",AG$1),SP_ACQ_Lib[],MATCH(AG$2,SP_ACQ_Lib[#Headers],0),FALSE)=0,"",VLOOKUP(CONCATENATE($A56,"_",AG$1),SP_ACQ_Lib[],MATCH(AG$2,SP_ACQ_Lib[#Headers],0),FALSE)),"")</f>
        <v>43691</v>
      </c>
      <c r="AH56" s="250">
        <f>IFERROR(IF(VLOOKUP(CONCATENATE($A56,"_",AH$1),SP_ACQ_Lib[],MATCH(AH$2,SP_ACQ_Lib[#Headers],0),FALSE)=0,"",VLOOKUP(CONCATENATE($A56,"_",AH$1),SP_ACQ_Lib[],MATCH(AH$2,SP_ACQ_Lib[#Headers],0),FALSE)),"")</f>
        <v>43732</v>
      </c>
      <c r="AI56" s="249" t="str">
        <f>IFERROR(IF(VLOOKUP(CONCATENATE($A56,"_",AI$1),SP_ACQ_Lib[],MATCH(AI$2,SP_ACQ_Lib[#Headers],0),FALSE)=0,"",VLOOKUP(CONCATENATE($A56,"_",AI$1),SP_ACQ_Lib[],MATCH(AI$2,SP_ACQ_Lib[#Headers],0),FALSE)),"")</f>
        <v/>
      </c>
      <c r="AJ56" s="249" t="str">
        <f>IFERROR(IF(VLOOKUP(CONCATENATE($A56,"_",AJ$1),SP_ACQ_Lib[],MATCH(AJ$2,SP_ACQ_Lib[#Headers],0),FALSE)=0,"",VLOOKUP(CONCATENATE($A56,"_",AJ$1),SP_ACQ_Lib[],MATCH(AJ$2,SP_ACQ_Lib[#Headers],0),FALSE)),"")</f>
        <v/>
      </c>
      <c r="AK56" s="249" t="str">
        <f>IFERROR(IF(VLOOKUP(CONCATENATE($A56,"_",AK$1),SP_ACQ_Lib[],MATCH(AK$2,SP_ACQ_Lib[#Headers],0),FALSE)=0,"",VLOOKUP(CONCATENATE($A56,"_",AK$1),SP_ACQ_Lib[],MATCH(AK$2,SP_ACQ_Lib[#Headers],0),FALSE)),"")</f>
        <v/>
      </c>
      <c r="AL56" s="249">
        <f>IFERROR(VLOOKUP($A56,SP_AcqTract_DB[],MATCH(AL$2,SP_AcqTract_DB[#Headers],0),FALSE),"")</f>
        <v>43958</v>
      </c>
      <c r="AM56" s="227" t="str">
        <f>IFERROR(VLOOKUP($A56,SP_AcqTract_DB[],MATCH(AM$2,SP_AcqTract_DB[#Headers],0),FALSE),"")</f>
        <v>David Ambrose</v>
      </c>
      <c r="AN56" s="227" t="str">
        <f>IFERROR(VLOOKUP($A56,SP_AcqTract_DB[],MATCH(AN$2,SP_AcqTract_DB[#Headers],0),FALSE),"")</f>
        <v>Richard McGee</v>
      </c>
      <c r="AO56" s="228">
        <f>IFERROR(VLOOKUP($A56,SP_AcqTract_DB[],MATCH(AO$2,SP_AcqTract_DB[#Headers],0),FALSE),"")</f>
        <v>0</v>
      </c>
      <c r="AP56" s="210">
        <f>IFERROR(VLOOKUP($A56,SP_AcqTract_DB[],MATCH(AP$2,SP_AcqTract_DB[#Headers],0),FALSE),"")</f>
        <v>0</v>
      </c>
      <c r="AQ56" s="252" t="str">
        <f>IFERROR(IF(VLOOKUP(CONCATENATE($A56,"_",AQ$1),SP_ACQ_Lib[],MATCH(AQ$2,SP_ACQ_Lib[#Headers],0),FALSE)=0,"",VLOOKUP(CONCATENATE($A56,"_",AQ$1),SP_ACQ_Lib[],MATCH(AQ$2,SP_ACQ_Lib[#Headers],0),FALSE)),"")</f>
        <v/>
      </c>
      <c r="AR56" s="250">
        <f>IFERROR(IF(VLOOKUP(CONCATENATE($A56,"_",AR$1),SP_ACQ_Lib[],MATCH(AR$2,SP_ACQ_Lib[#Headers],0),FALSE)=0,"",VLOOKUP(CONCATENATE($A56,"_",AR$1),SP_ACQ_Lib[],MATCH(AR$2,SP_ACQ_Lib[#Headers],0),FALSE)),"")</f>
        <v>43685</v>
      </c>
      <c r="AS56" s="249">
        <f>IFERROR(IF(VLOOKUP(CONCATENATE($A56,"_",AS$1),SP_ACQ_Lib[],MATCH(AS$2,SP_ACQ_Lib[#Headers],0),FALSE)=0,"",VLOOKUP(CONCATENATE($A56,"_",AS$1),SP_ACQ_Lib[],MATCH(AS$2,SP_ACQ_Lib[#Headers],0),FALSE)),"")</f>
        <v>43765</v>
      </c>
      <c r="AT56" s="251">
        <f>IFERROR(IF(VLOOKUP(CONCATENATE($A56,"_",AT$1),SP_ACQ_Lib[],MATCH(AT$2,SP_ACQ_Lib[#Headers],0),FALSE)=0,"",VLOOKUP(CONCATENATE($A56,"_",AT$1),SP_ACQ_Lib[],MATCH(AT$2,SP_ACQ_Lib[#Headers],0),FALSE)),"")</f>
        <v>43960</v>
      </c>
      <c r="AU56" s="251">
        <f>IFERROR(IF(VLOOKUP(CONCATENATE($A56,"_",AU$1),SP_ACQ_Lib[],MATCH(AU$2,SP_ACQ_Lib[#Headers],0),FALSE)=0,"",VLOOKUP(CONCATENATE($A56,"_",AU$1),SP_ACQ_Lib[],MATCH(AU$2,SP_ACQ_Lib[#Headers],0),FALSE)),"")</f>
        <v>44013</v>
      </c>
      <c r="AV56" s="225">
        <f>IFERROR(IF(VLOOKUP(CONCATENATE($A56,"_",AV$1),SP_ACQ_Lib[],MATCH(AV$2,SP_ACQ_Lib[#Headers],0),FALSE)=0,"",VLOOKUP(CONCATENATE($A56,"_",AV$1),SP_ACQ_Lib[],MATCH(AV$2,SP_ACQ_Lib[#Headers],0),FALSE)),"")</f>
        <v>13542</v>
      </c>
      <c r="AW56" s="251">
        <f>IFERROR(IF(VLOOKUP(CONCATENATE($A56,"_",AW$1),SP_ACQ_Lib[],MATCH(AW$2,SP_ACQ_Lib[#Headers],0),FALSE)=0,"",VLOOKUP(CONCATENATE($A56,"_",AW$1),SP_ACQ_Lib[],MATCH(AW$2,SP_ACQ_Lib[#Headers],0),FALSE)),"")</f>
        <v>43999</v>
      </c>
      <c r="AX56" s="251">
        <f>IFERROR(IF(VLOOKUP(CONCATENATE($A56,"_",AX$1),SP_ACQ_Lib[],MATCH(AX$2,SP_ACQ_Lib[#Headers],0),FALSE)=0,"",VLOOKUP(CONCATENATE($A56,"_",AX$1),SP_ACQ_Lib[],MATCH(AX$2,SP_ACQ_Lib[#Headers],0),FALSE)),"")</f>
        <v>43999</v>
      </c>
      <c r="AY56" s="251">
        <f>IFERROR(IF(VLOOKUP(CONCATENATE($A56,"_",AY$1),SP_ACQ_Lib[],MATCH(AY$2,SP_ACQ_Lib[#Headers],0),FALSE)=0,"",VLOOKUP(CONCATENATE($A56,"_",AY$1),SP_ACQ_Lib[],MATCH(AY$2,SP_ACQ_Lib[#Headers],0),FALSE)),"")</f>
        <v>43999</v>
      </c>
      <c r="AZ56" s="251">
        <f>IFERROR(IF(VLOOKUP(CONCATENATE($A56,"_",AZ$1),SP_ACQ_Lib[],MATCH(AZ$2,SP_ACQ_Lib[#Headers],0),FALSE)=0,"",VLOOKUP(CONCATENATE($A56,"_",AZ$1),SP_ACQ_Lib[],MATCH(AZ$2,SP_ACQ_Lib[#Headers],0),FALSE)),"")</f>
        <v>44012</v>
      </c>
      <c r="BA56" s="251">
        <f>IFERROR(IF(VLOOKUP(CONCATENATE($A56,"_",BA$1),SP_ACQ_Lib[],MATCH(BA$2,SP_ACQ_Lib[#Headers],0),FALSE)=0,"",VLOOKUP(CONCATENATE($A56,"_",BA$1),SP_ACQ_Lib[],MATCH(BA$2,SP_ACQ_Lib[#Headers],0),FALSE)),"")</f>
        <v>44012</v>
      </c>
      <c r="BB56" s="224">
        <f>IFERROR(VLOOKUP(CONCATENATE($A56,"_",BB$1),SP_ACQ_Lib[],MATCH(BB$2,SP_ACQ_Lib[#Headers],0),FALSE),0)</f>
        <v>0</v>
      </c>
      <c r="BC56" s="231">
        <f>IFERROR(VLOOKUP($A56,SP_AcqTract_DB[],MATCH(BC$2,SP_AcqTract_DB[#Headers],0),FALSE),"")</f>
        <v>44012</v>
      </c>
      <c r="BD56" s="231">
        <f>IFERROR(VLOOKUP($A56,SP_AcqTract_DB[],MATCH(BD$2,SP_AcqTract_DB[#Headers],0),FALSE),"")</f>
        <v>0</v>
      </c>
      <c r="BE56" s="249">
        <f>IFERROR(IF(VLOOKUP(CONCATENATE($A56,"_",BE$1),SP_ACQ_Lib[],MATCH(BE$2,SP_ACQ_Lib[#Headers],0),FALSE)=0,"",VLOOKUP(CONCATENATE($A56,"_",BE$1),SP_ACQ_Lib[],MATCH(BE$2,SP_ACQ_Lib[#Headers],0),FALSE)),"")</f>
        <v>44019</v>
      </c>
      <c r="BF56" s="249">
        <f>IFERROR(IF(VLOOKUP(CONCATENATE($A56,"_",BF$1),SP_ACQ_Lib[],MATCH(BF$2,SP_ACQ_Lib[#Headers],0),FALSE)=0,"",VLOOKUP(CONCATENATE($A56,"_",BF$1),SP_ACQ_Lib[],MATCH(BF$2,SP_ACQ_Lib[#Headers],0),FALSE)),"")</f>
        <v>44025</v>
      </c>
      <c r="BG56" s="249" t="str">
        <f>IFERROR(IF(VLOOKUP(CONCATENATE($A56,"_",BG$1),SP_ACQ_Lib[],MATCH(BG$2,SP_ACQ_Lib[#Headers],0),FALSE)=0,"",VLOOKUP(CONCATENATE($A56,"_",BG$1),SP_ACQ_Lib[],MATCH(BG$2,SP_ACQ_Lib[#Headers],0),FALSE)),"")</f>
        <v/>
      </c>
      <c r="BH56" s="249" t="str">
        <f>IFERROR(IF(VLOOKUP(CONCATENATE($A56,"_",BH$1),SP_ACQ_Lib[],MATCH(BH$2,SP_ACQ_Lib[#Headers],0),FALSE)=0,"",VLOOKUP(CONCATENATE($A56,"_",BH$1),SP_ACQ_Lib[],MATCH(BH$2,SP_ACQ_Lib[#Headers],0),FALSE)),"")</f>
        <v/>
      </c>
      <c r="BI56" s="249" t="str">
        <f>IFERROR(IF(VLOOKUP(CONCATENATE($A56,"_",BI$1),SP_ACQ_Lib[],MATCH(BI$2,SP_ACQ_Lib[#Headers],0),FALSE)=0,"",VLOOKUP(CONCATENATE($A56,"_",BI$1),SP_ACQ_Lib[],MATCH(BI$2,SP_ACQ_Lib[#Headers],0),FALSE)),"")</f>
        <v/>
      </c>
      <c r="BJ56" s="249" t="str">
        <f>IFERROR(IF(VLOOKUP(CONCATENATE($A56,"_",BJ$1),SP_ACQ_Lib[],MATCH(BJ$2,SP_ACQ_Lib[#Headers],0),FALSE)=0,"",VLOOKUP(CONCATENATE($A56,"_",BJ$1),SP_ACQ_Lib[],MATCH(BJ$2,SP_ACQ_Lib[#Headers],0),FALSE)),"")</f>
        <v/>
      </c>
      <c r="BK56" s="250">
        <f>IFERROR(IF(VLOOKUP(CONCATENATE($A56,"_",BK$1),SP_ACQ_Lib[],MATCH(BK$2,SP_ACQ_Lib[#Headers],0),FALSE)=0,"",VLOOKUP(CONCATENATE($A56,"_",BK$1),SP_ACQ_Lib[],MATCH(BK$2,SP_ACQ_Lib[#Headers],0),FALSE)),"")</f>
        <v>43748</v>
      </c>
      <c r="BL56" s="249" t="str">
        <f>IFERROR(IF(VLOOKUP(CONCATENATE($A56,"_",BL$1),SP_ACQ_Lib[],MATCH(BL$2,SP_ACQ_Lib[#Headers],0),FALSE)=0,"",VLOOKUP(CONCATENATE($A56,"_",BL$1),SP_ACQ_Lib[],MATCH(BL$2,SP_ACQ_Lib[#Headers],0),FALSE)),"")</f>
        <v/>
      </c>
      <c r="BM56" s="249" t="str">
        <f>IFERROR(IF(VLOOKUP(CONCATENATE($A56,"_",BM$1),SP_ACQ_Lib[],MATCH(BM$2,SP_ACQ_Lib[#Headers],0),FALSE)=0,"",VLOOKUP(CONCATENATE($A56,"_",BM$1),SP_ACQ_Lib[],MATCH(BM$2,SP_ACQ_Lib[#Headers],0),FALSE)),"")</f>
        <v/>
      </c>
      <c r="BN56" s="249" t="str">
        <f>IFERROR(IF(VLOOKUP(CONCATENATE($A56,"_",BN$1),SP_ACQ_Lib[],MATCH(BN$2,SP_ACQ_Lib[#Headers],0),FALSE)=0,"",VLOOKUP(CONCATENATE($A56,"_",BN$1),SP_ACQ_Lib[],MATCH(BN$2,SP_ACQ_Lib[#Headers],0),FALSE)),"")</f>
        <v/>
      </c>
    </row>
    <row r="57" spans="1:66" s="226" customFormat="1" ht="25.5" x14ac:dyDescent="0.2">
      <c r="A57" s="192" t="s">
        <v>59</v>
      </c>
      <c r="B57" s="227" t="str">
        <f>IFERROR(VLOOKUP($A57,SP_AcqTract_DB[],MATCH(B$2,SP_AcqTract_DB[#Headers],0),FALSE),"")</f>
        <v>R026687</v>
      </c>
      <c r="C57" s="228" t="str">
        <f>IFERROR(VLOOKUP($A57,SP_AcqTract_DB[],MATCH(C$2,SP_AcqTract_DB[#Headers],0),FALSE),"")</f>
        <v>PH1</v>
      </c>
      <c r="D57" s="208" t="str">
        <f>IFERROR(VLOOKUP($A57,SP_AcqTract_DB[],MATCH(D$2,SP_AcqTract_DB[#Headers],0),FALSE),"")</f>
        <v>Active</v>
      </c>
      <c r="E57" s="208">
        <f>IFERROR(VLOOKUP($A57,SP_AcqTract_DB[],MATCH(E$2,SP_AcqTract_DB[#Headers],0),FALSE),"")</f>
        <v>1</v>
      </c>
      <c r="F57" s="227" t="str">
        <f>IFERROR(VLOOKUP($A57,SP_AcqTract_DB[],MATCH(F$2,SP_AcqTract_DB[#Headers],0),FALSE),"")</f>
        <v>Levee Esmt</v>
      </c>
      <c r="G57" s="227" t="str">
        <f>IFERROR(VLOOKUP($A57,SP_AcqTract_DB[],MATCH(G$2,SP_AcqTract_DB[#Headers],0),FALSE),"")</f>
        <v>Lily Khan</v>
      </c>
      <c r="H57" s="250">
        <f>IFERROR(IF(VLOOKUP(CONCATENATE($A57,"_",H$1),SP_ACQ_Lib[],MATCH(H$2,SP_ACQ_Lib[#Headers],0),FALSE)=0,"",VLOOKUP(CONCATENATE($A57,"_",H$1),SP_ACQ_Lib[],MATCH(H$2,SP_ACQ_Lib[#Headers],0),FALSE)),"")</f>
        <v>43998.678819444445</v>
      </c>
      <c r="I57" s="227" t="str">
        <f>IFERROR(VLOOKUP($A57,SP_AcqTract_DB[],MATCH(I$2,SP_AcqTract_DB[#Headers],0),FALSE),"")</f>
        <v>Manuel Esparza</v>
      </c>
      <c r="J57" s="227">
        <f>IFERROR(VLOOKUP($A57,SP_AcqTract_DB[],MATCH(J$2,SP_AcqTract_DB[#Headers],0),FALSE),"")</f>
        <v>0</v>
      </c>
      <c r="K57" s="227">
        <f>IFERROR(VLOOKUP($A57,SP_AcqTract_DB[],MATCH(K$2,SP_AcqTract_DB[#Headers],0),FALSE),"")</f>
        <v>0</v>
      </c>
      <c r="L57" s="227" t="str">
        <f>IFERROR(VLOOKUP($A57,SP_AcqTract_DB[],MATCH(L$2,SP_AcqTract_DB[#Headers],0),FALSE),"")</f>
        <v>523 Sunset</v>
      </c>
      <c r="M57" s="208" t="str">
        <f>IFERROR(VLOOKUP($A57,SP_AcqTract_DB[],MATCH(M$2,SP_AcqTract_DB[#Headers],0),FALSE),"")</f>
        <v>Wharton, TX 77488</v>
      </c>
      <c r="N57" s="227" t="str">
        <f>IFERROR(VLOOKUP($A57,SP_AcqTract_DB[],MATCH(N$2,SP_AcqTract_DB[#Headers],0),FALSE),"")</f>
        <v>524 Sunset</v>
      </c>
      <c r="O57" s="220">
        <f>IFERROR(VLOOKUP($A57,SP_AcqTract_DB[],MATCH(O$2,SP_AcqTract_DB[#Headers],0),FALSE),"")</f>
        <v>0</v>
      </c>
      <c r="P57" s="220">
        <f>IFERROR(VLOOKUP($A57,SP_AcqTract_DB[],MATCH(P$2,SP_AcqTract_DB[#Headers],0),FALSE),"")</f>
        <v>0</v>
      </c>
      <c r="Q57" s="208" t="str">
        <f>IFERROR(VLOOKUP($A57,SP_AcqTract_DB[],MATCH(Q$2,SP_AcqTract_DB[#Headers],0),FALSE),"")</f>
        <v>2019-0840</v>
      </c>
      <c r="R57" s="250">
        <f>IFERROR(IF(VLOOKUP(CONCATENATE($A57,"_",R$1),SP_ACQ_Lib[],MATCH(R$2,SP_ACQ_Lib[#Headers],0),FALSE)=0,"",VLOOKUP(CONCATENATE($A57,"_",R$1),SP_ACQ_Lib[],MATCH(R$2,SP_ACQ_Lib[#Headers],0),FALSE)),"")</f>
        <v>43686</v>
      </c>
      <c r="S57" s="253">
        <f>IFERROR(IF(VLOOKUP(CONCATENATE($A57,"_",S$1),SP_ACQ_Lib[],MATCH(S$2,SP_ACQ_Lib[#Headers],0),FALSE)=0,"",VLOOKUP(CONCATENATE($A57,"_",S$1),SP_ACQ_Lib[],MATCH(S$2,SP_ACQ_Lib[#Headers],0),FALSE)),"")</f>
        <v>43700</v>
      </c>
      <c r="T57" s="205" t="str">
        <f>IFERROR(VLOOKUP(CONCATENATE($A57,"_",T$1),SP_ACQ_Lib[],MATCH(T$2,SP_ACQ_Lib[#Headers],0),FALSE),0)</f>
        <v>Accepted</v>
      </c>
      <c r="U57" s="250">
        <f>IFERROR(IF(VLOOKUP(CONCATENATE($A57,"_",U$1),SP_ACQ_Lib[],MATCH(U$2,SP_ACQ_Lib[#Headers],0),FALSE)=0,"",VLOOKUP(CONCATENATE($A57,"_",U$1),SP_ACQ_Lib[],MATCH(U$2,SP_ACQ_Lib[#Headers],0),FALSE)),"")</f>
        <v>43685</v>
      </c>
      <c r="V57" s="205" t="str">
        <f>IFERROR(VLOOKUP(CONCATENATE($A57,"_",V$1),SP_ACQ_Lib[],MATCH(V$2,SP_ACQ_Lib[#Headers],0),FALSE),0)</f>
        <v>Accepted</v>
      </c>
      <c r="W57" s="209">
        <f>IFERROR(VLOOKUP(CONCATENATE($A57,"_",W$1),SP_ACQ_Lib[],MATCH(W$2,SP_ACQ_Lib[#Headers],0),FALSE),0)</f>
        <v>0</v>
      </c>
      <c r="X57" s="250">
        <f>IFERROR(VLOOKUP($A57,SP_AcqTract_DB[],MATCH(X$2,SP_AcqTract_DB[#Headers],0),FALSE),"")</f>
        <v>43718</v>
      </c>
      <c r="Y57" s="237">
        <f>IFERROR(VLOOKUP($A57,SP_AcqTract_DB[],MATCH(Y$2,SP_AcqTract_DB[#Headers],0),FALSE),"")</f>
        <v>0.26820477502295698</v>
      </c>
      <c r="Z57" s="229">
        <f>IFERROR(VLOOKUP($A57,SP_AcqTract_DB[],MATCH(Z$2,SP_AcqTract_DB[#Headers],0),FALSE),"")</f>
        <v>11683</v>
      </c>
      <c r="AA57" s="229" t="str">
        <f>IFERROR(VLOOKUP($A57,SP_AcqTract_DB[],MATCH(AA$2,SP_AcqTract_DB[#Headers],0),FALSE),"")</f>
        <v>Yes</v>
      </c>
      <c r="AB57" s="250">
        <f>IFERROR(IF(VLOOKUP(CONCATENATE($A57,"_",AB$1),SP_ACQ_Lib[],MATCH(AB$2,SP_ACQ_Lib[#Headers],0),FALSE)=0,"",VLOOKUP(CONCATENATE($A57,"_",AB$1),SP_ACQ_Lib[],MATCH(AB$2,SP_ACQ_Lib[#Headers],0),FALSE)),"")</f>
        <v>43815</v>
      </c>
      <c r="AC57" s="250">
        <f>IFERROR(IF(VLOOKUP(CONCATENATE($A57,"_",AC$1),SP_ACQ_Lib[],MATCH(AC$2,SP_ACQ_Lib[#Headers],0),FALSE)=0,"",VLOOKUP(CONCATENATE($A57,"_",AC$1),SP_ACQ_Lib[],MATCH(AC$2,SP_ACQ_Lib[#Headers],0),FALSE)),"")</f>
        <v>43886</v>
      </c>
      <c r="AD57" s="229" t="str">
        <f>IFERROR(VLOOKUP($A57,SP_AcqTract_DB[],MATCH(AD$2,SP_AcqTract_DB[#Headers],0),FALSE),"")</f>
        <v>Yes</v>
      </c>
      <c r="AE57" s="250">
        <f>IFERROR(IF(VLOOKUP(CONCATENATE($A57,"_",AE$1),SP_ACQ_Lib[],MATCH(AE$2,SP_ACQ_Lib[#Headers],0),FALSE)=0,"",VLOOKUP(CONCATENATE($A57,"_",AE$1),SP_ACQ_Lib[],MATCH(AE$2,SP_ACQ_Lib[#Headers],0),FALSE)),"")</f>
        <v>43815</v>
      </c>
      <c r="AF57" s="250">
        <f>IFERROR(IF(VLOOKUP(CONCATENATE($A57,"_",AF$1),SP_ACQ_Lib[],MATCH(AF$2,SP_ACQ_Lib[#Headers],0),FALSE)=0,"",VLOOKUP(CONCATENATE($A57,"_",AF$1),SP_ACQ_Lib[],MATCH(AF$2,SP_ACQ_Lib[#Headers],0),FALSE)),"")</f>
        <v>43958</v>
      </c>
      <c r="AG57" s="250">
        <f>IFERROR(IF(VLOOKUP(CONCATENATE($A57,"_",AG$1),SP_ACQ_Lib[],MATCH(AG$2,SP_ACQ_Lib[#Headers],0),FALSE)=0,"",VLOOKUP(CONCATENATE($A57,"_",AG$1),SP_ACQ_Lib[],MATCH(AG$2,SP_ACQ_Lib[#Headers],0),FALSE)),"")</f>
        <v>43699</v>
      </c>
      <c r="AH57" s="250">
        <f>IFERROR(IF(VLOOKUP(CONCATENATE($A57,"_",AH$1),SP_ACQ_Lib[],MATCH(AH$2,SP_ACQ_Lib[#Headers],0),FALSE)=0,"",VLOOKUP(CONCATENATE($A57,"_",AH$1),SP_ACQ_Lib[],MATCH(AH$2,SP_ACQ_Lib[#Headers],0),FALSE)),"")</f>
        <v>43717</v>
      </c>
      <c r="AI57" s="249" t="str">
        <f>IFERROR(IF(VLOOKUP(CONCATENATE($A57,"_",AI$1),SP_ACQ_Lib[],MATCH(AI$2,SP_ACQ_Lib[#Headers],0),FALSE)=0,"",VLOOKUP(CONCATENATE($A57,"_",AI$1),SP_ACQ_Lib[],MATCH(AI$2,SP_ACQ_Lib[#Headers],0),FALSE)),"")</f>
        <v/>
      </c>
      <c r="AJ57" s="249" t="str">
        <f>IFERROR(IF(VLOOKUP(CONCATENATE($A57,"_",AJ$1),SP_ACQ_Lib[],MATCH(AJ$2,SP_ACQ_Lib[#Headers],0),FALSE)=0,"",VLOOKUP(CONCATENATE($A57,"_",AJ$1),SP_ACQ_Lib[],MATCH(AJ$2,SP_ACQ_Lib[#Headers],0),FALSE)),"")</f>
        <v/>
      </c>
      <c r="AK57" s="249" t="str">
        <f>IFERROR(IF(VLOOKUP(CONCATENATE($A57,"_",AK$1),SP_ACQ_Lib[],MATCH(AK$2,SP_ACQ_Lib[#Headers],0),FALSE)=0,"",VLOOKUP(CONCATENATE($A57,"_",AK$1),SP_ACQ_Lib[],MATCH(AK$2,SP_ACQ_Lib[#Headers],0),FALSE)),"")</f>
        <v/>
      </c>
      <c r="AL57" s="249">
        <f>IFERROR(VLOOKUP($A57,SP_AcqTract_DB[],MATCH(AL$2,SP_AcqTract_DB[#Headers],0),FALSE),"")</f>
        <v>43958</v>
      </c>
      <c r="AM57" s="227" t="str">
        <f>IFERROR(VLOOKUP($A57,SP_AcqTract_DB[],MATCH(AM$2,SP_AcqTract_DB[#Headers],0),FALSE),"")</f>
        <v>Richard Hudgins</v>
      </c>
      <c r="AN57" s="227" t="str">
        <f>IFERROR(VLOOKUP($A57,SP_AcqTract_DB[],MATCH(AN$2,SP_AcqTract_DB[#Headers],0),FALSE),"")</f>
        <v>Richard McGee</v>
      </c>
      <c r="AO57" s="228">
        <f>IFERROR(VLOOKUP($A57,SP_AcqTract_DB[],MATCH(AO$2,SP_AcqTract_DB[#Headers],0),FALSE),"")</f>
        <v>0</v>
      </c>
      <c r="AP57" s="210" t="str">
        <f>IFERROR(VLOOKUP($A57,SP_AcqTract_DB[],MATCH(AP$2,SP_AcqTract_DB[#Headers],0),FALSE),"")</f>
        <v>R</v>
      </c>
      <c r="AQ57" s="252" t="str">
        <f>IFERROR(IF(VLOOKUP(CONCATENATE($A57,"_",AQ$1),SP_ACQ_Lib[],MATCH(AQ$2,SP_ACQ_Lib[#Headers],0),FALSE)=0,"",VLOOKUP(CONCATENATE($A57,"_",AQ$1),SP_ACQ_Lib[],MATCH(AQ$2,SP_ACQ_Lib[#Headers],0),FALSE)),"")</f>
        <v/>
      </c>
      <c r="AR57" s="250">
        <f>IFERROR(IF(VLOOKUP(CONCATENATE($A57,"_",AR$1),SP_ACQ_Lib[],MATCH(AR$2,SP_ACQ_Lib[#Headers],0),FALSE)=0,"",VLOOKUP(CONCATENATE($A57,"_",AR$1),SP_ACQ_Lib[],MATCH(AR$2,SP_ACQ_Lib[#Headers],0),FALSE)),"")</f>
        <v>43685</v>
      </c>
      <c r="AS57" s="249">
        <f>IFERROR(IF(VLOOKUP(CONCATENATE($A57,"_",AS$1),SP_ACQ_Lib[],MATCH(AS$2,SP_ACQ_Lib[#Headers],0),FALSE)=0,"",VLOOKUP(CONCATENATE($A57,"_",AS$1),SP_ACQ_Lib[],MATCH(AS$2,SP_ACQ_Lib[#Headers],0),FALSE)),"")</f>
        <v>43765</v>
      </c>
      <c r="AT57" s="251">
        <f>IFERROR(IF(VLOOKUP(CONCATENATE($A57,"_",AT$1),SP_ACQ_Lib[],MATCH(AT$2,SP_ACQ_Lib[#Headers],0),FALSE)=0,"",VLOOKUP(CONCATENATE($A57,"_",AT$1),SP_ACQ_Lib[],MATCH(AT$2,SP_ACQ_Lib[#Headers],0),FALSE)),"")</f>
        <v>43962</v>
      </c>
      <c r="AU57" s="251" t="str">
        <f>IFERROR(IF(VLOOKUP(CONCATENATE($A57,"_",AU$1),SP_ACQ_Lib[],MATCH(AU$2,SP_ACQ_Lib[#Headers],0),FALSE)=0,"",VLOOKUP(CONCATENATE($A57,"_",AU$1),SP_ACQ_Lib[],MATCH(AU$2,SP_ACQ_Lib[#Headers],0),FALSE)),"")</f>
        <v/>
      </c>
      <c r="AV57" s="225">
        <f>IFERROR(IF(VLOOKUP(CONCATENATE($A57,"_",AV$1),SP_ACQ_Lib[],MATCH(AV$2,SP_ACQ_Lib[#Headers],0),FALSE)=0,"",VLOOKUP(CONCATENATE($A57,"_",AV$1),SP_ACQ_Lib[],MATCH(AV$2,SP_ACQ_Lib[#Headers],0),FALSE)),"")</f>
        <v>7944</v>
      </c>
      <c r="AW57" s="251">
        <f>IFERROR(IF(VLOOKUP(CONCATENATE($A57,"_",AW$1),SP_ACQ_Lib[],MATCH(AW$2,SP_ACQ_Lib[#Headers],0),FALSE)=0,"",VLOOKUP(CONCATENATE($A57,"_",AW$1),SP_ACQ_Lib[],MATCH(AW$2,SP_ACQ_Lib[#Headers],0),FALSE)),"")</f>
        <v>43990</v>
      </c>
      <c r="AX57" s="251">
        <f>IFERROR(IF(VLOOKUP(CONCATENATE($A57,"_",AX$1),SP_ACQ_Lib[],MATCH(AX$2,SP_ACQ_Lib[#Headers],0),FALSE)=0,"",VLOOKUP(CONCATENATE($A57,"_",AX$1),SP_ACQ_Lib[],MATCH(AX$2,SP_ACQ_Lib[#Headers],0),FALSE)),"")</f>
        <v>43990</v>
      </c>
      <c r="AY57" s="251">
        <f>IFERROR(IF(VLOOKUP(CONCATENATE($A57,"_",AY$1),SP_ACQ_Lib[],MATCH(AY$2,SP_ACQ_Lib[#Headers],0),FALSE)=0,"",VLOOKUP(CONCATENATE($A57,"_",AY$1),SP_ACQ_Lib[],MATCH(AY$2,SP_ACQ_Lib[#Headers],0),FALSE)),"")</f>
        <v>43990</v>
      </c>
      <c r="AZ57" s="251" t="str">
        <f>IFERROR(IF(VLOOKUP(CONCATENATE($A57,"_",AZ$1),SP_ACQ_Lib[],MATCH(AZ$2,SP_ACQ_Lib[#Headers],0),FALSE)=0,"",VLOOKUP(CONCATENATE($A57,"_",AZ$1),SP_ACQ_Lib[],MATCH(AZ$2,SP_ACQ_Lib[#Headers],0),FALSE)),"")</f>
        <v/>
      </c>
      <c r="BA57" s="251" t="str">
        <f>IFERROR(IF(VLOOKUP(CONCATENATE($A57,"_",BA$1),SP_ACQ_Lib[],MATCH(BA$2,SP_ACQ_Lib[#Headers],0),FALSE)=0,"",VLOOKUP(CONCATENATE($A57,"_",BA$1),SP_ACQ_Lib[],MATCH(BA$2,SP_ACQ_Lib[#Headers],0),FALSE)),"")</f>
        <v/>
      </c>
      <c r="BB57" s="224">
        <f>IFERROR(VLOOKUP(CONCATENATE($A57,"_",BB$1),SP_ACQ_Lib[],MATCH(BB$2,SP_ACQ_Lib[#Headers],0),FALSE),0)</f>
        <v>0</v>
      </c>
      <c r="BC57" s="231">
        <f>IFERROR(VLOOKUP($A57,SP_AcqTract_DB[],MATCH(BC$2,SP_AcqTract_DB[#Headers],0),FALSE),"")</f>
        <v>43991</v>
      </c>
      <c r="BD57" s="231">
        <f>IFERROR(VLOOKUP($A57,SP_AcqTract_DB[],MATCH(BD$2,SP_AcqTract_DB[#Headers],0),FALSE),"")</f>
        <v>0</v>
      </c>
      <c r="BE57" s="249" t="str">
        <f>IFERROR(IF(VLOOKUP(CONCATENATE($A57,"_",BE$1),SP_ACQ_Lib[],MATCH(BE$2,SP_ACQ_Lib[#Headers],0),FALSE)=0,"",VLOOKUP(CONCATENATE($A57,"_",BE$1),SP_ACQ_Lib[],MATCH(BE$2,SP_ACQ_Lib[#Headers],0),FALSE)),"")</f>
        <v/>
      </c>
      <c r="BF57" s="249" t="str">
        <f>IFERROR(IF(VLOOKUP(CONCATENATE($A57,"_",BF$1),SP_ACQ_Lib[],MATCH(BF$2,SP_ACQ_Lib[#Headers],0),FALSE)=0,"",VLOOKUP(CONCATENATE($A57,"_",BF$1),SP_ACQ_Lib[],MATCH(BF$2,SP_ACQ_Lib[#Headers],0),FALSE)),"")</f>
        <v/>
      </c>
      <c r="BG57" s="249" t="str">
        <f>IFERROR(IF(VLOOKUP(CONCATENATE($A57,"_",BG$1),SP_ACQ_Lib[],MATCH(BG$2,SP_ACQ_Lib[#Headers],0),FALSE)=0,"",VLOOKUP(CONCATENATE($A57,"_",BG$1),SP_ACQ_Lib[],MATCH(BG$2,SP_ACQ_Lib[#Headers],0),FALSE)),"")</f>
        <v/>
      </c>
      <c r="BH57" s="249" t="str">
        <f>IFERROR(IF(VLOOKUP(CONCATENATE($A57,"_",BH$1),SP_ACQ_Lib[],MATCH(BH$2,SP_ACQ_Lib[#Headers],0),FALSE)=0,"",VLOOKUP(CONCATENATE($A57,"_",BH$1),SP_ACQ_Lib[],MATCH(BH$2,SP_ACQ_Lib[#Headers],0),FALSE)),"")</f>
        <v/>
      </c>
      <c r="BI57" s="249" t="str">
        <f>IFERROR(IF(VLOOKUP(CONCATENATE($A57,"_",BI$1),SP_ACQ_Lib[],MATCH(BI$2,SP_ACQ_Lib[#Headers],0),FALSE)=0,"",VLOOKUP(CONCATENATE($A57,"_",BI$1),SP_ACQ_Lib[],MATCH(BI$2,SP_ACQ_Lib[#Headers],0),FALSE)),"")</f>
        <v/>
      </c>
      <c r="BJ57" s="249" t="str">
        <f>IFERROR(IF(VLOOKUP(CONCATENATE($A57,"_",BJ$1),SP_ACQ_Lib[],MATCH(BJ$2,SP_ACQ_Lib[#Headers],0),FALSE)=0,"",VLOOKUP(CONCATENATE($A57,"_",BJ$1),SP_ACQ_Lib[],MATCH(BJ$2,SP_ACQ_Lib[#Headers],0),FALSE)),"")</f>
        <v/>
      </c>
      <c r="BK57" s="250">
        <f>IFERROR(IF(VLOOKUP(CONCATENATE($A57,"_",BK$1),SP_ACQ_Lib[],MATCH(BK$2,SP_ACQ_Lib[#Headers],0),FALSE)=0,"",VLOOKUP(CONCATENATE($A57,"_",BK$1),SP_ACQ_Lib[],MATCH(BK$2,SP_ACQ_Lib[#Headers],0),FALSE)),"")</f>
        <v>43748</v>
      </c>
      <c r="BL57" s="249" t="str">
        <f>IFERROR(IF(VLOOKUP(CONCATENATE($A57,"_",BL$1),SP_ACQ_Lib[],MATCH(BL$2,SP_ACQ_Lib[#Headers],0),FALSE)=0,"",VLOOKUP(CONCATENATE($A57,"_",BL$1),SP_ACQ_Lib[],MATCH(BL$2,SP_ACQ_Lib[#Headers],0),FALSE)),"")</f>
        <v/>
      </c>
      <c r="BM57" s="249" t="str">
        <f>IFERROR(IF(VLOOKUP(CONCATENATE($A57,"_",BM$1),SP_ACQ_Lib[],MATCH(BM$2,SP_ACQ_Lib[#Headers],0),FALSE)=0,"",VLOOKUP(CONCATENATE($A57,"_",BM$1),SP_ACQ_Lib[],MATCH(BM$2,SP_ACQ_Lib[#Headers],0),FALSE)),"")</f>
        <v/>
      </c>
      <c r="BN57" s="249" t="str">
        <f>IFERROR(IF(VLOOKUP(CONCATENATE($A57,"_",BN$1),SP_ACQ_Lib[],MATCH(BN$2,SP_ACQ_Lib[#Headers],0),FALSE)=0,"",VLOOKUP(CONCATENATE($A57,"_",BN$1),SP_ACQ_Lib[],MATCH(BN$2,SP_ACQ_Lib[#Headers],0),FALSE)),"")</f>
        <v/>
      </c>
    </row>
    <row r="58" spans="1:66" s="226" customFormat="1" ht="89.25" x14ac:dyDescent="0.2">
      <c r="A58" s="192" t="s">
        <v>60</v>
      </c>
      <c r="B58" s="227" t="str">
        <f>IFERROR(VLOOKUP($A58,SP_AcqTract_DB[],MATCH(B$2,SP_AcqTract_DB[#Headers],0),FALSE),"")</f>
        <v>R026685;R026691;R071959</v>
      </c>
      <c r="C58" s="228" t="str">
        <f>IFERROR(VLOOKUP($A58,SP_AcqTract_DB[],MATCH(C$2,SP_AcqTract_DB[#Headers],0),FALSE),"")</f>
        <v>PH1</v>
      </c>
      <c r="D58" s="208" t="str">
        <f>IFERROR(VLOOKUP($A58,SP_AcqTract_DB[],MATCH(D$2,SP_AcqTract_DB[#Headers],0),FALSE),"")</f>
        <v>Active</v>
      </c>
      <c r="E58" s="208">
        <f>IFERROR(VLOOKUP($A58,SP_AcqTract_DB[],MATCH(E$2,SP_AcqTract_DB[#Headers],0),FALSE),"")</f>
        <v>2</v>
      </c>
      <c r="F58" s="227" t="str">
        <f>IFERROR(VLOOKUP($A58,SP_AcqTract_DB[],MATCH(F$2,SP_AcqTract_DB[#Headers],0),FALSE),"")</f>
        <v>Flowage Esmt/Levee Esmt</v>
      </c>
      <c r="G58" s="227" t="str">
        <f>IFERROR(VLOOKUP($A58,SP_AcqTract_DB[],MATCH(G$2,SP_AcqTract_DB[#Headers],0),FALSE),"")</f>
        <v>Lily Khan</v>
      </c>
      <c r="H58" s="250">
        <f>IFERROR(IF(VLOOKUP(CONCATENATE($A58,"_",H$1),SP_ACQ_Lib[],MATCH(H$2,SP_ACQ_Lib[#Headers],0),FALSE)=0,"",VLOOKUP(CONCATENATE($A58,"_",H$1),SP_ACQ_Lib[],MATCH(H$2,SP_ACQ_Lib[#Headers],0),FALSE)),"")</f>
        <v>43998.68136574074</v>
      </c>
      <c r="I58" s="227" t="str">
        <f>IFERROR(VLOOKUP($A58,SP_AcqTract_DB[],MATCH(I$2,SP_AcqTract_DB[#Headers],0),FALSE),"")</f>
        <v>An 80% undivided interest to:  Leovilgildo Panes and Prospera Panes; Erlinda Panes and Primo Panes; and a 20% undivided interest to:  Jocelyn Manlongat and Jose Manlongat Jr and Belino Guzman, Sr. and Fe Guzman</v>
      </c>
      <c r="J58" s="227">
        <f>IFERROR(VLOOKUP($A58,SP_AcqTract_DB[],MATCH(J$2,SP_AcqTract_DB[#Headers],0),FALSE),"")</f>
        <v>0</v>
      </c>
      <c r="K58" s="227" t="str">
        <f>IFERROR(VLOOKUP($A58,SP_AcqTract_DB[],MATCH(K$2,SP_AcqTract_DB[#Headers],0),FALSE),"")</f>
        <v>Leovilgildo Panes and Prospera Panes; Erlinda Panes and Primo Panes; Jocelyn Manlongat and Jose Manlongat Jr and Belino Guzman, Sr. and Fe Guzman</v>
      </c>
      <c r="L58" s="227" t="str">
        <f>IFERROR(VLOOKUP($A58,SP_AcqTract_DB[],MATCH(L$2,SP_AcqTract_DB[#Headers],0),FALSE),"")</f>
        <v>12809 Tyler CT</v>
      </c>
      <c r="M58" s="208" t="str">
        <f>IFERROR(VLOOKUP($A58,SP_AcqTract_DB[],MATCH(M$2,SP_AcqTract_DB[#Headers],0),FALSE),"")</f>
        <v>Stafford, TX</v>
      </c>
      <c r="N58" s="227" t="str">
        <f>IFERROR(VLOOKUP($A58,SP_AcqTract_DB[],MATCH(N$2,SP_AcqTract_DB[#Headers],0),FALSE),"")</f>
        <v>0 Bell, 0 Sunset, 505 Colorado</v>
      </c>
      <c r="O58" s="220" t="str">
        <f>IFERROR(VLOOKUP($A58,SP_AcqTract_DB[],MATCH(O$2,SP_AcqTract_DB[#Headers],0),FALSE),"")</f>
        <v>Electric trans./dist. lines-Houston Power &amp; Lighting
Electric trans./dist. lines-Houston Power &amp; Lighting
Electric trans./dist. lines-Houston Power &amp; Lighting</v>
      </c>
      <c r="P58" s="220" t="str">
        <f>IFERROR(VLOOKUP($A58,SP_AcqTract_DB[],MATCH(P$2,SP_AcqTract_DB[#Headers],0),FALSE),"")</f>
        <v>X</v>
      </c>
      <c r="Q58" s="208" t="str">
        <f>IFERROR(VLOOKUP($A58,SP_AcqTract_DB[],MATCH(Q$2,SP_AcqTract_DB[#Headers],0),FALSE),"")</f>
        <v>2019-0761</v>
      </c>
      <c r="R58" s="250">
        <f>IFERROR(IF(VLOOKUP(CONCATENATE($A58,"_",R$1),SP_ACQ_Lib[],MATCH(R$2,SP_ACQ_Lib[#Headers],0),FALSE)=0,"",VLOOKUP(CONCATENATE($A58,"_",R$1),SP_ACQ_Lib[],MATCH(R$2,SP_ACQ_Lib[#Headers],0),FALSE)),"")</f>
        <v>43917</v>
      </c>
      <c r="S58" s="253">
        <f>IFERROR(IF(VLOOKUP(CONCATENATE($A58,"_",S$1),SP_ACQ_Lib[],MATCH(S$2,SP_ACQ_Lib[#Headers],0),FALSE)=0,"",VLOOKUP(CONCATENATE($A58,"_",S$1),SP_ACQ_Lib[],MATCH(S$2,SP_ACQ_Lib[#Headers],0),FALSE)),"")</f>
        <v>43928</v>
      </c>
      <c r="T58" s="205" t="str">
        <f>IFERROR(VLOOKUP(CONCATENATE($A58,"_",T$1),SP_ACQ_Lib[],MATCH(T$2,SP_ACQ_Lib[#Headers],0),FALSE),0)</f>
        <v>Accepted</v>
      </c>
      <c r="U58" s="250">
        <f>IFERROR(IF(VLOOKUP(CONCATENATE($A58,"_",U$1),SP_ACQ_Lib[],MATCH(U$2,SP_ACQ_Lib[#Headers],0),FALSE)=0,"",VLOOKUP(CONCATENATE($A58,"_",U$1),SP_ACQ_Lib[],MATCH(U$2,SP_ACQ_Lib[#Headers],0),FALSE)),"")</f>
        <v>43815</v>
      </c>
      <c r="V58" s="205" t="str">
        <f>IFERROR(VLOOKUP(CONCATENATE($A58,"_",V$1),SP_ACQ_Lib[],MATCH(V$2,SP_ACQ_Lib[#Headers],0),FALSE),0)</f>
        <v>Accepted</v>
      </c>
      <c r="W58" s="209">
        <f>IFERROR(VLOOKUP(CONCATENATE($A58,"_",W$1),SP_ACQ_Lib[],MATCH(W$2,SP_ACQ_Lib[#Headers],0),FALSE),0)</f>
        <v>0</v>
      </c>
      <c r="X58" s="250">
        <f>IFERROR(VLOOKUP($A58,SP_AcqTract_DB[],MATCH(X$2,SP_AcqTract_DB[#Headers],0),FALSE),"")</f>
        <v>43693</v>
      </c>
      <c r="Y58" s="237">
        <f>IFERROR(VLOOKUP($A58,SP_AcqTract_DB[],MATCH(Y$2,SP_AcqTract_DB[#Headers],0),FALSE),"")</f>
        <v>2.81668962350781</v>
      </c>
      <c r="Z58" s="229">
        <f>IFERROR(VLOOKUP($A58,SP_AcqTract_DB[],MATCH(Z$2,SP_AcqTract_DB[#Headers],0),FALSE),"")</f>
        <v>122695</v>
      </c>
      <c r="AA58" s="229" t="str">
        <f>IFERROR(VLOOKUP($A58,SP_AcqTract_DB[],MATCH(AA$2,SP_AcqTract_DB[#Headers],0),FALSE),"")</f>
        <v>Yes</v>
      </c>
      <c r="AB58" s="250">
        <f>IFERROR(IF(VLOOKUP(CONCATENATE($A58,"_",AB$1),SP_ACQ_Lib[],MATCH(AB$2,SP_ACQ_Lib[#Headers],0),FALSE)=0,"",VLOOKUP(CONCATENATE($A58,"_",AB$1),SP_ACQ_Lib[],MATCH(AB$2,SP_ACQ_Lib[#Headers],0),FALSE)),"")</f>
        <v>43840</v>
      </c>
      <c r="AC58" s="250">
        <f>IFERROR(IF(VLOOKUP(CONCATENATE($A58,"_",AC$1),SP_ACQ_Lib[],MATCH(AC$2,SP_ACQ_Lib[#Headers],0),FALSE)=0,"",VLOOKUP(CONCATENATE($A58,"_",AC$1),SP_ACQ_Lib[],MATCH(AC$2,SP_ACQ_Lib[#Headers],0),FALSE)),"")</f>
        <v>43926</v>
      </c>
      <c r="AD58" s="229" t="str">
        <f>IFERROR(VLOOKUP($A58,SP_AcqTract_DB[],MATCH(AD$2,SP_AcqTract_DB[#Headers],0),FALSE),"")</f>
        <v>Yes</v>
      </c>
      <c r="AE58" s="250">
        <f>IFERROR(IF(VLOOKUP(CONCATENATE($A58,"_",AE$1),SP_ACQ_Lib[],MATCH(AE$2,SP_ACQ_Lib[#Headers],0),FALSE)=0,"",VLOOKUP(CONCATENATE($A58,"_",AE$1),SP_ACQ_Lib[],MATCH(AE$2,SP_ACQ_Lib[#Headers],0),FALSE)),"")</f>
        <v>43991</v>
      </c>
      <c r="AF58" s="250">
        <f>IFERROR(IF(VLOOKUP(CONCATENATE($A58,"_",AF$1),SP_ACQ_Lib[],MATCH(AF$2,SP_ACQ_Lib[#Headers],0),FALSE)=0,"",VLOOKUP(CONCATENATE($A58,"_",AF$1),SP_ACQ_Lib[],MATCH(AF$2,SP_ACQ_Lib[#Headers],0),FALSE)),"")</f>
        <v>43993</v>
      </c>
      <c r="AG58" s="250">
        <f>IFERROR(IF(VLOOKUP(CONCATENATE($A58,"_",AG$1),SP_ACQ_Lib[],MATCH(AG$2,SP_ACQ_Lib[#Headers],0),FALSE)=0,"",VLOOKUP(CONCATENATE($A58,"_",AG$1),SP_ACQ_Lib[],MATCH(AG$2,SP_ACQ_Lib[#Headers],0),FALSE)),"")</f>
        <v>43680</v>
      </c>
      <c r="AH58" s="250">
        <f>IFERROR(IF(VLOOKUP(CONCATENATE($A58,"_",AH$1),SP_ACQ_Lib[],MATCH(AH$2,SP_ACQ_Lib[#Headers],0),FALSE)=0,"",VLOOKUP(CONCATENATE($A58,"_",AH$1),SP_ACQ_Lib[],MATCH(AH$2,SP_ACQ_Lib[#Headers],0),FALSE)),"")</f>
        <v>43685</v>
      </c>
      <c r="AI58" s="249" t="str">
        <f>IFERROR(IF(VLOOKUP(CONCATENATE($A58,"_",AI$1),SP_ACQ_Lib[],MATCH(AI$2,SP_ACQ_Lib[#Headers],0),FALSE)=0,"",VLOOKUP(CONCATENATE($A58,"_",AI$1),SP_ACQ_Lib[],MATCH(AI$2,SP_ACQ_Lib[#Headers],0),FALSE)),"")</f>
        <v/>
      </c>
      <c r="AJ58" s="249" t="str">
        <f>IFERROR(IF(VLOOKUP(CONCATENATE($A58,"_",AJ$1),SP_ACQ_Lib[],MATCH(AJ$2,SP_ACQ_Lib[#Headers],0),FALSE)=0,"",VLOOKUP(CONCATENATE($A58,"_",AJ$1),SP_ACQ_Lib[],MATCH(AJ$2,SP_ACQ_Lib[#Headers],0),FALSE)),"")</f>
        <v/>
      </c>
      <c r="AK58" s="249" t="str">
        <f>IFERROR(IF(VLOOKUP(CONCATENATE($A58,"_",AK$1),SP_ACQ_Lib[],MATCH(AK$2,SP_ACQ_Lib[#Headers],0),FALSE)=0,"",VLOOKUP(CONCATENATE($A58,"_",AK$1),SP_ACQ_Lib[],MATCH(AK$2,SP_ACQ_Lib[#Headers],0),FALSE)),"")</f>
        <v/>
      </c>
      <c r="AL58" s="249">
        <f>IFERROR(VLOOKUP($A58,SP_AcqTract_DB[],MATCH(AL$2,SP_AcqTract_DB[#Headers],0),FALSE),"")</f>
        <v>43994</v>
      </c>
      <c r="AM58" s="227" t="str">
        <f>IFERROR(VLOOKUP($A58,SP_AcqTract_DB[],MATCH(AM$2,SP_AcqTract_DB[#Headers],0),FALSE),"")</f>
        <v>David Ambrose</v>
      </c>
      <c r="AN58" s="227" t="str">
        <f>IFERROR(VLOOKUP($A58,SP_AcqTract_DB[],MATCH(AN$2,SP_AcqTract_DB[#Headers],0),FALSE),"")</f>
        <v>Lory Johnson, Atrium</v>
      </c>
      <c r="AO58" s="228">
        <f>IFERROR(VLOOKUP($A58,SP_AcqTract_DB[],MATCH(AO$2,SP_AcqTract_DB[#Headers],0),FALSE),"")</f>
        <v>0</v>
      </c>
      <c r="AP58" s="210">
        <f>IFERROR(VLOOKUP($A58,SP_AcqTract_DB[],MATCH(AP$2,SP_AcqTract_DB[#Headers],0),FALSE),"")</f>
        <v>0</v>
      </c>
      <c r="AQ58" s="252" t="str">
        <f>IFERROR(IF(VLOOKUP(CONCATENATE($A58,"_",AQ$1),SP_ACQ_Lib[],MATCH(AQ$2,SP_ACQ_Lib[#Headers],0),FALSE)=0,"",VLOOKUP(CONCATENATE($A58,"_",AQ$1),SP_ACQ_Lib[],MATCH(AQ$2,SP_ACQ_Lib[#Headers],0),FALSE)),"")</f>
        <v/>
      </c>
      <c r="AR58" s="250">
        <f>IFERROR(IF(VLOOKUP(CONCATENATE($A58,"_",AR$1),SP_ACQ_Lib[],MATCH(AR$2,SP_ACQ_Lib[#Headers],0),FALSE)=0,"",VLOOKUP(CONCATENATE($A58,"_",AR$1),SP_ACQ_Lib[],MATCH(AR$2,SP_ACQ_Lib[#Headers],0),FALSE)),"")</f>
        <v>43685</v>
      </c>
      <c r="AS58" s="249">
        <f>IFERROR(IF(VLOOKUP(CONCATENATE($A58,"_",AS$1),SP_ACQ_Lib[],MATCH(AS$2,SP_ACQ_Lib[#Headers],0),FALSE)=0,"",VLOOKUP(CONCATENATE($A58,"_",AS$1),SP_ACQ_Lib[],MATCH(AS$2,SP_ACQ_Lib[#Headers],0),FALSE)),"")</f>
        <v>43765</v>
      </c>
      <c r="AT58" s="251" t="str">
        <f>IFERROR(IF(VLOOKUP(CONCATENATE($A58,"_",AT$1),SP_ACQ_Lib[],MATCH(AT$2,SP_ACQ_Lib[#Headers],0),FALSE)=0,"",VLOOKUP(CONCATENATE($A58,"_",AT$1),SP_ACQ_Lib[],MATCH(AT$2,SP_ACQ_Lib[#Headers],0),FALSE)),"")</f>
        <v/>
      </c>
      <c r="AU58" s="251" t="str">
        <f>IFERROR(IF(VLOOKUP(CONCATENATE($A58,"_",AU$1),SP_ACQ_Lib[],MATCH(AU$2,SP_ACQ_Lib[#Headers],0),FALSE)=0,"",VLOOKUP(CONCATENATE($A58,"_",AU$1),SP_ACQ_Lib[],MATCH(AU$2,SP_ACQ_Lib[#Headers],0),FALSE)),"")</f>
        <v/>
      </c>
      <c r="AV58" s="225" t="str">
        <f>IFERROR(IF(VLOOKUP(CONCATENATE($A58,"_",AV$1),SP_ACQ_Lib[],MATCH(AV$2,SP_ACQ_Lib[#Headers],0),FALSE)=0,"",VLOOKUP(CONCATENATE($A58,"_",AV$1),SP_ACQ_Lib[],MATCH(AV$2,SP_ACQ_Lib[#Headers],0),FALSE)),"")</f>
        <v/>
      </c>
      <c r="AW58" s="251" t="str">
        <f>IFERROR(IF(VLOOKUP(CONCATENATE($A58,"_",AW$1),SP_ACQ_Lib[],MATCH(AW$2,SP_ACQ_Lib[#Headers],0),FALSE)=0,"",VLOOKUP(CONCATENATE($A58,"_",AW$1),SP_ACQ_Lib[],MATCH(AW$2,SP_ACQ_Lib[#Headers],0),FALSE)),"")</f>
        <v/>
      </c>
      <c r="AX58" s="251" t="str">
        <f>IFERROR(IF(VLOOKUP(CONCATENATE($A58,"_",AX$1),SP_ACQ_Lib[],MATCH(AX$2,SP_ACQ_Lib[#Headers],0),FALSE)=0,"",VLOOKUP(CONCATENATE($A58,"_",AX$1),SP_ACQ_Lib[],MATCH(AX$2,SP_ACQ_Lib[#Headers],0),FALSE)),"")</f>
        <v/>
      </c>
      <c r="AY58" s="251" t="str">
        <f>IFERROR(IF(VLOOKUP(CONCATENATE($A58,"_",AY$1),SP_ACQ_Lib[],MATCH(AY$2,SP_ACQ_Lib[#Headers],0),FALSE)=0,"",VLOOKUP(CONCATENATE($A58,"_",AY$1),SP_ACQ_Lib[],MATCH(AY$2,SP_ACQ_Lib[#Headers],0),FALSE)),"")</f>
        <v/>
      </c>
      <c r="AZ58" s="251" t="str">
        <f>IFERROR(IF(VLOOKUP(CONCATENATE($A58,"_",AZ$1),SP_ACQ_Lib[],MATCH(AZ$2,SP_ACQ_Lib[#Headers],0),FALSE)=0,"",VLOOKUP(CONCATENATE($A58,"_",AZ$1),SP_ACQ_Lib[],MATCH(AZ$2,SP_ACQ_Lib[#Headers],0),FALSE)),"")</f>
        <v/>
      </c>
      <c r="BA58" s="251" t="str">
        <f>IFERROR(IF(VLOOKUP(CONCATENATE($A58,"_",BA$1),SP_ACQ_Lib[],MATCH(BA$2,SP_ACQ_Lib[#Headers],0),FALSE)=0,"",VLOOKUP(CONCATENATE($A58,"_",BA$1),SP_ACQ_Lib[],MATCH(BA$2,SP_ACQ_Lib[#Headers],0),FALSE)),"")</f>
        <v/>
      </c>
      <c r="BB58" s="224">
        <f>IFERROR(VLOOKUP(CONCATENATE($A58,"_",BB$1),SP_ACQ_Lib[],MATCH(BB$2,SP_ACQ_Lib[#Headers],0),FALSE),0)</f>
        <v>0</v>
      </c>
      <c r="BC58" s="231">
        <f>IFERROR(VLOOKUP($A58,SP_AcqTract_DB[],MATCH(BC$2,SP_AcqTract_DB[#Headers],0),FALSE),"")</f>
        <v>0</v>
      </c>
      <c r="BD58" s="231">
        <f>IFERROR(VLOOKUP($A58,SP_AcqTract_DB[],MATCH(BD$2,SP_AcqTract_DB[#Headers],0),FALSE),"")</f>
        <v>0</v>
      </c>
      <c r="BE58" s="249" t="str">
        <f>IFERROR(IF(VLOOKUP(CONCATENATE($A58,"_",BE$1),SP_ACQ_Lib[],MATCH(BE$2,SP_ACQ_Lib[#Headers],0),FALSE)=0,"",VLOOKUP(CONCATENATE($A58,"_",BE$1),SP_ACQ_Lib[],MATCH(BE$2,SP_ACQ_Lib[#Headers],0),FALSE)),"")</f>
        <v/>
      </c>
      <c r="BF58" s="249" t="str">
        <f>IFERROR(IF(VLOOKUP(CONCATENATE($A58,"_",BF$1),SP_ACQ_Lib[],MATCH(BF$2,SP_ACQ_Lib[#Headers],0),FALSE)=0,"",VLOOKUP(CONCATENATE($A58,"_",BF$1),SP_ACQ_Lib[],MATCH(BF$2,SP_ACQ_Lib[#Headers],0),FALSE)),"")</f>
        <v/>
      </c>
      <c r="BG58" s="249" t="str">
        <f>IFERROR(IF(VLOOKUP(CONCATENATE($A58,"_",BG$1),SP_ACQ_Lib[],MATCH(BG$2,SP_ACQ_Lib[#Headers],0),FALSE)=0,"",VLOOKUP(CONCATENATE($A58,"_",BG$1),SP_ACQ_Lib[],MATCH(BG$2,SP_ACQ_Lib[#Headers],0),FALSE)),"")</f>
        <v/>
      </c>
      <c r="BH58" s="249" t="str">
        <f>IFERROR(IF(VLOOKUP(CONCATENATE($A58,"_",BH$1),SP_ACQ_Lib[],MATCH(BH$2,SP_ACQ_Lib[#Headers],0),FALSE)=0,"",VLOOKUP(CONCATENATE($A58,"_",BH$1),SP_ACQ_Lib[],MATCH(BH$2,SP_ACQ_Lib[#Headers],0),FALSE)),"")</f>
        <v/>
      </c>
      <c r="BI58" s="249" t="str">
        <f>IFERROR(IF(VLOOKUP(CONCATENATE($A58,"_",BI$1),SP_ACQ_Lib[],MATCH(BI$2,SP_ACQ_Lib[#Headers],0),FALSE)=0,"",VLOOKUP(CONCATENATE($A58,"_",BI$1),SP_ACQ_Lib[],MATCH(BI$2,SP_ACQ_Lib[#Headers],0),FALSE)),"")</f>
        <v/>
      </c>
      <c r="BJ58" s="249" t="str">
        <f>IFERROR(IF(VLOOKUP(CONCATENATE($A58,"_",BJ$1),SP_ACQ_Lib[],MATCH(BJ$2,SP_ACQ_Lib[#Headers],0),FALSE)=0,"",VLOOKUP(CONCATENATE($A58,"_",BJ$1),SP_ACQ_Lib[],MATCH(BJ$2,SP_ACQ_Lib[#Headers],0),FALSE)),"")</f>
        <v/>
      </c>
      <c r="BK58" s="250">
        <f>IFERROR(IF(VLOOKUP(CONCATENATE($A58,"_",BK$1),SP_ACQ_Lib[],MATCH(BK$2,SP_ACQ_Lib[#Headers],0),FALSE)=0,"",VLOOKUP(CONCATENATE($A58,"_",BK$1),SP_ACQ_Lib[],MATCH(BK$2,SP_ACQ_Lib[#Headers],0),FALSE)),"")</f>
        <v>43748</v>
      </c>
      <c r="BL58" s="249" t="str">
        <f>IFERROR(IF(VLOOKUP(CONCATENATE($A58,"_",BL$1),SP_ACQ_Lib[],MATCH(BL$2,SP_ACQ_Lib[#Headers],0),FALSE)=0,"",VLOOKUP(CONCATENATE($A58,"_",BL$1),SP_ACQ_Lib[],MATCH(BL$2,SP_ACQ_Lib[#Headers],0),FALSE)),"")</f>
        <v/>
      </c>
      <c r="BM58" s="249" t="str">
        <f>IFERROR(IF(VLOOKUP(CONCATENATE($A58,"_",BM$1),SP_ACQ_Lib[],MATCH(BM$2,SP_ACQ_Lib[#Headers],0),FALSE)=0,"",VLOOKUP(CONCATENATE($A58,"_",BM$1),SP_ACQ_Lib[],MATCH(BM$2,SP_ACQ_Lib[#Headers],0),FALSE)),"")</f>
        <v/>
      </c>
      <c r="BN58" s="249" t="str">
        <f>IFERROR(IF(VLOOKUP(CONCATENATE($A58,"_",BN$1),SP_ACQ_Lib[],MATCH(BN$2,SP_ACQ_Lib[#Headers],0),FALSE)=0,"",VLOOKUP(CONCATENATE($A58,"_",BN$1),SP_ACQ_Lib[],MATCH(BN$2,SP_ACQ_Lib[#Headers],0),FALSE)),"")</f>
        <v/>
      </c>
    </row>
    <row r="59" spans="1:66" s="226" customFormat="1" ht="38.25" x14ac:dyDescent="0.2">
      <c r="A59" s="192" t="s">
        <v>61</v>
      </c>
      <c r="B59" s="227" t="str">
        <f>IFERROR(VLOOKUP($A59,SP_AcqTract_DB[],MATCH(B$2,SP_AcqTract_DB[#Headers],0),FALSE),"")</f>
        <v>R026694</v>
      </c>
      <c r="C59" s="228" t="str">
        <f>IFERROR(VLOOKUP($A59,SP_AcqTract_DB[],MATCH(C$2,SP_AcqTract_DB[#Headers],0),FALSE),"")</f>
        <v>PH1</v>
      </c>
      <c r="D59" s="208" t="str">
        <f>IFERROR(VLOOKUP($A59,SP_AcqTract_DB[],MATCH(D$2,SP_AcqTract_DB[#Headers],0),FALSE),"")</f>
        <v>Active</v>
      </c>
      <c r="E59" s="208">
        <f>IFERROR(VLOOKUP($A59,SP_AcqTract_DB[],MATCH(E$2,SP_AcqTract_DB[#Headers],0),FALSE),"")</f>
        <v>2</v>
      </c>
      <c r="F59" s="227" t="str">
        <f>IFERROR(VLOOKUP($A59,SP_AcqTract_DB[],MATCH(F$2,SP_AcqTract_DB[#Headers],0),FALSE),"")</f>
        <v>Flowage Esmt/Levee Esmt</v>
      </c>
      <c r="G59" s="227" t="str">
        <f>IFERROR(VLOOKUP($A59,SP_AcqTract_DB[],MATCH(G$2,SP_AcqTract_DB[#Headers],0),FALSE),"")</f>
        <v>Melissa DeLeon</v>
      </c>
      <c r="H59" s="250">
        <f>IFERROR(IF(VLOOKUP(CONCATENATE($A59,"_",H$1),SP_ACQ_Lib[],MATCH(H$2,SP_ACQ_Lib[#Headers],0),FALSE)=0,"",VLOOKUP(CONCATENATE($A59,"_",H$1),SP_ACQ_Lib[],MATCH(H$2,SP_ACQ_Lib[#Headers],0),FALSE)),"")</f>
        <v>43872.547638888886</v>
      </c>
      <c r="I59" s="227" t="str">
        <f>IFERROR(VLOOKUP($A59,SP_AcqTract_DB[],MATCH(I$2,SP_AcqTract_DB[#Headers],0),FALSE),"")</f>
        <v>Wendell Gwaltney</v>
      </c>
      <c r="J59" s="227">
        <f>IFERROR(VLOOKUP($A59,SP_AcqTract_DB[],MATCH(J$2,SP_AcqTract_DB[#Headers],0),FALSE),"")</f>
        <v>0</v>
      </c>
      <c r="K59" s="227" t="str">
        <f>IFERROR(VLOOKUP($A59,SP_AcqTract_DB[],MATCH(K$2,SP_AcqTract_DB[#Headers],0),FALSE),"")</f>
        <v>Wendell Gwaltney</v>
      </c>
      <c r="L59" s="227" t="str">
        <f>IFERROR(VLOOKUP($A59,SP_AcqTract_DB[],MATCH(L$2,SP_AcqTract_DB[#Headers],0),FALSE),"")</f>
        <v>421-B Colorado</v>
      </c>
      <c r="M59" s="208" t="str">
        <f>IFERROR(VLOOKUP($A59,SP_AcqTract_DB[],MATCH(M$2,SP_AcqTract_DB[#Headers],0),FALSE),"")</f>
        <v>Wharton, TX  77488</v>
      </c>
      <c r="N59" s="227" t="str">
        <f>IFERROR(VLOOKUP($A59,SP_AcqTract_DB[],MATCH(N$2,SP_AcqTract_DB[#Headers],0),FALSE),"")</f>
        <v>501 Colorado</v>
      </c>
      <c r="O59" s="220" t="str">
        <f>IFERROR(VLOOKUP($A59,SP_AcqTract_DB[],MATCH(O$2,SP_AcqTract_DB[#Headers],0),FALSE),"")</f>
        <v>Electric trans./dist. lines-Houston Power &amp; Lighting
Electric trans./dist. lines-Houston Power &amp; Lighting
Electric trans./dist. lines-Houston Power &amp; Lighting</v>
      </c>
      <c r="P59" s="220" t="str">
        <f>IFERROR(VLOOKUP($A59,SP_AcqTract_DB[],MATCH(P$2,SP_AcqTract_DB[#Headers],0),FALSE),"")</f>
        <v>X</v>
      </c>
      <c r="Q59" s="208" t="str">
        <f>IFERROR(VLOOKUP($A59,SP_AcqTract_DB[],MATCH(Q$2,SP_AcqTract_DB[#Headers],0),FALSE),"")</f>
        <v>2019-0841</v>
      </c>
      <c r="R59" s="250">
        <f>IFERROR(IF(VLOOKUP(CONCATENATE($A59,"_",R$1),SP_ACQ_Lib[],MATCH(R$2,SP_ACQ_Lib[#Headers],0),FALSE)=0,"",VLOOKUP(CONCATENATE($A59,"_",R$1),SP_ACQ_Lib[],MATCH(R$2,SP_ACQ_Lib[#Headers],0),FALSE)),"")</f>
        <v>43980</v>
      </c>
      <c r="S59" s="253">
        <f>IFERROR(IF(VLOOKUP(CONCATENATE($A59,"_",S$1),SP_ACQ_Lib[],MATCH(S$2,SP_ACQ_Lib[#Headers],0),FALSE)=0,"",VLOOKUP(CONCATENATE($A59,"_",S$1),SP_ACQ_Lib[],MATCH(S$2,SP_ACQ_Lib[#Headers],0),FALSE)),"")</f>
        <v>43991</v>
      </c>
      <c r="T59" s="205" t="str">
        <f>IFERROR(VLOOKUP(CONCATENATE($A59,"_",T$1),SP_ACQ_Lib[],MATCH(T$2,SP_ACQ_Lib[#Headers],0),FALSE),0)</f>
        <v>Accepted</v>
      </c>
      <c r="U59" s="250">
        <f>IFERROR(IF(VLOOKUP(CONCATENATE($A59,"_",U$1),SP_ACQ_Lib[],MATCH(U$2,SP_ACQ_Lib[#Headers],0),FALSE)=0,"",VLOOKUP(CONCATENATE($A59,"_",U$1),SP_ACQ_Lib[],MATCH(U$2,SP_ACQ_Lib[#Headers],0),FALSE)),"")</f>
        <v>43815</v>
      </c>
      <c r="V59" s="205" t="str">
        <f>IFERROR(VLOOKUP(CONCATENATE($A59,"_",V$1),SP_ACQ_Lib[],MATCH(V$2,SP_ACQ_Lib[#Headers],0),FALSE),0)</f>
        <v>Accepted</v>
      </c>
      <c r="W59" s="209">
        <f>IFERROR(VLOOKUP(CONCATENATE($A59,"_",W$1),SP_ACQ_Lib[],MATCH(W$2,SP_ACQ_Lib[#Headers],0),FALSE),0)</f>
        <v>0</v>
      </c>
      <c r="X59" s="250">
        <f>IFERROR(VLOOKUP($A59,SP_AcqTract_DB[],MATCH(X$2,SP_AcqTract_DB[#Headers],0),FALSE),"")</f>
        <v>43693</v>
      </c>
      <c r="Y59" s="237">
        <f>IFERROR(VLOOKUP($A59,SP_AcqTract_DB[],MATCH(Y$2,SP_AcqTract_DB[#Headers],0),FALSE),"")</f>
        <v>1.0549816345270899</v>
      </c>
      <c r="Z59" s="229">
        <f>IFERROR(VLOOKUP($A59,SP_AcqTract_DB[],MATCH(Z$2,SP_AcqTract_DB[#Headers],0),FALSE),"")</f>
        <v>45955</v>
      </c>
      <c r="AA59" s="229" t="str">
        <f>IFERROR(VLOOKUP($A59,SP_AcqTract_DB[],MATCH(AA$2,SP_AcqTract_DB[#Headers],0),FALSE),"")</f>
        <v>Yes</v>
      </c>
      <c r="AB59" s="250">
        <f>IFERROR(IF(VLOOKUP(CONCATENATE($A59,"_",AB$1),SP_ACQ_Lib[],MATCH(AB$2,SP_ACQ_Lib[#Headers],0),FALSE)=0,"",VLOOKUP(CONCATENATE($A59,"_",AB$1),SP_ACQ_Lib[],MATCH(AB$2,SP_ACQ_Lib[#Headers],0),FALSE)),"")</f>
        <v>44012</v>
      </c>
      <c r="AC59" s="250">
        <f>IFERROR(IF(VLOOKUP(CONCATENATE($A59,"_",AC$1),SP_ACQ_Lib[],MATCH(AC$2,SP_ACQ_Lib[#Headers],0),FALSE)=0,"",VLOOKUP(CONCATENATE($A59,"_",AC$1),SP_ACQ_Lib[],MATCH(AC$2,SP_ACQ_Lib[#Headers],0),FALSE)),"")</f>
        <v>44019</v>
      </c>
      <c r="AD59" s="229" t="str">
        <f>IFERROR(VLOOKUP($A59,SP_AcqTract_DB[],MATCH(AD$2,SP_AcqTract_DB[#Headers],0),FALSE),"")</f>
        <v>Yes</v>
      </c>
      <c r="AE59" s="250">
        <f>IFERROR(IF(VLOOKUP(CONCATENATE($A59,"_",AE$1),SP_ACQ_Lib[],MATCH(AE$2,SP_ACQ_Lib[#Headers],0),FALSE)=0,"",VLOOKUP(CONCATENATE($A59,"_",AE$1),SP_ACQ_Lib[],MATCH(AE$2,SP_ACQ_Lib[#Headers],0),FALSE)),"")</f>
        <v>43991</v>
      </c>
      <c r="AF59" s="250">
        <f>IFERROR(IF(VLOOKUP(CONCATENATE($A59,"_",AF$1),SP_ACQ_Lib[],MATCH(AF$2,SP_ACQ_Lib[#Headers],0),FALSE)=0,"",VLOOKUP(CONCATENATE($A59,"_",AF$1),SP_ACQ_Lib[],MATCH(AF$2,SP_ACQ_Lib[#Headers],0),FALSE)),"")</f>
        <v>43993</v>
      </c>
      <c r="AG59" s="250" t="str">
        <f>IFERROR(IF(VLOOKUP(CONCATENATE($A59,"_",AG$1),SP_ACQ_Lib[],MATCH(AG$2,SP_ACQ_Lib[#Headers],0),FALSE)=0,"",VLOOKUP(CONCATENATE($A59,"_",AG$1),SP_ACQ_Lib[],MATCH(AG$2,SP_ACQ_Lib[#Headers],0),FALSE)),"")</f>
        <v/>
      </c>
      <c r="AH59" s="250">
        <f>IFERROR(IF(VLOOKUP(CONCATENATE($A59,"_",AH$1),SP_ACQ_Lib[],MATCH(AH$2,SP_ACQ_Lib[#Headers],0),FALSE)=0,"",VLOOKUP(CONCATENATE($A59,"_",AH$1),SP_ACQ_Lib[],MATCH(AH$2,SP_ACQ_Lib[#Headers],0),FALSE)),"")</f>
        <v>43685</v>
      </c>
      <c r="AI59" s="249" t="str">
        <f>IFERROR(IF(VLOOKUP(CONCATENATE($A59,"_",AI$1),SP_ACQ_Lib[],MATCH(AI$2,SP_ACQ_Lib[#Headers],0),FALSE)=0,"",VLOOKUP(CONCATENATE($A59,"_",AI$1),SP_ACQ_Lib[],MATCH(AI$2,SP_ACQ_Lib[#Headers],0),FALSE)),"")</f>
        <v/>
      </c>
      <c r="AJ59" s="249" t="str">
        <f>IFERROR(IF(VLOOKUP(CONCATENATE($A59,"_",AJ$1),SP_ACQ_Lib[],MATCH(AJ$2,SP_ACQ_Lib[#Headers],0),FALSE)=0,"",VLOOKUP(CONCATENATE($A59,"_",AJ$1),SP_ACQ_Lib[],MATCH(AJ$2,SP_ACQ_Lib[#Headers],0),FALSE)),"")</f>
        <v/>
      </c>
      <c r="AK59" s="249" t="str">
        <f>IFERROR(IF(VLOOKUP(CONCATENATE($A59,"_",AK$1),SP_ACQ_Lib[],MATCH(AK$2,SP_ACQ_Lib[#Headers],0),FALSE)=0,"",VLOOKUP(CONCATENATE($A59,"_",AK$1),SP_ACQ_Lib[],MATCH(AK$2,SP_ACQ_Lib[#Headers],0),FALSE)),"")</f>
        <v/>
      </c>
      <c r="AL59" s="249">
        <f>IFERROR(VLOOKUP($A59,SP_AcqTract_DB[],MATCH(AL$2,SP_AcqTract_DB[#Headers],0),FALSE),"")</f>
        <v>43994</v>
      </c>
      <c r="AM59" s="227" t="str">
        <f>IFERROR(VLOOKUP($A59,SP_AcqTract_DB[],MATCH(AM$2,SP_AcqTract_DB[#Headers],0),FALSE),"")</f>
        <v>David Ambrose</v>
      </c>
      <c r="AN59" s="227" t="str">
        <f>IFERROR(VLOOKUP($A59,SP_AcqTract_DB[],MATCH(AN$2,SP_AcqTract_DB[#Headers],0),FALSE),"")</f>
        <v>Lory Johnson, Atrium</v>
      </c>
      <c r="AO59" s="228">
        <f>IFERROR(VLOOKUP($A59,SP_AcqTract_DB[],MATCH(AO$2,SP_AcqTract_DB[#Headers],0),FALSE),"")</f>
        <v>0</v>
      </c>
      <c r="AP59" s="210" t="str">
        <f>IFERROR(VLOOKUP($A59,SP_AcqTract_DB[],MATCH(AP$2,SP_AcqTract_DB[#Headers],0),FALSE),"")</f>
        <v>A</v>
      </c>
      <c r="AQ59" s="252" t="str">
        <f>IFERROR(IF(VLOOKUP(CONCATENATE($A59,"_",AQ$1),SP_ACQ_Lib[],MATCH(AQ$2,SP_ACQ_Lib[#Headers],0),FALSE)=0,"",VLOOKUP(CONCATENATE($A59,"_",AQ$1),SP_ACQ_Lib[],MATCH(AQ$2,SP_ACQ_Lib[#Headers],0),FALSE)),"")</f>
        <v/>
      </c>
      <c r="AR59" s="250" t="str">
        <f>IFERROR(IF(VLOOKUP(CONCATENATE($A59,"_",AR$1),SP_ACQ_Lib[],MATCH(AR$2,SP_ACQ_Lib[#Headers],0),FALSE)=0,"",VLOOKUP(CONCATENATE($A59,"_",AR$1),SP_ACQ_Lib[],MATCH(AR$2,SP_ACQ_Lib[#Headers],0),FALSE)),"")</f>
        <v/>
      </c>
      <c r="AS59" s="249">
        <f>IFERROR(IF(VLOOKUP(CONCATENATE($A59,"_",AS$1),SP_ACQ_Lib[],MATCH(AS$2,SP_ACQ_Lib[#Headers],0),FALSE)=0,"",VLOOKUP(CONCATENATE($A59,"_",AS$1),SP_ACQ_Lib[],MATCH(AS$2,SP_ACQ_Lib[#Headers],0),FALSE)),"")</f>
        <v>43765</v>
      </c>
      <c r="AT59" s="251">
        <f>IFERROR(IF(VLOOKUP(CONCATENATE($A59,"_",AT$1),SP_ACQ_Lib[],MATCH(AT$2,SP_ACQ_Lib[#Headers],0),FALSE)=0,"",VLOOKUP(CONCATENATE($A59,"_",AT$1),SP_ACQ_Lib[],MATCH(AT$2,SP_ACQ_Lib[#Headers],0),FALSE)),"")</f>
        <v>43960</v>
      </c>
      <c r="AU59" s="251" t="str">
        <f>IFERROR(IF(VLOOKUP(CONCATENATE($A59,"_",AU$1),SP_ACQ_Lib[],MATCH(AU$2,SP_ACQ_Lib[#Headers],0),FALSE)=0,"",VLOOKUP(CONCATENATE($A59,"_",AU$1),SP_ACQ_Lib[],MATCH(AU$2,SP_ACQ_Lib[#Headers],0),FALSE)),"")</f>
        <v/>
      </c>
      <c r="AV59" s="225">
        <f>IFERROR(IF(VLOOKUP(CONCATENATE($A59,"_",AV$1),SP_ACQ_Lib[],MATCH(AV$2,SP_ACQ_Lib[#Headers],0),FALSE)=0,"",VLOOKUP(CONCATENATE($A59,"_",AV$1),SP_ACQ_Lib[],MATCH(AV$2,SP_ACQ_Lib[#Headers],0),FALSE)),"")</f>
        <v>41360</v>
      </c>
      <c r="AW59" s="251">
        <f>IFERROR(IF(VLOOKUP(CONCATENATE($A59,"_",AW$1),SP_ACQ_Lib[],MATCH(AW$2,SP_ACQ_Lib[#Headers],0),FALSE)=0,"",VLOOKUP(CONCATENATE($A59,"_",AW$1),SP_ACQ_Lib[],MATCH(AW$2,SP_ACQ_Lib[#Headers],0),FALSE)),"")</f>
        <v>44022</v>
      </c>
      <c r="AX59" s="251">
        <f>IFERROR(IF(VLOOKUP(CONCATENATE($A59,"_",AX$1),SP_ACQ_Lib[],MATCH(AX$2,SP_ACQ_Lib[#Headers],0),FALSE)=0,"",VLOOKUP(CONCATENATE($A59,"_",AX$1),SP_ACQ_Lib[],MATCH(AX$2,SP_ACQ_Lib[#Headers],0),FALSE)),"")</f>
        <v>44022</v>
      </c>
      <c r="AY59" s="251">
        <f>IFERROR(IF(VLOOKUP(CONCATENATE($A59,"_",AY$1),SP_ACQ_Lib[],MATCH(AY$2,SP_ACQ_Lib[#Headers],0),FALSE)=0,"",VLOOKUP(CONCATENATE($A59,"_",AY$1),SP_ACQ_Lib[],MATCH(AY$2,SP_ACQ_Lib[#Headers],0),FALSE)),"")</f>
        <v>44025</v>
      </c>
      <c r="AZ59" s="251" t="str">
        <f>IFERROR(IF(VLOOKUP(CONCATENATE($A59,"_",AZ$1),SP_ACQ_Lib[],MATCH(AZ$2,SP_ACQ_Lib[#Headers],0),FALSE)=0,"",VLOOKUP(CONCATENATE($A59,"_",AZ$1),SP_ACQ_Lib[],MATCH(AZ$2,SP_ACQ_Lib[#Headers],0),FALSE)),"")</f>
        <v/>
      </c>
      <c r="BA59" s="251" t="str">
        <f>IFERROR(IF(VLOOKUP(CONCATENATE($A59,"_",BA$1),SP_ACQ_Lib[],MATCH(BA$2,SP_ACQ_Lib[#Headers],0),FALSE)=0,"",VLOOKUP(CONCATENATE($A59,"_",BA$1),SP_ACQ_Lib[],MATCH(BA$2,SP_ACQ_Lib[#Headers],0),FALSE)),"")</f>
        <v/>
      </c>
      <c r="BB59" s="224">
        <f>IFERROR(VLOOKUP(CONCATENATE($A59,"_",BB$1),SP_ACQ_Lib[],MATCH(BB$2,SP_ACQ_Lib[#Headers],0),FALSE),0)</f>
        <v>0</v>
      </c>
      <c r="BC59" s="231">
        <f>IFERROR(VLOOKUP($A59,SP_AcqTract_DB[],MATCH(BC$2,SP_AcqTract_DB[#Headers],0),FALSE),"")</f>
        <v>0</v>
      </c>
      <c r="BD59" s="231">
        <f>IFERROR(VLOOKUP($A59,SP_AcqTract_DB[],MATCH(BD$2,SP_AcqTract_DB[#Headers],0),FALSE),"")</f>
        <v>0</v>
      </c>
      <c r="BE59" s="249" t="str">
        <f>IFERROR(IF(VLOOKUP(CONCATENATE($A59,"_",BE$1),SP_ACQ_Lib[],MATCH(BE$2,SP_ACQ_Lib[#Headers],0),FALSE)=0,"",VLOOKUP(CONCATENATE($A59,"_",BE$1),SP_ACQ_Lib[],MATCH(BE$2,SP_ACQ_Lib[#Headers],0),FALSE)),"")</f>
        <v/>
      </c>
      <c r="BF59" s="249" t="str">
        <f>IFERROR(IF(VLOOKUP(CONCATENATE($A59,"_",BF$1),SP_ACQ_Lib[],MATCH(BF$2,SP_ACQ_Lib[#Headers],0),FALSE)=0,"",VLOOKUP(CONCATENATE($A59,"_",BF$1),SP_ACQ_Lib[],MATCH(BF$2,SP_ACQ_Lib[#Headers],0),FALSE)),"")</f>
        <v/>
      </c>
      <c r="BG59" s="249" t="str">
        <f>IFERROR(IF(VLOOKUP(CONCATENATE($A59,"_",BG$1),SP_ACQ_Lib[],MATCH(BG$2,SP_ACQ_Lib[#Headers],0),FALSE)=0,"",VLOOKUP(CONCATENATE($A59,"_",BG$1),SP_ACQ_Lib[],MATCH(BG$2,SP_ACQ_Lib[#Headers],0),FALSE)),"")</f>
        <v/>
      </c>
      <c r="BH59" s="249" t="str">
        <f>IFERROR(IF(VLOOKUP(CONCATENATE($A59,"_",BH$1),SP_ACQ_Lib[],MATCH(BH$2,SP_ACQ_Lib[#Headers],0),FALSE)=0,"",VLOOKUP(CONCATENATE($A59,"_",BH$1),SP_ACQ_Lib[],MATCH(BH$2,SP_ACQ_Lib[#Headers],0),FALSE)),"")</f>
        <v/>
      </c>
      <c r="BI59" s="249" t="str">
        <f>IFERROR(IF(VLOOKUP(CONCATENATE($A59,"_",BI$1),SP_ACQ_Lib[],MATCH(BI$2,SP_ACQ_Lib[#Headers],0),FALSE)=0,"",VLOOKUP(CONCATENATE($A59,"_",BI$1),SP_ACQ_Lib[],MATCH(BI$2,SP_ACQ_Lib[#Headers],0),FALSE)),"")</f>
        <v/>
      </c>
      <c r="BJ59" s="249" t="str">
        <f>IFERROR(IF(VLOOKUP(CONCATENATE($A59,"_",BJ$1),SP_ACQ_Lib[],MATCH(BJ$2,SP_ACQ_Lib[#Headers],0),FALSE)=0,"",VLOOKUP(CONCATENATE($A59,"_",BJ$1),SP_ACQ_Lib[],MATCH(BJ$2,SP_ACQ_Lib[#Headers],0),FALSE)),"")</f>
        <v/>
      </c>
      <c r="BK59" s="250">
        <f>IFERROR(IF(VLOOKUP(CONCATENATE($A59,"_",BK$1),SP_ACQ_Lib[],MATCH(BK$2,SP_ACQ_Lib[#Headers],0),FALSE)=0,"",VLOOKUP(CONCATENATE($A59,"_",BK$1),SP_ACQ_Lib[],MATCH(BK$2,SP_ACQ_Lib[#Headers],0),FALSE)),"")</f>
        <v>43748</v>
      </c>
      <c r="BL59" s="249" t="str">
        <f>IFERROR(IF(VLOOKUP(CONCATENATE($A59,"_",BL$1),SP_ACQ_Lib[],MATCH(BL$2,SP_ACQ_Lib[#Headers],0),FALSE)=0,"",VLOOKUP(CONCATENATE($A59,"_",BL$1),SP_ACQ_Lib[],MATCH(BL$2,SP_ACQ_Lib[#Headers],0),FALSE)),"")</f>
        <v/>
      </c>
      <c r="BM59" s="249" t="str">
        <f>IFERROR(IF(VLOOKUP(CONCATENATE($A59,"_",BM$1),SP_ACQ_Lib[],MATCH(BM$2,SP_ACQ_Lib[#Headers],0),FALSE)=0,"",VLOOKUP(CONCATENATE($A59,"_",BM$1),SP_ACQ_Lib[],MATCH(BM$2,SP_ACQ_Lib[#Headers],0),FALSE)),"")</f>
        <v/>
      </c>
      <c r="BN59" s="249" t="str">
        <f>IFERROR(IF(VLOOKUP(CONCATENATE($A59,"_",BN$1),SP_ACQ_Lib[],MATCH(BN$2,SP_ACQ_Lib[#Headers],0),FALSE)=0,"",VLOOKUP(CONCATENATE($A59,"_",BN$1),SP_ACQ_Lib[],MATCH(BN$2,SP_ACQ_Lib[#Headers],0),FALSE)),"")</f>
        <v/>
      </c>
    </row>
    <row r="60" spans="1:66" s="226" customFormat="1" ht="51" x14ac:dyDescent="0.2">
      <c r="A60" s="192" t="s">
        <v>62</v>
      </c>
      <c r="B60" s="227" t="str">
        <f>IFERROR(VLOOKUP($A60,SP_AcqTract_DB[],MATCH(B$2,SP_AcqTract_DB[#Headers],0),FALSE),"")</f>
        <v>R056956</v>
      </c>
      <c r="C60" s="228" t="str">
        <f>IFERROR(VLOOKUP($A60,SP_AcqTract_DB[],MATCH(C$2,SP_AcqTract_DB[#Headers],0),FALSE),"")</f>
        <v>PH1</v>
      </c>
      <c r="D60" s="208" t="str">
        <f>IFERROR(VLOOKUP($A60,SP_AcqTract_DB[],MATCH(D$2,SP_AcqTract_DB[#Headers],0),FALSE),"")</f>
        <v>Active</v>
      </c>
      <c r="E60" s="208">
        <f>IFERROR(VLOOKUP($A60,SP_AcqTract_DB[],MATCH(E$2,SP_AcqTract_DB[#Headers],0),FALSE),"")</f>
        <v>2</v>
      </c>
      <c r="F60" s="227" t="str">
        <f>IFERROR(VLOOKUP($A60,SP_AcqTract_DB[],MATCH(F$2,SP_AcqTract_DB[#Headers],0),FALSE),"")</f>
        <v>Flowage Esmt/Levee Esmt</v>
      </c>
      <c r="G60" s="227" t="str">
        <f>IFERROR(VLOOKUP($A60,SP_AcqTract_DB[],MATCH(G$2,SP_AcqTract_DB[#Headers],0),FALSE),"")</f>
        <v>Melissa DeLeon</v>
      </c>
      <c r="H60" s="250">
        <f>IFERROR(IF(VLOOKUP(CONCATENATE($A60,"_",H$1),SP_ACQ_Lib[],MATCH(H$2,SP_ACQ_Lib[#Headers],0),FALSE)=0,"",VLOOKUP(CONCATENATE($A60,"_",H$1),SP_ACQ_Lib[],MATCH(H$2,SP_ACQ_Lib[#Headers],0),FALSE)),"")</f>
        <v>43872.547743055555</v>
      </c>
      <c r="I60" s="227" t="str">
        <f>IFERROR(VLOOKUP($A60,SP_AcqTract_DB[],MATCH(I$2,SP_AcqTract_DB[#Headers],0),FALSE),"")</f>
        <v>Gerald Wayne Segrest, Guy Walker Segrest III, Individually and as Trustee for Grayson West Segrest, and Dianne Segrest</v>
      </c>
      <c r="J60" s="227">
        <f>IFERROR(VLOOKUP($A60,SP_AcqTract_DB[],MATCH(J$2,SP_AcqTract_DB[#Headers],0),FALSE),"")</f>
        <v>0</v>
      </c>
      <c r="K60" s="227" t="str">
        <f>IFERROR(VLOOKUP($A60,SP_AcqTract_DB[],MATCH(K$2,SP_AcqTract_DB[#Headers],0),FALSE),"")</f>
        <v>Gerald Wayne Segrest, Guy Walker Segrest III,  and Dianne Segrest</v>
      </c>
      <c r="L60" s="227" t="str">
        <f>IFERROR(VLOOKUP($A60,SP_AcqTract_DB[],MATCH(L$2,SP_AcqTract_DB[#Headers],0),FALSE),"")</f>
        <v>2313 N Richmond Rd</v>
      </c>
      <c r="M60" s="208">
        <f>IFERROR(VLOOKUP($A60,SP_AcqTract_DB[],MATCH(M$2,SP_AcqTract_DB[#Headers],0),FALSE),"")</f>
        <v>0</v>
      </c>
      <c r="N60" s="227" t="str">
        <f>IFERROR(VLOOKUP($A60,SP_AcqTract_DB[],MATCH(N$2,SP_AcqTract_DB[#Headers],0),FALSE),"")</f>
        <v>421 Colorado</v>
      </c>
      <c r="O60" s="220">
        <f>IFERROR(VLOOKUP($A60,SP_AcqTract_DB[],MATCH(O$2,SP_AcqTract_DB[#Headers],0),FALSE),"")</f>
        <v>0</v>
      </c>
      <c r="P60" s="220">
        <f>IFERROR(VLOOKUP($A60,SP_AcqTract_DB[],MATCH(P$2,SP_AcqTract_DB[#Headers],0),FALSE),"")</f>
        <v>0</v>
      </c>
      <c r="Q60" s="208" t="str">
        <f>IFERROR(VLOOKUP($A60,SP_AcqTract_DB[],MATCH(Q$2,SP_AcqTract_DB[#Headers],0),FALSE),"")</f>
        <v>2019-0842</v>
      </c>
      <c r="R60" s="250">
        <f>IFERROR(IF(VLOOKUP(CONCATENATE($A60,"_",R$1),SP_ACQ_Lib[],MATCH(R$2,SP_ACQ_Lib[#Headers],0),FALSE)=0,"",VLOOKUP(CONCATENATE($A60,"_",R$1),SP_ACQ_Lib[],MATCH(R$2,SP_ACQ_Lib[#Headers],0),FALSE)),"")</f>
        <v>43986</v>
      </c>
      <c r="S60" s="253">
        <f>IFERROR(IF(VLOOKUP(CONCATENATE($A60,"_",S$1),SP_ACQ_Lib[],MATCH(S$2,SP_ACQ_Lib[#Headers],0),FALSE)=0,"",VLOOKUP(CONCATENATE($A60,"_",S$1),SP_ACQ_Lib[],MATCH(S$2,SP_ACQ_Lib[#Headers],0),FALSE)),"")</f>
        <v>43994</v>
      </c>
      <c r="T60" s="205" t="str">
        <f>IFERROR(VLOOKUP(CONCATENATE($A60,"_",T$1),SP_ACQ_Lib[],MATCH(T$2,SP_ACQ_Lib[#Headers],0),FALSE),0)</f>
        <v>Accepted</v>
      </c>
      <c r="U60" s="250">
        <f>IFERROR(IF(VLOOKUP(CONCATENATE($A60,"_",U$1),SP_ACQ_Lib[],MATCH(U$2,SP_ACQ_Lib[#Headers],0),FALSE)=0,"",VLOOKUP(CONCATENATE($A60,"_",U$1),SP_ACQ_Lib[],MATCH(U$2,SP_ACQ_Lib[#Headers],0),FALSE)),"")</f>
        <v>43815</v>
      </c>
      <c r="V60" s="205" t="str">
        <f>IFERROR(VLOOKUP(CONCATENATE($A60,"_",V$1),SP_ACQ_Lib[],MATCH(V$2,SP_ACQ_Lib[#Headers],0),FALSE),0)</f>
        <v>Accepted</v>
      </c>
      <c r="W60" s="209">
        <f>IFERROR(VLOOKUP(CONCATENATE($A60,"_",W$1),SP_ACQ_Lib[],MATCH(W$2,SP_ACQ_Lib[#Headers],0),FALSE),0)</f>
        <v>0</v>
      </c>
      <c r="X60" s="250">
        <f>IFERROR(VLOOKUP($A60,SP_AcqTract_DB[],MATCH(X$2,SP_AcqTract_DB[#Headers],0),FALSE),"")</f>
        <v>43693</v>
      </c>
      <c r="Y60" s="237">
        <f>IFERROR(VLOOKUP($A60,SP_AcqTract_DB[],MATCH(Y$2,SP_AcqTract_DB[#Headers],0),FALSE),"")</f>
        <v>0.90096418732782402</v>
      </c>
      <c r="Z60" s="229">
        <f>IFERROR(VLOOKUP($A60,SP_AcqTract_DB[],MATCH(Z$2,SP_AcqTract_DB[#Headers],0),FALSE),"")</f>
        <v>39246</v>
      </c>
      <c r="AA60" s="229" t="str">
        <f>IFERROR(VLOOKUP($A60,SP_AcqTract_DB[],MATCH(AA$2,SP_AcqTract_DB[#Headers],0),FALSE),"")</f>
        <v>Yes</v>
      </c>
      <c r="AB60" s="250">
        <f>IFERROR(IF(VLOOKUP(CONCATENATE($A60,"_",AB$1),SP_ACQ_Lib[],MATCH(AB$2,SP_ACQ_Lib[#Headers],0),FALSE)=0,"",VLOOKUP(CONCATENATE($A60,"_",AB$1),SP_ACQ_Lib[],MATCH(AB$2,SP_ACQ_Lib[#Headers],0),FALSE)),"")</f>
        <v>43859</v>
      </c>
      <c r="AC60" s="250">
        <f>IFERROR(IF(VLOOKUP(CONCATENATE($A60,"_",AC$1),SP_ACQ_Lib[],MATCH(AC$2,SP_ACQ_Lib[#Headers],0),FALSE)=0,"",VLOOKUP(CONCATENATE($A60,"_",AC$1),SP_ACQ_Lib[],MATCH(AC$2,SP_ACQ_Lib[#Headers],0),FALSE)),"")</f>
        <v>43886</v>
      </c>
      <c r="AD60" s="229" t="str">
        <f>IFERROR(VLOOKUP($A60,SP_AcqTract_DB[],MATCH(AD$2,SP_AcqTract_DB[#Headers],0),FALSE),"")</f>
        <v>Yes</v>
      </c>
      <c r="AE60" s="250">
        <f>IFERROR(IF(VLOOKUP(CONCATENATE($A60,"_",AE$1),SP_ACQ_Lib[],MATCH(AE$2,SP_ACQ_Lib[#Headers],0),FALSE)=0,"",VLOOKUP(CONCATENATE($A60,"_",AE$1),SP_ACQ_Lib[],MATCH(AE$2,SP_ACQ_Lib[#Headers],0),FALSE)),"")</f>
        <v>43859</v>
      </c>
      <c r="AF60" s="250">
        <f>IFERROR(IF(VLOOKUP(CONCATENATE($A60,"_",AF$1),SP_ACQ_Lib[],MATCH(AF$2,SP_ACQ_Lib[#Headers],0),FALSE)=0,"",VLOOKUP(CONCATENATE($A60,"_",AF$1),SP_ACQ_Lib[],MATCH(AF$2,SP_ACQ_Lib[#Headers],0),FALSE)),"")</f>
        <v>43948</v>
      </c>
      <c r="AG60" s="250" t="str">
        <f>IFERROR(IF(VLOOKUP(CONCATENATE($A60,"_",AG$1),SP_ACQ_Lib[],MATCH(AG$2,SP_ACQ_Lib[#Headers],0),FALSE)=0,"",VLOOKUP(CONCATENATE($A60,"_",AG$1),SP_ACQ_Lib[],MATCH(AG$2,SP_ACQ_Lib[#Headers],0),FALSE)),"")</f>
        <v/>
      </c>
      <c r="AH60" s="250">
        <f>IFERROR(IF(VLOOKUP(CONCATENATE($A60,"_",AH$1),SP_ACQ_Lib[],MATCH(AH$2,SP_ACQ_Lib[#Headers],0),FALSE)=0,"",VLOOKUP(CONCATENATE($A60,"_",AH$1),SP_ACQ_Lib[],MATCH(AH$2,SP_ACQ_Lib[#Headers],0),FALSE)),"")</f>
        <v>43689</v>
      </c>
      <c r="AI60" s="249" t="str">
        <f>IFERROR(IF(VLOOKUP(CONCATENATE($A60,"_",AI$1),SP_ACQ_Lib[],MATCH(AI$2,SP_ACQ_Lib[#Headers],0),FALSE)=0,"",VLOOKUP(CONCATENATE($A60,"_",AI$1),SP_ACQ_Lib[],MATCH(AI$2,SP_ACQ_Lib[#Headers],0),FALSE)),"")</f>
        <v/>
      </c>
      <c r="AJ60" s="249" t="str">
        <f>IFERROR(IF(VLOOKUP(CONCATENATE($A60,"_",AJ$1),SP_ACQ_Lib[],MATCH(AJ$2,SP_ACQ_Lib[#Headers],0),FALSE)=0,"",VLOOKUP(CONCATENATE($A60,"_",AJ$1),SP_ACQ_Lib[],MATCH(AJ$2,SP_ACQ_Lib[#Headers],0),FALSE)),"")</f>
        <v/>
      </c>
      <c r="AK60" s="249" t="str">
        <f>IFERROR(IF(VLOOKUP(CONCATENATE($A60,"_",AK$1),SP_ACQ_Lib[],MATCH(AK$2,SP_ACQ_Lib[#Headers],0),FALSE)=0,"",VLOOKUP(CONCATENATE($A60,"_",AK$1),SP_ACQ_Lib[],MATCH(AK$2,SP_ACQ_Lib[#Headers],0),FALSE)),"")</f>
        <v/>
      </c>
      <c r="AL60" s="249">
        <f>IFERROR(VLOOKUP($A60,SP_AcqTract_DB[],MATCH(AL$2,SP_AcqTract_DB[#Headers],0),FALSE),"")</f>
        <v>43950</v>
      </c>
      <c r="AM60" s="227" t="str">
        <f>IFERROR(VLOOKUP($A60,SP_AcqTract_DB[],MATCH(AM$2,SP_AcqTract_DB[#Headers],0),FALSE),"")</f>
        <v>Cameron Boone</v>
      </c>
      <c r="AN60" s="227" t="str">
        <f>IFERROR(VLOOKUP($A60,SP_AcqTract_DB[],MATCH(AN$2,SP_AcqTract_DB[#Headers],0),FALSE),"")</f>
        <v>Lory Johnson, Atrium</v>
      </c>
      <c r="AO60" s="228">
        <f>IFERROR(VLOOKUP($A60,SP_AcqTract_DB[],MATCH(AO$2,SP_AcqTract_DB[#Headers],0),FALSE),"")</f>
        <v>0</v>
      </c>
      <c r="AP60" s="210" t="str">
        <f>IFERROR(VLOOKUP($A60,SP_AcqTract_DB[],MATCH(AP$2,SP_AcqTract_DB[#Headers],0),FALSE),"")</f>
        <v>R</v>
      </c>
      <c r="AQ60" s="252" t="str">
        <f>IFERROR(IF(VLOOKUP(CONCATENATE($A60,"_",AQ$1),SP_ACQ_Lib[],MATCH(AQ$2,SP_ACQ_Lib[#Headers],0),FALSE)=0,"",VLOOKUP(CONCATENATE($A60,"_",AQ$1),SP_ACQ_Lib[],MATCH(AQ$2,SP_ACQ_Lib[#Headers],0),FALSE)),"")</f>
        <v/>
      </c>
      <c r="AR60" s="250">
        <f>IFERROR(IF(VLOOKUP(CONCATENATE($A60,"_",AR$1),SP_ACQ_Lib[],MATCH(AR$2,SP_ACQ_Lib[#Headers],0),FALSE)=0,"",VLOOKUP(CONCATENATE($A60,"_",AR$1),SP_ACQ_Lib[],MATCH(AR$2,SP_ACQ_Lib[#Headers],0),FALSE)),"")</f>
        <v>43685</v>
      </c>
      <c r="AS60" s="249">
        <f>IFERROR(IF(VLOOKUP(CONCATENATE($A60,"_",AS$1),SP_ACQ_Lib[],MATCH(AS$2,SP_ACQ_Lib[#Headers],0),FALSE)=0,"",VLOOKUP(CONCATENATE($A60,"_",AS$1),SP_ACQ_Lib[],MATCH(AS$2,SP_ACQ_Lib[#Headers],0),FALSE)),"")</f>
        <v>43765</v>
      </c>
      <c r="AT60" s="251" t="str">
        <f>IFERROR(IF(VLOOKUP(CONCATENATE($A60,"_",AT$1),SP_ACQ_Lib[],MATCH(AT$2,SP_ACQ_Lib[#Headers],0),FALSE)=0,"",VLOOKUP(CONCATENATE($A60,"_",AT$1),SP_ACQ_Lib[],MATCH(AT$2,SP_ACQ_Lib[#Headers],0),FALSE)),"")</f>
        <v/>
      </c>
      <c r="AU60" s="251" t="str">
        <f>IFERROR(IF(VLOOKUP(CONCATENATE($A60,"_",AU$1),SP_ACQ_Lib[],MATCH(AU$2,SP_ACQ_Lib[#Headers],0),FALSE)=0,"",VLOOKUP(CONCATENATE($A60,"_",AU$1),SP_ACQ_Lib[],MATCH(AU$2,SP_ACQ_Lib[#Headers],0),FALSE)),"")</f>
        <v/>
      </c>
      <c r="AV60" s="225" t="str">
        <f>IFERROR(IF(VLOOKUP(CONCATENATE($A60,"_",AV$1),SP_ACQ_Lib[],MATCH(AV$2,SP_ACQ_Lib[#Headers],0),FALSE)=0,"",VLOOKUP(CONCATENATE($A60,"_",AV$1),SP_ACQ_Lib[],MATCH(AV$2,SP_ACQ_Lib[#Headers],0),FALSE)),"")</f>
        <v/>
      </c>
      <c r="AW60" s="251" t="str">
        <f>IFERROR(IF(VLOOKUP(CONCATENATE($A60,"_",AW$1),SP_ACQ_Lib[],MATCH(AW$2,SP_ACQ_Lib[#Headers],0),FALSE)=0,"",VLOOKUP(CONCATENATE($A60,"_",AW$1),SP_ACQ_Lib[],MATCH(AW$2,SP_ACQ_Lib[#Headers],0),FALSE)),"")</f>
        <v/>
      </c>
      <c r="AX60" s="251" t="str">
        <f>IFERROR(IF(VLOOKUP(CONCATENATE($A60,"_",AX$1),SP_ACQ_Lib[],MATCH(AX$2,SP_ACQ_Lib[#Headers],0),FALSE)=0,"",VLOOKUP(CONCATENATE($A60,"_",AX$1),SP_ACQ_Lib[],MATCH(AX$2,SP_ACQ_Lib[#Headers],0),FALSE)),"")</f>
        <v/>
      </c>
      <c r="AY60" s="251" t="str">
        <f>IFERROR(IF(VLOOKUP(CONCATENATE($A60,"_",AY$1),SP_ACQ_Lib[],MATCH(AY$2,SP_ACQ_Lib[#Headers],0),FALSE)=0,"",VLOOKUP(CONCATENATE($A60,"_",AY$1),SP_ACQ_Lib[],MATCH(AY$2,SP_ACQ_Lib[#Headers],0),FALSE)),"")</f>
        <v/>
      </c>
      <c r="AZ60" s="251" t="str">
        <f>IFERROR(IF(VLOOKUP(CONCATENATE($A60,"_",AZ$1),SP_ACQ_Lib[],MATCH(AZ$2,SP_ACQ_Lib[#Headers],0),FALSE)=0,"",VLOOKUP(CONCATENATE($A60,"_",AZ$1),SP_ACQ_Lib[],MATCH(AZ$2,SP_ACQ_Lib[#Headers],0),FALSE)),"")</f>
        <v/>
      </c>
      <c r="BA60" s="251" t="str">
        <f>IFERROR(IF(VLOOKUP(CONCATENATE($A60,"_",BA$1),SP_ACQ_Lib[],MATCH(BA$2,SP_ACQ_Lib[#Headers],0),FALSE)=0,"",VLOOKUP(CONCATENATE($A60,"_",BA$1),SP_ACQ_Lib[],MATCH(BA$2,SP_ACQ_Lib[#Headers],0),FALSE)),"")</f>
        <v/>
      </c>
      <c r="BB60" s="224">
        <f>IFERROR(VLOOKUP(CONCATENATE($A60,"_",BB$1),SP_ACQ_Lib[],MATCH(BB$2,SP_ACQ_Lib[#Headers],0),FALSE),0)</f>
        <v>0</v>
      </c>
      <c r="BC60" s="231">
        <f>IFERROR(VLOOKUP($A60,SP_AcqTract_DB[],MATCH(BC$2,SP_AcqTract_DB[#Headers],0),FALSE),"")</f>
        <v>0</v>
      </c>
      <c r="BD60" s="231">
        <f>IFERROR(VLOOKUP($A60,SP_AcqTract_DB[],MATCH(BD$2,SP_AcqTract_DB[#Headers],0),FALSE),"")</f>
        <v>0</v>
      </c>
      <c r="BE60" s="249" t="str">
        <f>IFERROR(IF(VLOOKUP(CONCATENATE($A60,"_",BE$1),SP_ACQ_Lib[],MATCH(BE$2,SP_ACQ_Lib[#Headers],0),FALSE)=0,"",VLOOKUP(CONCATENATE($A60,"_",BE$1),SP_ACQ_Lib[],MATCH(BE$2,SP_ACQ_Lib[#Headers],0),FALSE)),"")</f>
        <v/>
      </c>
      <c r="BF60" s="249" t="str">
        <f>IFERROR(IF(VLOOKUP(CONCATENATE($A60,"_",BF$1),SP_ACQ_Lib[],MATCH(BF$2,SP_ACQ_Lib[#Headers],0),FALSE)=0,"",VLOOKUP(CONCATENATE($A60,"_",BF$1),SP_ACQ_Lib[],MATCH(BF$2,SP_ACQ_Lib[#Headers],0),FALSE)),"")</f>
        <v/>
      </c>
      <c r="BG60" s="249" t="str">
        <f>IFERROR(IF(VLOOKUP(CONCATENATE($A60,"_",BG$1),SP_ACQ_Lib[],MATCH(BG$2,SP_ACQ_Lib[#Headers],0),FALSE)=0,"",VLOOKUP(CONCATENATE($A60,"_",BG$1),SP_ACQ_Lib[],MATCH(BG$2,SP_ACQ_Lib[#Headers],0),FALSE)),"")</f>
        <v/>
      </c>
      <c r="BH60" s="249" t="str">
        <f>IFERROR(IF(VLOOKUP(CONCATENATE($A60,"_",BH$1),SP_ACQ_Lib[],MATCH(BH$2,SP_ACQ_Lib[#Headers],0),FALSE)=0,"",VLOOKUP(CONCATENATE($A60,"_",BH$1),SP_ACQ_Lib[],MATCH(BH$2,SP_ACQ_Lib[#Headers],0),FALSE)),"")</f>
        <v/>
      </c>
      <c r="BI60" s="249" t="str">
        <f>IFERROR(IF(VLOOKUP(CONCATENATE($A60,"_",BI$1),SP_ACQ_Lib[],MATCH(BI$2,SP_ACQ_Lib[#Headers],0),FALSE)=0,"",VLOOKUP(CONCATENATE($A60,"_",BI$1),SP_ACQ_Lib[],MATCH(BI$2,SP_ACQ_Lib[#Headers],0),FALSE)),"")</f>
        <v/>
      </c>
      <c r="BJ60" s="249" t="str">
        <f>IFERROR(IF(VLOOKUP(CONCATENATE($A60,"_",BJ$1),SP_ACQ_Lib[],MATCH(BJ$2,SP_ACQ_Lib[#Headers],0),FALSE)=0,"",VLOOKUP(CONCATENATE($A60,"_",BJ$1),SP_ACQ_Lib[],MATCH(BJ$2,SP_ACQ_Lib[#Headers],0),FALSE)),"")</f>
        <v/>
      </c>
      <c r="BK60" s="250">
        <f>IFERROR(IF(VLOOKUP(CONCATENATE($A60,"_",BK$1),SP_ACQ_Lib[],MATCH(BK$2,SP_ACQ_Lib[#Headers],0),FALSE)=0,"",VLOOKUP(CONCATENATE($A60,"_",BK$1),SP_ACQ_Lib[],MATCH(BK$2,SP_ACQ_Lib[#Headers],0),FALSE)),"")</f>
        <v>43748</v>
      </c>
      <c r="BL60" s="249" t="str">
        <f>IFERROR(IF(VLOOKUP(CONCATENATE($A60,"_",BL$1),SP_ACQ_Lib[],MATCH(BL$2,SP_ACQ_Lib[#Headers],0),FALSE)=0,"",VLOOKUP(CONCATENATE($A60,"_",BL$1),SP_ACQ_Lib[],MATCH(BL$2,SP_ACQ_Lib[#Headers],0),FALSE)),"")</f>
        <v/>
      </c>
      <c r="BM60" s="249" t="str">
        <f>IFERROR(IF(VLOOKUP(CONCATENATE($A60,"_",BM$1),SP_ACQ_Lib[],MATCH(BM$2,SP_ACQ_Lib[#Headers],0),FALSE)=0,"",VLOOKUP(CONCATENATE($A60,"_",BM$1),SP_ACQ_Lib[],MATCH(BM$2,SP_ACQ_Lib[#Headers],0),FALSE)),"")</f>
        <v/>
      </c>
      <c r="BN60" s="249" t="str">
        <f>IFERROR(IF(VLOOKUP(CONCATENATE($A60,"_",BN$1),SP_ACQ_Lib[],MATCH(BN$2,SP_ACQ_Lib[#Headers],0),FALSE)=0,"",VLOOKUP(CONCATENATE($A60,"_",BN$1),SP_ACQ_Lib[],MATCH(BN$2,SP_ACQ_Lib[#Headers],0),FALSE)),"")</f>
        <v/>
      </c>
    </row>
    <row r="61" spans="1:66" s="226" customFormat="1" ht="38.25" x14ac:dyDescent="0.2">
      <c r="A61" s="192" t="s">
        <v>63</v>
      </c>
      <c r="B61" s="227" t="str">
        <f>IFERROR(VLOOKUP($A61,SP_AcqTract_DB[],MATCH(B$2,SP_AcqTract_DB[#Headers],0),FALSE),"")</f>
        <v>R026697;UNKN003</v>
      </c>
      <c r="C61" s="228" t="str">
        <f>IFERROR(VLOOKUP($A61,SP_AcqTract_DB[],MATCH(C$2,SP_AcqTract_DB[#Headers],0),FALSE),"")</f>
        <v>PH1</v>
      </c>
      <c r="D61" s="208" t="str">
        <f>IFERROR(VLOOKUP($A61,SP_AcqTract_DB[],MATCH(D$2,SP_AcqTract_DB[#Headers],0),FALSE),"")</f>
        <v>Active</v>
      </c>
      <c r="E61" s="208">
        <f>IFERROR(VLOOKUP($A61,SP_AcqTract_DB[],MATCH(E$2,SP_AcqTract_DB[#Headers],0),FALSE),"")</f>
        <v>3</v>
      </c>
      <c r="F61" s="227" t="str">
        <f>IFERROR(VLOOKUP($A61,SP_AcqTract_DB[],MATCH(F$2,SP_AcqTract_DB[#Headers],0),FALSE),"")</f>
        <v>Flowage Esmt/Levee Esmt/TCE</v>
      </c>
      <c r="G61" s="227">
        <f>IFERROR(VLOOKUP($A61,SP_AcqTract_DB[],MATCH(G$2,SP_AcqTract_DB[#Headers],0),FALSE),"")</f>
        <v>0</v>
      </c>
      <c r="H61" s="250">
        <f>IFERROR(IF(VLOOKUP(CONCATENATE($A61,"_",H$1),SP_ACQ_Lib[],MATCH(H$2,SP_ACQ_Lib[#Headers],0),FALSE)=0,"",VLOOKUP(CONCATENATE($A61,"_",H$1),SP_ACQ_Lib[],MATCH(H$2,SP_ACQ_Lib[#Headers],0),FALSE)),"")</f>
        <v>43872.54787037037</v>
      </c>
      <c r="I61" s="227" t="str">
        <f>IFERROR(VLOOKUP($A61,SP_AcqTract_DB[],MATCH(I$2,SP_AcqTract_DB[#Headers],0),FALSE),"")</f>
        <v>City of Wharton</v>
      </c>
      <c r="J61" s="227">
        <f>IFERROR(VLOOKUP($A61,SP_AcqTract_DB[],MATCH(J$2,SP_AcqTract_DB[#Headers],0),FALSE),"")</f>
        <v>0</v>
      </c>
      <c r="K61" s="227" t="str">
        <f>IFERROR(VLOOKUP($A61,SP_AcqTract_DB[],MATCH(K$2,SP_AcqTract_DB[#Headers],0),FALSE),"")</f>
        <v>City of Wharton</v>
      </c>
      <c r="L61" s="227" t="str">
        <f>IFERROR(VLOOKUP($A61,SP_AcqTract_DB[],MATCH(L$2,SP_AcqTract_DB[#Headers],0),FALSE),"")</f>
        <v>120 E Caney</v>
      </c>
      <c r="M61" s="208" t="str">
        <f>IFERROR(VLOOKUP($A61,SP_AcqTract_DB[],MATCH(M$2,SP_AcqTract_DB[#Headers],0),FALSE),"")</f>
        <v>Wharton, TX  77488</v>
      </c>
      <c r="N61" s="227" t="str">
        <f>IFERROR(VLOOKUP($A61,SP_AcqTract_DB[],MATCH(N$2,SP_AcqTract_DB[#Headers],0),FALSE),"")</f>
        <v>417 Colorado</v>
      </c>
      <c r="O61" s="220">
        <f>IFERROR(VLOOKUP($A61,SP_AcqTract_DB[],MATCH(O$2,SP_AcqTract_DB[#Headers],0),FALSE),"")</f>
        <v>0</v>
      </c>
      <c r="P61" s="220">
        <f>IFERROR(VLOOKUP($A61,SP_AcqTract_DB[],MATCH(P$2,SP_AcqTract_DB[#Headers],0),FALSE),"")</f>
        <v>0</v>
      </c>
      <c r="Q61" s="208" t="str">
        <f>IFERROR(VLOOKUP($A61,SP_AcqTract_DB[],MATCH(Q$2,SP_AcqTract_DB[#Headers],0),FALSE),"")</f>
        <v>2019-0914</v>
      </c>
      <c r="R61" s="250">
        <f>IFERROR(IF(VLOOKUP(CONCATENATE($A61,"_",R$1),SP_ACQ_Lib[],MATCH(R$2,SP_ACQ_Lib[#Headers],0),FALSE)=0,"",VLOOKUP(CONCATENATE($A61,"_",R$1),SP_ACQ_Lib[],MATCH(R$2,SP_ACQ_Lib[#Headers],0),FALSE)),"")</f>
        <v>43707</v>
      </c>
      <c r="S61" s="253">
        <f>IFERROR(IF(VLOOKUP(CONCATENATE($A61,"_",S$1),SP_ACQ_Lib[],MATCH(S$2,SP_ACQ_Lib[#Headers],0),FALSE)=0,"",VLOOKUP(CONCATENATE($A61,"_",S$1),SP_ACQ_Lib[],MATCH(S$2,SP_ACQ_Lib[#Headers],0),FALSE)),"")</f>
        <v>43714</v>
      </c>
      <c r="T61" s="205" t="str">
        <f>IFERROR(VLOOKUP(CONCATENATE($A61,"_",T$1),SP_ACQ_Lib[],MATCH(T$2,SP_ACQ_Lib[#Headers],0),FALSE),0)</f>
        <v>Accepted</v>
      </c>
      <c r="U61" s="250">
        <f>IFERROR(IF(VLOOKUP(CONCATENATE($A61,"_",U$1),SP_ACQ_Lib[],MATCH(U$2,SP_ACQ_Lib[#Headers],0),FALSE)=0,"",VLOOKUP(CONCATENATE($A61,"_",U$1),SP_ACQ_Lib[],MATCH(U$2,SP_ACQ_Lib[#Headers],0),FALSE)),"")</f>
        <v>43719</v>
      </c>
      <c r="V61" s="205" t="str">
        <f>IFERROR(VLOOKUP(CONCATENATE($A61,"_",V$1),SP_ACQ_Lib[],MATCH(V$2,SP_ACQ_Lib[#Headers],0),FALSE),0)</f>
        <v>Accepted</v>
      </c>
      <c r="W61" s="209">
        <f>IFERROR(VLOOKUP(CONCATENATE($A61,"_",W$1),SP_ACQ_Lib[],MATCH(W$2,SP_ACQ_Lib[#Headers],0),FALSE),0)</f>
        <v>0</v>
      </c>
      <c r="X61" s="250">
        <f>IFERROR(VLOOKUP($A61,SP_AcqTract_DB[],MATCH(X$2,SP_AcqTract_DB[#Headers],0),FALSE),"")</f>
        <v>0</v>
      </c>
      <c r="Y61" s="237">
        <f>IFERROR(VLOOKUP($A61,SP_AcqTract_DB[],MATCH(Y$2,SP_AcqTract_DB[#Headers],0),FALSE),"")</f>
        <v>2.1741000000000001</v>
      </c>
      <c r="Z61" s="229">
        <f>IFERROR(VLOOKUP($A61,SP_AcqTract_DB[],MATCH(Z$2,SP_AcqTract_DB[#Headers],0),FALSE),"")</f>
        <v>94703.796000000002</v>
      </c>
      <c r="AA61" s="229" t="str">
        <f>IFERROR(VLOOKUP($A61,SP_AcqTract_DB[],MATCH(AA$2,SP_AcqTract_DB[#Headers],0),FALSE),"")</f>
        <v>No</v>
      </c>
      <c r="AB61" s="250" t="str">
        <f>IFERROR(IF(VLOOKUP(CONCATENATE($A61,"_",AB$1),SP_ACQ_Lib[],MATCH(AB$2,SP_ACQ_Lib[#Headers],0),FALSE)=0,"",VLOOKUP(CONCATENATE($A61,"_",AB$1),SP_ACQ_Lib[],MATCH(AB$2,SP_ACQ_Lib[#Headers],0),FALSE)),"")</f>
        <v/>
      </c>
      <c r="AC61" s="250" t="str">
        <f>IFERROR(IF(VLOOKUP(CONCATENATE($A61,"_",AC$1),SP_ACQ_Lib[],MATCH(AC$2,SP_ACQ_Lib[#Headers],0),FALSE)=0,"",VLOOKUP(CONCATENATE($A61,"_",AC$1),SP_ACQ_Lib[],MATCH(AC$2,SP_ACQ_Lib[#Headers],0),FALSE)),"")</f>
        <v/>
      </c>
      <c r="AD61" s="229" t="str">
        <f>IFERROR(VLOOKUP($A61,SP_AcqTract_DB[],MATCH(AD$2,SP_AcqTract_DB[#Headers],0),FALSE),"")</f>
        <v>Yes</v>
      </c>
      <c r="AE61" s="250">
        <f>IFERROR(IF(VLOOKUP(CONCATENATE($A61,"_",AE$1),SP_ACQ_Lib[],MATCH(AE$2,SP_ACQ_Lib[#Headers],0),FALSE)=0,"",VLOOKUP(CONCATENATE($A61,"_",AE$1),SP_ACQ_Lib[],MATCH(AE$2,SP_ACQ_Lib[#Headers],0),FALSE)),"")</f>
        <v>43991</v>
      </c>
      <c r="AF61" s="250">
        <f>IFERROR(IF(VLOOKUP(CONCATENATE($A61,"_",AF$1),SP_ACQ_Lib[],MATCH(AF$2,SP_ACQ_Lib[#Headers],0),FALSE)=0,"",VLOOKUP(CONCATENATE($A61,"_",AF$1),SP_ACQ_Lib[],MATCH(AF$2,SP_ACQ_Lib[#Headers],0),FALSE)),"")</f>
        <v>43993</v>
      </c>
      <c r="AG61" s="250" t="str">
        <f>IFERROR(IF(VLOOKUP(CONCATENATE($A61,"_",AG$1),SP_ACQ_Lib[],MATCH(AG$2,SP_ACQ_Lib[#Headers],0),FALSE)=0,"",VLOOKUP(CONCATENATE($A61,"_",AG$1),SP_ACQ_Lib[],MATCH(AG$2,SP_ACQ_Lib[#Headers],0),FALSE)),"")</f>
        <v/>
      </c>
      <c r="AH61" s="250" t="str">
        <f>IFERROR(IF(VLOOKUP(CONCATENATE($A61,"_",AH$1),SP_ACQ_Lib[],MATCH(AH$2,SP_ACQ_Lib[#Headers],0),FALSE)=0,"",VLOOKUP(CONCATENATE($A61,"_",AH$1),SP_ACQ_Lib[],MATCH(AH$2,SP_ACQ_Lib[#Headers],0),FALSE)),"")</f>
        <v/>
      </c>
      <c r="AI61" s="249" t="str">
        <f>IFERROR(IF(VLOOKUP(CONCATENATE($A61,"_",AI$1),SP_ACQ_Lib[],MATCH(AI$2,SP_ACQ_Lib[#Headers],0),FALSE)=0,"",VLOOKUP(CONCATENATE($A61,"_",AI$1),SP_ACQ_Lib[],MATCH(AI$2,SP_ACQ_Lib[#Headers],0),FALSE)),"")</f>
        <v/>
      </c>
      <c r="AJ61" s="249" t="str">
        <f>IFERROR(IF(VLOOKUP(CONCATENATE($A61,"_",AJ$1),SP_ACQ_Lib[],MATCH(AJ$2,SP_ACQ_Lib[#Headers],0),FALSE)=0,"",VLOOKUP(CONCATENATE($A61,"_",AJ$1),SP_ACQ_Lib[],MATCH(AJ$2,SP_ACQ_Lib[#Headers],0),FALSE)),"")</f>
        <v/>
      </c>
      <c r="AK61" s="249" t="str">
        <f>IFERROR(IF(VLOOKUP(CONCATENATE($A61,"_",AK$1),SP_ACQ_Lib[],MATCH(AK$2,SP_ACQ_Lib[#Headers],0),FALSE)=0,"",VLOOKUP(CONCATENATE($A61,"_",AK$1),SP_ACQ_Lib[],MATCH(AK$2,SP_ACQ_Lib[#Headers],0),FALSE)),"")</f>
        <v/>
      </c>
      <c r="AL61" s="249">
        <f>IFERROR(VLOOKUP($A61,SP_AcqTract_DB[],MATCH(AL$2,SP_AcqTract_DB[#Headers],0),FALSE),"")</f>
        <v>0</v>
      </c>
      <c r="AM61" s="227">
        <f>IFERROR(VLOOKUP($A61,SP_AcqTract_DB[],MATCH(AM$2,SP_AcqTract_DB[#Headers],0),FALSE),"")</f>
        <v>0</v>
      </c>
      <c r="AN61" s="227">
        <f>IFERROR(VLOOKUP($A61,SP_AcqTract_DB[],MATCH(AN$2,SP_AcqTract_DB[#Headers],0),FALSE),"")</f>
        <v>0</v>
      </c>
      <c r="AO61" s="228">
        <f>IFERROR(VLOOKUP($A61,SP_AcqTract_DB[],MATCH(AO$2,SP_AcqTract_DB[#Headers],0),FALSE),"")</f>
        <v>0</v>
      </c>
      <c r="AP61" s="210">
        <f>IFERROR(VLOOKUP($A61,SP_AcqTract_DB[],MATCH(AP$2,SP_AcqTract_DB[#Headers],0),FALSE),"")</f>
        <v>0</v>
      </c>
      <c r="AQ61" s="252" t="str">
        <f>IFERROR(IF(VLOOKUP(CONCATENATE($A61,"_",AQ$1),SP_ACQ_Lib[],MATCH(AQ$2,SP_ACQ_Lib[#Headers],0),FALSE)=0,"",VLOOKUP(CONCATENATE($A61,"_",AQ$1),SP_ACQ_Lib[],MATCH(AQ$2,SP_ACQ_Lib[#Headers],0),FALSE)),"")</f>
        <v/>
      </c>
      <c r="AR61" s="250" t="str">
        <f>IFERROR(IF(VLOOKUP(CONCATENATE($A61,"_",AR$1),SP_ACQ_Lib[],MATCH(AR$2,SP_ACQ_Lib[#Headers],0),FALSE)=0,"",VLOOKUP(CONCATENATE($A61,"_",AR$1),SP_ACQ_Lib[],MATCH(AR$2,SP_ACQ_Lib[#Headers],0),FALSE)),"")</f>
        <v/>
      </c>
      <c r="AS61" s="249" t="str">
        <f>IFERROR(IF(VLOOKUP(CONCATENATE($A61,"_",AS$1),SP_ACQ_Lib[],MATCH(AS$2,SP_ACQ_Lib[#Headers],0),FALSE)=0,"",VLOOKUP(CONCATENATE($A61,"_",AS$1),SP_ACQ_Lib[],MATCH(AS$2,SP_ACQ_Lib[#Headers],0),FALSE)),"")</f>
        <v/>
      </c>
      <c r="AT61" s="251" t="str">
        <f>IFERROR(IF(VLOOKUP(CONCATENATE($A61,"_",AT$1),SP_ACQ_Lib[],MATCH(AT$2,SP_ACQ_Lib[#Headers],0),FALSE)=0,"",VLOOKUP(CONCATENATE($A61,"_",AT$1),SP_ACQ_Lib[],MATCH(AT$2,SP_ACQ_Lib[#Headers],0),FALSE)),"")</f>
        <v/>
      </c>
      <c r="AU61" s="251" t="str">
        <f>IFERROR(IF(VLOOKUP(CONCATENATE($A61,"_",AU$1),SP_ACQ_Lib[],MATCH(AU$2,SP_ACQ_Lib[#Headers],0),FALSE)=0,"",VLOOKUP(CONCATENATE($A61,"_",AU$1),SP_ACQ_Lib[],MATCH(AU$2,SP_ACQ_Lib[#Headers],0),FALSE)),"")</f>
        <v/>
      </c>
      <c r="AV61" s="225" t="str">
        <f>IFERROR(IF(VLOOKUP(CONCATENATE($A61,"_",AV$1),SP_ACQ_Lib[],MATCH(AV$2,SP_ACQ_Lib[#Headers],0),FALSE)=0,"",VLOOKUP(CONCATENATE($A61,"_",AV$1),SP_ACQ_Lib[],MATCH(AV$2,SP_ACQ_Lib[#Headers],0),FALSE)),"")</f>
        <v/>
      </c>
      <c r="AW61" s="251" t="str">
        <f>IFERROR(IF(VLOOKUP(CONCATENATE($A61,"_",AW$1),SP_ACQ_Lib[],MATCH(AW$2,SP_ACQ_Lib[#Headers],0),FALSE)=0,"",VLOOKUP(CONCATENATE($A61,"_",AW$1),SP_ACQ_Lib[],MATCH(AW$2,SP_ACQ_Lib[#Headers],0),FALSE)),"")</f>
        <v/>
      </c>
      <c r="AX61" s="251" t="str">
        <f>IFERROR(IF(VLOOKUP(CONCATENATE($A61,"_",AX$1),SP_ACQ_Lib[],MATCH(AX$2,SP_ACQ_Lib[#Headers],0),FALSE)=0,"",VLOOKUP(CONCATENATE($A61,"_",AX$1),SP_ACQ_Lib[],MATCH(AX$2,SP_ACQ_Lib[#Headers],0),FALSE)),"")</f>
        <v/>
      </c>
      <c r="AY61" s="251" t="str">
        <f>IFERROR(IF(VLOOKUP(CONCATENATE($A61,"_",AY$1),SP_ACQ_Lib[],MATCH(AY$2,SP_ACQ_Lib[#Headers],0),FALSE)=0,"",VLOOKUP(CONCATENATE($A61,"_",AY$1),SP_ACQ_Lib[],MATCH(AY$2,SP_ACQ_Lib[#Headers],0),FALSE)),"")</f>
        <v/>
      </c>
      <c r="AZ61" s="251" t="str">
        <f>IFERROR(IF(VLOOKUP(CONCATENATE($A61,"_",AZ$1),SP_ACQ_Lib[],MATCH(AZ$2,SP_ACQ_Lib[#Headers],0),FALSE)=0,"",VLOOKUP(CONCATENATE($A61,"_",AZ$1),SP_ACQ_Lib[],MATCH(AZ$2,SP_ACQ_Lib[#Headers],0),FALSE)),"")</f>
        <v/>
      </c>
      <c r="BA61" s="251" t="str">
        <f>IFERROR(IF(VLOOKUP(CONCATENATE($A61,"_",BA$1),SP_ACQ_Lib[],MATCH(BA$2,SP_ACQ_Lib[#Headers],0),FALSE)=0,"",VLOOKUP(CONCATENATE($A61,"_",BA$1),SP_ACQ_Lib[],MATCH(BA$2,SP_ACQ_Lib[#Headers],0),FALSE)),"")</f>
        <v/>
      </c>
      <c r="BB61" s="224">
        <f>IFERROR(VLOOKUP(CONCATENATE($A61,"_",BB$1),SP_ACQ_Lib[],MATCH(BB$2,SP_ACQ_Lib[#Headers],0),FALSE),0)</f>
        <v>0</v>
      </c>
      <c r="BC61" s="231">
        <f>IFERROR(VLOOKUP($A61,SP_AcqTract_DB[],MATCH(BC$2,SP_AcqTract_DB[#Headers],0),FALSE),"")</f>
        <v>0</v>
      </c>
      <c r="BD61" s="231">
        <f>IFERROR(VLOOKUP($A61,SP_AcqTract_DB[],MATCH(BD$2,SP_AcqTract_DB[#Headers],0),FALSE),"")</f>
        <v>0</v>
      </c>
      <c r="BE61" s="249" t="str">
        <f>IFERROR(IF(VLOOKUP(CONCATENATE($A61,"_",BE$1),SP_ACQ_Lib[],MATCH(BE$2,SP_ACQ_Lib[#Headers],0),FALSE)=0,"",VLOOKUP(CONCATENATE($A61,"_",BE$1),SP_ACQ_Lib[],MATCH(BE$2,SP_ACQ_Lib[#Headers],0),FALSE)),"")</f>
        <v/>
      </c>
      <c r="BF61" s="249" t="str">
        <f>IFERROR(IF(VLOOKUP(CONCATENATE($A61,"_",BF$1),SP_ACQ_Lib[],MATCH(BF$2,SP_ACQ_Lib[#Headers],0),FALSE)=0,"",VLOOKUP(CONCATENATE($A61,"_",BF$1),SP_ACQ_Lib[],MATCH(BF$2,SP_ACQ_Lib[#Headers],0),FALSE)),"")</f>
        <v/>
      </c>
      <c r="BG61" s="249" t="str">
        <f>IFERROR(IF(VLOOKUP(CONCATENATE($A61,"_",BG$1),SP_ACQ_Lib[],MATCH(BG$2,SP_ACQ_Lib[#Headers],0),FALSE)=0,"",VLOOKUP(CONCATENATE($A61,"_",BG$1),SP_ACQ_Lib[],MATCH(BG$2,SP_ACQ_Lib[#Headers],0),FALSE)),"")</f>
        <v/>
      </c>
      <c r="BH61" s="249" t="str">
        <f>IFERROR(IF(VLOOKUP(CONCATENATE($A61,"_",BH$1),SP_ACQ_Lib[],MATCH(BH$2,SP_ACQ_Lib[#Headers],0),FALSE)=0,"",VLOOKUP(CONCATENATE($A61,"_",BH$1),SP_ACQ_Lib[],MATCH(BH$2,SP_ACQ_Lib[#Headers],0),FALSE)),"")</f>
        <v/>
      </c>
      <c r="BI61" s="249" t="str">
        <f>IFERROR(IF(VLOOKUP(CONCATENATE($A61,"_",BI$1),SP_ACQ_Lib[],MATCH(BI$2,SP_ACQ_Lib[#Headers],0),FALSE)=0,"",VLOOKUP(CONCATENATE($A61,"_",BI$1),SP_ACQ_Lib[],MATCH(BI$2,SP_ACQ_Lib[#Headers],0),FALSE)),"")</f>
        <v/>
      </c>
      <c r="BJ61" s="249" t="str">
        <f>IFERROR(IF(VLOOKUP(CONCATENATE($A61,"_",BJ$1),SP_ACQ_Lib[],MATCH(BJ$2,SP_ACQ_Lib[#Headers],0),FALSE)=0,"",VLOOKUP(CONCATENATE($A61,"_",BJ$1),SP_ACQ_Lib[],MATCH(BJ$2,SP_ACQ_Lib[#Headers],0),FALSE)),"")</f>
        <v/>
      </c>
      <c r="BK61" s="250">
        <f>IFERROR(IF(VLOOKUP(CONCATENATE($A61,"_",BK$1),SP_ACQ_Lib[],MATCH(BK$2,SP_ACQ_Lib[#Headers],0),FALSE)=0,"",VLOOKUP(CONCATENATE($A61,"_",BK$1),SP_ACQ_Lib[],MATCH(BK$2,SP_ACQ_Lib[#Headers],0),FALSE)),"")</f>
        <v>43748</v>
      </c>
      <c r="BL61" s="249" t="str">
        <f>IFERROR(IF(VLOOKUP(CONCATENATE($A61,"_",BL$1),SP_ACQ_Lib[],MATCH(BL$2,SP_ACQ_Lib[#Headers],0),FALSE)=0,"",VLOOKUP(CONCATENATE($A61,"_",BL$1),SP_ACQ_Lib[],MATCH(BL$2,SP_ACQ_Lib[#Headers],0),FALSE)),"")</f>
        <v/>
      </c>
      <c r="BM61" s="249" t="str">
        <f>IFERROR(IF(VLOOKUP(CONCATENATE($A61,"_",BM$1),SP_ACQ_Lib[],MATCH(BM$2,SP_ACQ_Lib[#Headers],0),FALSE)=0,"",VLOOKUP(CONCATENATE($A61,"_",BM$1),SP_ACQ_Lib[],MATCH(BM$2,SP_ACQ_Lib[#Headers],0),FALSE)),"")</f>
        <v/>
      </c>
      <c r="BN61" s="249" t="str">
        <f>IFERROR(IF(VLOOKUP(CONCATENATE($A61,"_",BN$1),SP_ACQ_Lib[],MATCH(BN$2,SP_ACQ_Lib[#Headers],0),FALSE)=0,"",VLOOKUP(CONCATENATE($A61,"_",BN$1),SP_ACQ_Lib[],MATCH(BN$2,SP_ACQ_Lib[#Headers],0),FALSE)),"")</f>
        <v/>
      </c>
    </row>
    <row r="62" spans="1:66" s="226" customFormat="1" ht="51" x14ac:dyDescent="0.2">
      <c r="A62" s="192" t="s">
        <v>4568</v>
      </c>
      <c r="B62" s="227" t="str">
        <f>IFERROR(VLOOKUP($A62,SP_AcqTract_DB[],MATCH(B$2,SP_AcqTract_DB[#Headers],0),FALSE),"")</f>
        <v>R055352</v>
      </c>
      <c r="C62" s="228" t="str">
        <f>IFERROR(VLOOKUP($A62,SP_AcqTract_DB[],MATCH(C$2,SP_AcqTract_DB[#Headers],0),FALSE),"")</f>
        <v>PH1</v>
      </c>
      <c r="D62" s="208" t="str">
        <f>IFERROR(VLOOKUP($A62,SP_AcqTract_DB[],MATCH(D$2,SP_AcqTract_DB[#Headers],0),FALSE),"")</f>
        <v>Active</v>
      </c>
      <c r="E62" s="208">
        <f>IFERROR(VLOOKUP($A62,SP_AcqTract_DB[],MATCH(E$2,SP_AcqTract_DB[#Headers],0),FALSE),"")</f>
        <v>1</v>
      </c>
      <c r="F62" s="227" t="str">
        <f>IFERROR(VLOOKUP($A62,SP_AcqTract_DB[],MATCH(F$2,SP_AcqTract_DB[#Headers],0),FALSE),"")</f>
        <v>Levee Esmt</v>
      </c>
      <c r="G62" s="227" t="str">
        <f>IFERROR(VLOOKUP($A62,SP_AcqTract_DB[],MATCH(G$2,SP_AcqTract_DB[#Headers],0),FALSE),"")</f>
        <v>Melissa DeLeon</v>
      </c>
      <c r="H62" s="250" t="str">
        <f>IFERROR(IF(VLOOKUP(CONCATENATE($A62,"_",H$1),SP_ACQ_Lib[],MATCH(H$2,SP_ACQ_Lib[#Headers],0),FALSE)=0,"",VLOOKUP(CONCATENATE($A62,"_",H$1),SP_ACQ_Lib[],MATCH(H$2,SP_ACQ_Lib[#Headers],0),FALSE)),"")</f>
        <v/>
      </c>
      <c r="I62" s="227" t="str">
        <f>IFERROR(VLOOKUP($A62,SP_AcqTract_DB[],MATCH(I$2,SP_AcqTract_DB[#Headers],0),FALSE),"")</f>
        <v>Kansas City Southern Railway Company</v>
      </c>
      <c r="J62" s="227" t="str">
        <f>IFERROR(VLOOKUP($A62,SP_AcqTract_DB[],MATCH(J$2,SP_AcqTract_DB[#Headers],0),FALSE),"")</f>
        <v>Kansas City Southern Railway Company</v>
      </c>
      <c r="K62" s="227" t="str">
        <f>IFERROR(VLOOKUP($A62,SP_AcqTract_DB[],MATCH(K$2,SP_AcqTract_DB[#Headers],0),FALSE),"")</f>
        <v>Sri Honnur, P.E., Track &amp; Bridge Construction Director</v>
      </c>
      <c r="L62" s="227" t="str">
        <f>IFERROR(VLOOKUP($A62,SP_AcqTract_DB[],MATCH(L$2,SP_AcqTract_DB[#Headers],0),FALSE),"")</f>
        <v>427 West 12th Street</v>
      </c>
      <c r="M62" s="208" t="str">
        <f>IFERROR(VLOOKUP($A62,SP_AcqTract_DB[],MATCH(M$2,SP_AcqTract_DB[#Headers],0),FALSE),"")</f>
        <v>Kansas City, MO  64105</v>
      </c>
      <c r="N62" s="227" t="str">
        <f>IFERROR(VLOOKUP($A62,SP_AcqTract_DB[],MATCH(N$2,SP_AcqTract_DB[#Headers],0),FALSE),"")</f>
        <v>Colorado</v>
      </c>
      <c r="O62" s="220">
        <f>IFERROR(VLOOKUP($A62,SP_AcqTract_DB[],MATCH(O$2,SP_AcqTract_DB[#Headers],0),FALSE),"")</f>
        <v>0</v>
      </c>
      <c r="P62" s="220">
        <f>IFERROR(VLOOKUP($A62,SP_AcqTract_DB[],MATCH(P$2,SP_AcqTract_DB[#Headers],0),FALSE),"")</f>
        <v>0</v>
      </c>
      <c r="Q62" s="208" t="str">
        <f>IFERROR(VLOOKUP($A62,SP_AcqTract_DB[],MATCH(Q$2,SP_AcqTract_DB[#Headers],0),FALSE),"")</f>
        <v>2019-0924</v>
      </c>
      <c r="R62" s="250">
        <f>IFERROR(IF(VLOOKUP(CONCATENATE($A62,"_",R$1),SP_ACQ_Lib[],MATCH(R$2,SP_ACQ_Lib[#Headers],0),FALSE)=0,"",VLOOKUP(CONCATENATE($A62,"_",R$1),SP_ACQ_Lib[],MATCH(R$2,SP_ACQ_Lib[#Headers],0),FALSE)),"")</f>
        <v>43728</v>
      </c>
      <c r="S62" s="253">
        <f>IFERROR(IF(VLOOKUP(CONCATENATE($A62,"_",S$1),SP_ACQ_Lib[],MATCH(S$2,SP_ACQ_Lib[#Headers],0),FALSE)=0,"",VLOOKUP(CONCATENATE($A62,"_",S$1),SP_ACQ_Lib[],MATCH(S$2,SP_ACQ_Lib[#Headers],0),FALSE)),"")</f>
        <v>43738</v>
      </c>
      <c r="T62" s="205" t="str">
        <f>IFERROR(VLOOKUP(CONCATENATE($A62,"_",T$1),SP_ACQ_Lib[],MATCH(T$2,SP_ACQ_Lib[#Headers],0),FALSE),0)</f>
        <v>Accepted</v>
      </c>
      <c r="U62" s="250">
        <f>IFERROR(IF(VLOOKUP(CONCATENATE($A62,"_",U$1),SP_ACQ_Lib[],MATCH(U$2,SP_ACQ_Lib[#Headers],0),FALSE)=0,"",VLOOKUP(CONCATENATE($A62,"_",U$1),SP_ACQ_Lib[],MATCH(U$2,SP_ACQ_Lib[#Headers],0),FALSE)),"")</f>
        <v>44019</v>
      </c>
      <c r="V62" s="205">
        <f>IFERROR(VLOOKUP(CONCATENATE($A62,"_",V$1),SP_ACQ_Lib[],MATCH(V$2,SP_ACQ_Lib[#Headers],0),FALSE),0)</f>
        <v>0</v>
      </c>
      <c r="W62" s="209" t="str">
        <f>IFERROR(VLOOKUP(CONCATENATE($A62,"_",W$1),SP_ACQ_Lib[],MATCH(W$2,SP_ACQ_Lib[#Headers],0),FALSE),0)</f>
        <v>Accepted</v>
      </c>
      <c r="X62" s="250">
        <f>IFERROR(VLOOKUP($A62,SP_AcqTract_DB[],MATCH(X$2,SP_AcqTract_DB[#Headers],0),FALSE),"")</f>
        <v>0</v>
      </c>
      <c r="Y62" s="237">
        <f>IFERROR(VLOOKUP($A62,SP_AcqTract_DB[],MATCH(Y$2,SP_AcqTract_DB[#Headers],0),FALSE),"")</f>
        <v>0</v>
      </c>
      <c r="Z62" s="229">
        <f>IFERROR(VLOOKUP($A62,SP_AcqTract_DB[],MATCH(Z$2,SP_AcqTract_DB[#Headers],0),FALSE),"")</f>
        <v>0</v>
      </c>
      <c r="AA62" s="229" t="str">
        <f>IFERROR(VLOOKUP($A62,SP_AcqTract_DB[],MATCH(AA$2,SP_AcqTract_DB[#Headers],0),FALSE),"")</f>
        <v>No</v>
      </c>
      <c r="AB62" s="250" t="str">
        <f>IFERROR(IF(VLOOKUP(CONCATENATE($A62,"_",AB$1),SP_ACQ_Lib[],MATCH(AB$2,SP_ACQ_Lib[#Headers],0),FALSE)=0,"",VLOOKUP(CONCATENATE($A62,"_",AB$1),SP_ACQ_Lib[],MATCH(AB$2,SP_ACQ_Lib[#Headers],0),FALSE)),"")</f>
        <v/>
      </c>
      <c r="AC62" s="250" t="str">
        <f>IFERROR(IF(VLOOKUP(CONCATENATE($A62,"_",AC$1),SP_ACQ_Lib[],MATCH(AC$2,SP_ACQ_Lib[#Headers],0),FALSE)=0,"",VLOOKUP(CONCATENATE($A62,"_",AC$1),SP_ACQ_Lib[],MATCH(AC$2,SP_ACQ_Lib[#Headers],0),FALSE)),"")</f>
        <v/>
      </c>
      <c r="AD62" s="229" t="str">
        <f>IFERROR(VLOOKUP($A62,SP_AcqTract_DB[],MATCH(AD$2,SP_AcqTract_DB[#Headers],0),FALSE),"")</f>
        <v>Yes</v>
      </c>
      <c r="AE62" s="250" t="str">
        <f>IFERROR(IF(VLOOKUP(CONCATENATE($A62,"_",AE$1),SP_ACQ_Lib[],MATCH(AE$2,SP_ACQ_Lib[#Headers],0),FALSE)=0,"",VLOOKUP(CONCATENATE($A62,"_",AE$1),SP_ACQ_Lib[],MATCH(AE$2,SP_ACQ_Lib[#Headers],0),FALSE)),"")</f>
        <v/>
      </c>
      <c r="AF62" s="250" t="str">
        <f>IFERROR(IF(VLOOKUP(CONCATENATE($A62,"_",AF$1),SP_ACQ_Lib[],MATCH(AF$2,SP_ACQ_Lib[#Headers],0),FALSE)=0,"",VLOOKUP(CONCATENATE($A62,"_",AF$1),SP_ACQ_Lib[],MATCH(AF$2,SP_ACQ_Lib[#Headers],0),FALSE)),"")</f>
        <v/>
      </c>
      <c r="AG62" s="250">
        <f>IFERROR(IF(VLOOKUP(CONCATENATE($A62,"_",AG$1),SP_ACQ_Lib[],MATCH(AG$2,SP_ACQ_Lib[#Headers],0),FALSE)=0,"",VLOOKUP(CONCATENATE($A62,"_",AG$1),SP_ACQ_Lib[],MATCH(AG$2,SP_ACQ_Lib[#Headers],0),FALSE)),"")</f>
        <v>43810</v>
      </c>
      <c r="AH62" s="250" t="str">
        <f>IFERROR(IF(VLOOKUP(CONCATENATE($A62,"_",AH$1),SP_ACQ_Lib[],MATCH(AH$2,SP_ACQ_Lib[#Headers],0),FALSE)=0,"",VLOOKUP(CONCATENATE($A62,"_",AH$1),SP_ACQ_Lib[],MATCH(AH$2,SP_ACQ_Lib[#Headers],0),FALSE)),"")</f>
        <v/>
      </c>
      <c r="AI62" s="249" t="str">
        <f>IFERROR(IF(VLOOKUP(CONCATENATE($A62,"_",AI$1),SP_ACQ_Lib[],MATCH(AI$2,SP_ACQ_Lib[#Headers],0),FALSE)=0,"",VLOOKUP(CONCATENATE($A62,"_",AI$1),SP_ACQ_Lib[],MATCH(AI$2,SP_ACQ_Lib[#Headers],0),FALSE)),"")</f>
        <v/>
      </c>
      <c r="AJ62" s="249" t="str">
        <f>IFERROR(IF(VLOOKUP(CONCATENATE($A62,"_",AJ$1),SP_ACQ_Lib[],MATCH(AJ$2,SP_ACQ_Lib[#Headers],0),FALSE)=0,"",VLOOKUP(CONCATENATE($A62,"_",AJ$1),SP_ACQ_Lib[],MATCH(AJ$2,SP_ACQ_Lib[#Headers],0),FALSE)),"")</f>
        <v/>
      </c>
      <c r="AK62" s="249" t="str">
        <f>IFERROR(IF(VLOOKUP(CONCATENATE($A62,"_",AK$1),SP_ACQ_Lib[],MATCH(AK$2,SP_ACQ_Lib[#Headers],0),FALSE)=0,"",VLOOKUP(CONCATENATE($A62,"_",AK$1),SP_ACQ_Lib[],MATCH(AK$2,SP_ACQ_Lib[#Headers],0),FALSE)),"")</f>
        <v/>
      </c>
      <c r="AL62" s="249">
        <f>IFERROR(VLOOKUP($A62,SP_AcqTract_DB[],MATCH(AL$2,SP_AcqTract_DB[#Headers],0),FALSE),"")</f>
        <v>0</v>
      </c>
      <c r="AM62" s="227" t="str">
        <f>IFERROR(VLOOKUP($A62,SP_AcqTract_DB[],MATCH(AM$2,SP_AcqTract_DB[#Headers],0),FALSE),"")</f>
        <v>David Ambrose</v>
      </c>
      <c r="AN62" s="227" t="str">
        <f>IFERROR(VLOOKUP($A62,SP_AcqTract_DB[],MATCH(AN$2,SP_AcqTract_DB[#Headers],0),FALSE),"")</f>
        <v>Lory Johnson, Atrium</v>
      </c>
      <c r="AO62" s="228">
        <f>IFERROR(VLOOKUP($A62,SP_AcqTract_DB[],MATCH(AO$2,SP_AcqTract_DB[#Headers],0),FALSE),"")</f>
        <v>0</v>
      </c>
      <c r="AP62" s="210">
        <f>IFERROR(VLOOKUP($A62,SP_AcqTract_DB[],MATCH(AP$2,SP_AcqTract_DB[#Headers],0),FALSE),"")</f>
        <v>0</v>
      </c>
      <c r="AQ62" s="252" t="str">
        <f>IFERROR(IF(VLOOKUP(CONCATENATE($A62,"_",AQ$1),SP_ACQ_Lib[],MATCH(AQ$2,SP_ACQ_Lib[#Headers],0),FALSE)=0,"",VLOOKUP(CONCATENATE($A62,"_",AQ$1),SP_ACQ_Lib[],MATCH(AQ$2,SP_ACQ_Lib[#Headers],0),FALSE)),"")</f>
        <v/>
      </c>
      <c r="AR62" s="250" t="str">
        <f>IFERROR(IF(VLOOKUP(CONCATENATE($A62,"_",AR$1),SP_ACQ_Lib[],MATCH(AR$2,SP_ACQ_Lib[#Headers],0),FALSE)=0,"",VLOOKUP(CONCATENATE($A62,"_",AR$1),SP_ACQ_Lib[],MATCH(AR$2,SP_ACQ_Lib[#Headers],0),FALSE)),"")</f>
        <v/>
      </c>
      <c r="AS62" s="249">
        <f>IFERROR(IF(VLOOKUP(CONCATENATE($A62,"_",AS$1),SP_ACQ_Lib[],MATCH(AS$2,SP_ACQ_Lib[#Headers],0),FALSE)=0,"",VLOOKUP(CONCATENATE($A62,"_",AS$1),SP_ACQ_Lib[],MATCH(AS$2,SP_ACQ_Lib[#Headers],0),FALSE)),"")</f>
        <v>43812</v>
      </c>
      <c r="AT62" s="251" t="str">
        <f>IFERROR(IF(VLOOKUP(CONCATENATE($A62,"_",AT$1),SP_ACQ_Lib[],MATCH(AT$2,SP_ACQ_Lib[#Headers],0),FALSE)=0,"",VLOOKUP(CONCATENATE($A62,"_",AT$1),SP_ACQ_Lib[],MATCH(AT$2,SP_ACQ_Lib[#Headers],0),FALSE)),"")</f>
        <v/>
      </c>
      <c r="AU62" s="251" t="str">
        <f>IFERROR(IF(VLOOKUP(CONCATENATE($A62,"_",AU$1),SP_ACQ_Lib[],MATCH(AU$2,SP_ACQ_Lib[#Headers],0),FALSE)=0,"",VLOOKUP(CONCATENATE($A62,"_",AU$1),SP_ACQ_Lib[],MATCH(AU$2,SP_ACQ_Lib[#Headers],0),FALSE)),"")</f>
        <v/>
      </c>
      <c r="AV62" s="225" t="str">
        <f>IFERROR(IF(VLOOKUP(CONCATENATE($A62,"_",AV$1),SP_ACQ_Lib[],MATCH(AV$2,SP_ACQ_Lib[#Headers],0),FALSE)=0,"",VLOOKUP(CONCATENATE($A62,"_",AV$1),SP_ACQ_Lib[],MATCH(AV$2,SP_ACQ_Lib[#Headers],0),FALSE)),"")</f>
        <v/>
      </c>
      <c r="AW62" s="251" t="str">
        <f>IFERROR(IF(VLOOKUP(CONCATENATE($A62,"_",AW$1),SP_ACQ_Lib[],MATCH(AW$2,SP_ACQ_Lib[#Headers],0),FALSE)=0,"",VLOOKUP(CONCATENATE($A62,"_",AW$1),SP_ACQ_Lib[],MATCH(AW$2,SP_ACQ_Lib[#Headers],0),FALSE)),"")</f>
        <v/>
      </c>
      <c r="AX62" s="251" t="str">
        <f>IFERROR(IF(VLOOKUP(CONCATENATE($A62,"_",AX$1),SP_ACQ_Lib[],MATCH(AX$2,SP_ACQ_Lib[#Headers],0),FALSE)=0,"",VLOOKUP(CONCATENATE($A62,"_",AX$1),SP_ACQ_Lib[],MATCH(AX$2,SP_ACQ_Lib[#Headers],0),FALSE)),"")</f>
        <v/>
      </c>
      <c r="AY62" s="251" t="str">
        <f>IFERROR(IF(VLOOKUP(CONCATENATE($A62,"_",AY$1),SP_ACQ_Lib[],MATCH(AY$2,SP_ACQ_Lib[#Headers],0),FALSE)=0,"",VLOOKUP(CONCATENATE($A62,"_",AY$1),SP_ACQ_Lib[],MATCH(AY$2,SP_ACQ_Lib[#Headers],0),FALSE)),"")</f>
        <v/>
      </c>
      <c r="AZ62" s="251" t="str">
        <f>IFERROR(IF(VLOOKUP(CONCATENATE($A62,"_",AZ$1),SP_ACQ_Lib[],MATCH(AZ$2,SP_ACQ_Lib[#Headers],0),FALSE)=0,"",VLOOKUP(CONCATENATE($A62,"_",AZ$1),SP_ACQ_Lib[],MATCH(AZ$2,SP_ACQ_Lib[#Headers],0),FALSE)),"")</f>
        <v/>
      </c>
      <c r="BA62" s="251" t="str">
        <f>IFERROR(IF(VLOOKUP(CONCATENATE($A62,"_",BA$1),SP_ACQ_Lib[],MATCH(BA$2,SP_ACQ_Lib[#Headers],0),FALSE)=0,"",VLOOKUP(CONCATENATE($A62,"_",BA$1),SP_ACQ_Lib[],MATCH(BA$2,SP_ACQ_Lib[#Headers],0),FALSE)),"")</f>
        <v/>
      </c>
      <c r="BB62" s="224">
        <f>IFERROR(VLOOKUP(CONCATENATE($A62,"_",BB$1),SP_ACQ_Lib[],MATCH(BB$2,SP_ACQ_Lib[#Headers],0),FALSE),0)</f>
        <v>0</v>
      </c>
      <c r="BC62" s="231">
        <f>IFERROR(VLOOKUP($A62,SP_AcqTract_DB[],MATCH(BC$2,SP_AcqTract_DB[#Headers],0),FALSE),"")</f>
        <v>0</v>
      </c>
      <c r="BD62" s="231">
        <f>IFERROR(VLOOKUP($A62,SP_AcqTract_DB[],MATCH(BD$2,SP_AcqTract_DB[#Headers],0),FALSE),"")</f>
        <v>0</v>
      </c>
      <c r="BE62" s="249" t="str">
        <f>IFERROR(IF(VLOOKUP(CONCATENATE($A62,"_",BE$1),SP_ACQ_Lib[],MATCH(BE$2,SP_ACQ_Lib[#Headers],0),FALSE)=0,"",VLOOKUP(CONCATENATE($A62,"_",BE$1),SP_ACQ_Lib[],MATCH(BE$2,SP_ACQ_Lib[#Headers],0),FALSE)),"")</f>
        <v/>
      </c>
      <c r="BF62" s="249" t="str">
        <f>IFERROR(IF(VLOOKUP(CONCATENATE($A62,"_",BF$1),SP_ACQ_Lib[],MATCH(BF$2,SP_ACQ_Lib[#Headers],0),FALSE)=0,"",VLOOKUP(CONCATENATE($A62,"_",BF$1),SP_ACQ_Lib[],MATCH(BF$2,SP_ACQ_Lib[#Headers],0),FALSE)),"")</f>
        <v/>
      </c>
      <c r="BG62" s="249" t="str">
        <f>IFERROR(IF(VLOOKUP(CONCATENATE($A62,"_",BG$1),SP_ACQ_Lib[],MATCH(BG$2,SP_ACQ_Lib[#Headers],0),FALSE)=0,"",VLOOKUP(CONCATENATE($A62,"_",BG$1),SP_ACQ_Lib[],MATCH(BG$2,SP_ACQ_Lib[#Headers],0),FALSE)),"")</f>
        <v/>
      </c>
      <c r="BH62" s="249" t="str">
        <f>IFERROR(IF(VLOOKUP(CONCATENATE($A62,"_",BH$1),SP_ACQ_Lib[],MATCH(BH$2,SP_ACQ_Lib[#Headers],0),FALSE)=0,"",VLOOKUP(CONCATENATE($A62,"_",BH$1),SP_ACQ_Lib[],MATCH(BH$2,SP_ACQ_Lib[#Headers],0),FALSE)),"")</f>
        <v/>
      </c>
      <c r="BI62" s="249" t="str">
        <f>IFERROR(IF(VLOOKUP(CONCATENATE($A62,"_",BI$1),SP_ACQ_Lib[],MATCH(BI$2,SP_ACQ_Lib[#Headers],0),FALSE)=0,"",VLOOKUP(CONCATENATE($A62,"_",BI$1),SP_ACQ_Lib[],MATCH(BI$2,SP_ACQ_Lib[#Headers],0),FALSE)),"")</f>
        <v/>
      </c>
      <c r="BJ62" s="249" t="str">
        <f>IFERROR(IF(VLOOKUP(CONCATENATE($A62,"_",BJ$1),SP_ACQ_Lib[],MATCH(BJ$2,SP_ACQ_Lib[#Headers],0),FALSE)=0,"",VLOOKUP(CONCATENATE($A62,"_",BJ$1),SP_ACQ_Lib[],MATCH(BJ$2,SP_ACQ_Lib[#Headers],0),FALSE)),"")</f>
        <v/>
      </c>
      <c r="BK62" s="250">
        <f>IFERROR(IF(VLOOKUP(CONCATENATE($A62,"_",BK$1),SP_ACQ_Lib[],MATCH(BK$2,SP_ACQ_Lib[#Headers],0),FALSE)=0,"",VLOOKUP(CONCATENATE($A62,"_",BK$1),SP_ACQ_Lib[],MATCH(BK$2,SP_ACQ_Lib[#Headers],0),FALSE)),"")</f>
        <v>43810</v>
      </c>
      <c r="BL62" s="249" t="str">
        <f>IFERROR(IF(VLOOKUP(CONCATENATE($A62,"_",BL$1),SP_ACQ_Lib[],MATCH(BL$2,SP_ACQ_Lib[#Headers],0),FALSE)=0,"",VLOOKUP(CONCATENATE($A62,"_",BL$1),SP_ACQ_Lib[],MATCH(BL$2,SP_ACQ_Lib[#Headers],0),FALSE)),"")</f>
        <v/>
      </c>
      <c r="BM62" s="249" t="str">
        <f>IFERROR(IF(VLOOKUP(CONCATENATE($A62,"_",BM$1),SP_ACQ_Lib[],MATCH(BM$2,SP_ACQ_Lib[#Headers],0),FALSE)=0,"",VLOOKUP(CONCATENATE($A62,"_",BM$1),SP_ACQ_Lib[],MATCH(BM$2,SP_ACQ_Lib[#Headers],0),FALSE)),"")</f>
        <v/>
      </c>
      <c r="BN62" s="249" t="str">
        <f>IFERROR(IF(VLOOKUP(CONCATENATE($A62,"_",BN$1),SP_ACQ_Lib[],MATCH(BN$2,SP_ACQ_Lib[#Headers],0),FALSE)=0,"",VLOOKUP(CONCATENATE($A62,"_",BN$1),SP_ACQ_Lib[],MATCH(BN$2,SP_ACQ_Lib[#Headers],0),FALSE)),"")</f>
        <v/>
      </c>
    </row>
    <row r="63" spans="1:66" s="226" customFormat="1" ht="25.5" x14ac:dyDescent="0.2">
      <c r="A63" s="192" t="s">
        <v>4719</v>
      </c>
      <c r="B63" s="227"/>
      <c r="C63" s="228" t="str">
        <f>IFERROR(VLOOKUP($A63,SP_AcqTract_DB[],MATCH(C$2,SP_AcqTract_DB[#Headers],0),FALSE),"")</f>
        <v>PH1</v>
      </c>
      <c r="D63" s="208" t="str">
        <f>IFERROR(VLOOKUP($A63,SP_AcqTract_DB[],MATCH(D$2,SP_AcqTract_DB[#Headers],0),FALSE),"")</f>
        <v>Active</v>
      </c>
      <c r="E63" s="208">
        <f>IFERROR(VLOOKUP($A63,SP_AcqTract_DB[],MATCH(E$2,SP_AcqTract_DB[#Headers],0),FALSE),"")</f>
        <v>1</v>
      </c>
      <c r="F63" s="227" t="str">
        <f>IFERROR(VLOOKUP($A63,SP_AcqTract_DB[],MATCH(F$2,SP_AcqTract_DB[#Headers],0),FALSE),"")</f>
        <v>Levee Esmt</v>
      </c>
      <c r="G63" s="227">
        <f>IFERROR(VLOOKUP($A63,SP_AcqTract_DB[],MATCH(G$2,SP_AcqTract_DB[#Headers],0),FALSE),"")</f>
        <v>0</v>
      </c>
      <c r="H63" s="250" t="str">
        <f>IFERROR(IF(VLOOKUP(CONCATENATE($A63,"_",H$1),SP_ACQ_Lib[],MATCH(H$2,SP_ACQ_Lib[#Headers],0),FALSE)=0,"",VLOOKUP(CONCATENATE($A63,"_",H$1),SP_ACQ_Lib[],MATCH(H$2,SP_ACQ_Lib[#Headers],0),FALSE)),"")</f>
        <v/>
      </c>
      <c r="I63" s="227" t="str">
        <f>IFERROR(VLOOKUP($A63,SP_AcqTract_DB[],MATCH(I$2,SP_AcqTract_DB[#Headers],0),FALSE),"")</f>
        <v>Texas Department of Transportation</v>
      </c>
      <c r="J63" s="227" t="str">
        <f>IFERROR(VLOOKUP($A63,SP_AcqTract_DB[],MATCH(J$2,SP_AcqTract_DB[#Headers],0),FALSE),"")</f>
        <v>TXDOT</v>
      </c>
      <c r="K63" s="227">
        <f>IFERROR(VLOOKUP($A63,SP_AcqTract_DB[],MATCH(K$2,SP_AcqTract_DB[#Headers],0),FALSE),"")</f>
        <v>0</v>
      </c>
      <c r="L63" s="227">
        <f>IFERROR(VLOOKUP($A63,SP_AcqTract_DB[],MATCH(L$2,SP_AcqTract_DB[#Headers],0),FALSE),"")</f>
        <v>0</v>
      </c>
      <c r="M63" s="208">
        <f>IFERROR(VLOOKUP($A63,SP_AcqTract_DB[],MATCH(M$2,SP_AcqTract_DB[#Headers],0),FALSE),"")</f>
        <v>0</v>
      </c>
      <c r="N63" s="227">
        <f>IFERROR(VLOOKUP($A63,SP_AcqTract_DB[],MATCH(N$2,SP_AcqTract_DB[#Headers],0),FALSE),"")</f>
        <v>0</v>
      </c>
      <c r="O63" s="220">
        <f>IFERROR(VLOOKUP($A63,SP_AcqTract_DB[],MATCH(O$2,SP_AcqTract_DB[#Headers],0),FALSE),"")</f>
        <v>0</v>
      </c>
      <c r="P63" s="220">
        <f>IFERROR(VLOOKUP($A63,SP_AcqTract_DB[],MATCH(P$2,SP_AcqTract_DB[#Headers],0),FALSE),"")</f>
        <v>0</v>
      </c>
      <c r="Q63" s="208">
        <f>IFERROR(VLOOKUP($A63,SP_AcqTract_DB[],MATCH(Q$2,SP_AcqTract_DB[#Headers],0),FALSE),"")</f>
        <v>0</v>
      </c>
      <c r="R63" s="250" t="str">
        <f>IFERROR(IF(VLOOKUP(CONCATENATE($A63,"_",R$1),SP_ACQ_Lib[],MATCH(R$2,SP_ACQ_Lib[#Headers],0),FALSE)=0,"",VLOOKUP(CONCATENATE($A63,"_",R$1),SP_ACQ_Lib[],MATCH(R$2,SP_ACQ_Lib[#Headers],0),FALSE)),"")</f>
        <v/>
      </c>
      <c r="S63" s="253" t="str">
        <f>IFERROR(IF(VLOOKUP(CONCATENATE($A63,"_",S$1),SP_ACQ_Lib[],MATCH(S$2,SP_ACQ_Lib[#Headers],0),FALSE)=0,"",VLOOKUP(CONCATENATE($A63,"_",S$1),SP_ACQ_Lib[],MATCH(S$2,SP_ACQ_Lib[#Headers],0),FALSE)),"")</f>
        <v/>
      </c>
      <c r="T63" s="205">
        <f>IFERROR(VLOOKUP(CONCATENATE($A63,"_",T$1),SP_ACQ_Lib[],MATCH(T$2,SP_ACQ_Lib[#Headers],0),FALSE),0)</f>
        <v>0</v>
      </c>
      <c r="U63" s="250" t="str">
        <f>IFERROR(IF(VLOOKUP(CONCATENATE($A63,"_",U$1),SP_ACQ_Lib[],MATCH(U$2,SP_ACQ_Lib[#Headers],0),FALSE)=0,"",VLOOKUP(CONCATENATE($A63,"_",U$1),SP_ACQ_Lib[],MATCH(U$2,SP_ACQ_Lib[#Headers],0),FALSE)),"")</f>
        <v/>
      </c>
      <c r="V63" s="205">
        <f>IFERROR(VLOOKUP(CONCATENATE($A63,"_",V$1),SP_ACQ_Lib[],MATCH(V$2,SP_ACQ_Lib[#Headers],0),FALSE),0)</f>
        <v>0</v>
      </c>
      <c r="W63" s="209">
        <f>IFERROR(VLOOKUP(CONCATENATE($A63,"_",W$1),SP_ACQ_Lib[],MATCH(W$2,SP_ACQ_Lib[#Headers],0),FALSE),0)</f>
        <v>0</v>
      </c>
      <c r="X63" s="250">
        <f>IFERROR(VLOOKUP($A63,SP_AcqTract_DB[],MATCH(X$2,SP_AcqTract_DB[#Headers],0),FALSE),"")</f>
        <v>0</v>
      </c>
      <c r="Y63" s="237">
        <f>IFERROR(VLOOKUP($A63,SP_AcqTract_DB[],MATCH(Y$2,SP_AcqTract_DB[#Headers],0),FALSE),"")</f>
        <v>0.96659779614325103</v>
      </c>
      <c r="Z63" s="229">
        <f>IFERROR(VLOOKUP($A63,SP_AcqTract_DB[],MATCH(Z$2,SP_AcqTract_DB[#Headers],0),FALSE),"")</f>
        <v>42105</v>
      </c>
      <c r="AA63" s="229" t="str">
        <f>IFERROR(VLOOKUP($A63,SP_AcqTract_DB[],MATCH(AA$2,SP_AcqTract_DB[#Headers],0),FALSE),"")</f>
        <v>No</v>
      </c>
      <c r="AB63" s="250" t="str">
        <f>IFERROR(IF(VLOOKUP(CONCATENATE($A63,"_",AB$1),SP_ACQ_Lib[],MATCH(AB$2,SP_ACQ_Lib[#Headers],0),FALSE)=0,"",VLOOKUP(CONCATENATE($A63,"_",AB$1),SP_ACQ_Lib[],MATCH(AB$2,SP_ACQ_Lib[#Headers],0),FALSE)),"")</f>
        <v/>
      </c>
      <c r="AC63" s="250" t="str">
        <f>IFERROR(IF(VLOOKUP(CONCATENATE($A63,"_",AC$1),SP_ACQ_Lib[],MATCH(AC$2,SP_ACQ_Lib[#Headers],0),FALSE)=0,"",VLOOKUP(CONCATENATE($A63,"_",AC$1),SP_ACQ_Lib[],MATCH(AC$2,SP_ACQ_Lib[#Headers],0),FALSE)),"")</f>
        <v/>
      </c>
      <c r="AD63" s="229" t="str">
        <f>IFERROR(VLOOKUP($A63,SP_AcqTract_DB[],MATCH(AD$2,SP_AcqTract_DB[#Headers],0),FALSE),"")</f>
        <v>Yes</v>
      </c>
      <c r="AE63" s="250">
        <f>IFERROR(IF(VLOOKUP(CONCATENATE($A63,"_",AE$1),SP_ACQ_Lib[],MATCH(AE$2,SP_ACQ_Lib[#Headers],0),FALSE)=0,"",VLOOKUP(CONCATENATE($A63,"_",AE$1),SP_ACQ_Lib[],MATCH(AE$2,SP_ACQ_Lib[#Headers],0),FALSE)),"")</f>
        <v>43991</v>
      </c>
      <c r="AF63" s="250">
        <f>IFERROR(IF(VLOOKUP(CONCATENATE($A63,"_",AF$1),SP_ACQ_Lib[],MATCH(AF$2,SP_ACQ_Lib[#Headers],0),FALSE)=0,"",VLOOKUP(CONCATENATE($A63,"_",AF$1),SP_ACQ_Lib[],MATCH(AF$2,SP_ACQ_Lib[#Headers],0),FALSE)),"")</f>
        <v>44014</v>
      </c>
      <c r="AG63" s="250" t="str">
        <f>IFERROR(IF(VLOOKUP(CONCATENATE($A63,"_",AG$1),SP_ACQ_Lib[],MATCH(AG$2,SP_ACQ_Lib[#Headers],0),FALSE)=0,"",VLOOKUP(CONCATENATE($A63,"_",AG$1),SP_ACQ_Lib[],MATCH(AG$2,SP_ACQ_Lib[#Headers],0),FALSE)),"")</f>
        <v/>
      </c>
      <c r="AH63" s="250" t="str">
        <f>IFERROR(IF(VLOOKUP(CONCATENATE($A63,"_",AH$1),SP_ACQ_Lib[],MATCH(AH$2,SP_ACQ_Lib[#Headers],0),FALSE)=0,"",VLOOKUP(CONCATENATE($A63,"_",AH$1),SP_ACQ_Lib[],MATCH(AH$2,SP_ACQ_Lib[#Headers],0),FALSE)),"")</f>
        <v/>
      </c>
      <c r="AI63" s="249" t="str">
        <f>IFERROR(IF(VLOOKUP(CONCATENATE($A63,"_",AI$1),SP_ACQ_Lib[],MATCH(AI$2,SP_ACQ_Lib[#Headers],0),FALSE)=0,"",VLOOKUP(CONCATENATE($A63,"_",AI$1),SP_ACQ_Lib[],MATCH(AI$2,SP_ACQ_Lib[#Headers],0),FALSE)),"")</f>
        <v/>
      </c>
      <c r="AJ63" s="249" t="str">
        <f>IFERROR(IF(VLOOKUP(CONCATENATE($A63,"_",AJ$1),SP_ACQ_Lib[],MATCH(AJ$2,SP_ACQ_Lib[#Headers],0),FALSE)=0,"",VLOOKUP(CONCATENATE($A63,"_",AJ$1),SP_ACQ_Lib[],MATCH(AJ$2,SP_ACQ_Lib[#Headers],0),FALSE)),"")</f>
        <v/>
      </c>
      <c r="AK63" s="249" t="str">
        <f>IFERROR(IF(VLOOKUP(CONCATENATE($A63,"_",AK$1),SP_ACQ_Lib[],MATCH(AK$2,SP_ACQ_Lib[#Headers],0),FALSE)=0,"",VLOOKUP(CONCATENATE($A63,"_",AK$1),SP_ACQ_Lib[],MATCH(AK$2,SP_ACQ_Lib[#Headers],0),FALSE)),"")</f>
        <v/>
      </c>
      <c r="AL63" s="249">
        <f>IFERROR(VLOOKUP($A63,SP_AcqTract_DB[],MATCH(AL$2,SP_AcqTract_DB[#Headers],0),FALSE),"")</f>
        <v>44014</v>
      </c>
      <c r="AM63" s="227" t="str">
        <f>IFERROR(VLOOKUP($A63,SP_AcqTract_DB[],MATCH(AM$2,SP_AcqTract_DB[#Headers],0),FALSE),"")</f>
        <v>David Ambrose</v>
      </c>
      <c r="AN63" s="227" t="str">
        <f>IFERROR(VLOOKUP($A63,SP_AcqTract_DB[],MATCH(AN$2,SP_AcqTract_DB[#Headers],0),FALSE),"")</f>
        <v>Lory Johnson, Atrium</v>
      </c>
      <c r="AO63" s="228">
        <f>IFERROR(VLOOKUP($A63,SP_AcqTract_DB[],MATCH(AO$2,SP_AcqTract_DB[#Headers],0),FALSE),"")</f>
        <v>0</v>
      </c>
      <c r="AP63" s="210">
        <f>IFERROR(VLOOKUP($A63,SP_AcqTract_DB[],MATCH(AP$2,SP_AcqTract_DB[#Headers],0),FALSE),"")</f>
        <v>0</v>
      </c>
      <c r="AQ63" s="252" t="str">
        <f>IFERROR(IF(VLOOKUP(CONCATENATE($A63,"_",AQ$1),SP_ACQ_Lib[],MATCH(AQ$2,SP_ACQ_Lib[#Headers],0),FALSE)=0,"",VLOOKUP(CONCATENATE($A63,"_",AQ$1),SP_ACQ_Lib[],MATCH(AQ$2,SP_ACQ_Lib[#Headers],0),FALSE)),"")</f>
        <v/>
      </c>
      <c r="AR63" s="250" t="str">
        <f>IFERROR(IF(VLOOKUP(CONCATENATE($A63,"_",AR$1),SP_ACQ_Lib[],MATCH(AR$2,SP_ACQ_Lib[#Headers],0),FALSE)=0,"",VLOOKUP(CONCATENATE($A63,"_",AR$1),SP_ACQ_Lib[],MATCH(AR$2,SP_ACQ_Lib[#Headers],0),FALSE)),"")</f>
        <v/>
      </c>
      <c r="AS63" s="249" t="str">
        <f>IFERROR(IF(VLOOKUP(CONCATENATE($A63,"_",AS$1),SP_ACQ_Lib[],MATCH(AS$2,SP_ACQ_Lib[#Headers],0),FALSE)=0,"",VLOOKUP(CONCATENATE($A63,"_",AS$1),SP_ACQ_Lib[],MATCH(AS$2,SP_ACQ_Lib[#Headers],0),FALSE)),"")</f>
        <v/>
      </c>
      <c r="AT63" s="251" t="str">
        <f>IFERROR(IF(VLOOKUP(CONCATENATE($A63,"_",AT$1),SP_ACQ_Lib[],MATCH(AT$2,SP_ACQ_Lib[#Headers],0),FALSE)=0,"",VLOOKUP(CONCATENATE($A63,"_",AT$1),SP_ACQ_Lib[],MATCH(AT$2,SP_ACQ_Lib[#Headers],0),FALSE)),"")</f>
        <v/>
      </c>
      <c r="AU63" s="251" t="str">
        <f>IFERROR(IF(VLOOKUP(CONCATENATE($A63,"_",AU$1),SP_ACQ_Lib[],MATCH(AU$2,SP_ACQ_Lib[#Headers],0),FALSE)=0,"",VLOOKUP(CONCATENATE($A63,"_",AU$1),SP_ACQ_Lib[],MATCH(AU$2,SP_ACQ_Lib[#Headers],0),FALSE)),"")</f>
        <v/>
      </c>
      <c r="AV63" s="225" t="str">
        <f>IFERROR(IF(VLOOKUP(CONCATENATE($A63,"_",AV$1),SP_ACQ_Lib[],MATCH(AV$2,SP_ACQ_Lib[#Headers],0),FALSE)=0,"",VLOOKUP(CONCATENATE($A63,"_",AV$1),SP_ACQ_Lib[],MATCH(AV$2,SP_ACQ_Lib[#Headers],0),FALSE)),"")</f>
        <v/>
      </c>
      <c r="AW63" s="251" t="str">
        <f>IFERROR(IF(VLOOKUP(CONCATENATE($A63,"_",AW$1),SP_ACQ_Lib[],MATCH(AW$2,SP_ACQ_Lib[#Headers],0),FALSE)=0,"",VLOOKUP(CONCATENATE($A63,"_",AW$1),SP_ACQ_Lib[],MATCH(AW$2,SP_ACQ_Lib[#Headers],0),FALSE)),"")</f>
        <v/>
      </c>
      <c r="AX63" s="251" t="str">
        <f>IFERROR(IF(VLOOKUP(CONCATENATE($A63,"_",AX$1),SP_ACQ_Lib[],MATCH(AX$2,SP_ACQ_Lib[#Headers],0),FALSE)=0,"",VLOOKUP(CONCATENATE($A63,"_",AX$1),SP_ACQ_Lib[],MATCH(AX$2,SP_ACQ_Lib[#Headers],0),FALSE)),"")</f>
        <v/>
      </c>
      <c r="AY63" s="251" t="str">
        <f>IFERROR(IF(VLOOKUP(CONCATENATE($A63,"_",AY$1),SP_ACQ_Lib[],MATCH(AY$2,SP_ACQ_Lib[#Headers],0),FALSE)=0,"",VLOOKUP(CONCATENATE($A63,"_",AY$1),SP_ACQ_Lib[],MATCH(AY$2,SP_ACQ_Lib[#Headers],0),FALSE)),"")</f>
        <v/>
      </c>
      <c r="AZ63" s="251" t="str">
        <f>IFERROR(IF(VLOOKUP(CONCATENATE($A63,"_",AZ$1),SP_ACQ_Lib[],MATCH(AZ$2,SP_ACQ_Lib[#Headers],0),FALSE)=0,"",VLOOKUP(CONCATENATE($A63,"_",AZ$1),SP_ACQ_Lib[],MATCH(AZ$2,SP_ACQ_Lib[#Headers],0),FALSE)),"")</f>
        <v/>
      </c>
      <c r="BA63" s="251" t="str">
        <f>IFERROR(IF(VLOOKUP(CONCATENATE($A63,"_",BA$1),SP_ACQ_Lib[],MATCH(BA$2,SP_ACQ_Lib[#Headers],0),FALSE)=0,"",VLOOKUP(CONCATENATE($A63,"_",BA$1),SP_ACQ_Lib[],MATCH(BA$2,SP_ACQ_Lib[#Headers],0),FALSE)),"")</f>
        <v/>
      </c>
      <c r="BB63" s="224">
        <f>IFERROR(VLOOKUP(CONCATENATE($A63,"_",BB$1),SP_ACQ_Lib[],MATCH(BB$2,SP_ACQ_Lib[#Headers],0),FALSE),0)</f>
        <v>0</v>
      </c>
      <c r="BC63" s="231">
        <f>IFERROR(VLOOKUP($A63,SP_AcqTract_DB[],MATCH(BC$2,SP_AcqTract_DB[#Headers],0),FALSE),"")</f>
        <v>0</v>
      </c>
      <c r="BD63" s="231">
        <f>IFERROR(VLOOKUP($A63,SP_AcqTract_DB[],MATCH(BD$2,SP_AcqTract_DB[#Headers],0),FALSE),"")</f>
        <v>0</v>
      </c>
      <c r="BE63" s="249" t="str">
        <f>IFERROR(IF(VLOOKUP(CONCATENATE($A63,"_",BE$1),SP_ACQ_Lib[],MATCH(BE$2,SP_ACQ_Lib[#Headers],0),FALSE)=0,"",VLOOKUP(CONCATENATE($A63,"_",BE$1),SP_ACQ_Lib[],MATCH(BE$2,SP_ACQ_Lib[#Headers],0),FALSE)),"")</f>
        <v/>
      </c>
      <c r="BF63" s="249" t="str">
        <f>IFERROR(IF(VLOOKUP(CONCATENATE($A63,"_",BF$1),SP_ACQ_Lib[],MATCH(BF$2,SP_ACQ_Lib[#Headers],0),FALSE)=0,"",VLOOKUP(CONCATENATE($A63,"_",BF$1),SP_ACQ_Lib[],MATCH(BF$2,SP_ACQ_Lib[#Headers],0),FALSE)),"")</f>
        <v/>
      </c>
      <c r="BG63" s="249" t="str">
        <f>IFERROR(IF(VLOOKUP(CONCATENATE($A63,"_",BG$1),SP_ACQ_Lib[],MATCH(BG$2,SP_ACQ_Lib[#Headers],0),FALSE)=0,"",VLOOKUP(CONCATENATE($A63,"_",BG$1),SP_ACQ_Lib[],MATCH(BG$2,SP_ACQ_Lib[#Headers],0),FALSE)),"")</f>
        <v/>
      </c>
      <c r="BH63" s="249" t="str">
        <f>IFERROR(IF(VLOOKUP(CONCATENATE($A63,"_",BH$1),SP_ACQ_Lib[],MATCH(BH$2,SP_ACQ_Lib[#Headers],0),FALSE)=0,"",VLOOKUP(CONCATENATE($A63,"_",BH$1),SP_ACQ_Lib[],MATCH(BH$2,SP_ACQ_Lib[#Headers],0),FALSE)),"")</f>
        <v/>
      </c>
      <c r="BI63" s="249" t="str">
        <f>IFERROR(IF(VLOOKUP(CONCATENATE($A63,"_",BI$1),SP_ACQ_Lib[],MATCH(BI$2,SP_ACQ_Lib[#Headers],0),FALSE)=0,"",VLOOKUP(CONCATENATE($A63,"_",BI$1),SP_ACQ_Lib[],MATCH(BI$2,SP_ACQ_Lib[#Headers],0),FALSE)),"")</f>
        <v/>
      </c>
      <c r="BJ63" s="249" t="str">
        <f>IFERROR(IF(VLOOKUP(CONCATENATE($A63,"_",BJ$1),SP_ACQ_Lib[],MATCH(BJ$2,SP_ACQ_Lib[#Headers],0),FALSE)=0,"",VLOOKUP(CONCATENATE($A63,"_",BJ$1),SP_ACQ_Lib[],MATCH(BJ$2,SP_ACQ_Lib[#Headers],0),FALSE)),"")</f>
        <v/>
      </c>
      <c r="BK63" s="250" t="str">
        <f>IFERROR(IF(VLOOKUP(CONCATENATE($A63,"_",BK$1),SP_ACQ_Lib[],MATCH(BK$2,SP_ACQ_Lib[#Headers],0),FALSE)=0,"",VLOOKUP(CONCATENATE($A63,"_",BK$1),SP_ACQ_Lib[],MATCH(BK$2,SP_ACQ_Lib[#Headers],0),FALSE)),"")</f>
        <v/>
      </c>
      <c r="BL63" s="249" t="str">
        <f>IFERROR(IF(VLOOKUP(CONCATENATE($A63,"_",BL$1),SP_ACQ_Lib[],MATCH(BL$2,SP_ACQ_Lib[#Headers],0),FALSE)=0,"",VLOOKUP(CONCATENATE($A63,"_",BL$1),SP_ACQ_Lib[],MATCH(BL$2,SP_ACQ_Lib[#Headers],0),FALSE)),"")</f>
        <v/>
      </c>
      <c r="BM63" s="249" t="str">
        <f>IFERROR(IF(VLOOKUP(CONCATENATE($A63,"_",BM$1),SP_ACQ_Lib[],MATCH(BM$2,SP_ACQ_Lib[#Headers],0),FALSE)=0,"",VLOOKUP(CONCATENATE($A63,"_",BM$1),SP_ACQ_Lib[],MATCH(BM$2,SP_ACQ_Lib[#Headers],0),FALSE)),"")</f>
        <v/>
      </c>
      <c r="BN63" s="249" t="str">
        <f>IFERROR(IF(VLOOKUP(CONCATENATE($A63,"_",BN$1),SP_ACQ_Lib[],MATCH(BN$2,SP_ACQ_Lib[#Headers],0),FALSE)=0,"",VLOOKUP(CONCATENATE($A63,"_",BN$1),SP_ACQ_Lib[],MATCH(BN$2,SP_ACQ_Lib[#Headers],0),FALSE)),"")</f>
        <v/>
      </c>
    </row>
    <row r="64" spans="1:66" s="226" customFormat="1" ht="25.5" x14ac:dyDescent="0.2">
      <c r="A64" s="192" t="s">
        <v>4722</v>
      </c>
      <c r="B64" s="227"/>
      <c r="C64" s="228" t="str">
        <f>IFERROR(VLOOKUP($A64,SP_AcqTract_DB[],MATCH(C$2,SP_AcqTract_DB[#Headers],0),FALSE),"")</f>
        <v>PH1</v>
      </c>
      <c r="D64" s="208" t="str">
        <f>IFERROR(VLOOKUP($A64,SP_AcqTract_DB[],MATCH(D$2,SP_AcqTract_DB[#Headers],0),FALSE),"")</f>
        <v>Active</v>
      </c>
      <c r="E64" s="208">
        <f>IFERROR(VLOOKUP($A64,SP_AcqTract_DB[],MATCH(E$2,SP_AcqTract_DB[#Headers],0),FALSE),"")</f>
        <v>1</v>
      </c>
      <c r="F64" s="227" t="str">
        <f>IFERROR(VLOOKUP($A64,SP_AcqTract_DB[],MATCH(F$2,SP_AcqTract_DB[#Headers],0),FALSE),"")</f>
        <v>TCE</v>
      </c>
      <c r="G64" s="227">
        <f>IFERROR(VLOOKUP($A64,SP_AcqTract_DB[],MATCH(G$2,SP_AcqTract_DB[#Headers],0),FALSE),"")</f>
        <v>0</v>
      </c>
      <c r="H64" s="250" t="str">
        <f>IFERROR(IF(VLOOKUP(CONCATENATE($A64,"_",H$1),SP_ACQ_Lib[],MATCH(H$2,SP_ACQ_Lib[#Headers],0),FALSE)=0,"",VLOOKUP(CONCATENATE($A64,"_",H$1),SP_ACQ_Lib[],MATCH(H$2,SP_ACQ_Lib[#Headers],0),FALSE)),"")</f>
        <v/>
      </c>
      <c r="I64" s="227" t="str">
        <f>IFERROR(VLOOKUP($A64,SP_AcqTract_DB[],MATCH(I$2,SP_AcqTract_DB[#Headers],0),FALSE),"")</f>
        <v>Texas Department of Transportation</v>
      </c>
      <c r="J64" s="227" t="str">
        <f>IFERROR(VLOOKUP($A64,SP_AcqTract_DB[],MATCH(J$2,SP_AcqTract_DB[#Headers],0),FALSE),"")</f>
        <v>TXDOT</v>
      </c>
      <c r="K64" s="227">
        <f>IFERROR(VLOOKUP($A64,SP_AcqTract_DB[],MATCH(K$2,SP_AcqTract_DB[#Headers],0),FALSE),"")</f>
        <v>0</v>
      </c>
      <c r="L64" s="227">
        <f>IFERROR(VLOOKUP($A64,SP_AcqTract_DB[],MATCH(L$2,SP_AcqTract_DB[#Headers],0),FALSE),"")</f>
        <v>0</v>
      </c>
      <c r="M64" s="208">
        <f>IFERROR(VLOOKUP($A64,SP_AcqTract_DB[],MATCH(M$2,SP_AcqTract_DB[#Headers],0),FALSE),"")</f>
        <v>0</v>
      </c>
      <c r="N64" s="227">
        <f>IFERROR(VLOOKUP($A64,SP_AcqTract_DB[],MATCH(N$2,SP_AcqTract_DB[#Headers],0),FALSE),"")</f>
        <v>0</v>
      </c>
      <c r="O64" s="220">
        <f>IFERROR(VLOOKUP($A64,SP_AcqTract_DB[],MATCH(O$2,SP_AcqTract_DB[#Headers],0),FALSE),"")</f>
        <v>0</v>
      </c>
      <c r="P64" s="220">
        <f>IFERROR(VLOOKUP($A64,SP_AcqTract_DB[],MATCH(P$2,SP_AcqTract_DB[#Headers],0),FALSE),"")</f>
        <v>0</v>
      </c>
      <c r="Q64" s="208">
        <f>IFERROR(VLOOKUP($A64,SP_AcqTract_DB[],MATCH(Q$2,SP_AcqTract_DB[#Headers],0),FALSE),"")</f>
        <v>0</v>
      </c>
      <c r="R64" s="250" t="str">
        <f>IFERROR(IF(VLOOKUP(CONCATENATE($A64,"_",R$1),SP_ACQ_Lib[],MATCH(R$2,SP_ACQ_Lib[#Headers],0),FALSE)=0,"",VLOOKUP(CONCATENATE($A64,"_",R$1),SP_ACQ_Lib[],MATCH(R$2,SP_ACQ_Lib[#Headers],0),FALSE)),"")</f>
        <v/>
      </c>
      <c r="S64" s="253" t="str">
        <f>IFERROR(IF(VLOOKUP(CONCATENATE($A64,"_",S$1),SP_ACQ_Lib[],MATCH(S$2,SP_ACQ_Lib[#Headers],0),FALSE)=0,"",VLOOKUP(CONCATENATE($A64,"_",S$1),SP_ACQ_Lib[],MATCH(S$2,SP_ACQ_Lib[#Headers],0),FALSE)),"")</f>
        <v/>
      </c>
      <c r="T64" s="205">
        <f>IFERROR(VLOOKUP(CONCATENATE($A64,"_",T$1),SP_ACQ_Lib[],MATCH(T$2,SP_ACQ_Lib[#Headers],0),FALSE),0)</f>
        <v>0</v>
      </c>
      <c r="U64" s="250" t="str">
        <f>IFERROR(IF(VLOOKUP(CONCATENATE($A64,"_",U$1),SP_ACQ_Lib[],MATCH(U$2,SP_ACQ_Lib[#Headers],0),FALSE)=0,"",VLOOKUP(CONCATENATE($A64,"_",U$1),SP_ACQ_Lib[],MATCH(U$2,SP_ACQ_Lib[#Headers],0),FALSE)),"")</f>
        <v/>
      </c>
      <c r="V64" s="205">
        <f>IFERROR(VLOOKUP(CONCATENATE($A64,"_",V$1),SP_ACQ_Lib[],MATCH(V$2,SP_ACQ_Lib[#Headers],0),FALSE),0)</f>
        <v>0</v>
      </c>
      <c r="W64" s="209">
        <f>IFERROR(VLOOKUP(CONCATENATE($A64,"_",W$1),SP_ACQ_Lib[],MATCH(W$2,SP_ACQ_Lib[#Headers],0),FALSE),0)</f>
        <v>0</v>
      </c>
      <c r="X64" s="250">
        <f>IFERROR(VLOOKUP($A64,SP_AcqTract_DB[],MATCH(X$2,SP_AcqTract_DB[#Headers],0),FALSE),"")</f>
        <v>0</v>
      </c>
      <c r="Y64" s="237">
        <f>IFERROR(VLOOKUP($A64,SP_AcqTract_DB[],MATCH(Y$2,SP_AcqTract_DB[#Headers],0),FALSE),"")</f>
        <v>0.49772727272727302</v>
      </c>
      <c r="Z64" s="229">
        <f>IFERROR(VLOOKUP($A64,SP_AcqTract_DB[],MATCH(Z$2,SP_AcqTract_DB[#Headers],0),FALSE),"")</f>
        <v>21681</v>
      </c>
      <c r="AA64" s="229" t="str">
        <f>IFERROR(VLOOKUP($A64,SP_AcqTract_DB[],MATCH(AA$2,SP_AcqTract_DB[#Headers],0),FALSE),"")</f>
        <v>No</v>
      </c>
      <c r="AB64" s="250" t="str">
        <f>IFERROR(IF(VLOOKUP(CONCATENATE($A64,"_",AB$1),SP_ACQ_Lib[],MATCH(AB$2,SP_ACQ_Lib[#Headers],0),FALSE)=0,"",VLOOKUP(CONCATENATE($A64,"_",AB$1),SP_ACQ_Lib[],MATCH(AB$2,SP_ACQ_Lib[#Headers],0),FALSE)),"")</f>
        <v/>
      </c>
      <c r="AC64" s="250" t="str">
        <f>IFERROR(IF(VLOOKUP(CONCATENATE($A64,"_",AC$1),SP_ACQ_Lib[],MATCH(AC$2,SP_ACQ_Lib[#Headers],0),FALSE)=0,"",VLOOKUP(CONCATENATE($A64,"_",AC$1),SP_ACQ_Lib[],MATCH(AC$2,SP_ACQ_Lib[#Headers],0),FALSE)),"")</f>
        <v/>
      </c>
      <c r="AD64" s="229" t="str">
        <f>IFERROR(VLOOKUP($A64,SP_AcqTract_DB[],MATCH(AD$2,SP_AcqTract_DB[#Headers],0),FALSE),"")</f>
        <v>Yes</v>
      </c>
      <c r="AE64" s="250">
        <f>IFERROR(IF(VLOOKUP(CONCATENATE($A64,"_",AE$1),SP_ACQ_Lib[],MATCH(AE$2,SP_ACQ_Lib[#Headers],0),FALSE)=0,"",VLOOKUP(CONCATENATE($A64,"_",AE$1),SP_ACQ_Lib[],MATCH(AE$2,SP_ACQ_Lib[#Headers],0),FALSE)),"")</f>
        <v>43991</v>
      </c>
      <c r="AF64" s="250">
        <f>IFERROR(IF(VLOOKUP(CONCATENATE($A64,"_",AF$1),SP_ACQ_Lib[],MATCH(AF$2,SP_ACQ_Lib[#Headers],0),FALSE)=0,"",VLOOKUP(CONCATENATE($A64,"_",AF$1),SP_ACQ_Lib[],MATCH(AF$2,SP_ACQ_Lib[#Headers],0),FALSE)),"")</f>
        <v>44014</v>
      </c>
      <c r="AG64" s="250" t="str">
        <f>IFERROR(IF(VLOOKUP(CONCATENATE($A64,"_",AG$1),SP_ACQ_Lib[],MATCH(AG$2,SP_ACQ_Lib[#Headers],0),FALSE)=0,"",VLOOKUP(CONCATENATE($A64,"_",AG$1),SP_ACQ_Lib[],MATCH(AG$2,SP_ACQ_Lib[#Headers],0),FALSE)),"")</f>
        <v/>
      </c>
      <c r="AH64" s="250" t="str">
        <f>IFERROR(IF(VLOOKUP(CONCATENATE($A64,"_",AH$1),SP_ACQ_Lib[],MATCH(AH$2,SP_ACQ_Lib[#Headers],0),FALSE)=0,"",VLOOKUP(CONCATENATE($A64,"_",AH$1),SP_ACQ_Lib[],MATCH(AH$2,SP_ACQ_Lib[#Headers],0),FALSE)),"")</f>
        <v/>
      </c>
      <c r="AI64" s="249" t="str">
        <f>IFERROR(IF(VLOOKUP(CONCATENATE($A64,"_",AI$1),SP_ACQ_Lib[],MATCH(AI$2,SP_ACQ_Lib[#Headers],0),FALSE)=0,"",VLOOKUP(CONCATENATE($A64,"_",AI$1),SP_ACQ_Lib[],MATCH(AI$2,SP_ACQ_Lib[#Headers],0),FALSE)),"")</f>
        <v/>
      </c>
      <c r="AJ64" s="249" t="str">
        <f>IFERROR(IF(VLOOKUP(CONCATENATE($A64,"_",AJ$1),SP_ACQ_Lib[],MATCH(AJ$2,SP_ACQ_Lib[#Headers],0),FALSE)=0,"",VLOOKUP(CONCATENATE($A64,"_",AJ$1),SP_ACQ_Lib[],MATCH(AJ$2,SP_ACQ_Lib[#Headers],0),FALSE)),"")</f>
        <v/>
      </c>
      <c r="AK64" s="249" t="str">
        <f>IFERROR(IF(VLOOKUP(CONCATENATE($A64,"_",AK$1),SP_ACQ_Lib[],MATCH(AK$2,SP_ACQ_Lib[#Headers],0),FALSE)=0,"",VLOOKUP(CONCATENATE($A64,"_",AK$1),SP_ACQ_Lib[],MATCH(AK$2,SP_ACQ_Lib[#Headers],0),FALSE)),"")</f>
        <v/>
      </c>
      <c r="AL64" s="249">
        <f>IFERROR(VLOOKUP($A64,SP_AcqTract_DB[],MATCH(AL$2,SP_AcqTract_DB[#Headers],0),FALSE),"")</f>
        <v>44014</v>
      </c>
      <c r="AM64" s="227" t="str">
        <f>IFERROR(VLOOKUP($A64,SP_AcqTract_DB[],MATCH(AM$2,SP_AcqTract_DB[#Headers],0),FALSE),"")</f>
        <v>David Ambrose</v>
      </c>
      <c r="AN64" s="227" t="str">
        <f>IFERROR(VLOOKUP($A64,SP_AcqTract_DB[],MATCH(AN$2,SP_AcqTract_DB[#Headers],0),FALSE),"")</f>
        <v>Lory Johnson, Atrium</v>
      </c>
      <c r="AO64" s="228">
        <f>IFERROR(VLOOKUP($A64,SP_AcqTract_DB[],MATCH(AO$2,SP_AcqTract_DB[#Headers],0),FALSE),"")</f>
        <v>0</v>
      </c>
      <c r="AP64" s="210">
        <f>IFERROR(VLOOKUP($A64,SP_AcqTract_DB[],MATCH(AP$2,SP_AcqTract_DB[#Headers],0),FALSE),"")</f>
        <v>0</v>
      </c>
      <c r="AQ64" s="252" t="str">
        <f>IFERROR(IF(VLOOKUP(CONCATENATE($A64,"_",AQ$1),SP_ACQ_Lib[],MATCH(AQ$2,SP_ACQ_Lib[#Headers],0),FALSE)=0,"",VLOOKUP(CONCATENATE($A64,"_",AQ$1),SP_ACQ_Lib[],MATCH(AQ$2,SP_ACQ_Lib[#Headers],0),FALSE)),"")</f>
        <v/>
      </c>
      <c r="AR64" s="250" t="str">
        <f>IFERROR(IF(VLOOKUP(CONCATENATE($A64,"_",AR$1),SP_ACQ_Lib[],MATCH(AR$2,SP_ACQ_Lib[#Headers],0),FALSE)=0,"",VLOOKUP(CONCATENATE($A64,"_",AR$1),SP_ACQ_Lib[],MATCH(AR$2,SP_ACQ_Lib[#Headers],0),FALSE)),"")</f>
        <v/>
      </c>
      <c r="AS64" s="249" t="str">
        <f>IFERROR(IF(VLOOKUP(CONCATENATE($A64,"_",AS$1),SP_ACQ_Lib[],MATCH(AS$2,SP_ACQ_Lib[#Headers],0),FALSE)=0,"",VLOOKUP(CONCATENATE($A64,"_",AS$1),SP_ACQ_Lib[],MATCH(AS$2,SP_ACQ_Lib[#Headers],0),FALSE)),"")</f>
        <v/>
      </c>
      <c r="AT64" s="251" t="str">
        <f>IFERROR(IF(VLOOKUP(CONCATENATE($A64,"_",AT$1),SP_ACQ_Lib[],MATCH(AT$2,SP_ACQ_Lib[#Headers],0),FALSE)=0,"",VLOOKUP(CONCATENATE($A64,"_",AT$1),SP_ACQ_Lib[],MATCH(AT$2,SP_ACQ_Lib[#Headers],0),FALSE)),"")</f>
        <v/>
      </c>
      <c r="AU64" s="251" t="str">
        <f>IFERROR(IF(VLOOKUP(CONCATENATE($A64,"_",AU$1),SP_ACQ_Lib[],MATCH(AU$2,SP_ACQ_Lib[#Headers],0),FALSE)=0,"",VLOOKUP(CONCATENATE($A64,"_",AU$1),SP_ACQ_Lib[],MATCH(AU$2,SP_ACQ_Lib[#Headers],0),FALSE)),"")</f>
        <v/>
      </c>
      <c r="AV64" s="225" t="str">
        <f>IFERROR(IF(VLOOKUP(CONCATENATE($A64,"_",AV$1),SP_ACQ_Lib[],MATCH(AV$2,SP_ACQ_Lib[#Headers],0),FALSE)=0,"",VLOOKUP(CONCATENATE($A64,"_",AV$1),SP_ACQ_Lib[],MATCH(AV$2,SP_ACQ_Lib[#Headers],0),FALSE)),"")</f>
        <v/>
      </c>
      <c r="AW64" s="251" t="str">
        <f>IFERROR(IF(VLOOKUP(CONCATENATE($A64,"_",AW$1),SP_ACQ_Lib[],MATCH(AW$2,SP_ACQ_Lib[#Headers],0),FALSE)=0,"",VLOOKUP(CONCATENATE($A64,"_",AW$1),SP_ACQ_Lib[],MATCH(AW$2,SP_ACQ_Lib[#Headers],0),FALSE)),"")</f>
        <v/>
      </c>
      <c r="AX64" s="251" t="str">
        <f>IFERROR(IF(VLOOKUP(CONCATENATE($A64,"_",AX$1),SP_ACQ_Lib[],MATCH(AX$2,SP_ACQ_Lib[#Headers],0),FALSE)=0,"",VLOOKUP(CONCATENATE($A64,"_",AX$1),SP_ACQ_Lib[],MATCH(AX$2,SP_ACQ_Lib[#Headers],0),FALSE)),"")</f>
        <v/>
      </c>
      <c r="AY64" s="251" t="str">
        <f>IFERROR(IF(VLOOKUP(CONCATENATE($A64,"_",AY$1),SP_ACQ_Lib[],MATCH(AY$2,SP_ACQ_Lib[#Headers],0),FALSE)=0,"",VLOOKUP(CONCATENATE($A64,"_",AY$1),SP_ACQ_Lib[],MATCH(AY$2,SP_ACQ_Lib[#Headers],0),FALSE)),"")</f>
        <v/>
      </c>
      <c r="AZ64" s="251" t="str">
        <f>IFERROR(IF(VLOOKUP(CONCATENATE($A64,"_",AZ$1),SP_ACQ_Lib[],MATCH(AZ$2,SP_ACQ_Lib[#Headers],0),FALSE)=0,"",VLOOKUP(CONCATENATE($A64,"_",AZ$1),SP_ACQ_Lib[],MATCH(AZ$2,SP_ACQ_Lib[#Headers],0),FALSE)),"")</f>
        <v/>
      </c>
      <c r="BA64" s="251" t="str">
        <f>IFERROR(IF(VLOOKUP(CONCATENATE($A64,"_",BA$1),SP_ACQ_Lib[],MATCH(BA$2,SP_ACQ_Lib[#Headers],0),FALSE)=0,"",VLOOKUP(CONCATENATE($A64,"_",BA$1),SP_ACQ_Lib[],MATCH(BA$2,SP_ACQ_Lib[#Headers],0),FALSE)),"")</f>
        <v/>
      </c>
      <c r="BB64" s="224">
        <f>IFERROR(VLOOKUP(CONCATENATE($A64,"_",BB$1),SP_ACQ_Lib[],MATCH(BB$2,SP_ACQ_Lib[#Headers],0),FALSE),0)</f>
        <v>0</v>
      </c>
      <c r="BC64" s="231">
        <f>IFERROR(VLOOKUP($A64,SP_AcqTract_DB[],MATCH(BC$2,SP_AcqTract_DB[#Headers],0),FALSE),"")</f>
        <v>0</v>
      </c>
      <c r="BD64" s="231">
        <f>IFERROR(VLOOKUP($A64,SP_AcqTract_DB[],MATCH(BD$2,SP_AcqTract_DB[#Headers],0),FALSE),"")</f>
        <v>0</v>
      </c>
      <c r="BE64" s="249" t="str">
        <f>IFERROR(IF(VLOOKUP(CONCATENATE($A64,"_",BE$1),SP_ACQ_Lib[],MATCH(BE$2,SP_ACQ_Lib[#Headers],0),FALSE)=0,"",VLOOKUP(CONCATENATE($A64,"_",BE$1),SP_ACQ_Lib[],MATCH(BE$2,SP_ACQ_Lib[#Headers],0),FALSE)),"")</f>
        <v/>
      </c>
      <c r="BF64" s="249" t="str">
        <f>IFERROR(IF(VLOOKUP(CONCATENATE($A64,"_",BF$1),SP_ACQ_Lib[],MATCH(BF$2,SP_ACQ_Lib[#Headers],0),FALSE)=0,"",VLOOKUP(CONCATENATE($A64,"_",BF$1),SP_ACQ_Lib[],MATCH(BF$2,SP_ACQ_Lib[#Headers],0),FALSE)),"")</f>
        <v/>
      </c>
      <c r="BG64" s="249" t="str">
        <f>IFERROR(IF(VLOOKUP(CONCATENATE($A64,"_",BG$1),SP_ACQ_Lib[],MATCH(BG$2,SP_ACQ_Lib[#Headers],0),FALSE)=0,"",VLOOKUP(CONCATENATE($A64,"_",BG$1),SP_ACQ_Lib[],MATCH(BG$2,SP_ACQ_Lib[#Headers],0),FALSE)),"")</f>
        <v/>
      </c>
      <c r="BH64" s="249" t="str">
        <f>IFERROR(IF(VLOOKUP(CONCATENATE($A64,"_",BH$1),SP_ACQ_Lib[],MATCH(BH$2,SP_ACQ_Lib[#Headers],0),FALSE)=0,"",VLOOKUP(CONCATENATE($A64,"_",BH$1),SP_ACQ_Lib[],MATCH(BH$2,SP_ACQ_Lib[#Headers],0),FALSE)),"")</f>
        <v/>
      </c>
      <c r="BI64" s="249" t="str">
        <f>IFERROR(IF(VLOOKUP(CONCATENATE($A64,"_",BI$1),SP_ACQ_Lib[],MATCH(BI$2,SP_ACQ_Lib[#Headers],0),FALSE)=0,"",VLOOKUP(CONCATENATE($A64,"_",BI$1),SP_ACQ_Lib[],MATCH(BI$2,SP_ACQ_Lib[#Headers],0),FALSE)),"")</f>
        <v/>
      </c>
      <c r="BJ64" s="249" t="str">
        <f>IFERROR(IF(VLOOKUP(CONCATENATE($A64,"_",BJ$1),SP_ACQ_Lib[],MATCH(BJ$2,SP_ACQ_Lib[#Headers],0),FALSE)=0,"",VLOOKUP(CONCATENATE($A64,"_",BJ$1),SP_ACQ_Lib[],MATCH(BJ$2,SP_ACQ_Lib[#Headers],0),FALSE)),"")</f>
        <v/>
      </c>
      <c r="BK64" s="250" t="str">
        <f>IFERROR(IF(VLOOKUP(CONCATENATE($A64,"_",BK$1),SP_ACQ_Lib[],MATCH(BK$2,SP_ACQ_Lib[#Headers],0),FALSE)=0,"",VLOOKUP(CONCATENATE($A64,"_",BK$1),SP_ACQ_Lib[],MATCH(BK$2,SP_ACQ_Lib[#Headers],0),FALSE)),"")</f>
        <v/>
      </c>
      <c r="BL64" s="249" t="str">
        <f>IFERROR(IF(VLOOKUP(CONCATENATE($A64,"_",BL$1),SP_ACQ_Lib[],MATCH(BL$2,SP_ACQ_Lib[#Headers],0),FALSE)=0,"",VLOOKUP(CONCATENATE($A64,"_",BL$1),SP_ACQ_Lib[],MATCH(BL$2,SP_ACQ_Lib[#Headers],0),FALSE)),"")</f>
        <v/>
      </c>
      <c r="BM64" s="249" t="str">
        <f>IFERROR(IF(VLOOKUP(CONCATENATE($A64,"_",BM$1),SP_ACQ_Lib[],MATCH(BM$2,SP_ACQ_Lib[#Headers],0),FALSE)=0,"",VLOOKUP(CONCATENATE($A64,"_",BM$1),SP_ACQ_Lib[],MATCH(BM$2,SP_ACQ_Lib[#Headers],0),FALSE)),"")</f>
        <v/>
      </c>
      <c r="BN64" s="249" t="str">
        <f>IFERROR(IF(VLOOKUP(CONCATENATE($A64,"_",BN$1),SP_ACQ_Lib[],MATCH(BN$2,SP_ACQ_Lib[#Headers],0),FALSE)=0,"",VLOOKUP(CONCATENATE($A64,"_",BN$1),SP_ACQ_Lib[],MATCH(BN$2,SP_ACQ_Lib[#Headers],0),FALSE)),"")</f>
        <v/>
      </c>
    </row>
    <row r="65" spans="1:66" s="226" customFormat="1" ht="15.75" x14ac:dyDescent="0.2">
      <c r="A65" s="192" t="s">
        <v>4724</v>
      </c>
      <c r="B65" s="227"/>
      <c r="C65" s="228" t="str">
        <f>IFERROR(VLOOKUP($A65,SP_AcqTract_DB[],MATCH(C$2,SP_AcqTract_DB[#Headers],0),FALSE),"")</f>
        <v>PH1</v>
      </c>
      <c r="D65" s="208" t="str">
        <f>IFERROR(VLOOKUP($A65,SP_AcqTract_DB[],MATCH(D$2,SP_AcqTract_DB[#Headers],0),FALSE),"")</f>
        <v>Active</v>
      </c>
      <c r="E65" s="208">
        <f>IFERROR(VLOOKUP($A65,SP_AcqTract_DB[],MATCH(E$2,SP_AcqTract_DB[#Headers],0),FALSE),"")</f>
        <v>1</v>
      </c>
      <c r="F65" s="227" t="str">
        <f>IFERROR(VLOOKUP($A65,SP_AcqTract_DB[],MATCH(F$2,SP_AcqTract_DB[#Headers],0),FALSE),"")</f>
        <v>TCE</v>
      </c>
      <c r="G65" s="227">
        <f>IFERROR(VLOOKUP($A65,SP_AcqTract_DB[],MATCH(G$2,SP_AcqTract_DB[#Headers],0),FALSE),"")</f>
        <v>0</v>
      </c>
      <c r="H65" s="250" t="str">
        <f>IFERROR(IF(VLOOKUP(CONCATENATE($A65,"_",H$1),SP_ACQ_Lib[],MATCH(H$2,SP_ACQ_Lib[#Headers],0),FALSE)=0,"",VLOOKUP(CONCATENATE($A65,"_",H$1),SP_ACQ_Lib[],MATCH(H$2,SP_ACQ_Lib[#Headers],0),FALSE)),"")</f>
        <v/>
      </c>
      <c r="I65" s="227" t="str">
        <f>IFERROR(VLOOKUP($A65,SP_AcqTract_DB[],MATCH(I$2,SP_AcqTract_DB[#Headers],0),FALSE),"")</f>
        <v>City of Wharton</v>
      </c>
      <c r="J65" s="227">
        <f>IFERROR(VLOOKUP($A65,SP_AcqTract_DB[],MATCH(J$2,SP_AcqTract_DB[#Headers],0),FALSE),"")</f>
        <v>0</v>
      </c>
      <c r="K65" s="227">
        <f>IFERROR(VLOOKUP($A65,SP_AcqTract_DB[],MATCH(K$2,SP_AcqTract_DB[#Headers],0),FALSE),"")</f>
        <v>0</v>
      </c>
      <c r="L65" s="227">
        <f>IFERROR(VLOOKUP($A65,SP_AcqTract_DB[],MATCH(L$2,SP_AcqTract_DB[#Headers],0),FALSE),"")</f>
        <v>0</v>
      </c>
      <c r="M65" s="208">
        <f>IFERROR(VLOOKUP($A65,SP_AcqTract_DB[],MATCH(M$2,SP_AcqTract_DB[#Headers],0),FALSE),"")</f>
        <v>0</v>
      </c>
      <c r="N65" s="227">
        <f>IFERROR(VLOOKUP($A65,SP_AcqTract_DB[],MATCH(N$2,SP_AcqTract_DB[#Headers],0),FALSE),"")</f>
        <v>0</v>
      </c>
      <c r="O65" s="220">
        <f>IFERROR(VLOOKUP($A65,SP_AcqTract_DB[],MATCH(O$2,SP_AcqTract_DB[#Headers],0),FALSE),"")</f>
        <v>0</v>
      </c>
      <c r="P65" s="220">
        <f>IFERROR(VLOOKUP($A65,SP_AcqTract_DB[],MATCH(P$2,SP_AcqTract_DB[#Headers],0),FALSE),"")</f>
        <v>0</v>
      </c>
      <c r="Q65" s="208">
        <f>IFERROR(VLOOKUP($A65,SP_AcqTract_DB[],MATCH(Q$2,SP_AcqTract_DB[#Headers],0),FALSE),"")</f>
        <v>0</v>
      </c>
      <c r="R65" s="250" t="str">
        <f>IFERROR(IF(VLOOKUP(CONCATENATE($A65,"_",R$1),SP_ACQ_Lib[],MATCH(R$2,SP_ACQ_Lib[#Headers],0),FALSE)=0,"",VLOOKUP(CONCATENATE($A65,"_",R$1),SP_ACQ_Lib[],MATCH(R$2,SP_ACQ_Lib[#Headers],0),FALSE)),"")</f>
        <v/>
      </c>
      <c r="S65" s="253" t="str">
        <f>IFERROR(IF(VLOOKUP(CONCATENATE($A65,"_",S$1),SP_ACQ_Lib[],MATCH(S$2,SP_ACQ_Lib[#Headers],0),FALSE)=0,"",VLOOKUP(CONCATENATE($A65,"_",S$1),SP_ACQ_Lib[],MATCH(S$2,SP_ACQ_Lib[#Headers],0),FALSE)),"")</f>
        <v/>
      </c>
      <c r="T65" s="205">
        <f>IFERROR(VLOOKUP(CONCATENATE($A65,"_",T$1),SP_ACQ_Lib[],MATCH(T$2,SP_ACQ_Lib[#Headers],0),FALSE),0)</f>
        <v>0</v>
      </c>
      <c r="U65" s="250" t="str">
        <f>IFERROR(IF(VLOOKUP(CONCATENATE($A65,"_",U$1),SP_ACQ_Lib[],MATCH(U$2,SP_ACQ_Lib[#Headers],0),FALSE)=0,"",VLOOKUP(CONCATENATE($A65,"_",U$1),SP_ACQ_Lib[],MATCH(U$2,SP_ACQ_Lib[#Headers],0),FALSE)),"")</f>
        <v/>
      </c>
      <c r="V65" s="205">
        <f>IFERROR(VLOOKUP(CONCATENATE($A65,"_",V$1),SP_ACQ_Lib[],MATCH(V$2,SP_ACQ_Lib[#Headers],0),FALSE),0)</f>
        <v>0</v>
      </c>
      <c r="W65" s="209">
        <f>IFERROR(VLOOKUP(CONCATENATE($A65,"_",W$1),SP_ACQ_Lib[],MATCH(W$2,SP_ACQ_Lib[#Headers],0),FALSE),0)</f>
        <v>0</v>
      </c>
      <c r="X65" s="250">
        <f>IFERROR(VLOOKUP($A65,SP_AcqTract_DB[],MATCH(X$2,SP_AcqTract_DB[#Headers],0),FALSE),"")</f>
        <v>0</v>
      </c>
      <c r="Y65" s="237">
        <f>IFERROR(VLOOKUP($A65,SP_AcqTract_DB[],MATCH(Y$2,SP_AcqTract_DB[#Headers],0),FALSE),"")</f>
        <v>0.132851239669422</v>
      </c>
      <c r="Z65" s="229">
        <f>IFERROR(VLOOKUP($A65,SP_AcqTract_DB[],MATCH(Z$2,SP_AcqTract_DB[#Headers],0),FALSE),"")</f>
        <v>5787</v>
      </c>
      <c r="AA65" s="229" t="str">
        <f>IFERROR(VLOOKUP($A65,SP_AcqTract_DB[],MATCH(AA$2,SP_AcqTract_DB[#Headers],0),FALSE),"")</f>
        <v>No</v>
      </c>
      <c r="AB65" s="250" t="str">
        <f>IFERROR(IF(VLOOKUP(CONCATENATE($A65,"_",AB$1),SP_ACQ_Lib[],MATCH(AB$2,SP_ACQ_Lib[#Headers],0),FALSE)=0,"",VLOOKUP(CONCATENATE($A65,"_",AB$1),SP_ACQ_Lib[],MATCH(AB$2,SP_ACQ_Lib[#Headers],0),FALSE)),"")</f>
        <v/>
      </c>
      <c r="AC65" s="250" t="str">
        <f>IFERROR(IF(VLOOKUP(CONCATENATE($A65,"_",AC$1),SP_ACQ_Lib[],MATCH(AC$2,SP_ACQ_Lib[#Headers],0),FALSE)=0,"",VLOOKUP(CONCATENATE($A65,"_",AC$1),SP_ACQ_Lib[],MATCH(AC$2,SP_ACQ_Lib[#Headers],0),FALSE)),"")</f>
        <v/>
      </c>
      <c r="AD65" s="229" t="str">
        <f>IFERROR(VLOOKUP($A65,SP_AcqTract_DB[],MATCH(AD$2,SP_AcqTract_DB[#Headers],0),FALSE),"")</f>
        <v>Yes</v>
      </c>
      <c r="AE65" s="250">
        <f>IFERROR(IF(VLOOKUP(CONCATENATE($A65,"_",AE$1),SP_ACQ_Lib[],MATCH(AE$2,SP_ACQ_Lib[#Headers],0),FALSE)=0,"",VLOOKUP(CONCATENATE($A65,"_",AE$1),SP_ACQ_Lib[],MATCH(AE$2,SP_ACQ_Lib[#Headers],0),FALSE)),"")</f>
        <v>43991</v>
      </c>
      <c r="AF65" s="250">
        <f>IFERROR(IF(VLOOKUP(CONCATENATE($A65,"_",AF$1),SP_ACQ_Lib[],MATCH(AF$2,SP_ACQ_Lib[#Headers],0),FALSE)=0,"",VLOOKUP(CONCATENATE($A65,"_",AF$1),SP_ACQ_Lib[],MATCH(AF$2,SP_ACQ_Lib[#Headers],0),FALSE)),"")</f>
        <v>43993</v>
      </c>
      <c r="AG65" s="250" t="str">
        <f>IFERROR(IF(VLOOKUP(CONCATENATE($A65,"_",AG$1),SP_ACQ_Lib[],MATCH(AG$2,SP_ACQ_Lib[#Headers],0),FALSE)=0,"",VLOOKUP(CONCATENATE($A65,"_",AG$1),SP_ACQ_Lib[],MATCH(AG$2,SP_ACQ_Lib[#Headers],0),FALSE)),"")</f>
        <v/>
      </c>
      <c r="AH65" s="250" t="str">
        <f>IFERROR(IF(VLOOKUP(CONCATENATE($A65,"_",AH$1),SP_ACQ_Lib[],MATCH(AH$2,SP_ACQ_Lib[#Headers],0),FALSE)=0,"",VLOOKUP(CONCATENATE($A65,"_",AH$1),SP_ACQ_Lib[],MATCH(AH$2,SP_ACQ_Lib[#Headers],0),FALSE)),"")</f>
        <v/>
      </c>
      <c r="AI65" s="249" t="str">
        <f>IFERROR(IF(VLOOKUP(CONCATENATE($A65,"_",AI$1),SP_ACQ_Lib[],MATCH(AI$2,SP_ACQ_Lib[#Headers],0),FALSE)=0,"",VLOOKUP(CONCATENATE($A65,"_",AI$1),SP_ACQ_Lib[],MATCH(AI$2,SP_ACQ_Lib[#Headers],0),FALSE)),"")</f>
        <v/>
      </c>
      <c r="AJ65" s="249" t="str">
        <f>IFERROR(IF(VLOOKUP(CONCATENATE($A65,"_",AJ$1),SP_ACQ_Lib[],MATCH(AJ$2,SP_ACQ_Lib[#Headers],0),FALSE)=0,"",VLOOKUP(CONCATENATE($A65,"_",AJ$1),SP_ACQ_Lib[],MATCH(AJ$2,SP_ACQ_Lib[#Headers],0),FALSE)),"")</f>
        <v/>
      </c>
      <c r="AK65" s="249" t="str">
        <f>IFERROR(IF(VLOOKUP(CONCATENATE($A65,"_",AK$1),SP_ACQ_Lib[],MATCH(AK$2,SP_ACQ_Lib[#Headers],0),FALSE)=0,"",VLOOKUP(CONCATENATE($A65,"_",AK$1),SP_ACQ_Lib[],MATCH(AK$2,SP_ACQ_Lib[#Headers],0),FALSE)),"")</f>
        <v/>
      </c>
      <c r="AL65" s="249">
        <f>IFERROR(VLOOKUP($A65,SP_AcqTract_DB[],MATCH(AL$2,SP_AcqTract_DB[#Headers],0),FALSE),"")</f>
        <v>0</v>
      </c>
      <c r="AM65" s="227">
        <f>IFERROR(VLOOKUP($A65,SP_AcqTract_DB[],MATCH(AM$2,SP_AcqTract_DB[#Headers],0),FALSE),"")</f>
        <v>0</v>
      </c>
      <c r="AN65" s="227">
        <f>IFERROR(VLOOKUP($A65,SP_AcqTract_DB[],MATCH(AN$2,SP_AcqTract_DB[#Headers],0),FALSE),"")</f>
        <v>0</v>
      </c>
      <c r="AO65" s="228">
        <f>IFERROR(VLOOKUP($A65,SP_AcqTract_DB[],MATCH(AO$2,SP_AcqTract_DB[#Headers],0),FALSE),"")</f>
        <v>0</v>
      </c>
      <c r="AP65" s="210">
        <f>IFERROR(VLOOKUP($A65,SP_AcqTract_DB[],MATCH(AP$2,SP_AcqTract_DB[#Headers],0),FALSE),"")</f>
        <v>0</v>
      </c>
      <c r="AQ65" s="252" t="str">
        <f>IFERROR(IF(VLOOKUP(CONCATENATE($A65,"_",AQ$1),SP_ACQ_Lib[],MATCH(AQ$2,SP_ACQ_Lib[#Headers],0),FALSE)=0,"",VLOOKUP(CONCATENATE($A65,"_",AQ$1),SP_ACQ_Lib[],MATCH(AQ$2,SP_ACQ_Lib[#Headers],0),FALSE)),"")</f>
        <v/>
      </c>
      <c r="AR65" s="250" t="str">
        <f>IFERROR(IF(VLOOKUP(CONCATENATE($A65,"_",AR$1),SP_ACQ_Lib[],MATCH(AR$2,SP_ACQ_Lib[#Headers],0),FALSE)=0,"",VLOOKUP(CONCATENATE($A65,"_",AR$1),SP_ACQ_Lib[],MATCH(AR$2,SP_ACQ_Lib[#Headers],0),FALSE)),"")</f>
        <v/>
      </c>
      <c r="AS65" s="249" t="str">
        <f>IFERROR(IF(VLOOKUP(CONCATENATE($A65,"_",AS$1),SP_ACQ_Lib[],MATCH(AS$2,SP_ACQ_Lib[#Headers],0),FALSE)=0,"",VLOOKUP(CONCATENATE($A65,"_",AS$1),SP_ACQ_Lib[],MATCH(AS$2,SP_ACQ_Lib[#Headers],0),FALSE)),"")</f>
        <v/>
      </c>
      <c r="AT65" s="251" t="str">
        <f>IFERROR(IF(VLOOKUP(CONCATENATE($A65,"_",AT$1),SP_ACQ_Lib[],MATCH(AT$2,SP_ACQ_Lib[#Headers],0),FALSE)=0,"",VLOOKUP(CONCATENATE($A65,"_",AT$1),SP_ACQ_Lib[],MATCH(AT$2,SP_ACQ_Lib[#Headers],0),FALSE)),"")</f>
        <v/>
      </c>
      <c r="AU65" s="251" t="str">
        <f>IFERROR(IF(VLOOKUP(CONCATENATE($A65,"_",AU$1),SP_ACQ_Lib[],MATCH(AU$2,SP_ACQ_Lib[#Headers],0),FALSE)=0,"",VLOOKUP(CONCATENATE($A65,"_",AU$1),SP_ACQ_Lib[],MATCH(AU$2,SP_ACQ_Lib[#Headers],0),FALSE)),"")</f>
        <v/>
      </c>
      <c r="AV65" s="225" t="str">
        <f>IFERROR(IF(VLOOKUP(CONCATENATE($A65,"_",AV$1),SP_ACQ_Lib[],MATCH(AV$2,SP_ACQ_Lib[#Headers],0),FALSE)=0,"",VLOOKUP(CONCATENATE($A65,"_",AV$1),SP_ACQ_Lib[],MATCH(AV$2,SP_ACQ_Lib[#Headers],0),FALSE)),"")</f>
        <v/>
      </c>
      <c r="AW65" s="251" t="str">
        <f>IFERROR(IF(VLOOKUP(CONCATENATE($A65,"_",AW$1),SP_ACQ_Lib[],MATCH(AW$2,SP_ACQ_Lib[#Headers],0),FALSE)=0,"",VLOOKUP(CONCATENATE($A65,"_",AW$1),SP_ACQ_Lib[],MATCH(AW$2,SP_ACQ_Lib[#Headers],0),FALSE)),"")</f>
        <v/>
      </c>
      <c r="AX65" s="251" t="str">
        <f>IFERROR(IF(VLOOKUP(CONCATENATE($A65,"_",AX$1),SP_ACQ_Lib[],MATCH(AX$2,SP_ACQ_Lib[#Headers],0),FALSE)=0,"",VLOOKUP(CONCATENATE($A65,"_",AX$1),SP_ACQ_Lib[],MATCH(AX$2,SP_ACQ_Lib[#Headers],0),FALSE)),"")</f>
        <v/>
      </c>
      <c r="AY65" s="251" t="str">
        <f>IFERROR(IF(VLOOKUP(CONCATENATE($A65,"_",AY$1),SP_ACQ_Lib[],MATCH(AY$2,SP_ACQ_Lib[#Headers],0),FALSE)=0,"",VLOOKUP(CONCATENATE($A65,"_",AY$1),SP_ACQ_Lib[],MATCH(AY$2,SP_ACQ_Lib[#Headers],0),FALSE)),"")</f>
        <v/>
      </c>
      <c r="AZ65" s="251" t="str">
        <f>IFERROR(IF(VLOOKUP(CONCATENATE($A65,"_",AZ$1),SP_ACQ_Lib[],MATCH(AZ$2,SP_ACQ_Lib[#Headers],0),FALSE)=0,"",VLOOKUP(CONCATENATE($A65,"_",AZ$1),SP_ACQ_Lib[],MATCH(AZ$2,SP_ACQ_Lib[#Headers],0),FALSE)),"")</f>
        <v/>
      </c>
      <c r="BA65" s="251" t="str">
        <f>IFERROR(IF(VLOOKUP(CONCATENATE($A65,"_",BA$1),SP_ACQ_Lib[],MATCH(BA$2,SP_ACQ_Lib[#Headers],0),FALSE)=0,"",VLOOKUP(CONCATENATE($A65,"_",BA$1),SP_ACQ_Lib[],MATCH(BA$2,SP_ACQ_Lib[#Headers],0),FALSE)),"")</f>
        <v/>
      </c>
      <c r="BB65" s="224">
        <f>IFERROR(VLOOKUP(CONCATENATE($A65,"_",BB$1),SP_ACQ_Lib[],MATCH(BB$2,SP_ACQ_Lib[#Headers],0),FALSE),0)</f>
        <v>0</v>
      </c>
      <c r="BC65" s="231">
        <f>IFERROR(VLOOKUP($A65,SP_AcqTract_DB[],MATCH(BC$2,SP_AcqTract_DB[#Headers],0),FALSE),"")</f>
        <v>0</v>
      </c>
      <c r="BD65" s="231">
        <f>IFERROR(VLOOKUP($A65,SP_AcqTract_DB[],MATCH(BD$2,SP_AcqTract_DB[#Headers],0),FALSE),"")</f>
        <v>0</v>
      </c>
      <c r="BE65" s="249" t="str">
        <f>IFERROR(IF(VLOOKUP(CONCATENATE($A65,"_",BE$1),SP_ACQ_Lib[],MATCH(BE$2,SP_ACQ_Lib[#Headers],0),FALSE)=0,"",VLOOKUP(CONCATENATE($A65,"_",BE$1),SP_ACQ_Lib[],MATCH(BE$2,SP_ACQ_Lib[#Headers],0),FALSE)),"")</f>
        <v/>
      </c>
      <c r="BF65" s="249" t="str">
        <f>IFERROR(IF(VLOOKUP(CONCATENATE($A65,"_",BF$1),SP_ACQ_Lib[],MATCH(BF$2,SP_ACQ_Lib[#Headers],0),FALSE)=0,"",VLOOKUP(CONCATENATE($A65,"_",BF$1),SP_ACQ_Lib[],MATCH(BF$2,SP_ACQ_Lib[#Headers],0),FALSE)),"")</f>
        <v/>
      </c>
      <c r="BG65" s="249" t="str">
        <f>IFERROR(IF(VLOOKUP(CONCATENATE($A65,"_",BG$1),SP_ACQ_Lib[],MATCH(BG$2,SP_ACQ_Lib[#Headers],0),FALSE)=0,"",VLOOKUP(CONCATENATE($A65,"_",BG$1),SP_ACQ_Lib[],MATCH(BG$2,SP_ACQ_Lib[#Headers],0),FALSE)),"")</f>
        <v/>
      </c>
      <c r="BH65" s="249" t="str">
        <f>IFERROR(IF(VLOOKUP(CONCATENATE($A65,"_",BH$1),SP_ACQ_Lib[],MATCH(BH$2,SP_ACQ_Lib[#Headers],0),FALSE)=0,"",VLOOKUP(CONCATENATE($A65,"_",BH$1),SP_ACQ_Lib[],MATCH(BH$2,SP_ACQ_Lib[#Headers],0),FALSE)),"")</f>
        <v/>
      </c>
      <c r="BI65" s="249" t="str">
        <f>IFERROR(IF(VLOOKUP(CONCATENATE($A65,"_",BI$1),SP_ACQ_Lib[],MATCH(BI$2,SP_ACQ_Lib[#Headers],0),FALSE)=0,"",VLOOKUP(CONCATENATE($A65,"_",BI$1),SP_ACQ_Lib[],MATCH(BI$2,SP_ACQ_Lib[#Headers],0),FALSE)),"")</f>
        <v/>
      </c>
      <c r="BJ65" s="249" t="str">
        <f>IFERROR(IF(VLOOKUP(CONCATENATE($A65,"_",BJ$1),SP_ACQ_Lib[],MATCH(BJ$2,SP_ACQ_Lib[#Headers],0),FALSE)=0,"",VLOOKUP(CONCATENATE($A65,"_",BJ$1),SP_ACQ_Lib[],MATCH(BJ$2,SP_ACQ_Lib[#Headers],0),FALSE)),"")</f>
        <v/>
      </c>
      <c r="BK65" s="250" t="str">
        <f>IFERROR(IF(VLOOKUP(CONCATENATE($A65,"_",BK$1),SP_ACQ_Lib[],MATCH(BK$2,SP_ACQ_Lib[#Headers],0),FALSE)=0,"",VLOOKUP(CONCATENATE($A65,"_",BK$1),SP_ACQ_Lib[],MATCH(BK$2,SP_ACQ_Lib[#Headers],0),FALSE)),"")</f>
        <v/>
      </c>
      <c r="BL65" s="249" t="str">
        <f>IFERROR(IF(VLOOKUP(CONCATENATE($A65,"_",BL$1),SP_ACQ_Lib[],MATCH(BL$2,SP_ACQ_Lib[#Headers],0),FALSE)=0,"",VLOOKUP(CONCATENATE($A65,"_",BL$1),SP_ACQ_Lib[],MATCH(BL$2,SP_ACQ_Lib[#Headers],0),FALSE)),"")</f>
        <v/>
      </c>
      <c r="BM65" s="249" t="str">
        <f>IFERROR(IF(VLOOKUP(CONCATENATE($A65,"_",BM$1),SP_ACQ_Lib[],MATCH(BM$2,SP_ACQ_Lib[#Headers],0),FALSE)=0,"",VLOOKUP(CONCATENATE($A65,"_",BM$1),SP_ACQ_Lib[],MATCH(BM$2,SP_ACQ_Lib[#Headers],0),FALSE)),"")</f>
        <v/>
      </c>
      <c r="BN65" s="249" t="str">
        <f>IFERROR(IF(VLOOKUP(CONCATENATE($A65,"_",BN$1),SP_ACQ_Lib[],MATCH(BN$2,SP_ACQ_Lib[#Headers],0),FALSE)=0,"",VLOOKUP(CONCATENATE($A65,"_",BN$1),SP_ACQ_Lib[],MATCH(BN$2,SP_ACQ_Lib[#Headers],0),FALSE)),"")</f>
        <v/>
      </c>
    </row>
    <row r="66" spans="1:66" s="226" customFormat="1" ht="25.5" x14ac:dyDescent="0.2">
      <c r="A66" s="192" t="s">
        <v>5883</v>
      </c>
      <c r="B66" s="227" t="s">
        <v>233</v>
      </c>
      <c r="C66" s="228" t="str">
        <f>IFERROR(VLOOKUP($A66,SP_AcqTract_DB[],MATCH(C$2,SP_AcqTract_DB[#Headers],0),FALSE),"")</f>
        <v>PH1</v>
      </c>
      <c r="D66" s="208" t="str">
        <f>IFERROR(VLOOKUP($A66,SP_AcqTract_DB[],MATCH(D$2,SP_AcqTract_DB[#Headers],0),FALSE),"")</f>
        <v>Active</v>
      </c>
      <c r="E66" s="208">
        <f>IFERROR(VLOOKUP($A66,SP_AcqTract_DB[],MATCH(E$2,SP_AcqTract_DB[#Headers],0),FALSE),"")</f>
        <v>1</v>
      </c>
      <c r="F66" s="227" t="str">
        <f>IFERROR(VLOOKUP($A66,SP_AcqTract_DB[],MATCH(F$2,SP_AcqTract_DB[#Headers],0),FALSE),"")</f>
        <v>Whole Fee, TCE</v>
      </c>
      <c r="G66" s="227" t="str">
        <f>IFERROR(VLOOKUP($A66,SP_AcqTract_DB[],MATCH(G$2,SP_AcqTract_DB[#Headers],0),FALSE),"")</f>
        <v>Melissa DeLeon</v>
      </c>
      <c r="H66" s="250">
        <f>IFERROR(IF(VLOOKUP(CONCATENATE($A66,"_",H$1),SP_ACQ_Lib[],MATCH(H$2,SP_ACQ_Lib[#Headers],0),FALSE)=0,"",VLOOKUP(CONCATENATE($A66,"_",H$1),SP_ACQ_Lib[],MATCH(H$2,SP_ACQ_Lib[#Headers],0),FALSE)),"")</f>
        <v>44020.80164351852</v>
      </c>
      <c r="I66" s="227" t="str">
        <f>IFERROR(VLOOKUP($A66,SP_AcqTract_DB[],MATCH(I$2,SP_AcqTract_DB[#Headers],0),FALSE),"")</f>
        <v>Wendell K Gwaltney</v>
      </c>
      <c r="J66" s="227">
        <f>IFERROR(VLOOKUP($A66,SP_AcqTract_DB[],MATCH(J$2,SP_AcqTract_DB[#Headers],0),FALSE),"")</f>
        <v>0</v>
      </c>
      <c r="K66" s="227" t="str">
        <f>IFERROR(VLOOKUP($A66,SP_AcqTract_DB[],MATCH(K$2,SP_AcqTract_DB[#Headers],0),FALSE),"")</f>
        <v>Wendell K Gwaltney</v>
      </c>
      <c r="L66" s="227" t="str">
        <f>IFERROR(VLOOKUP($A66,SP_AcqTract_DB[],MATCH(L$2,SP_AcqTract_DB[#Headers],0),FALSE),"")</f>
        <v>421-B Colorado</v>
      </c>
      <c r="M66" s="208" t="str">
        <f>IFERROR(VLOOKUP($A66,SP_AcqTract_DB[],MATCH(M$2,SP_AcqTract_DB[#Headers],0),FALSE),"")</f>
        <v>Wharton, TX  77488</v>
      </c>
      <c r="N66" s="227" t="str">
        <f>IFERROR(VLOOKUP($A66,SP_AcqTract_DB[],MATCH(N$2,SP_AcqTract_DB[#Headers],0),FALSE),"")</f>
        <v>421-B Colorado</v>
      </c>
      <c r="O66" s="220">
        <f>IFERROR(VLOOKUP($A66,SP_AcqTract_DB[],MATCH(O$2,SP_AcqTract_DB[#Headers],0),FALSE),"")</f>
        <v>0</v>
      </c>
      <c r="P66" s="220">
        <f>IFERROR(VLOOKUP($A66,SP_AcqTract_DB[],MATCH(P$2,SP_AcqTract_DB[#Headers],0),FALSE),"")</f>
        <v>0</v>
      </c>
      <c r="Q66" s="208" t="str">
        <f>IFERROR(VLOOKUP($A66,SP_AcqTract_DB[],MATCH(Q$2,SP_AcqTract_DB[#Headers],0),FALSE),"")</f>
        <v>2019-0876</v>
      </c>
      <c r="R66" s="250">
        <f>IFERROR(IF(VLOOKUP(CONCATENATE($A66,"_",R$1),SP_ACQ_Lib[],MATCH(R$2,SP_ACQ_Lib[#Headers],0),FALSE)=0,"",VLOOKUP(CONCATENATE($A66,"_",R$1),SP_ACQ_Lib[],MATCH(R$2,SP_ACQ_Lib[#Headers],0),FALSE)),"")</f>
        <v>43893</v>
      </c>
      <c r="S66" s="253">
        <f>IFERROR(IF(VLOOKUP(CONCATENATE($A66,"_",S$1),SP_ACQ_Lib[],MATCH(S$2,SP_ACQ_Lib[#Headers],0),FALSE)=0,"",VLOOKUP(CONCATENATE($A66,"_",S$1),SP_ACQ_Lib[],MATCH(S$2,SP_ACQ_Lib[#Headers],0),FALSE)),"")</f>
        <v>43917</v>
      </c>
      <c r="T66" s="205" t="str">
        <f>IFERROR(VLOOKUP(CONCATENATE($A66,"_",T$1),SP_ACQ_Lib[],MATCH(T$2,SP_ACQ_Lib[#Headers],0),FALSE),0)</f>
        <v>Accepted</v>
      </c>
      <c r="U66" s="250">
        <f>IFERROR(IF(VLOOKUP(CONCATENATE($A66,"_",U$1),SP_ACQ_Lib[],MATCH(U$2,SP_ACQ_Lib[#Headers],0),FALSE)=0,"",VLOOKUP(CONCATENATE($A66,"_",U$1),SP_ACQ_Lib[],MATCH(U$2,SP_ACQ_Lib[#Headers],0),FALSE)),"")</f>
        <v>43816</v>
      </c>
      <c r="V66" s="205">
        <f>IFERROR(VLOOKUP(CONCATENATE($A66,"_",V$1),SP_ACQ_Lib[],MATCH(V$2,SP_ACQ_Lib[#Headers],0),FALSE),0)</f>
        <v>0</v>
      </c>
      <c r="W66" s="209">
        <f>IFERROR(VLOOKUP(CONCATENATE($A66,"_",W$1),SP_ACQ_Lib[],MATCH(W$2,SP_ACQ_Lib[#Headers],0),FALSE),0)</f>
        <v>0</v>
      </c>
      <c r="X66" s="250">
        <f>IFERROR(VLOOKUP($A66,SP_AcqTract_DB[],MATCH(X$2,SP_AcqTract_DB[#Headers],0),FALSE),"")</f>
        <v>43718</v>
      </c>
      <c r="Y66" s="237">
        <f>IFERROR(VLOOKUP($A66,SP_AcqTract_DB[],MATCH(Y$2,SP_AcqTract_DB[#Headers],0),FALSE),"")</f>
        <v>0.210009182736455</v>
      </c>
      <c r="Z66" s="229">
        <f>IFERROR(VLOOKUP($A66,SP_AcqTract_DB[],MATCH(Z$2,SP_AcqTract_DB[#Headers],0),FALSE),"")</f>
        <v>9148</v>
      </c>
      <c r="AA66" s="229" t="str">
        <f>IFERROR(VLOOKUP($A66,SP_AcqTract_DB[],MATCH(AA$2,SP_AcqTract_DB[#Headers],0),FALSE),"")</f>
        <v>Yes</v>
      </c>
      <c r="AB66" s="250">
        <f>IFERROR(IF(VLOOKUP(CONCATENATE($A66,"_",AB$1),SP_ACQ_Lib[],MATCH(AB$2,SP_ACQ_Lib[#Headers],0),FALSE)=0,"",VLOOKUP(CONCATENATE($A66,"_",AB$1),SP_ACQ_Lib[],MATCH(AB$2,SP_ACQ_Lib[#Headers],0),FALSE)),"")</f>
        <v>43783</v>
      </c>
      <c r="AC66" s="250">
        <f>IFERROR(IF(VLOOKUP(CONCATENATE($A66,"_",AC$1),SP_ACQ_Lib[],MATCH(AC$2,SP_ACQ_Lib[#Headers],0),FALSE)=0,"",VLOOKUP(CONCATENATE($A66,"_",AC$1),SP_ACQ_Lib[],MATCH(AC$2,SP_ACQ_Lib[#Headers],0),FALSE)),"")</f>
        <v>43515</v>
      </c>
      <c r="AD66" s="229" t="str">
        <f>IFERROR(VLOOKUP($A66,SP_AcqTract_DB[],MATCH(AD$2,SP_AcqTract_DB[#Headers],0),FALSE),"")</f>
        <v>Yes</v>
      </c>
      <c r="AE66" s="250" t="str">
        <f>IFERROR(IF(VLOOKUP(CONCATENATE($A66,"_",AE$1),SP_ACQ_Lib[],MATCH(AE$2,SP_ACQ_Lib[#Headers],0),FALSE)=0,"",VLOOKUP(CONCATENATE($A66,"_",AE$1),SP_ACQ_Lib[],MATCH(AE$2,SP_ACQ_Lib[#Headers],0),FALSE)),"")</f>
        <v/>
      </c>
      <c r="AF66" s="250" t="str">
        <f>IFERROR(IF(VLOOKUP(CONCATENATE($A66,"_",AF$1),SP_ACQ_Lib[],MATCH(AF$2,SP_ACQ_Lib[#Headers],0),FALSE)=0,"",VLOOKUP(CONCATENATE($A66,"_",AF$1),SP_ACQ_Lib[],MATCH(AF$2,SP_ACQ_Lib[#Headers],0),FALSE)),"")</f>
        <v/>
      </c>
      <c r="AG66" s="250" t="str">
        <f>IFERROR(IF(VLOOKUP(CONCATENATE($A66,"_",AG$1),SP_ACQ_Lib[],MATCH(AG$2,SP_ACQ_Lib[#Headers],0),FALSE)=0,"",VLOOKUP(CONCATENATE($A66,"_",AG$1),SP_ACQ_Lib[],MATCH(AG$2,SP_ACQ_Lib[#Headers],0),FALSE)),"")</f>
        <v/>
      </c>
      <c r="AH66" s="250">
        <f>IFERROR(IF(VLOOKUP(CONCATENATE($A66,"_",AH$1),SP_ACQ_Lib[],MATCH(AH$2,SP_ACQ_Lib[#Headers],0),FALSE)=0,"",VLOOKUP(CONCATENATE($A66,"_",AH$1),SP_ACQ_Lib[],MATCH(AH$2,SP_ACQ_Lib[#Headers],0),FALSE)),"")</f>
        <v>43697</v>
      </c>
      <c r="AI66" s="249" t="str">
        <f>IFERROR(IF(VLOOKUP(CONCATENATE($A66,"_",AI$1),SP_ACQ_Lib[],MATCH(AI$2,SP_ACQ_Lib[#Headers],0),FALSE)=0,"",VLOOKUP(CONCATENATE($A66,"_",AI$1),SP_ACQ_Lib[],MATCH(AI$2,SP_ACQ_Lib[#Headers],0),FALSE)),"")</f>
        <v/>
      </c>
      <c r="AJ66" s="249" t="str">
        <f>IFERROR(IF(VLOOKUP(CONCATENATE($A66,"_",AJ$1),SP_ACQ_Lib[],MATCH(AJ$2,SP_ACQ_Lib[#Headers],0),FALSE)=0,"",VLOOKUP(CONCATENATE($A66,"_",AJ$1),SP_ACQ_Lib[],MATCH(AJ$2,SP_ACQ_Lib[#Headers],0),FALSE)),"")</f>
        <v/>
      </c>
      <c r="AK66" s="249" t="str">
        <f>IFERROR(IF(VLOOKUP(CONCATENATE($A66,"_",AK$1),SP_ACQ_Lib[],MATCH(AK$2,SP_ACQ_Lib[#Headers],0),FALSE)=0,"",VLOOKUP(CONCATENATE($A66,"_",AK$1),SP_ACQ_Lib[],MATCH(AK$2,SP_ACQ_Lib[#Headers],0),FALSE)),"")</f>
        <v/>
      </c>
      <c r="AL66" s="249">
        <f>IFERROR(VLOOKUP($A66,SP_AcqTract_DB[],MATCH(AL$2,SP_AcqTract_DB[#Headers],0),FALSE),"")</f>
        <v>43884</v>
      </c>
      <c r="AM66" s="227" t="str">
        <f>IFERROR(VLOOKUP($A66,SP_AcqTract_DB[],MATCH(AM$2,SP_AcqTract_DB[#Headers],0),FALSE),"")</f>
        <v>Cameron Boone</v>
      </c>
      <c r="AN66" s="227" t="str">
        <f>IFERROR(VLOOKUP($A66,SP_AcqTract_DB[],MATCH(AN$2,SP_AcqTract_DB[#Headers],0),FALSE),"")</f>
        <v>Richard McGee</v>
      </c>
      <c r="AO66" s="228">
        <f>IFERROR(VLOOKUP($A66,SP_AcqTract_DB[],MATCH(AO$2,SP_AcqTract_DB[#Headers],0),FALSE),"")</f>
        <v>0</v>
      </c>
      <c r="AP66" s="210" t="str">
        <f>IFERROR(VLOOKUP($A66,SP_AcqTract_DB[],MATCH(AP$2,SP_AcqTract_DB[#Headers],0),FALSE),"")</f>
        <v>R</v>
      </c>
      <c r="AQ66" s="252" t="str">
        <f>IFERROR(IF(VLOOKUP(CONCATENATE($A66,"_",AQ$1),SP_ACQ_Lib[],MATCH(AQ$2,SP_ACQ_Lib[#Headers],0),FALSE)=0,"",VLOOKUP(CONCATENATE($A66,"_",AQ$1),SP_ACQ_Lib[],MATCH(AQ$2,SP_ACQ_Lib[#Headers],0),FALSE)),"")</f>
        <v/>
      </c>
      <c r="AR66" s="250" t="str">
        <f>IFERROR(IF(VLOOKUP(CONCATENATE($A66,"_",AR$1),SP_ACQ_Lib[],MATCH(AR$2,SP_ACQ_Lib[#Headers],0),FALSE)=0,"",VLOOKUP(CONCATENATE($A66,"_",AR$1),SP_ACQ_Lib[],MATCH(AR$2,SP_ACQ_Lib[#Headers],0),FALSE)),"")</f>
        <v/>
      </c>
      <c r="AS66" s="249">
        <f>IFERROR(IF(VLOOKUP(CONCATENATE($A66,"_",AS$1),SP_ACQ_Lib[],MATCH(AS$2,SP_ACQ_Lib[#Headers],0),FALSE)=0,"",VLOOKUP(CONCATENATE($A66,"_",AS$1),SP_ACQ_Lib[],MATCH(AS$2,SP_ACQ_Lib[#Headers],0),FALSE)),"")</f>
        <v>43765</v>
      </c>
      <c r="AT66" s="251" t="str">
        <f>IFERROR(IF(VLOOKUP(CONCATENATE($A66,"_",AT$1),SP_ACQ_Lib[],MATCH(AT$2,SP_ACQ_Lib[#Headers],0),FALSE)=0,"",VLOOKUP(CONCATENATE($A66,"_",AT$1),SP_ACQ_Lib[],MATCH(AT$2,SP_ACQ_Lib[#Headers],0),FALSE)),"")</f>
        <v/>
      </c>
      <c r="AU66" s="251" t="str">
        <f>IFERROR(IF(VLOOKUP(CONCATENATE($A66,"_",AU$1),SP_ACQ_Lib[],MATCH(AU$2,SP_ACQ_Lib[#Headers],0),FALSE)=0,"",VLOOKUP(CONCATENATE($A66,"_",AU$1),SP_ACQ_Lib[],MATCH(AU$2,SP_ACQ_Lib[#Headers],0),FALSE)),"")</f>
        <v/>
      </c>
      <c r="AV66" s="225" t="str">
        <f>IFERROR(IF(VLOOKUP(CONCATENATE($A66,"_",AV$1),SP_ACQ_Lib[],MATCH(AV$2,SP_ACQ_Lib[#Headers],0),FALSE)=0,"",VLOOKUP(CONCATENATE($A66,"_",AV$1),SP_ACQ_Lib[],MATCH(AV$2,SP_ACQ_Lib[#Headers],0),FALSE)),"")</f>
        <v/>
      </c>
      <c r="AW66" s="251" t="str">
        <f>IFERROR(IF(VLOOKUP(CONCATENATE($A66,"_",AW$1),SP_ACQ_Lib[],MATCH(AW$2,SP_ACQ_Lib[#Headers],0),FALSE)=0,"",VLOOKUP(CONCATENATE($A66,"_",AW$1),SP_ACQ_Lib[],MATCH(AW$2,SP_ACQ_Lib[#Headers],0),FALSE)),"")</f>
        <v/>
      </c>
      <c r="AX66" s="251" t="str">
        <f>IFERROR(IF(VLOOKUP(CONCATENATE($A66,"_",AX$1),SP_ACQ_Lib[],MATCH(AX$2,SP_ACQ_Lib[#Headers],0),FALSE)=0,"",VLOOKUP(CONCATENATE($A66,"_",AX$1),SP_ACQ_Lib[],MATCH(AX$2,SP_ACQ_Lib[#Headers],0),FALSE)),"")</f>
        <v/>
      </c>
      <c r="AY66" s="251" t="str">
        <f>IFERROR(IF(VLOOKUP(CONCATENATE($A66,"_",AY$1),SP_ACQ_Lib[],MATCH(AY$2,SP_ACQ_Lib[#Headers],0),FALSE)=0,"",VLOOKUP(CONCATENATE($A66,"_",AY$1),SP_ACQ_Lib[],MATCH(AY$2,SP_ACQ_Lib[#Headers],0),FALSE)),"")</f>
        <v/>
      </c>
      <c r="AZ66" s="251" t="str">
        <f>IFERROR(IF(VLOOKUP(CONCATENATE($A66,"_",AZ$1),SP_ACQ_Lib[],MATCH(AZ$2,SP_ACQ_Lib[#Headers],0),FALSE)=0,"",VLOOKUP(CONCATENATE($A66,"_",AZ$1),SP_ACQ_Lib[],MATCH(AZ$2,SP_ACQ_Lib[#Headers],0),FALSE)),"")</f>
        <v/>
      </c>
      <c r="BA66" s="251" t="str">
        <f>IFERROR(IF(VLOOKUP(CONCATENATE($A66,"_",BA$1),SP_ACQ_Lib[],MATCH(BA$2,SP_ACQ_Lib[#Headers],0),FALSE)=0,"",VLOOKUP(CONCATENATE($A66,"_",BA$1),SP_ACQ_Lib[],MATCH(BA$2,SP_ACQ_Lib[#Headers],0),FALSE)),"")</f>
        <v/>
      </c>
      <c r="BB66" s="224">
        <f>IFERROR(VLOOKUP(CONCATENATE($A66,"_",BB$1),SP_ACQ_Lib[],MATCH(BB$2,SP_ACQ_Lib[#Headers],0),FALSE),0)</f>
        <v>0</v>
      </c>
      <c r="BC66" s="231">
        <f>IFERROR(VLOOKUP($A66,SP_AcqTract_DB[],MATCH(BC$2,SP_AcqTract_DB[#Headers],0),FALSE),"")</f>
        <v>0</v>
      </c>
      <c r="BD66" s="231">
        <f>IFERROR(VLOOKUP($A66,SP_AcqTract_DB[],MATCH(BD$2,SP_AcqTract_DB[#Headers],0),FALSE),"")</f>
        <v>0</v>
      </c>
      <c r="BE66" s="249" t="str">
        <f>IFERROR(IF(VLOOKUP(CONCATENATE($A66,"_",BE$1),SP_ACQ_Lib[],MATCH(BE$2,SP_ACQ_Lib[#Headers],0),FALSE)=0,"",VLOOKUP(CONCATENATE($A66,"_",BE$1),SP_ACQ_Lib[],MATCH(BE$2,SP_ACQ_Lib[#Headers],0),FALSE)),"")</f>
        <v/>
      </c>
      <c r="BF66" s="249" t="str">
        <f>IFERROR(IF(VLOOKUP(CONCATENATE($A66,"_",BF$1),SP_ACQ_Lib[],MATCH(BF$2,SP_ACQ_Lib[#Headers],0),FALSE)=0,"",VLOOKUP(CONCATENATE($A66,"_",BF$1),SP_ACQ_Lib[],MATCH(BF$2,SP_ACQ_Lib[#Headers],0),FALSE)),"")</f>
        <v/>
      </c>
      <c r="BG66" s="249" t="str">
        <f>IFERROR(IF(VLOOKUP(CONCATENATE($A66,"_",BG$1),SP_ACQ_Lib[],MATCH(BG$2,SP_ACQ_Lib[#Headers],0),FALSE)=0,"",VLOOKUP(CONCATENATE($A66,"_",BG$1),SP_ACQ_Lib[],MATCH(BG$2,SP_ACQ_Lib[#Headers],0),FALSE)),"")</f>
        <v/>
      </c>
      <c r="BH66" s="249" t="str">
        <f>IFERROR(IF(VLOOKUP(CONCATENATE($A66,"_",BH$1),SP_ACQ_Lib[],MATCH(BH$2,SP_ACQ_Lib[#Headers],0),FALSE)=0,"",VLOOKUP(CONCATENATE($A66,"_",BH$1),SP_ACQ_Lib[],MATCH(BH$2,SP_ACQ_Lib[#Headers],0),FALSE)),"")</f>
        <v/>
      </c>
      <c r="BI66" s="249" t="str">
        <f>IFERROR(IF(VLOOKUP(CONCATENATE($A66,"_",BI$1),SP_ACQ_Lib[],MATCH(BI$2,SP_ACQ_Lib[#Headers],0),FALSE)=0,"",VLOOKUP(CONCATENATE($A66,"_",BI$1),SP_ACQ_Lib[],MATCH(BI$2,SP_ACQ_Lib[#Headers],0),FALSE)),"")</f>
        <v/>
      </c>
      <c r="BJ66" s="249" t="str">
        <f>IFERROR(IF(VLOOKUP(CONCATENATE($A66,"_",BJ$1),SP_ACQ_Lib[],MATCH(BJ$2,SP_ACQ_Lib[#Headers],0),FALSE)=0,"",VLOOKUP(CONCATENATE($A66,"_",BJ$1),SP_ACQ_Lib[],MATCH(BJ$2,SP_ACQ_Lib[#Headers],0),FALSE)),"")</f>
        <v/>
      </c>
      <c r="BK66" s="250">
        <f>IFERROR(IF(VLOOKUP(CONCATENATE($A66,"_",BK$1),SP_ACQ_Lib[],MATCH(BK$2,SP_ACQ_Lib[#Headers],0),FALSE)=0,"",VLOOKUP(CONCATENATE($A66,"_",BK$1),SP_ACQ_Lib[],MATCH(BK$2,SP_ACQ_Lib[#Headers],0),FALSE)),"")</f>
        <v>43748</v>
      </c>
      <c r="BL66" s="249" t="str">
        <f>IFERROR(IF(VLOOKUP(CONCATENATE($A66,"_",BL$1),SP_ACQ_Lib[],MATCH(BL$2,SP_ACQ_Lib[#Headers],0),FALSE)=0,"",VLOOKUP(CONCATENATE($A66,"_",BL$1),SP_ACQ_Lib[],MATCH(BL$2,SP_ACQ_Lib[#Headers],0),FALSE)),"")</f>
        <v/>
      </c>
      <c r="BM66" s="249" t="str">
        <f>IFERROR(IF(VLOOKUP(CONCATENATE($A66,"_",BM$1),SP_ACQ_Lib[],MATCH(BM$2,SP_ACQ_Lib[#Headers],0),FALSE)=0,"",VLOOKUP(CONCATENATE($A66,"_",BM$1),SP_ACQ_Lib[],MATCH(BM$2,SP_ACQ_Lib[#Headers],0),FALSE)),"")</f>
        <v/>
      </c>
      <c r="BN66" s="249" t="str">
        <f>IFERROR(IF(VLOOKUP(CONCATENATE($A66,"_",BN$1),SP_ACQ_Lib[],MATCH(BN$2,SP_ACQ_Lib[#Headers],0),FALSE)=0,"",VLOOKUP(CONCATENATE($A66,"_",BN$1),SP_ACQ_Lib[],MATCH(BN$2,SP_ACQ_Lib[#Headers],0),FALSE)),"")</f>
        <v/>
      </c>
    </row>
    <row r="67" spans="1:66" s="226" customFormat="1" ht="25.5" x14ac:dyDescent="0.2">
      <c r="A67" s="192" t="s">
        <v>227</v>
      </c>
      <c r="B67" s="227" t="str">
        <f>IFERROR(VLOOKUP($A67,SP_AcqTract_DB[],MATCH(B$2,SP_AcqTract_DB[#Headers],0),FALSE),"")</f>
        <v>R056955</v>
      </c>
      <c r="C67" s="228" t="str">
        <f>IFERROR(VLOOKUP($A67,SP_AcqTract_DB[],MATCH(C$2,SP_AcqTract_DB[#Headers],0),FALSE),"")</f>
        <v>PH1</v>
      </c>
      <c r="D67" s="208" t="str">
        <f>IFERROR(VLOOKUP($A67,SP_AcqTract_DB[],MATCH(D$2,SP_AcqTract_DB[#Headers],0),FALSE),"")</f>
        <v>Active</v>
      </c>
      <c r="E67" s="208">
        <f>IFERROR(VLOOKUP($A67,SP_AcqTract_DB[],MATCH(E$2,SP_AcqTract_DB[#Headers],0),FALSE),"")</f>
        <v>0</v>
      </c>
      <c r="F67" s="227" t="str">
        <f>IFERROR(VLOOKUP($A67,SP_AcqTract_DB[],MATCH(F$2,SP_AcqTract_DB[#Headers],0),FALSE),"")</f>
        <v>Whole Fee</v>
      </c>
      <c r="G67" s="227" t="str">
        <f>IFERROR(VLOOKUP($A67,SP_AcqTract_DB[],MATCH(G$2,SP_AcqTract_DB[#Headers],0),FALSE),"")</f>
        <v>Melissa DeLeon</v>
      </c>
      <c r="H67" s="250">
        <f>IFERROR(IF(VLOOKUP(CONCATENATE($A67,"_",H$1),SP_ACQ_Lib[],MATCH(H$2,SP_ACQ_Lib[#Headers],0),FALSE)=0,"",VLOOKUP(CONCATENATE($A67,"_",H$1),SP_ACQ_Lib[],MATCH(H$2,SP_ACQ_Lib[#Headers],0),FALSE)),"")</f>
        <v>44021.553981481484</v>
      </c>
      <c r="I67" s="227" t="str">
        <f>IFERROR(VLOOKUP($A67,SP_AcqTract_DB[],MATCH(I$2,SP_AcqTract_DB[#Headers],0),FALSE),"")</f>
        <v>Marlene Soles</v>
      </c>
      <c r="J67" s="227">
        <f>IFERROR(VLOOKUP($A67,SP_AcqTract_DB[],MATCH(J$2,SP_AcqTract_DB[#Headers],0),FALSE),"")</f>
        <v>0</v>
      </c>
      <c r="K67" s="227" t="str">
        <f>IFERROR(VLOOKUP($A67,SP_AcqTract_DB[],MATCH(K$2,SP_AcqTract_DB[#Headers],0),FALSE),"")</f>
        <v>Marlene Soles</v>
      </c>
      <c r="L67" s="227" t="str">
        <f>IFERROR(VLOOKUP($A67,SP_AcqTract_DB[],MATCH(L$2,SP_AcqTract_DB[#Headers],0),FALSE),"")</f>
        <v>421-A Colorado</v>
      </c>
      <c r="M67" s="208" t="str">
        <f>IFERROR(VLOOKUP($A67,SP_AcqTract_DB[],MATCH(M$2,SP_AcqTract_DB[#Headers],0),FALSE),"")</f>
        <v>Wharton, TX  77488</v>
      </c>
      <c r="N67" s="227" t="str">
        <f>IFERROR(VLOOKUP($A67,SP_AcqTract_DB[],MATCH(N$2,SP_AcqTract_DB[#Headers],0),FALSE),"")</f>
        <v>421-A Colorado</v>
      </c>
      <c r="O67" s="220">
        <f>IFERROR(VLOOKUP($A67,SP_AcqTract_DB[],MATCH(O$2,SP_AcqTract_DB[#Headers],0),FALSE),"")</f>
        <v>0</v>
      </c>
      <c r="P67" s="220">
        <f>IFERROR(VLOOKUP($A67,SP_AcqTract_DB[],MATCH(P$2,SP_AcqTract_DB[#Headers],0),FALSE),"")</f>
        <v>0</v>
      </c>
      <c r="Q67" s="208" t="str">
        <f>IFERROR(VLOOKUP($A67,SP_AcqTract_DB[],MATCH(Q$2,SP_AcqTract_DB[#Headers],0),FALSE),"")</f>
        <v>2019-0875</v>
      </c>
      <c r="R67" s="250">
        <f>IFERROR(IF(VLOOKUP(CONCATENATE($A67,"_",R$1),SP_ACQ_Lib[],MATCH(R$2,SP_ACQ_Lib[#Headers],0),FALSE)=0,"",VLOOKUP(CONCATENATE($A67,"_",R$1),SP_ACQ_Lib[],MATCH(R$2,SP_ACQ_Lib[#Headers],0),FALSE)),"")</f>
        <v>43893</v>
      </c>
      <c r="S67" s="253">
        <f>IFERROR(IF(VLOOKUP(CONCATENATE($A67,"_",S$1),SP_ACQ_Lib[],MATCH(S$2,SP_ACQ_Lib[#Headers],0),FALSE)=0,"",VLOOKUP(CONCATENATE($A67,"_",S$1),SP_ACQ_Lib[],MATCH(S$2,SP_ACQ_Lib[#Headers],0),FALSE)),"")</f>
        <v>43917</v>
      </c>
      <c r="T67" s="205" t="str">
        <f>IFERROR(VLOOKUP(CONCATENATE($A67,"_",T$1),SP_ACQ_Lib[],MATCH(T$2,SP_ACQ_Lib[#Headers],0),FALSE),0)</f>
        <v>Accepted</v>
      </c>
      <c r="U67" s="250">
        <f>IFERROR(IF(VLOOKUP(CONCATENATE($A67,"_",U$1),SP_ACQ_Lib[],MATCH(U$2,SP_ACQ_Lib[#Headers],0),FALSE)=0,"",VLOOKUP(CONCATENATE($A67,"_",U$1),SP_ACQ_Lib[],MATCH(U$2,SP_ACQ_Lib[#Headers],0),FALSE)),"")</f>
        <v>43815</v>
      </c>
      <c r="V67" s="205">
        <f>IFERROR(VLOOKUP(CONCATENATE($A67,"_",V$1),SP_ACQ_Lib[],MATCH(V$2,SP_ACQ_Lib[#Headers],0),FALSE),0)</f>
        <v>0</v>
      </c>
      <c r="W67" s="209">
        <f>IFERROR(VLOOKUP(CONCATENATE($A67,"_",W$1),SP_ACQ_Lib[],MATCH(W$2,SP_ACQ_Lib[#Headers],0),FALSE),0)</f>
        <v>0</v>
      </c>
      <c r="X67" s="250">
        <f>IFERROR(VLOOKUP($A67,SP_AcqTract_DB[],MATCH(X$2,SP_AcqTract_DB[#Headers],0),FALSE),"")</f>
        <v>43704</v>
      </c>
      <c r="Y67" s="237">
        <f>IFERROR(VLOOKUP($A67,SP_AcqTract_DB[],MATCH(Y$2,SP_AcqTract_DB[#Headers],0),FALSE),"")</f>
        <v>0.29483471074380202</v>
      </c>
      <c r="Z67" s="229">
        <f>IFERROR(VLOOKUP($A67,SP_AcqTract_DB[],MATCH(Z$2,SP_AcqTract_DB[#Headers],0),FALSE),"")</f>
        <v>12843</v>
      </c>
      <c r="AA67" s="229" t="str">
        <f>IFERROR(VLOOKUP($A67,SP_AcqTract_DB[],MATCH(AA$2,SP_AcqTract_DB[#Headers],0),FALSE),"")</f>
        <v>Yes</v>
      </c>
      <c r="AB67" s="250">
        <f>IFERROR(IF(VLOOKUP(CONCATENATE($A67,"_",AB$1),SP_ACQ_Lib[],MATCH(AB$2,SP_ACQ_Lib[#Headers],0),FALSE)=0,"",VLOOKUP(CONCATENATE($A67,"_",AB$1),SP_ACQ_Lib[],MATCH(AB$2,SP_ACQ_Lib[#Headers],0),FALSE)),"")</f>
        <v>43783</v>
      </c>
      <c r="AC67" s="250">
        <f>IFERROR(IF(VLOOKUP(CONCATENATE($A67,"_",AC$1),SP_ACQ_Lib[],MATCH(AC$2,SP_ACQ_Lib[#Headers],0),FALSE)=0,"",VLOOKUP(CONCATENATE($A67,"_",AC$1),SP_ACQ_Lib[],MATCH(AC$2,SP_ACQ_Lib[#Headers],0),FALSE)),"")</f>
        <v>43880</v>
      </c>
      <c r="AD67" s="229" t="str">
        <f>IFERROR(VLOOKUP($A67,SP_AcqTract_DB[],MATCH(AD$2,SP_AcqTract_DB[#Headers],0),FALSE),"")</f>
        <v>No</v>
      </c>
      <c r="AE67" s="250" t="str">
        <f>IFERROR(IF(VLOOKUP(CONCATENATE($A67,"_",AE$1),SP_ACQ_Lib[],MATCH(AE$2,SP_ACQ_Lib[#Headers],0),FALSE)=0,"",VLOOKUP(CONCATENATE($A67,"_",AE$1),SP_ACQ_Lib[],MATCH(AE$2,SP_ACQ_Lib[#Headers],0),FALSE)),"")</f>
        <v/>
      </c>
      <c r="AF67" s="250" t="str">
        <f>IFERROR(IF(VLOOKUP(CONCATENATE($A67,"_",AF$1),SP_ACQ_Lib[],MATCH(AF$2,SP_ACQ_Lib[#Headers],0),FALSE)=0,"",VLOOKUP(CONCATENATE($A67,"_",AF$1),SP_ACQ_Lib[],MATCH(AF$2,SP_ACQ_Lib[#Headers],0),FALSE)),"")</f>
        <v/>
      </c>
      <c r="AG67" s="250" t="str">
        <f>IFERROR(IF(VLOOKUP(CONCATENATE($A67,"_",AG$1),SP_ACQ_Lib[],MATCH(AG$2,SP_ACQ_Lib[#Headers],0),FALSE)=0,"",VLOOKUP(CONCATENATE($A67,"_",AG$1),SP_ACQ_Lib[],MATCH(AG$2,SP_ACQ_Lib[#Headers],0),FALSE)),"")</f>
        <v/>
      </c>
      <c r="AH67" s="250">
        <f>IFERROR(IF(VLOOKUP(CONCATENATE($A67,"_",AH$1),SP_ACQ_Lib[],MATCH(AH$2,SP_ACQ_Lib[#Headers],0),FALSE)=0,"",VLOOKUP(CONCATENATE($A67,"_",AH$1),SP_ACQ_Lib[],MATCH(AH$2,SP_ACQ_Lib[#Headers],0),FALSE)),"")</f>
        <v>43697</v>
      </c>
      <c r="AI67" s="249" t="str">
        <f>IFERROR(IF(VLOOKUP(CONCATENATE($A67,"_",AI$1),SP_ACQ_Lib[],MATCH(AI$2,SP_ACQ_Lib[#Headers],0),FALSE)=0,"",VLOOKUP(CONCATENATE($A67,"_",AI$1),SP_ACQ_Lib[],MATCH(AI$2,SP_ACQ_Lib[#Headers],0),FALSE)),"")</f>
        <v/>
      </c>
      <c r="AJ67" s="249" t="str">
        <f>IFERROR(IF(VLOOKUP(CONCATENATE($A67,"_",AJ$1),SP_ACQ_Lib[],MATCH(AJ$2,SP_ACQ_Lib[#Headers],0),FALSE)=0,"",VLOOKUP(CONCATENATE($A67,"_",AJ$1),SP_ACQ_Lib[],MATCH(AJ$2,SP_ACQ_Lib[#Headers],0),FALSE)),"")</f>
        <v/>
      </c>
      <c r="AK67" s="249" t="str">
        <f>IFERROR(IF(VLOOKUP(CONCATENATE($A67,"_",AK$1),SP_ACQ_Lib[],MATCH(AK$2,SP_ACQ_Lib[#Headers],0),FALSE)=0,"",VLOOKUP(CONCATENATE($A67,"_",AK$1),SP_ACQ_Lib[],MATCH(AK$2,SP_ACQ_Lib[#Headers],0),FALSE)),"")</f>
        <v/>
      </c>
      <c r="AL67" s="249">
        <f>IFERROR(VLOOKUP($A67,SP_AcqTract_DB[],MATCH(AL$2,SP_AcqTract_DB[#Headers],0),FALSE),"")</f>
        <v>43884</v>
      </c>
      <c r="AM67" s="227" t="str">
        <f>IFERROR(VLOOKUP($A67,SP_AcqTract_DB[],MATCH(AM$2,SP_AcqTract_DB[#Headers],0),FALSE),"")</f>
        <v>Cameron Boone</v>
      </c>
      <c r="AN67" s="227" t="str">
        <f>IFERROR(VLOOKUP($A67,SP_AcqTract_DB[],MATCH(AN$2,SP_AcqTract_DB[#Headers],0),FALSE),"")</f>
        <v>Richard McGee</v>
      </c>
      <c r="AO67" s="228">
        <f>IFERROR(VLOOKUP($A67,SP_AcqTract_DB[],MATCH(AO$2,SP_AcqTract_DB[#Headers],0),FALSE),"")</f>
        <v>0</v>
      </c>
      <c r="AP67" s="210" t="str">
        <f>IFERROR(VLOOKUP($A67,SP_AcqTract_DB[],MATCH(AP$2,SP_AcqTract_DB[#Headers],0),FALSE),"")</f>
        <v>R</v>
      </c>
      <c r="AQ67" s="252" t="str">
        <f>IFERROR(IF(VLOOKUP(CONCATENATE($A67,"_",AQ$1),SP_ACQ_Lib[],MATCH(AQ$2,SP_ACQ_Lib[#Headers],0),FALSE)=0,"",VLOOKUP(CONCATENATE($A67,"_",AQ$1),SP_ACQ_Lib[],MATCH(AQ$2,SP_ACQ_Lib[#Headers],0),FALSE)),"")</f>
        <v/>
      </c>
      <c r="AR67" s="250">
        <f>IFERROR(IF(VLOOKUP(CONCATENATE($A67,"_",AR$1),SP_ACQ_Lib[],MATCH(AR$2,SP_ACQ_Lib[#Headers],0),FALSE)=0,"",VLOOKUP(CONCATENATE($A67,"_",AR$1),SP_ACQ_Lib[],MATCH(AR$2,SP_ACQ_Lib[#Headers],0),FALSE)),"")</f>
        <v>43685</v>
      </c>
      <c r="AS67" s="249">
        <f>IFERROR(IF(VLOOKUP(CONCATENATE($A67,"_",AS$1),SP_ACQ_Lib[],MATCH(AS$2,SP_ACQ_Lib[#Headers],0),FALSE)=0,"",VLOOKUP(CONCATENATE($A67,"_",AS$1),SP_ACQ_Lib[],MATCH(AS$2,SP_ACQ_Lib[#Headers],0),FALSE)),"")</f>
        <v>43765</v>
      </c>
      <c r="AT67" s="251">
        <f>IFERROR(IF(VLOOKUP(CONCATENATE($A67,"_",AT$1),SP_ACQ_Lib[],MATCH(AT$2,SP_ACQ_Lib[#Headers],0),FALSE)=0,"",VLOOKUP(CONCATENATE($A67,"_",AT$1),SP_ACQ_Lib[],MATCH(AT$2,SP_ACQ_Lib[#Headers],0),FALSE)),"")</f>
        <v>43912</v>
      </c>
      <c r="AU67" s="251">
        <f>IFERROR(IF(VLOOKUP(CONCATENATE($A67,"_",AU$1),SP_ACQ_Lib[],MATCH(AU$2,SP_ACQ_Lib[#Headers],0),FALSE)=0,"",VLOOKUP(CONCATENATE($A67,"_",AU$1),SP_ACQ_Lib[],MATCH(AU$2,SP_ACQ_Lib[#Headers],0),FALSE)),"")</f>
        <v>43922</v>
      </c>
      <c r="AV67" s="225">
        <f>IFERROR(IF(VLOOKUP(CONCATENATE($A67,"_",AV$1),SP_ACQ_Lib[],MATCH(AV$2,SP_ACQ_Lib[#Headers],0),FALSE)=0,"",VLOOKUP(CONCATENATE($A67,"_",AV$1),SP_ACQ_Lib[],MATCH(AV$2,SP_ACQ_Lib[#Headers],0),FALSE)),"")</f>
        <v>65500</v>
      </c>
      <c r="AW67" s="251">
        <f>IFERROR(IF(VLOOKUP(CONCATENATE($A67,"_",AW$1),SP_ACQ_Lib[],MATCH(AW$2,SP_ACQ_Lib[#Headers],0),FALSE)=0,"",VLOOKUP(CONCATENATE($A67,"_",AW$1),SP_ACQ_Lib[],MATCH(AW$2,SP_ACQ_Lib[#Headers],0),FALSE)),"")</f>
        <v>43935</v>
      </c>
      <c r="AX67" s="251" t="str">
        <f>IFERROR(IF(VLOOKUP(CONCATENATE($A67,"_",AX$1),SP_ACQ_Lib[],MATCH(AX$2,SP_ACQ_Lib[#Headers],0),FALSE)=0,"",VLOOKUP(CONCATENATE($A67,"_",AX$1),SP_ACQ_Lib[],MATCH(AX$2,SP_ACQ_Lib[#Headers],0),FALSE)),"")</f>
        <v/>
      </c>
      <c r="AY67" s="251" t="str">
        <f>IFERROR(IF(VLOOKUP(CONCATENATE($A67,"_",AY$1),SP_ACQ_Lib[],MATCH(AY$2,SP_ACQ_Lib[#Headers],0),FALSE)=0,"",VLOOKUP(CONCATENATE($A67,"_",AY$1),SP_ACQ_Lib[],MATCH(AY$2,SP_ACQ_Lib[#Headers],0),FALSE)),"")</f>
        <v/>
      </c>
      <c r="AZ67" s="251">
        <f>IFERROR(IF(VLOOKUP(CONCATENATE($A67,"_",AZ$1),SP_ACQ_Lib[],MATCH(AZ$2,SP_ACQ_Lib[#Headers],0),FALSE)=0,"",VLOOKUP(CONCATENATE($A67,"_",AZ$1),SP_ACQ_Lib[],MATCH(AZ$2,SP_ACQ_Lib[#Headers],0),FALSE)),"")</f>
        <v>43943</v>
      </c>
      <c r="BA67" s="251" t="str">
        <f>IFERROR(IF(VLOOKUP(CONCATENATE($A67,"_",BA$1),SP_ACQ_Lib[],MATCH(BA$2,SP_ACQ_Lib[#Headers],0),FALSE)=0,"",VLOOKUP(CONCATENATE($A67,"_",BA$1),SP_ACQ_Lib[],MATCH(BA$2,SP_ACQ_Lib[#Headers],0),FALSE)),"")</f>
        <v/>
      </c>
      <c r="BB67" s="224">
        <f>IFERROR(VLOOKUP(CONCATENATE($A67,"_",BB$1),SP_ACQ_Lib[],MATCH(BB$2,SP_ACQ_Lib[#Headers],0),FALSE),0)</f>
        <v>0</v>
      </c>
      <c r="BC67" s="231">
        <f>IFERROR(VLOOKUP($A67,SP_AcqTract_DB[],MATCH(BC$2,SP_AcqTract_DB[#Headers],0),FALSE),"")</f>
        <v>0</v>
      </c>
      <c r="BD67" s="231">
        <f>IFERROR(VLOOKUP($A67,SP_AcqTract_DB[],MATCH(BD$2,SP_AcqTract_DB[#Headers],0),FALSE),"")</f>
        <v>0</v>
      </c>
      <c r="BE67" s="249">
        <f>IFERROR(IF(VLOOKUP(CONCATENATE($A67,"_",BE$1),SP_ACQ_Lib[],MATCH(BE$2,SP_ACQ_Lib[#Headers],0),FALSE)=0,"",VLOOKUP(CONCATENATE($A67,"_",BE$1),SP_ACQ_Lib[],MATCH(BE$2,SP_ACQ_Lib[#Headers],0),FALSE)),"")</f>
        <v>43991</v>
      </c>
      <c r="BF67" s="249">
        <f>IFERROR(IF(VLOOKUP(CONCATENATE($A67,"_",BF$1),SP_ACQ_Lib[],MATCH(BF$2,SP_ACQ_Lib[#Headers],0),FALSE)=0,"",VLOOKUP(CONCATENATE($A67,"_",BF$1),SP_ACQ_Lib[],MATCH(BF$2,SP_ACQ_Lib[#Headers],0),FALSE)),"")</f>
        <v>43993</v>
      </c>
      <c r="BG67" s="249" t="str">
        <f>IFERROR(IF(VLOOKUP(CONCATENATE($A67,"_",BG$1),SP_ACQ_Lib[],MATCH(BG$2,SP_ACQ_Lib[#Headers],0),FALSE)=0,"",VLOOKUP(CONCATENATE($A67,"_",BG$1),SP_ACQ_Lib[],MATCH(BG$2,SP_ACQ_Lib[#Headers],0),FALSE)),"")</f>
        <v/>
      </c>
      <c r="BH67" s="249" t="str">
        <f>IFERROR(IF(VLOOKUP(CONCATENATE($A67,"_",BH$1),SP_ACQ_Lib[],MATCH(BH$2,SP_ACQ_Lib[#Headers],0),FALSE)=0,"",VLOOKUP(CONCATENATE($A67,"_",BH$1),SP_ACQ_Lib[],MATCH(BH$2,SP_ACQ_Lib[#Headers],0),FALSE)),"")</f>
        <v/>
      </c>
      <c r="BI67" s="249" t="str">
        <f>IFERROR(IF(VLOOKUP(CONCATENATE($A67,"_",BI$1),SP_ACQ_Lib[],MATCH(BI$2,SP_ACQ_Lib[#Headers],0),FALSE)=0,"",VLOOKUP(CONCATENATE($A67,"_",BI$1),SP_ACQ_Lib[],MATCH(BI$2,SP_ACQ_Lib[#Headers],0),FALSE)),"")</f>
        <v/>
      </c>
      <c r="BJ67" s="249" t="str">
        <f>IFERROR(IF(VLOOKUP(CONCATENATE($A67,"_",BJ$1),SP_ACQ_Lib[],MATCH(BJ$2,SP_ACQ_Lib[#Headers],0),FALSE)=0,"",VLOOKUP(CONCATENATE($A67,"_",BJ$1),SP_ACQ_Lib[],MATCH(BJ$2,SP_ACQ_Lib[#Headers],0),FALSE)),"")</f>
        <v/>
      </c>
      <c r="BK67" s="250">
        <f>IFERROR(IF(VLOOKUP(CONCATENATE($A67,"_",BK$1),SP_ACQ_Lib[],MATCH(BK$2,SP_ACQ_Lib[#Headers],0),FALSE)=0,"",VLOOKUP(CONCATENATE($A67,"_",BK$1),SP_ACQ_Lib[],MATCH(BK$2,SP_ACQ_Lib[#Headers],0),FALSE)),"")</f>
        <v>43748</v>
      </c>
      <c r="BL67" s="249" t="str">
        <f>IFERROR(IF(VLOOKUP(CONCATENATE($A67,"_",BL$1),SP_ACQ_Lib[],MATCH(BL$2,SP_ACQ_Lib[#Headers],0),FALSE)=0,"",VLOOKUP(CONCATENATE($A67,"_",BL$1),SP_ACQ_Lib[],MATCH(BL$2,SP_ACQ_Lib[#Headers],0),FALSE)),"")</f>
        <v/>
      </c>
      <c r="BM67" s="249">
        <f>IFERROR(IF(VLOOKUP(CONCATENATE($A67,"_",BM$1),SP_ACQ_Lib[],MATCH(BM$2,SP_ACQ_Lib[#Headers],0),FALSE)=0,"",VLOOKUP(CONCATENATE($A67,"_",BM$1),SP_ACQ_Lib[],MATCH(BM$2,SP_ACQ_Lib[#Headers],0),FALSE)),"")</f>
        <v>44004</v>
      </c>
      <c r="BN67" s="249" t="str">
        <f>IFERROR(IF(VLOOKUP(CONCATENATE($A67,"_",BN$1),SP_ACQ_Lib[],MATCH(BN$2,SP_ACQ_Lib[#Headers],0),FALSE)=0,"",VLOOKUP(CONCATENATE($A67,"_",BN$1),SP_ACQ_Lib[],MATCH(BN$2,SP_ACQ_Lib[#Headers],0),FALSE)),"")</f>
        <v/>
      </c>
    </row>
    <row r="68" spans="1:66" s="226" customFormat="1" ht="25.5" x14ac:dyDescent="0.2">
      <c r="A68" s="192" t="s">
        <v>1175</v>
      </c>
      <c r="B68" s="227" t="str">
        <f>IFERROR(VLOOKUP($A68,SP_AcqTract_DB[],MATCH(B$2,SP_AcqTract_DB[#Headers],0),FALSE),"")</f>
        <v>R023003</v>
      </c>
      <c r="C68" s="228" t="str">
        <f>IFERROR(VLOOKUP($A68,SP_AcqTract_DB[],MATCH(C$2,SP_AcqTract_DB[#Headers],0),FALSE),"")</f>
        <v>PH1</v>
      </c>
      <c r="D68" s="208" t="str">
        <f>IFERROR(VLOOKUP($A68,SP_AcqTract_DB[],MATCH(D$2,SP_AcqTract_DB[#Headers],0),FALSE),"")</f>
        <v>Inactive</v>
      </c>
      <c r="E68" s="208">
        <f>IFERROR(VLOOKUP($A68,SP_AcqTract_DB[],MATCH(E$2,SP_AcqTract_DB[#Headers],0),FALSE),"")</f>
        <v>0</v>
      </c>
      <c r="F68" s="227">
        <f>IFERROR(VLOOKUP($A68,SP_AcqTract_DB[],MATCH(F$2,SP_AcqTract_DB[#Headers],0),FALSE),"")</f>
        <v>0</v>
      </c>
      <c r="G68" s="227" t="str">
        <f>IFERROR(VLOOKUP($A68,SP_AcqTract_DB[],MATCH(G$2,SP_AcqTract_DB[#Headers],0),FALSE),"")</f>
        <v>Lily Khan</v>
      </c>
      <c r="H68" s="250">
        <f>IFERROR(IF(VLOOKUP(CONCATENATE($A68,"_",H$1),SP_ACQ_Lib[],MATCH(H$2,SP_ACQ_Lib[#Headers],0),FALSE)=0,"",VLOOKUP(CONCATENATE($A68,"_",H$1),SP_ACQ_Lib[],MATCH(H$2,SP_ACQ_Lib[#Headers],0),FALSE)),"")</f>
        <v>43998.682500000003</v>
      </c>
      <c r="I68" s="227" t="str">
        <f>IFERROR(VLOOKUP($A68,SP_AcqTract_DB[],MATCH(I$2,SP_AcqTract_DB[#Headers],0),FALSE),"")</f>
        <v>Lupe Garza</v>
      </c>
      <c r="J68" s="227">
        <f>IFERROR(VLOOKUP($A68,SP_AcqTract_DB[],MATCH(J$2,SP_AcqTract_DB[#Headers],0),FALSE),"")</f>
        <v>0</v>
      </c>
      <c r="K68" s="227" t="str">
        <f>IFERROR(VLOOKUP($A68,SP_AcqTract_DB[],MATCH(K$2,SP_AcqTract_DB[#Headers],0),FALSE),"")</f>
        <v>Lupe Garza</v>
      </c>
      <c r="L68" s="227" t="str">
        <f>IFERROR(VLOOKUP($A68,SP_AcqTract_DB[],MATCH(L$2,SP_AcqTract_DB[#Headers],0),FALSE),"")</f>
        <v>427 S. Sunset</v>
      </c>
      <c r="M68" s="208" t="str">
        <f>IFERROR(VLOOKUP($A68,SP_AcqTract_DB[],MATCH(M$2,SP_AcqTract_DB[#Headers],0),FALSE),"")</f>
        <v>Wharton, TX  77488</v>
      </c>
      <c r="N68" s="227" t="str">
        <f>IFERROR(VLOOKUP($A68,SP_AcqTract_DB[],MATCH(N$2,SP_AcqTract_DB[#Headers],0),FALSE),"")</f>
        <v>427 S. Sunset</v>
      </c>
      <c r="O68" s="220">
        <f>IFERROR(VLOOKUP($A68,SP_AcqTract_DB[],MATCH(O$2,SP_AcqTract_DB[#Headers],0),FALSE),"")</f>
        <v>0</v>
      </c>
      <c r="P68" s="220">
        <f>IFERROR(VLOOKUP($A68,SP_AcqTract_DB[],MATCH(P$2,SP_AcqTract_DB[#Headers],0),FALSE),"")</f>
        <v>0</v>
      </c>
      <c r="Q68" s="208" t="str">
        <f>IFERROR(VLOOKUP($A68,SP_AcqTract_DB[],MATCH(Q$2,SP_AcqTract_DB[#Headers],0),FALSE),"")</f>
        <v>2019-0903</v>
      </c>
      <c r="R68" s="250">
        <f>IFERROR(IF(VLOOKUP(CONCATENATE($A68,"_",R$1),SP_ACQ_Lib[],MATCH(R$2,SP_ACQ_Lib[#Headers],0),FALSE)=0,"",VLOOKUP(CONCATENATE($A68,"_",R$1),SP_ACQ_Lib[],MATCH(R$2,SP_ACQ_Lib[#Headers],0),FALSE)),"")</f>
        <v>43707</v>
      </c>
      <c r="S68" s="253">
        <f>IFERROR(IF(VLOOKUP(CONCATENATE($A68,"_",S$1),SP_ACQ_Lib[],MATCH(S$2,SP_ACQ_Lib[#Headers],0),FALSE)=0,"",VLOOKUP(CONCATENATE($A68,"_",S$1),SP_ACQ_Lib[],MATCH(S$2,SP_ACQ_Lib[#Headers],0),FALSE)),"")</f>
        <v>43714</v>
      </c>
      <c r="T68" s="205" t="str">
        <f>IFERROR(VLOOKUP(CONCATENATE($A68,"_",T$1),SP_ACQ_Lib[],MATCH(T$2,SP_ACQ_Lib[#Headers],0),FALSE),0)</f>
        <v>Accepted</v>
      </c>
      <c r="U68" s="250">
        <f>IFERROR(IF(VLOOKUP(CONCATENATE($A68,"_",U$1),SP_ACQ_Lib[],MATCH(U$2,SP_ACQ_Lib[#Headers],0),FALSE)=0,"",VLOOKUP(CONCATENATE($A68,"_",U$1),SP_ACQ_Lib[],MATCH(U$2,SP_ACQ_Lib[#Headers],0),FALSE)),"")</f>
        <v>43816</v>
      </c>
      <c r="V68" s="205" t="str">
        <f>IFERROR(VLOOKUP(CONCATENATE($A68,"_",V$1),SP_ACQ_Lib[],MATCH(V$2,SP_ACQ_Lib[#Headers],0),FALSE),0)</f>
        <v>Accepted</v>
      </c>
      <c r="W68" s="209">
        <f>IFERROR(VLOOKUP(CONCATENATE($A68,"_",W$1),SP_ACQ_Lib[],MATCH(W$2,SP_ACQ_Lib[#Headers],0),FALSE),0)</f>
        <v>0</v>
      </c>
      <c r="X68" s="250">
        <f>IFERROR(VLOOKUP($A68,SP_AcqTract_DB[],MATCH(X$2,SP_AcqTract_DB[#Headers],0),FALSE),"")</f>
        <v>0</v>
      </c>
      <c r="Y68" s="237">
        <f>IFERROR(VLOOKUP($A68,SP_AcqTract_DB[],MATCH(Y$2,SP_AcqTract_DB[#Headers],0),FALSE),"")</f>
        <v>2.8833792470156099E-2</v>
      </c>
      <c r="Z68" s="229">
        <f>IFERROR(VLOOKUP($A68,SP_AcqTract_DB[],MATCH(Z$2,SP_AcqTract_DB[#Headers],0),FALSE),"")</f>
        <v>1256</v>
      </c>
      <c r="AA68" s="229" t="str">
        <f>IFERROR(VLOOKUP($A68,SP_AcqTract_DB[],MATCH(AA$2,SP_AcqTract_DB[#Headers],0),FALSE),"")</f>
        <v>Yes</v>
      </c>
      <c r="AB68" s="250">
        <f>IFERROR(IF(VLOOKUP(CONCATENATE($A68,"_",AB$1),SP_ACQ_Lib[],MATCH(AB$2,SP_ACQ_Lib[#Headers],0),FALSE)=0,"",VLOOKUP(CONCATENATE($A68,"_",AB$1),SP_ACQ_Lib[],MATCH(AB$2,SP_ACQ_Lib[#Headers],0),FALSE)),"")</f>
        <v>43867</v>
      </c>
      <c r="AC68" s="250">
        <f>IFERROR(IF(VLOOKUP(CONCATENATE($A68,"_",AC$1),SP_ACQ_Lib[],MATCH(AC$2,SP_ACQ_Lib[#Headers],0),FALSE)=0,"",VLOOKUP(CONCATENATE($A68,"_",AC$1),SP_ACQ_Lib[],MATCH(AC$2,SP_ACQ_Lib[#Headers],0),FALSE)),"")</f>
        <v>43880</v>
      </c>
      <c r="AD68" s="229" t="str">
        <f>IFERROR(VLOOKUP($A68,SP_AcqTract_DB[],MATCH(AD$2,SP_AcqTract_DB[#Headers],0),FALSE),"")</f>
        <v>No</v>
      </c>
      <c r="AE68" s="250" t="str">
        <f>IFERROR(IF(VLOOKUP(CONCATENATE($A68,"_",AE$1),SP_ACQ_Lib[],MATCH(AE$2,SP_ACQ_Lib[#Headers],0),FALSE)=0,"",VLOOKUP(CONCATENATE($A68,"_",AE$1),SP_ACQ_Lib[],MATCH(AE$2,SP_ACQ_Lib[#Headers],0),FALSE)),"")</f>
        <v/>
      </c>
      <c r="AF68" s="250" t="str">
        <f>IFERROR(IF(VLOOKUP(CONCATENATE($A68,"_",AF$1),SP_ACQ_Lib[],MATCH(AF$2,SP_ACQ_Lib[#Headers],0),FALSE)=0,"",VLOOKUP(CONCATENATE($A68,"_",AF$1),SP_ACQ_Lib[],MATCH(AF$2,SP_ACQ_Lib[#Headers],0),FALSE)),"")</f>
        <v/>
      </c>
      <c r="AG68" s="250">
        <f>IFERROR(IF(VLOOKUP(CONCATENATE($A68,"_",AG$1),SP_ACQ_Lib[],MATCH(AG$2,SP_ACQ_Lib[#Headers],0),FALSE)=0,"",VLOOKUP(CONCATENATE($A68,"_",AG$1),SP_ACQ_Lib[],MATCH(AG$2,SP_ACQ_Lib[#Headers],0),FALSE)),"")</f>
        <v>43697</v>
      </c>
      <c r="AH68" s="250">
        <f>IFERROR(IF(VLOOKUP(CONCATENATE($A68,"_",AH$1),SP_ACQ_Lib[],MATCH(AH$2,SP_ACQ_Lib[#Headers],0),FALSE)=0,"",VLOOKUP(CONCATENATE($A68,"_",AH$1),SP_ACQ_Lib[],MATCH(AH$2,SP_ACQ_Lib[#Headers],0),FALSE)),"")</f>
        <v>43732</v>
      </c>
      <c r="AI68" s="249" t="str">
        <f>IFERROR(IF(VLOOKUP(CONCATENATE($A68,"_",AI$1),SP_ACQ_Lib[],MATCH(AI$2,SP_ACQ_Lib[#Headers],0),FALSE)=0,"",VLOOKUP(CONCATENATE($A68,"_",AI$1),SP_ACQ_Lib[],MATCH(AI$2,SP_ACQ_Lib[#Headers],0),FALSE)),"")</f>
        <v/>
      </c>
      <c r="AJ68" s="249" t="str">
        <f>IFERROR(IF(VLOOKUP(CONCATENATE($A68,"_",AJ$1),SP_ACQ_Lib[],MATCH(AJ$2,SP_ACQ_Lib[#Headers],0),FALSE)=0,"",VLOOKUP(CONCATENATE($A68,"_",AJ$1),SP_ACQ_Lib[],MATCH(AJ$2,SP_ACQ_Lib[#Headers],0),FALSE)),"")</f>
        <v/>
      </c>
      <c r="AK68" s="249" t="str">
        <f>IFERROR(IF(VLOOKUP(CONCATENATE($A68,"_",AK$1),SP_ACQ_Lib[],MATCH(AK$2,SP_ACQ_Lib[#Headers],0),FALSE)=0,"",VLOOKUP(CONCATENATE($A68,"_",AK$1),SP_ACQ_Lib[],MATCH(AK$2,SP_ACQ_Lib[#Headers],0),FALSE)),"")</f>
        <v/>
      </c>
      <c r="AL68" s="249">
        <f>IFERROR(VLOOKUP($A68,SP_AcqTract_DB[],MATCH(AL$2,SP_AcqTract_DB[#Headers],0),FALSE),"")</f>
        <v>43885</v>
      </c>
      <c r="AM68" s="227" t="str">
        <f>IFERROR(VLOOKUP($A68,SP_AcqTract_DB[],MATCH(AM$2,SP_AcqTract_DB[#Headers],0),FALSE),"")</f>
        <v>Cameron Boone</v>
      </c>
      <c r="AN68" s="227" t="str">
        <f>IFERROR(VLOOKUP($A68,SP_AcqTract_DB[],MATCH(AN$2,SP_AcqTract_DB[#Headers],0),FALSE),"")</f>
        <v>Richard McGee</v>
      </c>
      <c r="AO68" s="228">
        <f>IFERROR(VLOOKUP($A68,SP_AcqTract_DB[],MATCH(AO$2,SP_AcqTract_DB[#Headers],0),FALSE),"")</f>
        <v>0</v>
      </c>
      <c r="AP68" s="210" t="str">
        <f>IFERROR(VLOOKUP($A68,SP_AcqTract_DB[],MATCH(AP$2,SP_AcqTract_DB[#Headers],0),FALSE),"")</f>
        <v>R</v>
      </c>
      <c r="AQ68" s="252" t="str">
        <f>IFERROR(IF(VLOOKUP(CONCATENATE($A68,"_",AQ$1),SP_ACQ_Lib[],MATCH(AQ$2,SP_ACQ_Lib[#Headers],0),FALSE)=0,"",VLOOKUP(CONCATENATE($A68,"_",AQ$1),SP_ACQ_Lib[],MATCH(AQ$2,SP_ACQ_Lib[#Headers],0),FALSE)),"")</f>
        <v/>
      </c>
      <c r="AR68" s="250" t="str">
        <f>IFERROR(IF(VLOOKUP(CONCATENATE($A68,"_",AR$1),SP_ACQ_Lib[],MATCH(AR$2,SP_ACQ_Lib[#Headers],0),FALSE)=0,"",VLOOKUP(CONCATENATE($A68,"_",AR$1),SP_ACQ_Lib[],MATCH(AR$2,SP_ACQ_Lib[#Headers],0),FALSE)),"")</f>
        <v/>
      </c>
      <c r="AS68" s="249">
        <f>IFERROR(IF(VLOOKUP(CONCATENATE($A68,"_",AS$1),SP_ACQ_Lib[],MATCH(AS$2,SP_ACQ_Lib[#Headers],0),FALSE)=0,"",VLOOKUP(CONCATENATE($A68,"_",AS$1),SP_ACQ_Lib[],MATCH(AS$2,SP_ACQ_Lib[#Headers],0),FALSE)),"")</f>
        <v>43765</v>
      </c>
      <c r="AT68" s="251" t="str">
        <f>IFERROR(IF(VLOOKUP(CONCATENATE($A68,"_",AT$1),SP_ACQ_Lib[],MATCH(AT$2,SP_ACQ_Lib[#Headers],0),FALSE)=0,"",VLOOKUP(CONCATENATE($A68,"_",AT$1),SP_ACQ_Lib[],MATCH(AT$2,SP_ACQ_Lib[#Headers],0),FALSE)),"")</f>
        <v/>
      </c>
      <c r="AU68" s="251" t="str">
        <f>IFERROR(IF(VLOOKUP(CONCATENATE($A68,"_",AU$1),SP_ACQ_Lib[],MATCH(AU$2,SP_ACQ_Lib[#Headers],0),FALSE)=0,"",VLOOKUP(CONCATENATE($A68,"_",AU$1),SP_ACQ_Lib[],MATCH(AU$2,SP_ACQ_Lib[#Headers],0),FALSE)),"")</f>
        <v/>
      </c>
      <c r="AV68" s="225" t="str">
        <f>IFERROR(IF(VLOOKUP(CONCATENATE($A68,"_",AV$1),SP_ACQ_Lib[],MATCH(AV$2,SP_ACQ_Lib[#Headers],0),FALSE)=0,"",VLOOKUP(CONCATENATE($A68,"_",AV$1),SP_ACQ_Lib[],MATCH(AV$2,SP_ACQ_Lib[#Headers],0),FALSE)),"")</f>
        <v/>
      </c>
      <c r="AW68" s="251" t="str">
        <f>IFERROR(IF(VLOOKUP(CONCATENATE($A68,"_",AW$1),SP_ACQ_Lib[],MATCH(AW$2,SP_ACQ_Lib[#Headers],0),FALSE)=0,"",VLOOKUP(CONCATENATE($A68,"_",AW$1),SP_ACQ_Lib[],MATCH(AW$2,SP_ACQ_Lib[#Headers],0),FALSE)),"")</f>
        <v/>
      </c>
      <c r="AX68" s="251" t="str">
        <f>IFERROR(IF(VLOOKUP(CONCATENATE($A68,"_",AX$1),SP_ACQ_Lib[],MATCH(AX$2,SP_ACQ_Lib[#Headers],0),FALSE)=0,"",VLOOKUP(CONCATENATE($A68,"_",AX$1),SP_ACQ_Lib[],MATCH(AX$2,SP_ACQ_Lib[#Headers],0),FALSE)),"")</f>
        <v/>
      </c>
      <c r="AY68" s="251" t="str">
        <f>IFERROR(IF(VLOOKUP(CONCATENATE($A68,"_",AY$1),SP_ACQ_Lib[],MATCH(AY$2,SP_ACQ_Lib[#Headers],0),FALSE)=0,"",VLOOKUP(CONCATENATE($A68,"_",AY$1),SP_ACQ_Lib[],MATCH(AY$2,SP_ACQ_Lib[#Headers],0),FALSE)),"")</f>
        <v/>
      </c>
      <c r="AZ68" s="251" t="str">
        <f>IFERROR(IF(VLOOKUP(CONCATENATE($A68,"_",AZ$1),SP_ACQ_Lib[],MATCH(AZ$2,SP_ACQ_Lib[#Headers],0),FALSE)=0,"",VLOOKUP(CONCATENATE($A68,"_",AZ$1),SP_ACQ_Lib[],MATCH(AZ$2,SP_ACQ_Lib[#Headers],0),FALSE)),"")</f>
        <v/>
      </c>
      <c r="BA68" s="251" t="str">
        <f>IFERROR(IF(VLOOKUP(CONCATENATE($A68,"_",BA$1),SP_ACQ_Lib[],MATCH(BA$2,SP_ACQ_Lib[#Headers],0),FALSE)=0,"",VLOOKUP(CONCATENATE($A68,"_",BA$1),SP_ACQ_Lib[],MATCH(BA$2,SP_ACQ_Lib[#Headers],0),FALSE)),"")</f>
        <v/>
      </c>
      <c r="BB68" s="224">
        <f>IFERROR(VLOOKUP(CONCATENATE($A68,"_",BB$1),SP_ACQ_Lib[],MATCH(BB$2,SP_ACQ_Lib[#Headers],0),FALSE),0)</f>
        <v>0</v>
      </c>
      <c r="BC68" s="231">
        <f>IFERROR(VLOOKUP($A68,SP_AcqTract_DB[],MATCH(BC$2,SP_AcqTract_DB[#Headers],0),FALSE),"")</f>
        <v>0</v>
      </c>
      <c r="BD68" s="231">
        <f>IFERROR(VLOOKUP($A68,SP_AcqTract_DB[],MATCH(BD$2,SP_AcqTract_DB[#Headers],0),FALSE),"")</f>
        <v>0</v>
      </c>
      <c r="BE68" s="249" t="str">
        <f>IFERROR(IF(VLOOKUP(CONCATENATE($A68,"_",BE$1),SP_ACQ_Lib[],MATCH(BE$2,SP_ACQ_Lib[#Headers],0),FALSE)=0,"",VLOOKUP(CONCATENATE($A68,"_",BE$1),SP_ACQ_Lib[],MATCH(BE$2,SP_ACQ_Lib[#Headers],0),FALSE)),"")</f>
        <v/>
      </c>
      <c r="BF68" s="249" t="str">
        <f>IFERROR(IF(VLOOKUP(CONCATENATE($A68,"_",BF$1),SP_ACQ_Lib[],MATCH(BF$2,SP_ACQ_Lib[#Headers],0),FALSE)=0,"",VLOOKUP(CONCATENATE($A68,"_",BF$1),SP_ACQ_Lib[],MATCH(BF$2,SP_ACQ_Lib[#Headers],0),FALSE)),"")</f>
        <v/>
      </c>
      <c r="BG68" s="249" t="str">
        <f>IFERROR(IF(VLOOKUP(CONCATENATE($A68,"_",BG$1),SP_ACQ_Lib[],MATCH(BG$2,SP_ACQ_Lib[#Headers],0),FALSE)=0,"",VLOOKUP(CONCATENATE($A68,"_",BG$1),SP_ACQ_Lib[],MATCH(BG$2,SP_ACQ_Lib[#Headers],0),FALSE)),"")</f>
        <v/>
      </c>
      <c r="BH68" s="249" t="str">
        <f>IFERROR(IF(VLOOKUP(CONCATENATE($A68,"_",BH$1),SP_ACQ_Lib[],MATCH(BH$2,SP_ACQ_Lib[#Headers],0),FALSE)=0,"",VLOOKUP(CONCATENATE($A68,"_",BH$1),SP_ACQ_Lib[],MATCH(BH$2,SP_ACQ_Lib[#Headers],0),FALSE)),"")</f>
        <v/>
      </c>
      <c r="BI68" s="249" t="str">
        <f>IFERROR(IF(VLOOKUP(CONCATENATE($A68,"_",BI$1),SP_ACQ_Lib[],MATCH(BI$2,SP_ACQ_Lib[#Headers],0),FALSE)=0,"",VLOOKUP(CONCATENATE($A68,"_",BI$1),SP_ACQ_Lib[],MATCH(BI$2,SP_ACQ_Lib[#Headers],0),FALSE)),"")</f>
        <v/>
      </c>
      <c r="BJ68" s="249" t="str">
        <f>IFERROR(IF(VLOOKUP(CONCATENATE($A68,"_",BJ$1),SP_ACQ_Lib[],MATCH(BJ$2,SP_ACQ_Lib[#Headers],0),FALSE)=0,"",VLOOKUP(CONCATENATE($A68,"_",BJ$1),SP_ACQ_Lib[],MATCH(BJ$2,SP_ACQ_Lib[#Headers],0),FALSE)),"")</f>
        <v/>
      </c>
      <c r="BK68" s="250">
        <f>IFERROR(IF(VLOOKUP(CONCATENATE($A68,"_",BK$1),SP_ACQ_Lib[],MATCH(BK$2,SP_ACQ_Lib[#Headers],0),FALSE)=0,"",VLOOKUP(CONCATENATE($A68,"_",BK$1),SP_ACQ_Lib[],MATCH(BK$2,SP_ACQ_Lib[#Headers],0),FALSE)),"")</f>
        <v>43748</v>
      </c>
      <c r="BL68" s="249" t="str">
        <f>IFERROR(IF(VLOOKUP(CONCATENATE($A68,"_",BL$1),SP_ACQ_Lib[],MATCH(BL$2,SP_ACQ_Lib[#Headers],0),FALSE)=0,"",VLOOKUP(CONCATENATE($A68,"_",BL$1),SP_ACQ_Lib[],MATCH(BL$2,SP_ACQ_Lib[#Headers],0),FALSE)),"")</f>
        <v/>
      </c>
      <c r="BM68" s="249" t="str">
        <f>IFERROR(IF(VLOOKUP(CONCATENATE($A68,"_",BM$1),SP_ACQ_Lib[],MATCH(BM$2,SP_ACQ_Lib[#Headers],0),FALSE)=0,"",VLOOKUP(CONCATENATE($A68,"_",BM$1),SP_ACQ_Lib[],MATCH(BM$2,SP_ACQ_Lib[#Headers],0),FALSE)),"")</f>
        <v/>
      </c>
      <c r="BN68" s="249" t="str">
        <f>IFERROR(IF(VLOOKUP(CONCATENATE($A68,"_",BN$1),SP_ACQ_Lib[],MATCH(BN$2,SP_ACQ_Lib[#Headers],0),FALSE)=0,"",VLOOKUP(CONCATENATE($A68,"_",BN$1),SP_ACQ_Lib[],MATCH(BN$2,SP_ACQ_Lib[#Headers],0),FALSE)),"")</f>
        <v/>
      </c>
    </row>
    <row r="69" spans="1:66" s="226" customFormat="1" ht="15.75" x14ac:dyDescent="0.2">
      <c r="A69" s="192" t="s">
        <v>5260</v>
      </c>
      <c r="B69" s="227" t="str">
        <f>IFERROR(VLOOKUP($A69,SP_AcqTract_DB[],MATCH(B$2,SP_AcqTract_DB[#Headers],0),FALSE),"")</f>
        <v>R018674</v>
      </c>
      <c r="C69" s="228" t="str">
        <f>IFERROR(VLOOKUP($A69,SP_AcqTract_DB[],MATCH(C$2,SP_AcqTract_DB[#Headers],0),FALSE),"")</f>
        <v>PH2</v>
      </c>
      <c r="D69" s="208" t="str">
        <f>IFERROR(VLOOKUP($A69,SP_AcqTract_DB[],MATCH(D$2,SP_AcqTract_DB[#Headers],0),FALSE),"")</f>
        <v>Active</v>
      </c>
      <c r="E69" s="208">
        <f>IFERROR(VLOOKUP($A69,SP_AcqTract_DB[],MATCH(E$2,SP_AcqTract_DB[#Headers],0),FALSE),"")</f>
        <v>0</v>
      </c>
      <c r="F69" s="227">
        <f>IFERROR(VLOOKUP($A69,SP_AcqTract_DB[],MATCH(F$2,SP_AcqTract_DB[#Headers],0),FALSE),"")</f>
        <v>0</v>
      </c>
      <c r="G69" s="227" t="str">
        <f>IFERROR(VLOOKUP($A69,SP_AcqTract_DB[],MATCH(G$2,SP_AcqTract_DB[#Headers],0),FALSE),"")</f>
        <v>Darlene Snow</v>
      </c>
      <c r="H69" s="250">
        <f>IFERROR(IF(VLOOKUP(CONCATENATE($A69,"_",H$1),SP_ACQ_Lib[],MATCH(H$2,SP_ACQ_Lib[#Headers],0),FALSE)=0,"",VLOOKUP(CONCATENATE($A69,"_",H$1),SP_ACQ_Lib[],MATCH(H$2,SP_ACQ_Lib[#Headers],0),FALSE)),"")</f>
        <v>44007.877500000002</v>
      </c>
      <c r="I69" s="227" t="str">
        <f>IFERROR(VLOOKUP($A69,SP_AcqTract_DB[],MATCH(I$2,SP_AcqTract_DB[#Headers],0),FALSE),"")</f>
        <v>Rodriguez Joe Sr</v>
      </c>
      <c r="J69" s="227">
        <f>IFERROR(VLOOKUP($A69,SP_AcqTract_DB[],MATCH(J$2,SP_AcqTract_DB[#Headers],0),FALSE),"")</f>
        <v>0</v>
      </c>
      <c r="K69" s="227">
        <f>IFERROR(VLOOKUP($A69,SP_AcqTract_DB[],MATCH(K$2,SP_AcqTract_DB[#Headers],0),FALSE),"")</f>
        <v>0</v>
      </c>
      <c r="L69" s="227">
        <f>IFERROR(VLOOKUP($A69,SP_AcqTract_DB[],MATCH(L$2,SP_AcqTract_DB[#Headers],0),FALSE),"")</f>
        <v>0</v>
      </c>
      <c r="M69" s="208">
        <f>IFERROR(VLOOKUP($A69,SP_AcqTract_DB[],MATCH(M$2,SP_AcqTract_DB[#Headers],0),FALSE),"")</f>
        <v>0</v>
      </c>
      <c r="N69" s="227" t="str">
        <f>IFERROR(VLOOKUP($A69,SP_AcqTract_DB[],MATCH(N$2,SP_AcqTract_DB[#Headers],0),FALSE),"")</f>
        <v>922 CR 188</v>
      </c>
      <c r="O69" s="220">
        <f>IFERROR(VLOOKUP($A69,SP_AcqTract_DB[],MATCH(O$2,SP_AcqTract_DB[#Headers],0),FALSE),"")</f>
        <v>0</v>
      </c>
      <c r="P69" s="220">
        <f>IFERROR(VLOOKUP($A69,SP_AcqTract_DB[],MATCH(P$2,SP_AcqTract_DB[#Headers],0),FALSE),"")</f>
        <v>0</v>
      </c>
      <c r="Q69" s="208">
        <f>IFERROR(VLOOKUP($A69,SP_AcqTract_DB[],MATCH(Q$2,SP_AcqTract_DB[#Headers],0),FALSE),"")</f>
        <v>0</v>
      </c>
      <c r="R69" s="250" t="str">
        <f>IFERROR(IF(VLOOKUP(CONCATENATE($A69,"_",R$1),SP_ACQ_Lib[],MATCH(R$2,SP_ACQ_Lib[#Headers],0),FALSE)=0,"",VLOOKUP(CONCATENATE($A69,"_",R$1),SP_ACQ_Lib[],MATCH(R$2,SP_ACQ_Lib[#Headers],0),FALSE)),"")</f>
        <v/>
      </c>
      <c r="S69" s="253" t="str">
        <f>IFERROR(IF(VLOOKUP(CONCATENATE($A69,"_",S$1),SP_ACQ_Lib[],MATCH(S$2,SP_ACQ_Lib[#Headers],0),FALSE)=0,"",VLOOKUP(CONCATENATE($A69,"_",S$1),SP_ACQ_Lib[],MATCH(S$2,SP_ACQ_Lib[#Headers],0),FALSE)),"")</f>
        <v/>
      </c>
      <c r="T69" s="205">
        <f>IFERROR(VLOOKUP(CONCATENATE($A69,"_",T$1),SP_ACQ_Lib[],MATCH(T$2,SP_ACQ_Lib[#Headers],0),FALSE),0)</f>
        <v>0</v>
      </c>
      <c r="U69" s="250" t="str">
        <f>IFERROR(IF(VLOOKUP(CONCATENATE($A69,"_",U$1),SP_ACQ_Lib[],MATCH(U$2,SP_ACQ_Lib[#Headers],0),FALSE)=0,"",VLOOKUP(CONCATENATE($A69,"_",U$1),SP_ACQ_Lib[],MATCH(U$2,SP_ACQ_Lib[#Headers],0),FALSE)),"")</f>
        <v/>
      </c>
      <c r="V69" s="205" t="str">
        <f>IFERROR(VLOOKUP(CONCATENATE($A69,"_",V$1),SP_ACQ_Lib[],MATCH(V$2,SP_ACQ_Lib[#Headers],0),FALSE),0)</f>
        <v>Accepted</v>
      </c>
      <c r="W69" s="209">
        <f>IFERROR(VLOOKUP(CONCATENATE($A69,"_",W$1),SP_ACQ_Lib[],MATCH(W$2,SP_ACQ_Lib[#Headers],0),FALSE),0)</f>
        <v>0</v>
      </c>
      <c r="X69" s="250">
        <f>IFERROR(VLOOKUP($A69,SP_AcqTract_DB[],MATCH(X$2,SP_AcqTract_DB[#Headers],0),FALSE),"")</f>
        <v>0</v>
      </c>
      <c r="Y69" s="237">
        <f>IFERROR(VLOOKUP($A69,SP_AcqTract_DB[],MATCH(Y$2,SP_AcqTract_DB[#Headers],0),FALSE),"")</f>
        <v>0</v>
      </c>
      <c r="Z69" s="229">
        <f>IFERROR(VLOOKUP($A69,SP_AcqTract_DB[],MATCH(Z$2,SP_AcqTract_DB[#Headers],0),FALSE),"")</f>
        <v>0</v>
      </c>
      <c r="AA69" s="229">
        <f>IFERROR(VLOOKUP($A69,SP_AcqTract_DB[],MATCH(AA$2,SP_AcqTract_DB[#Headers],0),FALSE),"")</f>
        <v>0</v>
      </c>
      <c r="AB69" s="250" t="str">
        <f>IFERROR(IF(VLOOKUP(CONCATENATE($A69,"_",AB$1),SP_ACQ_Lib[],MATCH(AB$2,SP_ACQ_Lib[#Headers],0),FALSE)=0,"",VLOOKUP(CONCATENATE($A69,"_",AB$1),SP_ACQ_Lib[],MATCH(AB$2,SP_ACQ_Lib[#Headers],0),FALSE)),"")</f>
        <v/>
      </c>
      <c r="AC69" s="250" t="str">
        <f>IFERROR(IF(VLOOKUP(CONCATENATE($A69,"_",AC$1),SP_ACQ_Lib[],MATCH(AC$2,SP_ACQ_Lib[#Headers],0),FALSE)=0,"",VLOOKUP(CONCATENATE($A69,"_",AC$1),SP_ACQ_Lib[],MATCH(AC$2,SP_ACQ_Lib[#Headers],0),FALSE)),"")</f>
        <v/>
      </c>
      <c r="AD69" s="229">
        <f>IFERROR(VLOOKUP($A69,SP_AcqTract_DB[],MATCH(AD$2,SP_AcqTract_DB[#Headers],0),FALSE),"")</f>
        <v>0</v>
      </c>
      <c r="AE69" s="250" t="str">
        <f>IFERROR(IF(VLOOKUP(CONCATENATE($A69,"_",AE$1),SP_ACQ_Lib[],MATCH(AE$2,SP_ACQ_Lib[#Headers],0),FALSE)=0,"",VLOOKUP(CONCATENATE($A69,"_",AE$1),SP_ACQ_Lib[],MATCH(AE$2,SP_ACQ_Lib[#Headers],0),FALSE)),"")</f>
        <v/>
      </c>
      <c r="AF69" s="250" t="str">
        <f>IFERROR(IF(VLOOKUP(CONCATENATE($A69,"_",AF$1),SP_ACQ_Lib[],MATCH(AF$2,SP_ACQ_Lib[#Headers],0),FALSE)=0,"",VLOOKUP(CONCATENATE($A69,"_",AF$1),SP_ACQ_Lib[],MATCH(AF$2,SP_ACQ_Lib[#Headers],0),FALSE)),"")</f>
        <v/>
      </c>
      <c r="AG69" s="250" t="str">
        <f>IFERROR(IF(VLOOKUP(CONCATENATE($A69,"_",AG$1),SP_ACQ_Lib[],MATCH(AG$2,SP_ACQ_Lib[#Headers],0),FALSE)=0,"",VLOOKUP(CONCATENATE($A69,"_",AG$1),SP_ACQ_Lib[],MATCH(AG$2,SP_ACQ_Lib[#Headers],0),FALSE)),"")</f>
        <v/>
      </c>
      <c r="AH69" s="250" t="str">
        <f>IFERROR(IF(VLOOKUP(CONCATENATE($A69,"_",AH$1),SP_ACQ_Lib[],MATCH(AH$2,SP_ACQ_Lib[#Headers],0),FALSE)=0,"",VLOOKUP(CONCATENATE($A69,"_",AH$1),SP_ACQ_Lib[],MATCH(AH$2,SP_ACQ_Lib[#Headers],0),FALSE)),"")</f>
        <v/>
      </c>
      <c r="AI69" s="249">
        <f>IFERROR(IF(VLOOKUP(CONCATENATE($A69,"_",AI$1),SP_ACQ_Lib[],MATCH(AI$2,SP_ACQ_Lib[#Headers],0),FALSE)=0,"",VLOOKUP(CONCATENATE($A69,"_",AI$1),SP_ACQ_Lib[],MATCH(AI$2,SP_ACQ_Lib[#Headers],0),FALSE)),"")</f>
        <v>43984</v>
      </c>
      <c r="AJ69" s="249">
        <f>IFERROR(IF(VLOOKUP(CONCATENATE($A69,"_",AJ$1),SP_ACQ_Lib[],MATCH(AJ$2,SP_ACQ_Lib[#Headers],0),FALSE)=0,"",VLOOKUP(CONCATENATE($A69,"_",AJ$1),SP_ACQ_Lib[],MATCH(AJ$2,SP_ACQ_Lib[#Headers],0),FALSE)),"")</f>
        <v>44004</v>
      </c>
      <c r="AK69" s="249">
        <f>IFERROR(IF(VLOOKUP(CONCATENATE($A69,"_",AK$1),SP_ACQ_Lib[],MATCH(AK$2,SP_ACQ_Lib[#Headers],0),FALSE)=0,"",VLOOKUP(CONCATENATE($A69,"_",AK$1),SP_ACQ_Lib[],MATCH(AK$2,SP_ACQ_Lib[#Headers],0),FALSE)),"")</f>
        <v>44187</v>
      </c>
      <c r="AL69" s="249">
        <f>IFERROR(VLOOKUP($A69,SP_AcqTract_DB[],MATCH(AL$2,SP_AcqTract_DB[#Headers],0),FALSE),"")</f>
        <v>0</v>
      </c>
      <c r="AM69" s="227">
        <f>IFERROR(VLOOKUP($A69,SP_AcqTract_DB[],MATCH(AM$2,SP_AcqTract_DB[#Headers],0),FALSE),"")</f>
        <v>0</v>
      </c>
      <c r="AN69" s="227">
        <f>IFERROR(VLOOKUP($A69,SP_AcqTract_DB[],MATCH(AN$2,SP_AcqTract_DB[#Headers],0),FALSE),"")</f>
        <v>0</v>
      </c>
      <c r="AO69" s="228">
        <f>IFERROR(VLOOKUP($A69,SP_AcqTract_DB[],MATCH(AO$2,SP_AcqTract_DB[#Headers],0),FALSE),"")</f>
        <v>0</v>
      </c>
      <c r="AP69" s="210">
        <f>IFERROR(VLOOKUP($A69,SP_AcqTract_DB[],MATCH(AP$2,SP_AcqTract_DB[#Headers],0),FALSE),"")</f>
        <v>0</v>
      </c>
      <c r="AQ69" s="252" t="str">
        <f>IFERROR(IF(VLOOKUP(CONCATENATE($A69,"_",AQ$1),SP_ACQ_Lib[],MATCH(AQ$2,SP_ACQ_Lib[#Headers],0),FALSE)=0,"",VLOOKUP(CONCATENATE($A69,"_",AQ$1),SP_ACQ_Lib[],MATCH(AQ$2,SP_ACQ_Lib[#Headers],0),FALSE)),"")</f>
        <v/>
      </c>
      <c r="AR69" s="250" t="str">
        <f>IFERROR(IF(VLOOKUP(CONCATENATE($A69,"_",AR$1),SP_ACQ_Lib[],MATCH(AR$2,SP_ACQ_Lib[#Headers],0),FALSE)=0,"",VLOOKUP(CONCATENATE($A69,"_",AR$1),SP_ACQ_Lib[],MATCH(AR$2,SP_ACQ_Lib[#Headers],0),FALSE)),"")</f>
        <v/>
      </c>
      <c r="AS69" s="249" t="str">
        <f>IFERROR(IF(VLOOKUP(CONCATENATE($A69,"_",AS$1),SP_ACQ_Lib[],MATCH(AS$2,SP_ACQ_Lib[#Headers],0),FALSE)=0,"",VLOOKUP(CONCATENATE($A69,"_",AS$1),SP_ACQ_Lib[],MATCH(AS$2,SP_ACQ_Lib[#Headers],0),FALSE)),"")</f>
        <v/>
      </c>
      <c r="AT69" s="251" t="str">
        <f>IFERROR(IF(VLOOKUP(CONCATENATE($A69,"_",AT$1),SP_ACQ_Lib[],MATCH(AT$2,SP_ACQ_Lib[#Headers],0),FALSE)=0,"",VLOOKUP(CONCATENATE($A69,"_",AT$1),SP_ACQ_Lib[],MATCH(AT$2,SP_ACQ_Lib[#Headers],0),FALSE)),"")</f>
        <v/>
      </c>
      <c r="AU69" s="251" t="str">
        <f>IFERROR(IF(VLOOKUP(CONCATENATE($A69,"_",AU$1),SP_ACQ_Lib[],MATCH(AU$2,SP_ACQ_Lib[#Headers],0),FALSE)=0,"",VLOOKUP(CONCATENATE($A69,"_",AU$1),SP_ACQ_Lib[],MATCH(AU$2,SP_ACQ_Lib[#Headers],0),FALSE)),"")</f>
        <v/>
      </c>
      <c r="AV69" s="225" t="str">
        <f>IFERROR(IF(VLOOKUP(CONCATENATE($A69,"_",AV$1),SP_ACQ_Lib[],MATCH(AV$2,SP_ACQ_Lib[#Headers],0),FALSE)=0,"",VLOOKUP(CONCATENATE($A69,"_",AV$1),SP_ACQ_Lib[],MATCH(AV$2,SP_ACQ_Lib[#Headers],0),FALSE)),"")</f>
        <v/>
      </c>
      <c r="AW69" s="251" t="str">
        <f>IFERROR(IF(VLOOKUP(CONCATENATE($A69,"_",AW$1),SP_ACQ_Lib[],MATCH(AW$2,SP_ACQ_Lib[#Headers],0),FALSE)=0,"",VLOOKUP(CONCATENATE($A69,"_",AW$1),SP_ACQ_Lib[],MATCH(AW$2,SP_ACQ_Lib[#Headers],0),FALSE)),"")</f>
        <v/>
      </c>
      <c r="AX69" s="251" t="str">
        <f>IFERROR(IF(VLOOKUP(CONCATENATE($A69,"_",AX$1),SP_ACQ_Lib[],MATCH(AX$2,SP_ACQ_Lib[#Headers],0),FALSE)=0,"",VLOOKUP(CONCATENATE($A69,"_",AX$1),SP_ACQ_Lib[],MATCH(AX$2,SP_ACQ_Lib[#Headers],0),FALSE)),"")</f>
        <v/>
      </c>
      <c r="AY69" s="251" t="str">
        <f>IFERROR(IF(VLOOKUP(CONCATENATE($A69,"_",AY$1),SP_ACQ_Lib[],MATCH(AY$2,SP_ACQ_Lib[#Headers],0),FALSE)=0,"",VLOOKUP(CONCATENATE($A69,"_",AY$1),SP_ACQ_Lib[],MATCH(AY$2,SP_ACQ_Lib[#Headers],0),FALSE)),"")</f>
        <v/>
      </c>
      <c r="AZ69" s="251" t="str">
        <f>IFERROR(IF(VLOOKUP(CONCATENATE($A69,"_",AZ$1),SP_ACQ_Lib[],MATCH(AZ$2,SP_ACQ_Lib[#Headers],0),FALSE)=0,"",VLOOKUP(CONCATENATE($A69,"_",AZ$1),SP_ACQ_Lib[],MATCH(AZ$2,SP_ACQ_Lib[#Headers],0),FALSE)),"")</f>
        <v/>
      </c>
      <c r="BA69" s="251" t="str">
        <f>IFERROR(IF(VLOOKUP(CONCATENATE($A69,"_",BA$1),SP_ACQ_Lib[],MATCH(BA$2,SP_ACQ_Lib[#Headers],0),FALSE)=0,"",VLOOKUP(CONCATENATE($A69,"_",BA$1),SP_ACQ_Lib[],MATCH(BA$2,SP_ACQ_Lib[#Headers],0),FALSE)),"")</f>
        <v/>
      </c>
      <c r="BB69" s="224">
        <f>IFERROR(VLOOKUP(CONCATENATE($A69,"_",BB$1),SP_ACQ_Lib[],MATCH(BB$2,SP_ACQ_Lib[#Headers],0),FALSE),0)</f>
        <v>0</v>
      </c>
      <c r="BC69" s="231">
        <f>IFERROR(VLOOKUP($A69,SP_AcqTract_DB[],MATCH(BC$2,SP_AcqTract_DB[#Headers],0),FALSE),"")</f>
        <v>0</v>
      </c>
      <c r="BD69" s="231">
        <f>IFERROR(VLOOKUP($A69,SP_AcqTract_DB[],MATCH(BD$2,SP_AcqTract_DB[#Headers],0),FALSE),"")</f>
        <v>0</v>
      </c>
      <c r="BE69" s="249" t="str">
        <f>IFERROR(IF(VLOOKUP(CONCATENATE($A69,"_",BE$1),SP_ACQ_Lib[],MATCH(BE$2,SP_ACQ_Lib[#Headers],0),FALSE)=0,"",VLOOKUP(CONCATENATE($A69,"_",BE$1),SP_ACQ_Lib[],MATCH(BE$2,SP_ACQ_Lib[#Headers],0),FALSE)),"")</f>
        <v/>
      </c>
      <c r="BF69" s="249" t="str">
        <f>IFERROR(IF(VLOOKUP(CONCATENATE($A69,"_",BF$1),SP_ACQ_Lib[],MATCH(BF$2,SP_ACQ_Lib[#Headers],0),FALSE)=0,"",VLOOKUP(CONCATENATE($A69,"_",BF$1),SP_ACQ_Lib[],MATCH(BF$2,SP_ACQ_Lib[#Headers],0),FALSE)),"")</f>
        <v/>
      </c>
      <c r="BG69" s="249" t="str">
        <f>IFERROR(IF(VLOOKUP(CONCATENATE($A69,"_",BG$1),SP_ACQ_Lib[],MATCH(BG$2,SP_ACQ_Lib[#Headers],0),FALSE)=0,"",VLOOKUP(CONCATENATE($A69,"_",BG$1),SP_ACQ_Lib[],MATCH(BG$2,SP_ACQ_Lib[#Headers],0),FALSE)),"")</f>
        <v/>
      </c>
      <c r="BH69" s="249" t="str">
        <f>IFERROR(IF(VLOOKUP(CONCATENATE($A69,"_",BH$1),SP_ACQ_Lib[],MATCH(BH$2,SP_ACQ_Lib[#Headers],0),FALSE)=0,"",VLOOKUP(CONCATENATE($A69,"_",BH$1),SP_ACQ_Lib[],MATCH(BH$2,SP_ACQ_Lib[#Headers],0),FALSE)),"")</f>
        <v/>
      </c>
      <c r="BI69" s="249" t="str">
        <f>IFERROR(IF(VLOOKUP(CONCATENATE($A69,"_",BI$1),SP_ACQ_Lib[],MATCH(BI$2,SP_ACQ_Lib[#Headers],0),FALSE)=0,"",VLOOKUP(CONCATENATE($A69,"_",BI$1),SP_ACQ_Lib[],MATCH(BI$2,SP_ACQ_Lib[#Headers],0),FALSE)),"")</f>
        <v/>
      </c>
      <c r="BJ69" s="249" t="str">
        <f>IFERROR(IF(VLOOKUP(CONCATENATE($A69,"_",BJ$1),SP_ACQ_Lib[],MATCH(BJ$2,SP_ACQ_Lib[#Headers],0),FALSE)=0,"",VLOOKUP(CONCATENATE($A69,"_",BJ$1),SP_ACQ_Lib[],MATCH(BJ$2,SP_ACQ_Lib[#Headers],0),FALSE)),"")</f>
        <v/>
      </c>
      <c r="BK69" s="250" t="str">
        <f>IFERROR(IF(VLOOKUP(CONCATENATE($A69,"_",BK$1),SP_ACQ_Lib[],MATCH(BK$2,SP_ACQ_Lib[#Headers],0),FALSE)=0,"",VLOOKUP(CONCATENATE($A69,"_",BK$1),SP_ACQ_Lib[],MATCH(BK$2,SP_ACQ_Lib[#Headers],0),FALSE)),"")</f>
        <v/>
      </c>
      <c r="BL69" s="249" t="str">
        <f>IFERROR(IF(VLOOKUP(CONCATENATE($A69,"_",BL$1),SP_ACQ_Lib[],MATCH(BL$2,SP_ACQ_Lib[#Headers],0),FALSE)=0,"",VLOOKUP(CONCATENATE($A69,"_",BL$1),SP_ACQ_Lib[],MATCH(BL$2,SP_ACQ_Lib[#Headers],0),FALSE)),"")</f>
        <v/>
      </c>
      <c r="BM69" s="249" t="str">
        <f>IFERROR(IF(VLOOKUP(CONCATENATE($A69,"_",BM$1),SP_ACQ_Lib[],MATCH(BM$2,SP_ACQ_Lib[#Headers],0),FALSE)=0,"",VLOOKUP(CONCATENATE($A69,"_",BM$1),SP_ACQ_Lib[],MATCH(BM$2,SP_ACQ_Lib[#Headers],0),FALSE)),"")</f>
        <v/>
      </c>
      <c r="BN69" s="249" t="str">
        <f>IFERROR(IF(VLOOKUP(CONCATENATE($A69,"_",BN$1),SP_ACQ_Lib[],MATCH(BN$2,SP_ACQ_Lib[#Headers],0),FALSE)=0,"",VLOOKUP(CONCATENATE($A69,"_",BN$1),SP_ACQ_Lib[],MATCH(BN$2,SP_ACQ_Lib[#Headers],0),FALSE)),"")</f>
        <v/>
      </c>
    </row>
    <row r="70" spans="1:66" s="226" customFormat="1" ht="15.75" x14ac:dyDescent="0.2">
      <c r="A70" s="192" t="s">
        <v>5262</v>
      </c>
      <c r="B70" s="227" t="str">
        <f>IFERROR(VLOOKUP($A70,SP_AcqTract_DB[],MATCH(B$2,SP_AcqTract_DB[#Headers],0),FALSE),"")</f>
        <v>R018678</v>
      </c>
      <c r="C70" s="228" t="str">
        <f>IFERROR(VLOOKUP($A70,SP_AcqTract_DB[],MATCH(C$2,SP_AcqTract_DB[#Headers],0),FALSE),"")</f>
        <v>PH2</v>
      </c>
      <c r="D70" s="208" t="str">
        <f>IFERROR(VLOOKUP($A70,SP_AcqTract_DB[],MATCH(D$2,SP_AcqTract_DB[#Headers],0),FALSE),"")</f>
        <v>Active</v>
      </c>
      <c r="E70" s="208">
        <f>IFERROR(VLOOKUP($A70,SP_AcqTract_DB[],MATCH(E$2,SP_AcqTract_DB[#Headers],0),FALSE),"")</f>
        <v>0</v>
      </c>
      <c r="F70" s="227">
        <f>IFERROR(VLOOKUP($A70,SP_AcqTract_DB[],MATCH(F$2,SP_AcqTract_DB[#Headers],0),FALSE),"")</f>
        <v>0</v>
      </c>
      <c r="G70" s="227" t="str">
        <f>IFERROR(VLOOKUP($A70,SP_AcqTract_DB[],MATCH(G$2,SP_AcqTract_DB[#Headers],0),FALSE),"")</f>
        <v>Darlene Snow</v>
      </c>
      <c r="H70" s="250">
        <f>IFERROR(IF(VLOOKUP(CONCATENATE($A70,"_",H$1),SP_ACQ_Lib[],MATCH(H$2,SP_ACQ_Lib[#Headers],0),FALSE)=0,"",VLOOKUP(CONCATENATE($A70,"_",H$1),SP_ACQ_Lib[],MATCH(H$2,SP_ACQ_Lib[#Headers],0),FALSE)),"")</f>
        <v>43997.352847222224</v>
      </c>
      <c r="I70" s="227" t="str">
        <f>IFERROR(VLOOKUP($A70,SP_AcqTract_DB[],MATCH(I$2,SP_AcqTract_DB[#Headers],0),FALSE),"")</f>
        <v>Garcia Juan Jr</v>
      </c>
      <c r="J70" s="227">
        <f>IFERROR(VLOOKUP($A70,SP_AcqTract_DB[],MATCH(J$2,SP_AcqTract_DB[#Headers],0),FALSE),"")</f>
        <v>0</v>
      </c>
      <c r="K70" s="227">
        <f>IFERROR(VLOOKUP($A70,SP_AcqTract_DB[],MATCH(K$2,SP_AcqTract_DB[#Headers],0),FALSE),"")</f>
        <v>0</v>
      </c>
      <c r="L70" s="227">
        <f>IFERROR(VLOOKUP($A70,SP_AcqTract_DB[],MATCH(L$2,SP_AcqTract_DB[#Headers],0),FALSE),"")</f>
        <v>0</v>
      </c>
      <c r="M70" s="208">
        <f>IFERROR(VLOOKUP($A70,SP_AcqTract_DB[],MATCH(M$2,SP_AcqTract_DB[#Headers],0),FALSE),"")</f>
        <v>0</v>
      </c>
      <c r="N70" s="227" t="str">
        <f>IFERROR(VLOOKUP($A70,SP_AcqTract_DB[],MATCH(N$2,SP_AcqTract_DB[#Headers],0),FALSE),"")</f>
        <v>927 CR 188</v>
      </c>
      <c r="O70" s="220">
        <f>IFERROR(VLOOKUP($A70,SP_AcqTract_DB[],MATCH(O$2,SP_AcqTract_DB[#Headers],0),FALSE),"")</f>
        <v>0</v>
      </c>
      <c r="P70" s="220">
        <f>IFERROR(VLOOKUP($A70,SP_AcqTract_DB[],MATCH(P$2,SP_AcqTract_DB[#Headers],0),FALSE),"")</f>
        <v>0</v>
      </c>
      <c r="Q70" s="208">
        <f>IFERROR(VLOOKUP($A70,SP_AcqTract_DB[],MATCH(Q$2,SP_AcqTract_DB[#Headers],0),FALSE),"")</f>
        <v>0</v>
      </c>
      <c r="R70" s="250" t="str">
        <f>IFERROR(IF(VLOOKUP(CONCATENATE($A70,"_",R$1),SP_ACQ_Lib[],MATCH(R$2,SP_ACQ_Lib[#Headers],0),FALSE)=0,"",VLOOKUP(CONCATENATE($A70,"_",R$1),SP_ACQ_Lib[],MATCH(R$2,SP_ACQ_Lib[#Headers],0),FALSE)),"")</f>
        <v/>
      </c>
      <c r="S70" s="253" t="str">
        <f>IFERROR(IF(VLOOKUP(CONCATENATE($A70,"_",S$1),SP_ACQ_Lib[],MATCH(S$2,SP_ACQ_Lib[#Headers],0),FALSE)=0,"",VLOOKUP(CONCATENATE($A70,"_",S$1),SP_ACQ_Lib[],MATCH(S$2,SP_ACQ_Lib[#Headers],0),FALSE)),"")</f>
        <v/>
      </c>
      <c r="T70" s="205">
        <f>IFERROR(VLOOKUP(CONCATENATE($A70,"_",T$1),SP_ACQ_Lib[],MATCH(T$2,SP_ACQ_Lib[#Headers],0),FALSE),0)</f>
        <v>0</v>
      </c>
      <c r="U70" s="250" t="str">
        <f>IFERROR(IF(VLOOKUP(CONCATENATE($A70,"_",U$1),SP_ACQ_Lib[],MATCH(U$2,SP_ACQ_Lib[#Headers],0),FALSE)=0,"",VLOOKUP(CONCATENATE($A70,"_",U$1),SP_ACQ_Lib[],MATCH(U$2,SP_ACQ_Lib[#Headers],0),FALSE)),"")</f>
        <v/>
      </c>
      <c r="V70" s="205" t="str">
        <f>IFERROR(VLOOKUP(CONCATENATE($A70,"_",V$1),SP_ACQ_Lib[],MATCH(V$2,SP_ACQ_Lib[#Headers],0),FALSE),0)</f>
        <v>Accepted</v>
      </c>
      <c r="W70" s="209">
        <f>IFERROR(VLOOKUP(CONCATENATE($A70,"_",W$1),SP_ACQ_Lib[],MATCH(W$2,SP_ACQ_Lib[#Headers],0),FALSE),0)</f>
        <v>0</v>
      </c>
      <c r="X70" s="250">
        <f>IFERROR(VLOOKUP($A70,SP_AcqTract_DB[],MATCH(X$2,SP_AcqTract_DB[#Headers],0),FALSE),"")</f>
        <v>0</v>
      </c>
      <c r="Y70" s="237">
        <f>IFERROR(VLOOKUP($A70,SP_AcqTract_DB[],MATCH(Y$2,SP_AcqTract_DB[#Headers],0),FALSE),"")</f>
        <v>0</v>
      </c>
      <c r="Z70" s="229">
        <f>IFERROR(VLOOKUP($A70,SP_AcqTract_DB[],MATCH(Z$2,SP_AcqTract_DB[#Headers],0),FALSE),"")</f>
        <v>0</v>
      </c>
      <c r="AA70" s="229">
        <f>IFERROR(VLOOKUP($A70,SP_AcqTract_DB[],MATCH(AA$2,SP_AcqTract_DB[#Headers],0),FALSE),"")</f>
        <v>0</v>
      </c>
      <c r="AB70" s="250" t="str">
        <f>IFERROR(IF(VLOOKUP(CONCATENATE($A70,"_",AB$1),SP_ACQ_Lib[],MATCH(AB$2,SP_ACQ_Lib[#Headers],0),FALSE)=0,"",VLOOKUP(CONCATENATE($A70,"_",AB$1),SP_ACQ_Lib[],MATCH(AB$2,SP_ACQ_Lib[#Headers],0),FALSE)),"")</f>
        <v/>
      </c>
      <c r="AC70" s="250" t="str">
        <f>IFERROR(IF(VLOOKUP(CONCATENATE($A70,"_",AC$1),SP_ACQ_Lib[],MATCH(AC$2,SP_ACQ_Lib[#Headers],0),FALSE)=0,"",VLOOKUP(CONCATENATE($A70,"_",AC$1),SP_ACQ_Lib[],MATCH(AC$2,SP_ACQ_Lib[#Headers],0),FALSE)),"")</f>
        <v/>
      </c>
      <c r="AD70" s="229">
        <f>IFERROR(VLOOKUP($A70,SP_AcqTract_DB[],MATCH(AD$2,SP_AcqTract_DB[#Headers],0),FALSE),"")</f>
        <v>0</v>
      </c>
      <c r="AE70" s="250" t="str">
        <f>IFERROR(IF(VLOOKUP(CONCATENATE($A70,"_",AE$1),SP_ACQ_Lib[],MATCH(AE$2,SP_ACQ_Lib[#Headers],0),FALSE)=0,"",VLOOKUP(CONCATENATE($A70,"_",AE$1),SP_ACQ_Lib[],MATCH(AE$2,SP_ACQ_Lib[#Headers],0),FALSE)),"")</f>
        <v/>
      </c>
      <c r="AF70" s="250" t="str">
        <f>IFERROR(IF(VLOOKUP(CONCATENATE($A70,"_",AF$1),SP_ACQ_Lib[],MATCH(AF$2,SP_ACQ_Lib[#Headers],0),FALSE)=0,"",VLOOKUP(CONCATENATE($A70,"_",AF$1),SP_ACQ_Lib[],MATCH(AF$2,SP_ACQ_Lib[#Headers],0),FALSE)),"")</f>
        <v/>
      </c>
      <c r="AG70" s="250" t="str">
        <f>IFERROR(IF(VLOOKUP(CONCATENATE($A70,"_",AG$1),SP_ACQ_Lib[],MATCH(AG$2,SP_ACQ_Lib[#Headers],0),FALSE)=0,"",VLOOKUP(CONCATENATE($A70,"_",AG$1),SP_ACQ_Lib[],MATCH(AG$2,SP_ACQ_Lib[#Headers],0),FALSE)),"")</f>
        <v/>
      </c>
      <c r="AH70" s="250" t="str">
        <f>IFERROR(IF(VLOOKUP(CONCATENATE($A70,"_",AH$1),SP_ACQ_Lib[],MATCH(AH$2,SP_ACQ_Lib[#Headers],0),FALSE)=0,"",VLOOKUP(CONCATENATE($A70,"_",AH$1),SP_ACQ_Lib[],MATCH(AH$2,SP_ACQ_Lib[#Headers],0),FALSE)),"")</f>
        <v/>
      </c>
      <c r="AI70" s="249">
        <f>IFERROR(IF(VLOOKUP(CONCATENATE($A70,"_",AI$1),SP_ACQ_Lib[],MATCH(AI$2,SP_ACQ_Lib[#Headers],0),FALSE)=0,"",VLOOKUP(CONCATENATE($A70,"_",AI$1),SP_ACQ_Lib[],MATCH(AI$2,SP_ACQ_Lib[#Headers],0),FALSE)),"")</f>
        <v>43984</v>
      </c>
      <c r="AJ70" s="249">
        <f>IFERROR(IF(VLOOKUP(CONCATENATE($A70,"_",AJ$1),SP_ACQ_Lib[],MATCH(AJ$2,SP_ACQ_Lib[#Headers],0),FALSE)=0,"",VLOOKUP(CONCATENATE($A70,"_",AJ$1),SP_ACQ_Lib[],MATCH(AJ$2,SP_ACQ_Lib[#Headers],0),FALSE)),"")</f>
        <v>43987</v>
      </c>
      <c r="AK70" s="249">
        <f>IFERROR(IF(VLOOKUP(CONCATENATE($A70,"_",AK$1),SP_ACQ_Lib[],MATCH(AK$2,SP_ACQ_Lib[#Headers],0),FALSE)=0,"",VLOOKUP(CONCATENATE($A70,"_",AK$1),SP_ACQ_Lib[],MATCH(AK$2,SP_ACQ_Lib[#Headers],0),FALSE)),"")</f>
        <v>44170</v>
      </c>
      <c r="AL70" s="249">
        <f>IFERROR(VLOOKUP($A70,SP_AcqTract_DB[],MATCH(AL$2,SP_AcqTract_DB[#Headers],0),FALSE),"")</f>
        <v>0</v>
      </c>
      <c r="AM70" s="227">
        <f>IFERROR(VLOOKUP($A70,SP_AcqTract_DB[],MATCH(AM$2,SP_AcqTract_DB[#Headers],0),FALSE),"")</f>
        <v>0</v>
      </c>
      <c r="AN70" s="227">
        <f>IFERROR(VLOOKUP($A70,SP_AcqTract_DB[],MATCH(AN$2,SP_AcqTract_DB[#Headers],0),FALSE),"")</f>
        <v>0</v>
      </c>
      <c r="AO70" s="228">
        <f>IFERROR(VLOOKUP($A70,SP_AcqTract_DB[],MATCH(AO$2,SP_AcqTract_DB[#Headers],0),FALSE),"")</f>
        <v>0</v>
      </c>
      <c r="AP70" s="210">
        <f>IFERROR(VLOOKUP($A70,SP_AcqTract_DB[],MATCH(AP$2,SP_AcqTract_DB[#Headers],0),FALSE),"")</f>
        <v>0</v>
      </c>
      <c r="AQ70" s="252" t="str">
        <f>IFERROR(IF(VLOOKUP(CONCATENATE($A70,"_",AQ$1),SP_ACQ_Lib[],MATCH(AQ$2,SP_ACQ_Lib[#Headers],0),FALSE)=0,"",VLOOKUP(CONCATENATE($A70,"_",AQ$1),SP_ACQ_Lib[],MATCH(AQ$2,SP_ACQ_Lib[#Headers],0),FALSE)),"")</f>
        <v/>
      </c>
      <c r="AR70" s="250" t="str">
        <f>IFERROR(IF(VLOOKUP(CONCATENATE($A70,"_",AR$1),SP_ACQ_Lib[],MATCH(AR$2,SP_ACQ_Lib[#Headers],0),FALSE)=0,"",VLOOKUP(CONCATENATE($A70,"_",AR$1),SP_ACQ_Lib[],MATCH(AR$2,SP_ACQ_Lib[#Headers],0),FALSE)),"")</f>
        <v/>
      </c>
      <c r="AS70" s="249" t="str">
        <f>IFERROR(IF(VLOOKUP(CONCATENATE($A70,"_",AS$1),SP_ACQ_Lib[],MATCH(AS$2,SP_ACQ_Lib[#Headers],0),FALSE)=0,"",VLOOKUP(CONCATENATE($A70,"_",AS$1),SP_ACQ_Lib[],MATCH(AS$2,SP_ACQ_Lib[#Headers],0),FALSE)),"")</f>
        <v/>
      </c>
      <c r="AT70" s="251" t="str">
        <f>IFERROR(IF(VLOOKUP(CONCATENATE($A70,"_",AT$1),SP_ACQ_Lib[],MATCH(AT$2,SP_ACQ_Lib[#Headers],0),FALSE)=0,"",VLOOKUP(CONCATENATE($A70,"_",AT$1),SP_ACQ_Lib[],MATCH(AT$2,SP_ACQ_Lib[#Headers],0),FALSE)),"")</f>
        <v/>
      </c>
      <c r="AU70" s="251" t="str">
        <f>IFERROR(IF(VLOOKUP(CONCATENATE($A70,"_",AU$1),SP_ACQ_Lib[],MATCH(AU$2,SP_ACQ_Lib[#Headers],0),FALSE)=0,"",VLOOKUP(CONCATENATE($A70,"_",AU$1),SP_ACQ_Lib[],MATCH(AU$2,SP_ACQ_Lib[#Headers],0),FALSE)),"")</f>
        <v/>
      </c>
      <c r="AV70" s="225" t="str">
        <f>IFERROR(IF(VLOOKUP(CONCATENATE($A70,"_",AV$1),SP_ACQ_Lib[],MATCH(AV$2,SP_ACQ_Lib[#Headers],0),FALSE)=0,"",VLOOKUP(CONCATENATE($A70,"_",AV$1),SP_ACQ_Lib[],MATCH(AV$2,SP_ACQ_Lib[#Headers],0),FALSE)),"")</f>
        <v/>
      </c>
      <c r="AW70" s="251" t="str">
        <f>IFERROR(IF(VLOOKUP(CONCATENATE($A70,"_",AW$1),SP_ACQ_Lib[],MATCH(AW$2,SP_ACQ_Lib[#Headers],0),FALSE)=0,"",VLOOKUP(CONCATENATE($A70,"_",AW$1),SP_ACQ_Lib[],MATCH(AW$2,SP_ACQ_Lib[#Headers],0),FALSE)),"")</f>
        <v/>
      </c>
      <c r="AX70" s="251" t="str">
        <f>IFERROR(IF(VLOOKUP(CONCATENATE($A70,"_",AX$1),SP_ACQ_Lib[],MATCH(AX$2,SP_ACQ_Lib[#Headers],0),FALSE)=0,"",VLOOKUP(CONCATENATE($A70,"_",AX$1),SP_ACQ_Lib[],MATCH(AX$2,SP_ACQ_Lib[#Headers],0),FALSE)),"")</f>
        <v/>
      </c>
      <c r="AY70" s="251" t="str">
        <f>IFERROR(IF(VLOOKUP(CONCATENATE($A70,"_",AY$1),SP_ACQ_Lib[],MATCH(AY$2,SP_ACQ_Lib[#Headers],0),FALSE)=0,"",VLOOKUP(CONCATENATE($A70,"_",AY$1),SP_ACQ_Lib[],MATCH(AY$2,SP_ACQ_Lib[#Headers],0),FALSE)),"")</f>
        <v/>
      </c>
      <c r="AZ70" s="251" t="str">
        <f>IFERROR(IF(VLOOKUP(CONCATENATE($A70,"_",AZ$1),SP_ACQ_Lib[],MATCH(AZ$2,SP_ACQ_Lib[#Headers],0),FALSE)=0,"",VLOOKUP(CONCATENATE($A70,"_",AZ$1),SP_ACQ_Lib[],MATCH(AZ$2,SP_ACQ_Lib[#Headers],0),FALSE)),"")</f>
        <v/>
      </c>
      <c r="BA70" s="251" t="str">
        <f>IFERROR(IF(VLOOKUP(CONCATENATE($A70,"_",BA$1),SP_ACQ_Lib[],MATCH(BA$2,SP_ACQ_Lib[#Headers],0),FALSE)=0,"",VLOOKUP(CONCATENATE($A70,"_",BA$1),SP_ACQ_Lib[],MATCH(BA$2,SP_ACQ_Lib[#Headers],0),FALSE)),"")</f>
        <v/>
      </c>
      <c r="BB70" s="224">
        <f>IFERROR(VLOOKUP(CONCATENATE($A70,"_",BB$1),SP_ACQ_Lib[],MATCH(BB$2,SP_ACQ_Lib[#Headers],0),FALSE),0)</f>
        <v>0</v>
      </c>
      <c r="BC70" s="231">
        <f>IFERROR(VLOOKUP($A70,SP_AcqTract_DB[],MATCH(BC$2,SP_AcqTract_DB[#Headers],0),FALSE),"")</f>
        <v>0</v>
      </c>
      <c r="BD70" s="231">
        <f>IFERROR(VLOOKUP($A70,SP_AcqTract_DB[],MATCH(BD$2,SP_AcqTract_DB[#Headers],0),FALSE),"")</f>
        <v>0</v>
      </c>
      <c r="BE70" s="249" t="str">
        <f>IFERROR(IF(VLOOKUP(CONCATENATE($A70,"_",BE$1),SP_ACQ_Lib[],MATCH(BE$2,SP_ACQ_Lib[#Headers],0),FALSE)=0,"",VLOOKUP(CONCATENATE($A70,"_",BE$1),SP_ACQ_Lib[],MATCH(BE$2,SP_ACQ_Lib[#Headers],0),FALSE)),"")</f>
        <v/>
      </c>
      <c r="BF70" s="249" t="str">
        <f>IFERROR(IF(VLOOKUP(CONCATENATE($A70,"_",BF$1),SP_ACQ_Lib[],MATCH(BF$2,SP_ACQ_Lib[#Headers],0),FALSE)=0,"",VLOOKUP(CONCATENATE($A70,"_",BF$1),SP_ACQ_Lib[],MATCH(BF$2,SP_ACQ_Lib[#Headers],0),FALSE)),"")</f>
        <v/>
      </c>
      <c r="BG70" s="249" t="str">
        <f>IFERROR(IF(VLOOKUP(CONCATENATE($A70,"_",BG$1),SP_ACQ_Lib[],MATCH(BG$2,SP_ACQ_Lib[#Headers],0),FALSE)=0,"",VLOOKUP(CONCATENATE($A70,"_",BG$1),SP_ACQ_Lib[],MATCH(BG$2,SP_ACQ_Lib[#Headers],0),FALSE)),"")</f>
        <v/>
      </c>
      <c r="BH70" s="249" t="str">
        <f>IFERROR(IF(VLOOKUP(CONCATENATE($A70,"_",BH$1),SP_ACQ_Lib[],MATCH(BH$2,SP_ACQ_Lib[#Headers],0),FALSE)=0,"",VLOOKUP(CONCATENATE($A70,"_",BH$1),SP_ACQ_Lib[],MATCH(BH$2,SP_ACQ_Lib[#Headers],0),FALSE)),"")</f>
        <v/>
      </c>
      <c r="BI70" s="249" t="str">
        <f>IFERROR(IF(VLOOKUP(CONCATENATE($A70,"_",BI$1),SP_ACQ_Lib[],MATCH(BI$2,SP_ACQ_Lib[#Headers],0),FALSE)=0,"",VLOOKUP(CONCATENATE($A70,"_",BI$1),SP_ACQ_Lib[],MATCH(BI$2,SP_ACQ_Lib[#Headers],0),FALSE)),"")</f>
        <v/>
      </c>
      <c r="BJ70" s="249" t="str">
        <f>IFERROR(IF(VLOOKUP(CONCATENATE($A70,"_",BJ$1),SP_ACQ_Lib[],MATCH(BJ$2,SP_ACQ_Lib[#Headers],0),FALSE)=0,"",VLOOKUP(CONCATENATE($A70,"_",BJ$1),SP_ACQ_Lib[],MATCH(BJ$2,SP_ACQ_Lib[#Headers],0),FALSE)),"")</f>
        <v/>
      </c>
      <c r="BK70" s="250" t="str">
        <f>IFERROR(IF(VLOOKUP(CONCATENATE($A70,"_",BK$1),SP_ACQ_Lib[],MATCH(BK$2,SP_ACQ_Lib[#Headers],0),FALSE)=0,"",VLOOKUP(CONCATENATE($A70,"_",BK$1),SP_ACQ_Lib[],MATCH(BK$2,SP_ACQ_Lib[#Headers],0),FALSE)),"")</f>
        <v/>
      </c>
      <c r="BL70" s="249" t="str">
        <f>IFERROR(IF(VLOOKUP(CONCATENATE($A70,"_",BL$1),SP_ACQ_Lib[],MATCH(BL$2,SP_ACQ_Lib[#Headers],0),FALSE)=0,"",VLOOKUP(CONCATENATE($A70,"_",BL$1),SP_ACQ_Lib[],MATCH(BL$2,SP_ACQ_Lib[#Headers],0),FALSE)),"")</f>
        <v/>
      </c>
      <c r="BM70" s="249" t="str">
        <f>IFERROR(IF(VLOOKUP(CONCATENATE($A70,"_",BM$1),SP_ACQ_Lib[],MATCH(BM$2,SP_ACQ_Lib[#Headers],0),FALSE)=0,"",VLOOKUP(CONCATENATE($A70,"_",BM$1),SP_ACQ_Lib[],MATCH(BM$2,SP_ACQ_Lib[#Headers],0),FALSE)),"")</f>
        <v/>
      </c>
      <c r="BN70" s="249" t="str">
        <f>IFERROR(IF(VLOOKUP(CONCATENATE($A70,"_",BN$1),SP_ACQ_Lib[],MATCH(BN$2,SP_ACQ_Lib[#Headers],0),FALSE)=0,"",VLOOKUP(CONCATENATE($A70,"_",BN$1),SP_ACQ_Lib[],MATCH(BN$2,SP_ACQ_Lib[#Headers],0),FALSE)),"")</f>
        <v/>
      </c>
    </row>
    <row r="71" spans="1:66" s="226" customFormat="1" ht="15.75" x14ac:dyDescent="0.2">
      <c r="A71" s="192" t="s">
        <v>5264</v>
      </c>
      <c r="B71" s="227" t="str">
        <f>IFERROR(VLOOKUP($A71,SP_AcqTract_DB[],MATCH(B$2,SP_AcqTract_DB[#Headers],0),FALSE),"")</f>
        <v>R018679</v>
      </c>
      <c r="C71" s="228" t="str">
        <f>IFERROR(VLOOKUP($A71,SP_AcqTract_DB[],MATCH(C$2,SP_AcqTract_DB[#Headers],0),FALSE),"")</f>
        <v>PH2</v>
      </c>
      <c r="D71" s="208" t="str">
        <f>IFERROR(VLOOKUP($A71,SP_AcqTract_DB[],MATCH(D$2,SP_AcqTract_DB[#Headers],0),FALSE),"")</f>
        <v>Active</v>
      </c>
      <c r="E71" s="208">
        <f>IFERROR(VLOOKUP($A71,SP_AcqTract_DB[],MATCH(E$2,SP_AcqTract_DB[#Headers],0),FALSE),"")</f>
        <v>0</v>
      </c>
      <c r="F71" s="227">
        <f>IFERROR(VLOOKUP($A71,SP_AcqTract_DB[],MATCH(F$2,SP_AcqTract_DB[#Headers],0),FALSE),"")</f>
        <v>0</v>
      </c>
      <c r="G71" s="227" t="str">
        <f>IFERROR(VLOOKUP($A71,SP_AcqTract_DB[],MATCH(G$2,SP_AcqTract_DB[#Headers],0),FALSE),"")</f>
        <v>Darlene Snow</v>
      </c>
      <c r="H71" s="250">
        <f>IFERROR(IF(VLOOKUP(CONCATENATE($A71,"_",H$1),SP_ACQ_Lib[],MATCH(H$2,SP_ACQ_Lib[#Headers],0),FALSE)=0,"",VLOOKUP(CONCATENATE($A71,"_",H$1),SP_ACQ_Lib[],MATCH(H$2,SP_ACQ_Lib[#Headers],0),FALSE)),"")</f>
        <v>44011.379606481481</v>
      </c>
      <c r="I71" s="227" t="str">
        <f>IFERROR(VLOOKUP($A71,SP_AcqTract_DB[],MATCH(I$2,SP_AcqTract_DB[#Headers],0),FALSE),"")</f>
        <v>Greenwood John M Jr Etux Virginia</v>
      </c>
      <c r="J71" s="227">
        <f>IFERROR(VLOOKUP($A71,SP_AcqTract_DB[],MATCH(J$2,SP_AcqTract_DB[#Headers],0),FALSE),"")</f>
        <v>0</v>
      </c>
      <c r="K71" s="227">
        <f>IFERROR(VLOOKUP($A71,SP_AcqTract_DB[],MATCH(K$2,SP_AcqTract_DB[#Headers],0),FALSE),"")</f>
        <v>0</v>
      </c>
      <c r="L71" s="227">
        <f>IFERROR(VLOOKUP($A71,SP_AcqTract_DB[],MATCH(L$2,SP_AcqTract_DB[#Headers],0),FALSE),"")</f>
        <v>0</v>
      </c>
      <c r="M71" s="208">
        <f>IFERROR(VLOOKUP($A71,SP_AcqTract_DB[],MATCH(M$2,SP_AcqTract_DB[#Headers],0),FALSE),"")</f>
        <v>0</v>
      </c>
      <c r="N71" s="227" t="str">
        <f>IFERROR(VLOOKUP($A71,SP_AcqTract_DB[],MATCH(N$2,SP_AcqTract_DB[#Headers],0),FALSE),"")</f>
        <v>0 FM 1299</v>
      </c>
      <c r="O71" s="220">
        <f>IFERROR(VLOOKUP($A71,SP_AcqTract_DB[],MATCH(O$2,SP_AcqTract_DB[#Headers],0),FALSE),"")</f>
        <v>0</v>
      </c>
      <c r="P71" s="220">
        <f>IFERROR(VLOOKUP($A71,SP_AcqTract_DB[],MATCH(P$2,SP_AcqTract_DB[#Headers],0),FALSE),"")</f>
        <v>0</v>
      </c>
      <c r="Q71" s="208">
        <f>IFERROR(VLOOKUP($A71,SP_AcqTract_DB[],MATCH(Q$2,SP_AcqTract_DB[#Headers],0),FALSE),"")</f>
        <v>0</v>
      </c>
      <c r="R71" s="250" t="str">
        <f>IFERROR(IF(VLOOKUP(CONCATENATE($A71,"_",R$1),SP_ACQ_Lib[],MATCH(R$2,SP_ACQ_Lib[#Headers],0),FALSE)=0,"",VLOOKUP(CONCATENATE($A71,"_",R$1),SP_ACQ_Lib[],MATCH(R$2,SP_ACQ_Lib[#Headers],0),FALSE)),"")</f>
        <v/>
      </c>
      <c r="S71" s="253" t="str">
        <f>IFERROR(IF(VLOOKUP(CONCATENATE($A71,"_",S$1),SP_ACQ_Lib[],MATCH(S$2,SP_ACQ_Lib[#Headers],0),FALSE)=0,"",VLOOKUP(CONCATENATE($A71,"_",S$1),SP_ACQ_Lib[],MATCH(S$2,SP_ACQ_Lib[#Headers],0),FALSE)),"")</f>
        <v/>
      </c>
      <c r="T71" s="205">
        <f>IFERROR(VLOOKUP(CONCATENATE($A71,"_",T$1),SP_ACQ_Lib[],MATCH(T$2,SP_ACQ_Lib[#Headers],0),FALSE),0)</f>
        <v>0</v>
      </c>
      <c r="U71" s="250" t="str">
        <f>IFERROR(IF(VLOOKUP(CONCATENATE($A71,"_",U$1),SP_ACQ_Lib[],MATCH(U$2,SP_ACQ_Lib[#Headers],0),FALSE)=0,"",VLOOKUP(CONCATENATE($A71,"_",U$1),SP_ACQ_Lib[],MATCH(U$2,SP_ACQ_Lib[#Headers],0),FALSE)),"")</f>
        <v/>
      </c>
      <c r="V71" s="205" t="str">
        <f>IFERROR(VLOOKUP(CONCATENATE($A71,"_",V$1),SP_ACQ_Lib[],MATCH(V$2,SP_ACQ_Lib[#Headers],0),FALSE),0)</f>
        <v>Accepted</v>
      </c>
      <c r="W71" s="209">
        <f>IFERROR(VLOOKUP(CONCATENATE($A71,"_",W$1),SP_ACQ_Lib[],MATCH(W$2,SP_ACQ_Lib[#Headers],0),FALSE),0)</f>
        <v>0</v>
      </c>
      <c r="X71" s="250">
        <f>IFERROR(VLOOKUP($A71,SP_AcqTract_DB[],MATCH(X$2,SP_AcqTract_DB[#Headers],0),FALSE),"")</f>
        <v>0</v>
      </c>
      <c r="Y71" s="237">
        <f>IFERROR(VLOOKUP($A71,SP_AcqTract_DB[],MATCH(Y$2,SP_AcqTract_DB[#Headers],0),FALSE),"")</f>
        <v>0</v>
      </c>
      <c r="Z71" s="229">
        <f>IFERROR(VLOOKUP($A71,SP_AcqTract_DB[],MATCH(Z$2,SP_AcqTract_DB[#Headers],0),FALSE),"")</f>
        <v>0</v>
      </c>
      <c r="AA71" s="229">
        <f>IFERROR(VLOOKUP($A71,SP_AcqTract_DB[],MATCH(AA$2,SP_AcqTract_DB[#Headers],0),FALSE),"")</f>
        <v>0</v>
      </c>
      <c r="AB71" s="250" t="str">
        <f>IFERROR(IF(VLOOKUP(CONCATENATE($A71,"_",AB$1),SP_ACQ_Lib[],MATCH(AB$2,SP_ACQ_Lib[#Headers],0),FALSE)=0,"",VLOOKUP(CONCATENATE($A71,"_",AB$1),SP_ACQ_Lib[],MATCH(AB$2,SP_ACQ_Lib[#Headers],0),FALSE)),"")</f>
        <v/>
      </c>
      <c r="AC71" s="250" t="str">
        <f>IFERROR(IF(VLOOKUP(CONCATENATE($A71,"_",AC$1),SP_ACQ_Lib[],MATCH(AC$2,SP_ACQ_Lib[#Headers],0),FALSE)=0,"",VLOOKUP(CONCATENATE($A71,"_",AC$1),SP_ACQ_Lib[],MATCH(AC$2,SP_ACQ_Lib[#Headers],0),FALSE)),"")</f>
        <v/>
      </c>
      <c r="AD71" s="229">
        <f>IFERROR(VLOOKUP($A71,SP_AcqTract_DB[],MATCH(AD$2,SP_AcqTract_DB[#Headers],0),FALSE),"")</f>
        <v>0</v>
      </c>
      <c r="AE71" s="250" t="str">
        <f>IFERROR(IF(VLOOKUP(CONCATENATE($A71,"_",AE$1),SP_ACQ_Lib[],MATCH(AE$2,SP_ACQ_Lib[#Headers],0),FALSE)=0,"",VLOOKUP(CONCATENATE($A71,"_",AE$1),SP_ACQ_Lib[],MATCH(AE$2,SP_ACQ_Lib[#Headers],0),FALSE)),"")</f>
        <v/>
      </c>
      <c r="AF71" s="250" t="str">
        <f>IFERROR(IF(VLOOKUP(CONCATENATE($A71,"_",AF$1),SP_ACQ_Lib[],MATCH(AF$2,SP_ACQ_Lib[#Headers],0),FALSE)=0,"",VLOOKUP(CONCATENATE($A71,"_",AF$1),SP_ACQ_Lib[],MATCH(AF$2,SP_ACQ_Lib[#Headers],0),FALSE)),"")</f>
        <v/>
      </c>
      <c r="AG71" s="250" t="str">
        <f>IFERROR(IF(VLOOKUP(CONCATENATE($A71,"_",AG$1),SP_ACQ_Lib[],MATCH(AG$2,SP_ACQ_Lib[#Headers],0),FALSE)=0,"",VLOOKUP(CONCATENATE($A71,"_",AG$1),SP_ACQ_Lib[],MATCH(AG$2,SP_ACQ_Lib[#Headers],0),FALSE)),"")</f>
        <v/>
      </c>
      <c r="AH71" s="250" t="str">
        <f>IFERROR(IF(VLOOKUP(CONCATENATE($A71,"_",AH$1),SP_ACQ_Lib[],MATCH(AH$2,SP_ACQ_Lib[#Headers],0),FALSE)=0,"",VLOOKUP(CONCATENATE($A71,"_",AH$1),SP_ACQ_Lib[],MATCH(AH$2,SP_ACQ_Lib[#Headers],0),FALSE)),"")</f>
        <v/>
      </c>
      <c r="AI71" s="249">
        <f>IFERROR(IF(VLOOKUP(CONCATENATE($A71,"_",AI$1),SP_ACQ_Lib[],MATCH(AI$2,SP_ACQ_Lib[#Headers],0),FALSE)=0,"",VLOOKUP(CONCATENATE($A71,"_",AI$1),SP_ACQ_Lib[],MATCH(AI$2,SP_ACQ_Lib[#Headers],0),FALSE)),"")</f>
        <v>43984</v>
      </c>
      <c r="AJ71" s="249">
        <f>IFERROR(IF(VLOOKUP(CONCATENATE($A71,"_",AJ$1),SP_ACQ_Lib[],MATCH(AJ$2,SP_ACQ_Lib[#Headers],0),FALSE)=0,"",VLOOKUP(CONCATENATE($A71,"_",AJ$1),SP_ACQ_Lib[],MATCH(AJ$2,SP_ACQ_Lib[#Headers],0),FALSE)),"")</f>
        <v>43999</v>
      </c>
      <c r="AK71" s="249">
        <f>IFERROR(IF(VLOOKUP(CONCATENATE($A71,"_",AK$1),SP_ACQ_Lib[],MATCH(AK$2,SP_ACQ_Lib[#Headers],0),FALSE)=0,"",VLOOKUP(CONCATENATE($A71,"_",AK$1),SP_ACQ_Lib[],MATCH(AK$2,SP_ACQ_Lib[#Headers],0),FALSE)),"")</f>
        <v>44182</v>
      </c>
      <c r="AL71" s="249">
        <f>IFERROR(VLOOKUP($A71,SP_AcqTract_DB[],MATCH(AL$2,SP_AcqTract_DB[#Headers],0),FALSE),"")</f>
        <v>0</v>
      </c>
      <c r="AM71" s="227">
        <f>IFERROR(VLOOKUP($A71,SP_AcqTract_DB[],MATCH(AM$2,SP_AcqTract_DB[#Headers],0),FALSE),"")</f>
        <v>0</v>
      </c>
      <c r="AN71" s="227">
        <f>IFERROR(VLOOKUP($A71,SP_AcqTract_DB[],MATCH(AN$2,SP_AcqTract_DB[#Headers],0),FALSE),"")</f>
        <v>0</v>
      </c>
      <c r="AO71" s="228">
        <f>IFERROR(VLOOKUP($A71,SP_AcqTract_DB[],MATCH(AO$2,SP_AcqTract_DB[#Headers],0),FALSE),"")</f>
        <v>0</v>
      </c>
      <c r="AP71" s="210">
        <f>IFERROR(VLOOKUP($A71,SP_AcqTract_DB[],MATCH(AP$2,SP_AcqTract_DB[#Headers],0),FALSE),"")</f>
        <v>0</v>
      </c>
      <c r="AQ71" s="252" t="str">
        <f>IFERROR(IF(VLOOKUP(CONCATENATE($A71,"_",AQ$1),SP_ACQ_Lib[],MATCH(AQ$2,SP_ACQ_Lib[#Headers],0),FALSE)=0,"",VLOOKUP(CONCATENATE($A71,"_",AQ$1),SP_ACQ_Lib[],MATCH(AQ$2,SP_ACQ_Lib[#Headers],0),FALSE)),"")</f>
        <v/>
      </c>
      <c r="AR71" s="250" t="str">
        <f>IFERROR(IF(VLOOKUP(CONCATENATE($A71,"_",AR$1),SP_ACQ_Lib[],MATCH(AR$2,SP_ACQ_Lib[#Headers],0),FALSE)=0,"",VLOOKUP(CONCATENATE($A71,"_",AR$1),SP_ACQ_Lib[],MATCH(AR$2,SP_ACQ_Lib[#Headers],0),FALSE)),"")</f>
        <v/>
      </c>
      <c r="AS71" s="249" t="str">
        <f>IFERROR(IF(VLOOKUP(CONCATENATE($A71,"_",AS$1),SP_ACQ_Lib[],MATCH(AS$2,SP_ACQ_Lib[#Headers],0),FALSE)=0,"",VLOOKUP(CONCATENATE($A71,"_",AS$1),SP_ACQ_Lib[],MATCH(AS$2,SP_ACQ_Lib[#Headers],0),FALSE)),"")</f>
        <v/>
      </c>
      <c r="AT71" s="251" t="str">
        <f>IFERROR(IF(VLOOKUP(CONCATENATE($A71,"_",AT$1),SP_ACQ_Lib[],MATCH(AT$2,SP_ACQ_Lib[#Headers],0),FALSE)=0,"",VLOOKUP(CONCATENATE($A71,"_",AT$1),SP_ACQ_Lib[],MATCH(AT$2,SP_ACQ_Lib[#Headers],0),FALSE)),"")</f>
        <v/>
      </c>
      <c r="AU71" s="251" t="str">
        <f>IFERROR(IF(VLOOKUP(CONCATENATE($A71,"_",AU$1),SP_ACQ_Lib[],MATCH(AU$2,SP_ACQ_Lib[#Headers],0),FALSE)=0,"",VLOOKUP(CONCATENATE($A71,"_",AU$1),SP_ACQ_Lib[],MATCH(AU$2,SP_ACQ_Lib[#Headers],0),FALSE)),"")</f>
        <v/>
      </c>
      <c r="AV71" s="225" t="str">
        <f>IFERROR(IF(VLOOKUP(CONCATENATE($A71,"_",AV$1),SP_ACQ_Lib[],MATCH(AV$2,SP_ACQ_Lib[#Headers],0),FALSE)=0,"",VLOOKUP(CONCATENATE($A71,"_",AV$1),SP_ACQ_Lib[],MATCH(AV$2,SP_ACQ_Lib[#Headers],0),FALSE)),"")</f>
        <v/>
      </c>
      <c r="AW71" s="251" t="str">
        <f>IFERROR(IF(VLOOKUP(CONCATENATE($A71,"_",AW$1),SP_ACQ_Lib[],MATCH(AW$2,SP_ACQ_Lib[#Headers],0),FALSE)=0,"",VLOOKUP(CONCATENATE($A71,"_",AW$1),SP_ACQ_Lib[],MATCH(AW$2,SP_ACQ_Lib[#Headers],0),FALSE)),"")</f>
        <v/>
      </c>
      <c r="AX71" s="251" t="str">
        <f>IFERROR(IF(VLOOKUP(CONCATENATE($A71,"_",AX$1),SP_ACQ_Lib[],MATCH(AX$2,SP_ACQ_Lib[#Headers],0),FALSE)=0,"",VLOOKUP(CONCATENATE($A71,"_",AX$1),SP_ACQ_Lib[],MATCH(AX$2,SP_ACQ_Lib[#Headers],0),FALSE)),"")</f>
        <v/>
      </c>
      <c r="AY71" s="251" t="str">
        <f>IFERROR(IF(VLOOKUP(CONCATENATE($A71,"_",AY$1),SP_ACQ_Lib[],MATCH(AY$2,SP_ACQ_Lib[#Headers],0),FALSE)=0,"",VLOOKUP(CONCATENATE($A71,"_",AY$1),SP_ACQ_Lib[],MATCH(AY$2,SP_ACQ_Lib[#Headers],0),FALSE)),"")</f>
        <v/>
      </c>
      <c r="AZ71" s="251" t="str">
        <f>IFERROR(IF(VLOOKUP(CONCATENATE($A71,"_",AZ$1),SP_ACQ_Lib[],MATCH(AZ$2,SP_ACQ_Lib[#Headers],0),FALSE)=0,"",VLOOKUP(CONCATENATE($A71,"_",AZ$1),SP_ACQ_Lib[],MATCH(AZ$2,SP_ACQ_Lib[#Headers],0),FALSE)),"")</f>
        <v/>
      </c>
      <c r="BA71" s="251" t="str">
        <f>IFERROR(IF(VLOOKUP(CONCATENATE($A71,"_",BA$1),SP_ACQ_Lib[],MATCH(BA$2,SP_ACQ_Lib[#Headers],0),FALSE)=0,"",VLOOKUP(CONCATENATE($A71,"_",BA$1),SP_ACQ_Lib[],MATCH(BA$2,SP_ACQ_Lib[#Headers],0),FALSE)),"")</f>
        <v/>
      </c>
      <c r="BB71" s="224">
        <f>IFERROR(VLOOKUP(CONCATENATE($A71,"_",BB$1),SP_ACQ_Lib[],MATCH(BB$2,SP_ACQ_Lib[#Headers],0),FALSE),0)</f>
        <v>0</v>
      </c>
      <c r="BC71" s="231">
        <f>IFERROR(VLOOKUP($A71,SP_AcqTract_DB[],MATCH(BC$2,SP_AcqTract_DB[#Headers],0),FALSE),"")</f>
        <v>0</v>
      </c>
      <c r="BD71" s="231">
        <f>IFERROR(VLOOKUP($A71,SP_AcqTract_DB[],MATCH(BD$2,SP_AcqTract_DB[#Headers],0),FALSE),"")</f>
        <v>0</v>
      </c>
      <c r="BE71" s="249" t="str">
        <f>IFERROR(IF(VLOOKUP(CONCATENATE($A71,"_",BE$1),SP_ACQ_Lib[],MATCH(BE$2,SP_ACQ_Lib[#Headers],0),FALSE)=0,"",VLOOKUP(CONCATENATE($A71,"_",BE$1),SP_ACQ_Lib[],MATCH(BE$2,SP_ACQ_Lib[#Headers],0),FALSE)),"")</f>
        <v/>
      </c>
      <c r="BF71" s="249" t="str">
        <f>IFERROR(IF(VLOOKUP(CONCATENATE($A71,"_",BF$1),SP_ACQ_Lib[],MATCH(BF$2,SP_ACQ_Lib[#Headers],0),FALSE)=0,"",VLOOKUP(CONCATENATE($A71,"_",BF$1),SP_ACQ_Lib[],MATCH(BF$2,SP_ACQ_Lib[#Headers],0),FALSE)),"")</f>
        <v/>
      </c>
      <c r="BG71" s="249" t="str">
        <f>IFERROR(IF(VLOOKUP(CONCATENATE($A71,"_",BG$1),SP_ACQ_Lib[],MATCH(BG$2,SP_ACQ_Lib[#Headers],0),FALSE)=0,"",VLOOKUP(CONCATENATE($A71,"_",BG$1),SP_ACQ_Lib[],MATCH(BG$2,SP_ACQ_Lib[#Headers],0),FALSE)),"")</f>
        <v/>
      </c>
      <c r="BH71" s="249" t="str">
        <f>IFERROR(IF(VLOOKUP(CONCATENATE($A71,"_",BH$1),SP_ACQ_Lib[],MATCH(BH$2,SP_ACQ_Lib[#Headers],0),FALSE)=0,"",VLOOKUP(CONCATENATE($A71,"_",BH$1),SP_ACQ_Lib[],MATCH(BH$2,SP_ACQ_Lib[#Headers],0),FALSE)),"")</f>
        <v/>
      </c>
      <c r="BI71" s="249" t="str">
        <f>IFERROR(IF(VLOOKUP(CONCATENATE($A71,"_",BI$1),SP_ACQ_Lib[],MATCH(BI$2,SP_ACQ_Lib[#Headers],0),FALSE)=0,"",VLOOKUP(CONCATENATE($A71,"_",BI$1),SP_ACQ_Lib[],MATCH(BI$2,SP_ACQ_Lib[#Headers],0),FALSE)),"")</f>
        <v/>
      </c>
      <c r="BJ71" s="249" t="str">
        <f>IFERROR(IF(VLOOKUP(CONCATENATE($A71,"_",BJ$1),SP_ACQ_Lib[],MATCH(BJ$2,SP_ACQ_Lib[#Headers],0),FALSE)=0,"",VLOOKUP(CONCATENATE($A71,"_",BJ$1),SP_ACQ_Lib[],MATCH(BJ$2,SP_ACQ_Lib[#Headers],0),FALSE)),"")</f>
        <v/>
      </c>
      <c r="BK71" s="250" t="str">
        <f>IFERROR(IF(VLOOKUP(CONCATENATE($A71,"_",BK$1),SP_ACQ_Lib[],MATCH(BK$2,SP_ACQ_Lib[#Headers],0),FALSE)=0,"",VLOOKUP(CONCATENATE($A71,"_",BK$1),SP_ACQ_Lib[],MATCH(BK$2,SP_ACQ_Lib[#Headers],0),FALSE)),"")</f>
        <v/>
      </c>
      <c r="BL71" s="249" t="str">
        <f>IFERROR(IF(VLOOKUP(CONCATENATE($A71,"_",BL$1),SP_ACQ_Lib[],MATCH(BL$2,SP_ACQ_Lib[#Headers],0),FALSE)=0,"",VLOOKUP(CONCATENATE($A71,"_",BL$1),SP_ACQ_Lib[],MATCH(BL$2,SP_ACQ_Lib[#Headers],0),FALSE)),"")</f>
        <v/>
      </c>
      <c r="BM71" s="249" t="str">
        <f>IFERROR(IF(VLOOKUP(CONCATENATE($A71,"_",BM$1),SP_ACQ_Lib[],MATCH(BM$2,SP_ACQ_Lib[#Headers],0),FALSE)=0,"",VLOOKUP(CONCATENATE($A71,"_",BM$1),SP_ACQ_Lib[],MATCH(BM$2,SP_ACQ_Lib[#Headers],0),FALSE)),"")</f>
        <v/>
      </c>
      <c r="BN71" s="249" t="str">
        <f>IFERROR(IF(VLOOKUP(CONCATENATE($A71,"_",BN$1),SP_ACQ_Lib[],MATCH(BN$2,SP_ACQ_Lib[#Headers],0),FALSE)=0,"",VLOOKUP(CONCATENATE($A71,"_",BN$1),SP_ACQ_Lib[],MATCH(BN$2,SP_ACQ_Lib[#Headers],0),FALSE)),"")</f>
        <v/>
      </c>
    </row>
    <row r="72" spans="1:66" s="226" customFormat="1" ht="15.75" x14ac:dyDescent="0.2">
      <c r="A72" s="192" t="s">
        <v>5266</v>
      </c>
      <c r="B72" s="227" t="str">
        <f>IFERROR(VLOOKUP($A72,SP_AcqTract_DB[],MATCH(B$2,SP_AcqTract_DB[#Headers],0),FALSE),"")</f>
        <v>R018684</v>
      </c>
      <c r="C72" s="228" t="str">
        <f>IFERROR(VLOOKUP($A72,SP_AcqTract_DB[],MATCH(C$2,SP_AcqTract_DB[#Headers],0),FALSE),"")</f>
        <v>PH2</v>
      </c>
      <c r="D72" s="208" t="str">
        <f>IFERROR(VLOOKUP($A72,SP_AcqTract_DB[],MATCH(D$2,SP_AcqTract_DB[#Headers],0),FALSE),"")</f>
        <v>Active</v>
      </c>
      <c r="E72" s="208">
        <f>IFERROR(VLOOKUP($A72,SP_AcqTract_DB[],MATCH(E$2,SP_AcqTract_DB[#Headers],0),FALSE),"")</f>
        <v>0</v>
      </c>
      <c r="F72" s="227">
        <f>IFERROR(VLOOKUP($A72,SP_AcqTract_DB[],MATCH(F$2,SP_AcqTract_DB[#Headers],0),FALSE),"")</f>
        <v>0</v>
      </c>
      <c r="G72" s="227" t="str">
        <f>IFERROR(VLOOKUP($A72,SP_AcqTract_DB[],MATCH(G$2,SP_AcqTract_DB[#Headers],0),FALSE),"")</f>
        <v>Darlene Snow</v>
      </c>
      <c r="H72" s="250">
        <f>IFERROR(IF(VLOOKUP(CONCATENATE($A72,"_",H$1),SP_ACQ_Lib[],MATCH(H$2,SP_ACQ_Lib[#Headers],0),FALSE)=0,"",VLOOKUP(CONCATENATE($A72,"_",H$1),SP_ACQ_Lib[],MATCH(H$2,SP_ACQ_Lib[#Headers],0),FALSE)),"")</f>
        <v>44022.462939814817</v>
      </c>
      <c r="I72" s="227" t="str">
        <f>IFERROR(VLOOKUP($A72,SP_AcqTract_DB[],MATCH(I$2,SP_AcqTract_DB[#Headers],0),FALSE),"")</f>
        <v>Ullmann Linda Frazier</v>
      </c>
      <c r="J72" s="227">
        <f>IFERROR(VLOOKUP($A72,SP_AcqTract_DB[],MATCH(J$2,SP_AcqTract_DB[#Headers],0),FALSE),"")</f>
        <v>0</v>
      </c>
      <c r="K72" s="227">
        <f>IFERROR(VLOOKUP($A72,SP_AcqTract_DB[],MATCH(K$2,SP_AcqTract_DB[#Headers],0),FALSE),"")</f>
        <v>0</v>
      </c>
      <c r="L72" s="227">
        <f>IFERROR(VLOOKUP($A72,SP_AcqTract_DB[],MATCH(L$2,SP_AcqTract_DB[#Headers],0),FALSE),"")</f>
        <v>0</v>
      </c>
      <c r="M72" s="208">
        <f>IFERROR(VLOOKUP($A72,SP_AcqTract_DB[],MATCH(M$2,SP_AcqTract_DB[#Headers],0),FALSE),"")</f>
        <v>0</v>
      </c>
      <c r="N72" s="227" t="str">
        <f>IFERROR(VLOOKUP($A72,SP_AcqTract_DB[],MATCH(N$2,SP_AcqTract_DB[#Headers],0),FALSE),"")</f>
        <v>0 FM 1299</v>
      </c>
      <c r="O72" s="220">
        <f>IFERROR(VLOOKUP($A72,SP_AcqTract_DB[],MATCH(O$2,SP_AcqTract_DB[#Headers],0),FALSE),"")</f>
        <v>0</v>
      </c>
      <c r="P72" s="220">
        <f>IFERROR(VLOOKUP($A72,SP_AcqTract_DB[],MATCH(P$2,SP_AcqTract_DB[#Headers],0),FALSE),"")</f>
        <v>0</v>
      </c>
      <c r="Q72" s="208">
        <f>IFERROR(VLOOKUP($A72,SP_AcqTract_DB[],MATCH(Q$2,SP_AcqTract_DB[#Headers],0),FALSE),"")</f>
        <v>0</v>
      </c>
      <c r="R72" s="250" t="str">
        <f>IFERROR(IF(VLOOKUP(CONCATENATE($A72,"_",R$1),SP_ACQ_Lib[],MATCH(R$2,SP_ACQ_Lib[#Headers],0),FALSE)=0,"",VLOOKUP(CONCATENATE($A72,"_",R$1),SP_ACQ_Lib[],MATCH(R$2,SP_ACQ_Lib[#Headers],0),FALSE)),"")</f>
        <v/>
      </c>
      <c r="S72" s="253" t="str">
        <f>IFERROR(IF(VLOOKUP(CONCATENATE($A72,"_",S$1),SP_ACQ_Lib[],MATCH(S$2,SP_ACQ_Lib[#Headers],0),FALSE)=0,"",VLOOKUP(CONCATENATE($A72,"_",S$1),SP_ACQ_Lib[],MATCH(S$2,SP_ACQ_Lib[#Headers],0),FALSE)),"")</f>
        <v/>
      </c>
      <c r="T72" s="205">
        <f>IFERROR(VLOOKUP(CONCATENATE($A72,"_",T$1),SP_ACQ_Lib[],MATCH(T$2,SP_ACQ_Lib[#Headers],0),FALSE),0)</f>
        <v>0</v>
      </c>
      <c r="U72" s="250" t="str">
        <f>IFERROR(IF(VLOOKUP(CONCATENATE($A72,"_",U$1),SP_ACQ_Lib[],MATCH(U$2,SP_ACQ_Lib[#Headers],0),FALSE)=0,"",VLOOKUP(CONCATENATE($A72,"_",U$1),SP_ACQ_Lib[],MATCH(U$2,SP_ACQ_Lib[#Headers],0),FALSE)),"")</f>
        <v/>
      </c>
      <c r="V72" s="205" t="str">
        <f>IFERROR(VLOOKUP(CONCATENATE($A72,"_",V$1),SP_ACQ_Lib[],MATCH(V$2,SP_ACQ_Lib[#Headers],0),FALSE),0)</f>
        <v>Accepted</v>
      </c>
      <c r="W72" s="209">
        <f>IFERROR(VLOOKUP(CONCATENATE($A72,"_",W$1),SP_ACQ_Lib[],MATCH(W$2,SP_ACQ_Lib[#Headers],0),FALSE),0)</f>
        <v>0</v>
      </c>
      <c r="X72" s="250">
        <f>IFERROR(VLOOKUP($A72,SP_AcqTract_DB[],MATCH(X$2,SP_AcqTract_DB[#Headers],0),FALSE),"")</f>
        <v>0</v>
      </c>
      <c r="Y72" s="237">
        <f>IFERROR(VLOOKUP($A72,SP_AcqTract_DB[],MATCH(Y$2,SP_AcqTract_DB[#Headers],0),FALSE),"")</f>
        <v>0</v>
      </c>
      <c r="Z72" s="229">
        <f>IFERROR(VLOOKUP($A72,SP_AcqTract_DB[],MATCH(Z$2,SP_AcqTract_DB[#Headers],0),FALSE),"")</f>
        <v>0</v>
      </c>
      <c r="AA72" s="229">
        <f>IFERROR(VLOOKUP($A72,SP_AcqTract_DB[],MATCH(AA$2,SP_AcqTract_DB[#Headers],0),FALSE),"")</f>
        <v>0</v>
      </c>
      <c r="AB72" s="250" t="str">
        <f>IFERROR(IF(VLOOKUP(CONCATENATE($A72,"_",AB$1),SP_ACQ_Lib[],MATCH(AB$2,SP_ACQ_Lib[#Headers],0),FALSE)=0,"",VLOOKUP(CONCATENATE($A72,"_",AB$1),SP_ACQ_Lib[],MATCH(AB$2,SP_ACQ_Lib[#Headers],0),FALSE)),"")</f>
        <v/>
      </c>
      <c r="AC72" s="250" t="str">
        <f>IFERROR(IF(VLOOKUP(CONCATENATE($A72,"_",AC$1),SP_ACQ_Lib[],MATCH(AC$2,SP_ACQ_Lib[#Headers],0),FALSE)=0,"",VLOOKUP(CONCATENATE($A72,"_",AC$1),SP_ACQ_Lib[],MATCH(AC$2,SP_ACQ_Lib[#Headers],0),FALSE)),"")</f>
        <v/>
      </c>
      <c r="AD72" s="229">
        <f>IFERROR(VLOOKUP($A72,SP_AcqTract_DB[],MATCH(AD$2,SP_AcqTract_DB[#Headers],0),FALSE),"")</f>
        <v>0</v>
      </c>
      <c r="AE72" s="250" t="str">
        <f>IFERROR(IF(VLOOKUP(CONCATENATE($A72,"_",AE$1),SP_ACQ_Lib[],MATCH(AE$2,SP_ACQ_Lib[#Headers],0),FALSE)=0,"",VLOOKUP(CONCATENATE($A72,"_",AE$1),SP_ACQ_Lib[],MATCH(AE$2,SP_ACQ_Lib[#Headers],0),FALSE)),"")</f>
        <v/>
      </c>
      <c r="AF72" s="250" t="str">
        <f>IFERROR(IF(VLOOKUP(CONCATENATE($A72,"_",AF$1),SP_ACQ_Lib[],MATCH(AF$2,SP_ACQ_Lib[#Headers],0),FALSE)=0,"",VLOOKUP(CONCATENATE($A72,"_",AF$1),SP_ACQ_Lib[],MATCH(AF$2,SP_ACQ_Lib[#Headers],0),FALSE)),"")</f>
        <v/>
      </c>
      <c r="AG72" s="250" t="str">
        <f>IFERROR(IF(VLOOKUP(CONCATENATE($A72,"_",AG$1),SP_ACQ_Lib[],MATCH(AG$2,SP_ACQ_Lib[#Headers],0),FALSE)=0,"",VLOOKUP(CONCATENATE($A72,"_",AG$1),SP_ACQ_Lib[],MATCH(AG$2,SP_ACQ_Lib[#Headers],0),FALSE)),"")</f>
        <v/>
      </c>
      <c r="AH72" s="250" t="str">
        <f>IFERROR(IF(VLOOKUP(CONCATENATE($A72,"_",AH$1),SP_ACQ_Lib[],MATCH(AH$2,SP_ACQ_Lib[#Headers],0),FALSE)=0,"",VLOOKUP(CONCATENATE($A72,"_",AH$1),SP_ACQ_Lib[],MATCH(AH$2,SP_ACQ_Lib[#Headers],0),FALSE)),"")</f>
        <v/>
      </c>
      <c r="AI72" s="249">
        <f>IFERROR(IF(VLOOKUP(CONCATENATE($A72,"_",AI$1),SP_ACQ_Lib[],MATCH(AI$2,SP_ACQ_Lib[#Headers],0),FALSE)=0,"",VLOOKUP(CONCATENATE($A72,"_",AI$1),SP_ACQ_Lib[],MATCH(AI$2,SP_ACQ_Lib[#Headers],0),FALSE)),"")</f>
        <v>43984</v>
      </c>
      <c r="AJ72" s="249" t="str">
        <f>IFERROR(IF(VLOOKUP(CONCATENATE($A72,"_",AJ$1),SP_ACQ_Lib[],MATCH(AJ$2,SP_ACQ_Lib[#Headers],0),FALSE)=0,"",VLOOKUP(CONCATENATE($A72,"_",AJ$1),SP_ACQ_Lib[],MATCH(AJ$2,SP_ACQ_Lib[#Headers],0),FALSE)),"")</f>
        <v/>
      </c>
      <c r="AK72" s="249" t="str">
        <f>IFERROR(IF(VLOOKUP(CONCATENATE($A72,"_",AK$1),SP_ACQ_Lib[],MATCH(AK$2,SP_ACQ_Lib[#Headers],0),FALSE)=0,"",VLOOKUP(CONCATENATE($A72,"_",AK$1),SP_ACQ_Lib[],MATCH(AK$2,SP_ACQ_Lib[#Headers],0),FALSE)),"")</f>
        <v/>
      </c>
      <c r="AL72" s="249">
        <f>IFERROR(VLOOKUP($A72,SP_AcqTract_DB[],MATCH(AL$2,SP_AcqTract_DB[#Headers],0),FALSE),"")</f>
        <v>0</v>
      </c>
      <c r="AM72" s="227">
        <f>IFERROR(VLOOKUP($A72,SP_AcqTract_DB[],MATCH(AM$2,SP_AcqTract_DB[#Headers],0),FALSE),"")</f>
        <v>0</v>
      </c>
      <c r="AN72" s="227">
        <f>IFERROR(VLOOKUP($A72,SP_AcqTract_DB[],MATCH(AN$2,SP_AcqTract_DB[#Headers],0),FALSE),"")</f>
        <v>0</v>
      </c>
      <c r="AO72" s="228">
        <f>IFERROR(VLOOKUP($A72,SP_AcqTract_DB[],MATCH(AO$2,SP_AcqTract_DB[#Headers],0),FALSE),"")</f>
        <v>0</v>
      </c>
      <c r="AP72" s="210">
        <f>IFERROR(VLOOKUP($A72,SP_AcqTract_DB[],MATCH(AP$2,SP_AcqTract_DB[#Headers],0),FALSE),"")</f>
        <v>0</v>
      </c>
      <c r="AQ72" s="252" t="str">
        <f>IFERROR(IF(VLOOKUP(CONCATENATE($A72,"_",AQ$1),SP_ACQ_Lib[],MATCH(AQ$2,SP_ACQ_Lib[#Headers],0),FALSE)=0,"",VLOOKUP(CONCATENATE($A72,"_",AQ$1),SP_ACQ_Lib[],MATCH(AQ$2,SP_ACQ_Lib[#Headers],0),FALSE)),"")</f>
        <v/>
      </c>
      <c r="AR72" s="250" t="str">
        <f>IFERROR(IF(VLOOKUP(CONCATENATE($A72,"_",AR$1),SP_ACQ_Lib[],MATCH(AR$2,SP_ACQ_Lib[#Headers],0),FALSE)=0,"",VLOOKUP(CONCATENATE($A72,"_",AR$1),SP_ACQ_Lib[],MATCH(AR$2,SP_ACQ_Lib[#Headers],0),FALSE)),"")</f>
        <v/>
      </c>
      <c r="AS72" s="249" t="str">
        <f>IFERROR(IF(VLOOKUP(CONCATENATE($A72,"_",AS$1),SP_ACQ_Lib[],MATCH(AS$2,SP_ACQ_Lib[#Headers],0),FALSE)=0,"",VLOOKUP(CONCATENATE($A72,"_",AS$1),SP_ACQ_Lib[],MATCH(AS$2,SP_ACQ_Lib[#Headers],0),FALSE)),"")</f>
        <v/>
      </c>
      <c r="AT72" s="251" t="str">
        <f>IFERROR(IF(VLOOKUP(CONCATENATE($A72,"_",AT$1),SP_ACQ_Lib[],MATCH(AT$2,SP_ACQ_Lib[#Headers],0),FALSE)=0,"",VLOOKUP(CONCATENATE($A72,"_",AT$1),SP_ACQ_Lib[],MATCH(AT$2,SP_ACQ_Lib[#Headers],0),FALSE)),"")</f>
        <v/>
      </c>
      <c r="AU72" s="251" t="str">
        <f>IFERROR(IF(VLOOKUP(CONCATENATE($A72,"_",AU$1),SP_ACQ_Lib[],MATCH(AU$2,SP_ACQ_Lib[#Headers],0),FALSE)=0,"",VLOOKUP(CONCATENATE($A72,"_",AU$1),SP_ACQ_Lib[],MATCH(AU$2,SP_ACQ_Lib[#Headers],0),FALSE)),"")</f>
        <v/>
      </c>
      <c r="AV72" s="225" t="str">
        <f>IFERROR(IF(VLOOKUP(CONCATENATE($A72,"_",AV$1),SP_ACQ_Lib[],MATCH(AV$2,SP_ACQ_Lib[#Headers],0),FALSE)=0,"",VLOOKUP(CONCATENATE($A72,"_",AV$1),SP_ACQ_Lib[],MATCH(AV$2,SP_ACQ_Lib[#Headers],0),FALSE)),"")</f>
        <v/>
      </c>
      <c r="AW72" s="251" t="str">
        <f>IFERROR(IF(VLOOKUP(CONCATENATE($A72,"_",AW$1),SP_ACQ_Lib[],MATCH(AW$2,SP_ACQ_Lib[#Headers],0),FALSE)=0,"",VLOOKUP(CONCATENATE($A72,"_",AW$1),SP_ACQ_Lib[],MATCH(AW$2,SP_ACQ_Lib[#Headers],0),FALSE)),"")</f>
        <v/>
      </c>
      <c r="AX72" s="251" t="str">
        <f>IFERROR(IF(VLOOKUP(CONCATENATE($A72,"_",AX$1),SP_ACQ_Lib[],MATCH(AX$2,SP_ACQ_Lib[#Headers],0),FALSE)=0,"",VLOOKUP(CONCATENATE($A72,"_",AX$1),SP_ACQ_Lib[],MATCH(AX$2,SP_ACQ_Lib[#Headers],0),FALSE)),"")</f>
        <v/>
      </c>
      <c r="AY72" s="251" t="str">
        <f>IFERROR(IF(VLOOKUP(CONCATENATE($A72,"_",AY$1),SP_ACQ_Lib[],MATCH(AY$2,SP_ACQ_Lib[#Headers],0),FALSE)=0,"",VLOOKUP(CONCATENATE($A72,"_",AY$1),SP_ACQ_Lib[],MATCH(AY$2,SP_ACQ_Lib[#Headers],0),FALSE)),"")</f>
        <v/>
      </c>
      <c r="AZ72" s="251" t="str">
        <f>IFERROR(IF(VLOOKUP(CONCATENATE($A72,"_",AZ$1),SP_ACQ_Lib[],MATCH(AZ$2,SP_ACQ_Lib[#Headers],0),FALSE)=0,"",VLOOKUP(CONCATENATE($A72,"_",AZ$1),SP_ACQ_Lib[],MATCH(AZ$2,SP_ACQ_Lib[#Headers],0),FALSE)),"")</f>
        <v/>
      </c>
      <c r="BA72" s="251" t="str">
        <f>IFERROR(IF(VLOOKUP(CONCATENATE($A72,"_",BA$1),SP_ACQ_Lib[],MATCH(BA$2,SP_ACQ_Lib[#Headers],0),FALSE)=0,"",VLOOKUP(CONCATENATE($A72,"_",BA$1),SP_ACQ_Lib[],MATCH(BA$2,SP_ACQ_Lib[#Headers],0),FALSE)),"")</f>
        <v/>
      </c>
      <c r="BB72" s="224">
        <f>IFERROR(VLOOKUP(CONCATENATE($A72,"_",BB$1),SP_ACQ_Lib[],MATCH(BB$2,SP_ACQ_Lib[#Headers],0),FALSE),0)</f>
        <v>0</v>
      </c>
      <c r="BC72" s="231">
        <f>IFERROR(VLOOKUP($A72,SP_AcqTract_DB[],MATCH(BC$2,SP_AcqTract_DB[#Headers],0),FALSE),"")</f>
        <v>0</v>
      </c>
      <c r="BD72" s="231">
        <f>IFERROR(VLOOKUP($A72,SP_AcqTract_DB[],MATCH(BD$2,SP_AcqTract_DB[#Headers],0),FALSE),"")</f>
        <v>0</v>
      </c>
      <c r="BE72" s="249" t="str">
        <f>IFERROR(IF(VLOOKUP(CONCATENATE($A72,"_",BE$1),SP_ACQ_Lib[],MATCH(BE$2,SP_ACQ_Lib[#Headers],0),FALSE)=0,"",VLOOKUP(CONCATENATE($A72,"_",BE$1),SP_ACQ_Lib[],MATCH(BE$2,SP_ACQ_Lib[#Headers],0),FALSE)),"")</f>
        <v/>
      </c>
      <c r="BF72" s="249" t="str">
        <f>IFERROR(IF(VLOOKUP(CONCATENATE($A72,"_",BF$1),SP_ACQ_Lib[],MATCH(BF$2,SP_ACQ_Lib[#Headers],0),FALSE)=0,"",VLOOKUP(CONCATENATE($A72,"_",BF$1),SP_ACQ_Lib[],MATCH(BF$2,SP_ACQ_Lib[#Headers],0),FALSE)),"")</f>
        <v/>
      </c>
      <c r="BG72" s="249" t="str">
        <f>IFERROR(IF(VLOOKUP(CONCATENATE($A72,"_",BG$1),SP_ACQ_Lib[],MATCH(BG$2,SP_ACQ_Lib[#Headers],0),FALSE)=0,"",VLOOKUP(CONCATENATE($A72,"_",BG$1),SP_ACQ_Lib[],MATCH(BG$2,SP_ACQ_Lib[#Headers],0),FALSE)),"")</f>
        <v/>
      </c>
      <c r="BH72" s="249" t="str">
        <f>IFERROR(IF(VLOOKUP(CONCATENATE($A72,"_",BH$1),SP_ACQ_Lib[],MATCH(BH$2,SP_ACQ_Lib[#Headers],0),FALSE)=0,"",VLOOKUP(CONCATENATE($A72,"_",BH$1),SP_ACQ_Lib[],MATCH(BH$2,SP_ACQ_Lib[#Headers],0),FALSE)),"")</f>
        <v/>
      </c>
      <c r="BI72" s="249" t="str">
        <f>IFERROR(IF(VLOOKUP(CONCATENATE($A72,"_",BI$1),SP_ACQ_Lib[],MATCH(BI$2,SP_ACQ_Lib[#Headers],0),FALSE)=0,"",VLOOKUP(CONCATENATE($A72,"_",BI$1),SP_ACQ_Lib[],MATCH(BI$2,SP_ACQ_Lib[#Headers],0),FALSE)),"")</f>
        <v/>
      </c>
      <c r="BJ72" s="249">
        <f>IFERROR(IF(VLOOKUP(CONCATENATE($A72,"_",BJ$1),SP_ACQ_Lib[],MATCH(BJ$2,SP_ACQ_Lib[#Headers],0),FALSE)=0,"",VLOOKUP(CONCATENATE($A72,"_",BJ$1),SP_ACQ_Lib[],MATCH(BJ$2,SP_ACQ_Lib[#Headers],0),FALSE)),"")</f>
        <v>43879</v>
      </c>
      <c r="BK72" s="250" t="str">
        <f>IFERROR(IF(VLOOKUP(CONCATENATE($A72,"_",BK$1),SP_ACQ_Lib[],MATCH(BK$2,SP_ACQ_Lib[#Headers],0),FALSE)=0,"",VLOOKUP(CONCATENATE($A72,"_",BK$1),SP_ACQ_Lib[],MATCH(BK$2,SP_ACQ_Lib[#Headers],0),FALSE)),"")</f>
        <v/>
      </c>
      <c r="BL72" s="249" t="str">
        <f>IFERROR(IF(VLOOKUP(CONCATENATE($A72,"_",BL$1),SP_ACQ_Lib[],MATCH(BL$2,SP_ACQ_Lib[#Headers],0),FALSE)=0,"",VLOOKUP(CONCATENATE($A72,"_",BL$1),SP_ACQ_Lib[],MATCH(BL$2,SP_ACQ_Lib[#Headers],0),FALSE)),"")</f>
        <v/>
      </c>
      <c r="BM72" s="249" t="str">
        <f>IFERROR(IF(VLOOKUP(CONCATENATE($A72,"_",BM$1),SP_ACQ_Lib[],MATCH(BM$2,SP_ACQ_Lib[#Headers],0),FALSE)=0,"",VLOOKUP(CONCATENATE($A72,"_",BM$1),SP_ACQ_Lib[],MATCH(BM$2,SP_ACQ_Lib[#Headers],0),FALSE)),"")</f>
        <v/>
      </c>
      <c r="BN72" s="249" t="str">
        <f>IFERROR(IF(VLOOKUP(CONCATENATE($A72,"_",BN$1),SP_ACQ_Lib[],MATCH(BN$2,SP_ACQ_Lib[#Headers],0),FALSE)=0,"",VLOOKUP(CONCATENATE($A72,"_",BN$1),SP_ACQ_Lib[],MATCH(BN$2,SP_ACQ_Lib[#Headers],0),FALSE)),"")</f>
        <v/>
      </c>
    </row>
    <row r="73" spans="1:66" s="226" customFormat="1" ht="15.75" x14ac:dyDescent="0.2">
      <c r="A73" s="192" t="s">
        <v>5268</v>
      </c>
      <c r="B73" s="227" t="str">
        <f>IFERROR(VLOOKUP($A73,SP_AcqTract_DB[],MATCH(B$2,SP_AcqTract_DB[#Headers],0),FALSE),"")</f>
        <v>R018695</v>
      </c>
      <c r="C73" s="228" t="str">
        <f>IFERROR(VLOOKUP($A73,SP_AcqTract_DB[],MATCH(C$2,SP_AcqTract_DB[#Headers],0),FALSE),"")</f>
        <v>PH2</v>
      </c>
      <c r="D73" s="208" t="str">
        <f>IFERROR(VLOOKUP($A73,SP_AcqTract_DB[],MATCH(D$2,SP_AcqTract_DB[#Headers],0),FALSE),"")</f>
        <v>Active</v>
      </c>
      <c r="E73" s="208">
        <f>IFERROR(VLOOKUP($A73,SP_AcqTract_DB[],MATCH(E$2,SP_AcqTract_DB[#Headers],0),FALSE),"")</f>
        <v>0</v>
      </c>
      <c r="F73" s="227">
        <f>IFERROR(VLOOKUP($A73,SP_AcqTract_DB[],MATCH(F$2,SP_AcqTract_DB[#Headers],0),FALSE),"")</f>
        <v>0</v>
      </c>
      <c r="G73" s="227" t="str">
        <f>IFERROR(VLOOKUP($A73,SP_AcqTract_DB[],MATCH(G$2,SP_AcqTract_DB[#Headers],0),FALSE),"")</f>
        <v>Darlene Snow</v>
      </c>
      <c r="H73" s="250">
        <f>IFERROR(IF(VLOOKUP(CONCATENATE($A73,"_",H$1),SP_ACQ_Lib[],MATCH(H$2,SP_ACQ_Lib[#Headers],0),FALSE)=0,"",VLOOKUP(CONCATENATE($A73,"_",H$1),SP_ACQ_Lib[],MATCH(H$2,SP_ACQ_Lib[#Headers],0),FALSE)),"")</f>
        <v>44022.530428240738</v>
      </c>
      <c r="I73" s="227" t="str">
        <f>IFERROR(VLOOKUP($A73,SP_AcqTract_DB[],MATCH(I$2,SP_AcqTract_DB[#Headers],0),FALSE),"")</f>
        <v>Lopez Juvenal</v>
      </c>
      <c r="J73" s="227">
        <f>IFERROR(VLOOKUP($A73,SP_AcqTract_DB[],MATCH(J$2,SP_AcqTract_DB[#Headers],0),FALSE),"")</f>
        <v>0</v>
      </c>
      <c r="K73" s="227">
        <f>IFERROR(VLOOKUP($A73,SP_AcqTract_DB[],MATCH(K$2,SP_AcqTract_DB[#Headers],0),FALSE),"")</f>
        <v>0</v>
      </c>
      <c r="L73" s="227">
        <f>IFERROR(VLOOKUP($A73,SP_AcqTract_DB[],MATCH(L$2,SP_AcqTract_DB[#Headers],0),FALSE),"")</f>
        <v>0</v>
      </c>
      <c r="M73" s="208">
        <f>IFERROR(VLOOKUP($A73,SP_AcqTract_DB[],MATCH(M$2,SP_AcqTract_DB[#Headers],0),FALSE),"")</f>
        <v>0</v>
      </c>
      <c r="N73" s="227" t="str">
        <f>IFERROR(VLOOKUP($A73,SP_AcqTract_DB[],MATCH(N$2,SP_AcqTract_DB[#Headers],0),FALSE),"")</f>
        <v>826 S EAST AVE</v>
      </c>
      <c r="O73" s="220">
        <f>IFERROR(VLOOKUP($A73,SP_AcqTract_DB[],MATCH(O$2,SP_AcqTract_DB[#Headers],0),FALSE),"")</f>
        <v>0</v>
      </c>
      <c r="P73" s="220">
        <f>IFERROR(VLOOKUP($A73,SP_AcqTract_DB[],MATCH(P$2,SP_AcqTract_DB[#Headers],0),FALSE),"")</f>
        <v>0</v>
      </c>
      <c r="Q73" s="208">
        <f>IFERROR(VLOOKUP($A73,SP_AcqTract_DB[],MATCH(Q$2,SP_AcqTract_DB[#Headers],0),FALSE),"")</f>
        <v>0</v>
      </c>
      <c r="R73" s="250" t="str">
        <f>IFERROR(IF(VLOOKUP(CONCATENATE($A73,"_",R$1),SP_ACQ_Lib[],MATCH(R$2,SP_ACQ_Lib[#Headers],0),FALSE)=0,"",VLOOKUP(CONCATENATE($A73,"_",R$1),SP_ACQ_Lib[],MATCH(R$2,SP_ACQ_Lib[#Headers],0),FALSE)),"")</f>
        <v/>
      </c>
      <c r="S73" s="253" t="str">
        <f>IFERROR(IF(VLOOKUP(CONCATENATE($A73,"_",S$1),SP_ACQ_Lib[],MATCH(S$2,SP_ACQ_Lib[#Headers],0),FALSE)=0,"",VLOOKUP(CONCATENATE($A73,"_",S$1),SP_ACQ_Lib[],MATCH(S$2,SP_ACQ_Lib[#Headers],0),FALSE)),"")</f>
        <v/>
      </c>
      <c r="T73" s="205">
        <f>IFERROR(VLOOKUP(CONCATENATE($A73,"_",T$1),SP_ACQ_Lib[],MATCH(T$2,SP_ACQ_Lib[#Headers],0),FALSE),0)</f>
        <v>0</v>
      </c>
      <c r="U73" s="250" t="str">
        <f>IFERROR(IF(VLOOKUP(CONCATENATE($A73,"_",U$1),SP_ACQ_Lib[],MATCH(U$2,SP_ACQ_Lib[#Headers],0),FALSE)=0,"",VLOOKUP(CONCATENATE($A73,"_",U$1),SP_ACQ_Lib[],MATCH(U$2,SP_ACQ_Lib[#Headers],0),FALSE)),"")</f>
        <v/>
      </c>
      <c r="V73" s="205" t="str">
        <f>IFERROR(VLOOKUP(CONCATENATE($A73,"_",V$1),SP_ACQ_Lib[],MATCH(V$2,SP_ACQ_Lib[#Headers],0),FALSE),0)</f>
        <v>Accepted</v>
      </c>
      <c r="W73" s="209">
        <f>IFERROR(VLOOKUP(CONCATENATE($A73,"_",W$1),SP_ACQ_Lib[],MATCH(W$2,SP_ACQ_Lib[#Headers],0),FALSE),0)</f>
        <v>0</v>
      </c>
      <c r="X73" s="250">
        <f>IFERROR(VLOOKUP($A73,SP_AcqTract_DB[],MATCH(X$2,SP_AcqTract_DB[#Headers],0),FALSE),"")</f>
        <v>0</v>
      </c>
      <c r="Y73" s="237">
        <f>IFERROR(VLOOKUP($A73,SP_AcqTract_DB[],MATCH(Y$2,SP_AcqTract_DB[#Headers],0),FALSE),"")</f>
        <v>0</v>
      </c>
      <c r="Z73" s="229">
        <f>IFERROR(VLOOKUP($A73,SP_AcqTract_DB[],MATCH(Z$2,SP_AcqTract_DB[#Headers],0),FALSE),"")</f>
        <v>0</v>
      </c>
      <c r="AA73" s="229">
        <f>IFERROR(VLOOKUP($A73,SP_AcqTract_DB[],MATCH(AA$2,SP_AcqTract_DB[#Headers],0),FALSE),"")</f>
        <v>0</v>
      </c>
      <c r="AB73" s="250" t="str">
        <f>IFERROR(IF(VLOOKUP(CONCATENATE($A73,"_",AB$1),SP_ACQ_Lib[],MATCH(AB$2,SP_ACQ_Lib[#Headers],0),FALSE)=0,"",VLOOKUP(CONCATENATE($A73,"_",AB$1),SP_ACQ_Lib[],MATCH(AB$2,SP_ACQ_Lib[#Headers],0),FALSE)),"")</f>
        <v/>
      </c>
      <c r="AC73" s="250" t="str">
        <f>IFERROR(IF(VLOOKUP(CONCATENATE($A73,"_",AC$1),SP_ACQ_Lib[],MATCH(AC$2,SP_ACQ_Lib[#Headers],0),FALSE)=0,"",VLOOKUP(CONCATENATE($A73,"_",AC$1),SP_ACQ_Lib[],MATCH(AC$2,SP_ACQ_Lib[#Headers],0),FALSE)),"")</f>
        <v/>
      </c>
      <c r="AD73" s="229">
        <f>IFERROR(VLOOKUP($A73,SP_AcqTract_DB[],MATCH(AD$2,SP_AcqTract_DB[#Headers],0),FALSE),"")</f>
        <v>0</v>
      </c>
      <c r="AE73" s="250" t="str">
        <f>IFERROR(IF(VLOOKUP(CONCATENATE($A73,"_",AE$1),SP_ACQ_Lib[],MATCH(AE$2,SP_ACQ_Lib[#Headers],0),FALSE)=0,"",VLOOKUP(CONCATENATE($A73,"_",AE$1),SP_ACQ_Lib[],MATCH(AE$2,SP_ACQ_Lib[#Headers],0),FALSE)),"")</f>
        <v/>
      </c>
      <c r="AF73" s="250" t="str">
        <f>IFERROR(IF(VLOOKUP(CONCATENATE($A73,"_",AF$1),SP_ACQ_Lib[],MATCH(AF$2,SP_ACQ_Lib[#Headers],0),FALSE)=0,"",VLOOKUP(CONCATENATE($A73,"_",AF$1),SP_ACQ_Lib[],MATCH(AF$2,SP_ACQ_Lib[#Headers],0),FALSE)),"")</f>
        <v/>
      </c>
      <c r="AG73" s="250" t="str">
        <f>IFERROR(IF(VLOOKUP(CONCATENATE($A73,"_",AG$1),SP_ACQ_Lib[],MATCH(AG$2,SP_ACQ_Lib[#Headers],0),FALSE)=0,"",VLOOKUP(CONCATENATE($A73,"_",AG$1),SP_ACQ_Lib[],MATCH(AG$2,SP_ACQ_Lib[#Headers],0),FALSE)),"")</f>
        <v/>
      </c>
      <c r="AH73" s="250" t="str">
        <f>IFERROR(IF(VLOOKUP(CONCATENATE($A73,"_",AH$1),SP_ACQ_Lib[],MATCH(AH$2,SP_ACQ_Lib[#Headers],0),FALSE)=0,"",VLOOKUP(CONCATENATE($A73,"_",AH$1),SP_ACQ_Lib[],MATCH(AH$2,SP_ACQ_Lib[#Headers],0),FALSE)),"")</f>
        <v/>
      </c>
      <c r="AI73" s="249">
        <f>IFERROR(IF(VLOOKUP(CONCATENATE($A73,"_",AI$1),SP_ACQ_Lib[],MATCH(AI$2,SP_ACQ_Lib[#Headers],0),FALSE)=0,"",VLOOKUP(CONCATENATE($A73,"_",AI$1),SP_ACQ_Lib[],MATCH(AI$2,SP_ACQ_Lib[#Headers],0),FALSE)),"")</f>
        <v>43984</v>
      </c>
      <c r="AJ73" s="249" t="str">
        <f>IFERROR(IF(VLOOKUP(CONCATENATE($A73,"_",AJ$1),SP_ACQ_Lib[],MATCH(AJ$2,SP_ACQ_Lib[#Headers],0),FALSE)=0,"",VLOOKUP(CONCATENATE($A73,"_",AJ$1),SP_ACQ_Lib[],MATCH(AJ$2,SP_ACQ_Lib[#Headers],0),FALSE)),"")</f>
        <v/>
      </c>
      <c r="AK73" s="249" t="str">
        <f>IFERROR(IF(VLOOKUP(CONCATENATE($A73,"_",AK$1),SP_ACQ_Lib[],MATCH(AK$2,SP_ACQ_Lib[#Headers],0),FALSE)=0,"",VLOOKUP(CONCATENATE($A73,"_",AK$1),SP_ACQ_Lib[],MATCH(AK$2,SP_ACQ_Lib[#Headers],0),FALSE)),"")</f>
        <v/>
      </c>
      <c r="AL73" s="249">
        <f>IFERROR(VLOOKUP($A73,SP_AcqTract_DB[],MATCH(AL$2,SP_AcqTract_DB[#Headers],0),FALSE),"")</f>
        <v>0</v>
      </c>
      <c r="AM73" s="227">
        <f>IFERROR(VLOOKUP($A73,SP_AcqTract_DB[],MATCH(AM$2,SP_AcqTract_DB[#Headers],0),FALSE),"")</f>
        <v>0</v>
      </c>
      <c r="AN73" s="227">
        <f>IFERROR(VLOOKUP($A73,SP_AcqTract_DB[],MATCH(AN$2,SP_AcqTract_DB[#Headers],0),FALSE),"")</f>
        <v>0</v>
      </c>
      <c r="AO73" s="228">
        <f>IFERROR(VLOOKUP($A73,SP_AcqTract_DB[],MATCH(AO$2,SP_AcqTract_DB[#Headers],0),FALSE),"")</f>
        <v>0</v>
      </c>
      <c r="AP73" s="210">
        <f>IFERROR(VLOOKUP($A73,SP_AcqTract_DB[],MATCH(AP$2,SP_AcqTract_DB[#Headers],0),FALSE),"")</f>
        <v>0</v>
      </c>
      <c r="AQ73" s="252" t="str">
        <f>IFERROR(IF(VLOOKUP(CONCATENATE($A73,"_",AQ$1),SP_ACQ_Lib[],MATCH(AQ$2,SP_ACQ_Lib[#Headers],0),FALSE)=0,"",VLOOKUP(CONCATENATE($A73,"_",AQ$1),SP_ACQ_Lib[],MATCH(AQ$2,SP_ACQ_Lib[#Headers],0),FALSE)),"")</f>
        <v/>
      </c>
      <c r="AR73" s="250" t="str">
        <f>IFERROR(IF(VLOOKUP(CONCATENATE($A73,"_",AR$1),SP_ACQ_Lib[],MATCH(AR$2,SP_ACQ_Lib[#Headers],0),FALSE)=0,"",VLOOKUP(CONCATENATE($A73,"_",AR$1),SP_ACQ_Lib[],MATCH(AR$2,SP_ACQ_Lib[#Headers],0),FALSE)),"")</f>
        <v/>
      </c>
      <c r="AS73" s="249" t="str">
        <f>IFERROR(IF(VLOOKUP(CONCATENATE($A73,"_",AS$1),SP_ACQ_Lib[],MATCH(AS$2,SP_ACQ_Lib[#Headers],0),FALSE)=0,"",VLOOKUP(CONCATENATE($A73,"_",AS$1),SP_ACQ_Lib[],MATCH(AS$2,SP_ACQ_Lib[#Headers],0),FALSE)),"")</f>
        <v/>
      </c>
      <c r="AT73" s="251" t="str">
        <f>IFERROR(IF(VLOOKUP(CONCATENATE($A73,"_",AT$1),SP_ACQ_Lib[],MATCH(AT$2,SP_ACQ_Lib[#Headers],0),FALSE)=0,"",VLOOKUP(CONCATENATE($A73,"_",AT$1),SP_ACQ_Lib[],MATCH(AT$2,SP_ACQ_Lib[#Headers],0),FALSE)),"")</f>
        <v/>
      </c>
      <c r="AU73" s="251" t="str">
        <f>IFERROR(IF(VLOOKUP(CONCATENATE($A73,"_",AU$1),SP_ACQ_Lib[],MATCH(AU$2,SP_ACQ_Lib[#Headers],0),FALSE)=0,"",VLOOKUP(CONCATENATE($A73,"_",AU$1),SP_ACQ_Lib[],MATCH(AU$2,SP_ACQ_Lib[#Headers],0),FALSE)),"")</f>
        <v/>
      </c>
      <c r="AV73" s="225" t="str">
        <f>IFERROR(IF(VLOOKUP(CONCATENATE($A73,"_",AV$1),SP_ACQ_Lib[],MATCH(AV$2,SP_ACQ_Lib[#Headers],0),FALSE)=0,"",VLOOKUP(CONCATENATE($A73,"_",AV$1),SP_ACQ_Lib[],MATCH(AV$2,SP_ACQ_Lib[#Headers],0),FALSE)),"")</f>
        <v/>
      </c>
      <c r="AW73" s="251" t="str">
        <f>IFERROR(IF(VLOOKUP(CONCATENATE($A73,"_",AW$1),SP_ACQ_Lib[],MATCH(AW$2,SP_ACQ_Lib[#Headers],0),FALSE)=0,"",VLOOKUP(CONCATENATE($A73,"_",AW$1),SP_ACQ_Lib[],MATCH(AW$2,SP_ACQ_Lib[#Headers],0),FALSE)),"")</f>
        <v/>
      </c>
      <c r="AX73" s="251" t="str">
        <f>IFERROR(IF(VLOOKUP(CONCATENATE($A73,"_",AX$1),SP_ACQ_Lib[],MATCH(AX$2,SP_ACQ_Lib[#Headers],0),FALSE)=0,"",VLOOKUP(CONCATENATE($A73,"_",AX$1),SP_ACQ_Lib[],MATCH(AX$2,SP_ACQ_Lib[#Headers],0),FALSE)),"")</f>
        <v/>
      </c>
      <c r="AY73" s="251" t="str">
        <f>IFERROR(IF(VLOOKUP(CONCATENATE($A73,"_",AY$1),SP_ACQ_Lib[],MATCH(AY$2,SP_ACQ_Lib[#Headers],0),FALSE)=0,"",VLOOKUP(CONCATENATE($A73,"_",AY$1),SP_ACQ_Lib[],MATCH(AY$2,SP_ACQ_Lib[#Headers],0),FALSE)),"")</f>
        <v/>
      </c>
      <c r="AZ73" s="251" t="str">
        <f>IFERROR(IF(VLOOKUP(CONCATENATE($A73,"_",AZ$1),SP_ACQ_Lib[],MATCH(AZ$2,SP_ACQ_Lib[#Headers],0),FALSE)=0,"",VLOOKUP(CONCATENATE($A73,"_",AZ$1),SP_ACQ_Lib[],MATCH(AZ$2,SP_ACQ_Lib[#Headers],0),FALSE)),"")</f>
        <v/>
      </c>
      <c r="BA73" s="251" t="str">
        <f>IFERROR(IF(VLOOKUP(CONCATENATE($A73,"_",BA$1),SP_ACQ_Lib[],MATCH(BA$2,SP_ACQ_Lib[#Headers],0),FALSE)=0,"",VLOOKUP(CONCATENATE($A73,"_",BA$1),SP_ACQ_Lib[],MATCH(BA$2,SP_ACQ_Lib[#Headers],0),FALSE)),"")</f>
        <v/>
      </c>
      <c r="BB73" s="224">
        <f>IFERROR(VLOOKUP(CONCATENATE($A73,"_",BB$1),SP_ACQ_Lib[],MATCH(BB$2,SP_ACQ_Lib[#Headers],0),FALSE),0)</f>
        <v>0</v>
      </c>
      <c r="BC73" s="231">
        <f>IFERROR(VLOOKUP($A73,SP_AcqTract_DB[],MATCH(BC$2,SP_AcqTract_DB[#Headers],0),FALSE),"")</f>
        <v>0</v>
      </c>
      <c r="BD73" s="231">
        <f>IFERROR(VLOOKUP($A73,SP_AcqTract_DB[],MATCH(BD$2,SP_AcqTract_DB[#Headers],0),FALSE),"")</f>
        <v>0</v>
      </c>
      <c r="BE73" s="249" t="str">
        <f>IFERROR(IF(VLOOKUP(CONCATENATE($A73,"_",BE$1),SP_ACQ_Lib[],MATCH(BE$2,SP_ACQ_Lib[#Headers],0),FALSE)=0,"",VLOOKUP(CONCATENATE($A73,"_",BE$1),SP_ACQ_Lib[],MATCH(BE$2,SP_ACQ_Lib[#Headers],0),FALSE)),"")</f>
        <v/>
      </c>
      <c r="BF73" s="249" t="str">
        <f>IFERROR(IF(VLOOKUP(CONCATENATE($A73,"_",BF$1),SP_ACQ_Lib[],MATCH(BF$2,SP_ACQ_Lib[#Headers],0),FALSE)=0,"",VLOOKUP(CONCATENATE($A73,"_",BF$1),SP_ACQ_Lib[],MATCH(BF$2,SP_ACQ_Lib[#Headers],0),FALSE)),"")</f>
        <v/>
      </c>
      <c r="BG73" s="249" t="str">
        <f>IFERROR(IF(VLOOKUP(CONCATENATE($A73,"_",BG$1),SP_ACQ_Lib[],MATCH(BG$2,SP_ACQ_Lib[#Headers],0),FALSE)=0,"",VLOOKUP(CONCATENATE($A73,"_",BG$1),SP_ACQ_Lib[],MATCH(BG$2,SP_ACQ_Lib[#Headers],0),FALSE)),"")</f>
        <v/>
      </c>
      <c r="BH73" s="249" t="str">
        <f>IFERROR(IF(VLOOKUP(CONCATENATE($A73,"_",BH$1),SP_ACQ_Lib[],MATCH(BH$2,SP_ACQ_Lib[#Headers],0),FALSE)=0,"",VLOOKUP(CONCATENATE($A73,"_",BH$1),SP_ACQ_Lib[],MATCH(BH$2,SP_ACQ_Lib[#Headers],0),FALSE)),"")</f>
        <v/>
      </c>
      <c r="BI73" s="249" t="str">
        <f>IFERROR(IF(VLOOKUP(CONCATENATE($A73,"_",BI$1),SP_ACQ_Lib[],MATCH(BI$2,SP_ACQ_Lib[#Headers],0),FALSE)=0,"",VLOOKUP(CONCATENATE($A73,"_",BI$1),SP_ACQ_Lib[],MATCH(BI$2,SP_ACQ_Lib[#Headers],0),FALSE)),"")</f>
        <v/>
      </c>
      <c r="BJ73" s="249" t="str">
        <f>IFERROR(IF(VLOOKUP(CONCATENATE($A73,"_",BJ$1),SP_ACQ_Lib[],MATCH(BJ$2,SP_ACQ_Lib[#Headers],0),FALSE)=0,"",VLOOKUP(CONCATENATE($A73,"_",BJ$1),SP_ACQ_Lib[],MATCH(BJ$2,SP_ACQ_Lib[#Headers],0),FALSE)),"")</f>
        <v/>
      </c>
      <c r="BK73" s="250" t="str">
        <f>IFERROR(IF(VLOOKUP(CONCATENATE($A73,"_",BK$1),SP_ACQ_Lib[],MATCH(BK$2,SP_ACQ_Lib[#Headers],0),FALSE)=0,"",VLOOKUP(CONCATENATE($A73,"_",BK$1),SP_ACQ_Lib[],MATCH(BK$2,SP_ACQ_Lib[#Headers],0),FALSE)),"")</f>
        <v/>
      </c>
      <c r="BL73" s="249" t="str">
        <f>IFERROR(IF(VLOOKUP(CONCATENATE($A73,"_",BL$1),SP_ACQ_Lib[],MATCH(BL$2,SP_ACQ_Lib[#Headers],0),FALSE)=0,"",VLOOKUP(CONCATENATE($A73,"_",BL$1),SP_ACQ_Lib[],MATCH(BL$2,SP_ACQ_Lib[#Headers],0),FALSE)),"")</f>
        <v/>
      </c>
      <c r="BM73" s="249" t="str">
        <f>IFERROR(IF(VLOOKUP(CONCATENATE($A73,"_",BM$1),SP_ACQ_Lib[],MATCH(BM$2,SP_ACQ_Lib[#Headers],0),FALSE)=0,"",VLOOKUP(CONCATENATE($A73,"_",BM$1),SP_ACQ_Lib[],MATCH(BM$2,SP_ACQ_Lib[#Headers],0),FALSE)),"")</f>
        <v/>
      </c>
      <c r="BN73" s="249" t="str">
        <f>IFERROR(IF(VLOOKUP(CONCATENATE($A73,"_",BN$1),SP_ACQ_Lib[],MATCH(BN$2,SP_ACQ_Lib[#Headers],0),FALSE)=0,"",VLOOKUP(CONCATENATE($A73,"_",BN$1),SP_ACQ_Lib[],MATCH(BN$2,SP_ACQ_Lib[#Headers],0),FALSE)),"")</f>
        <v/>
      </c>
    </row>
    <row r="74" spans="1:66" s="226" customFormat="1" ht="25.5" x14ac:dyDescent="0.2">
      <c r="A74" s="192" t="s">
        <v>5252</v>
      </c>
      <c r="B74" s="227" t="str">
        <f>IFERROR(VLOOKUP($A74,SP_AcqTract_DB[],MATCH(B$2,SP_AcqTract_DB[#Headers],0),FALSE),"")</f>
        <v>R018696</v>
      </c>
      <c r="C74" s="228" t="str">
        <f>IFERROR(VLOOKUP($A74,SP_AcqTract_DB[],MATCH(C$2,SP_AcqTract_DB[#Headers],0),FALSE),"")</f>
        <v>PH2</v>
      </c>
      <c r="D74" s="208" t="str">
        <f>IFERROR(VLOOKUP($A74,SP_AcqTract_DB[],MATCH(D$2,SP_AcqTract_DB[#Headers],0),FALSE),"")</f>
        <v>Active</v>
      </c>
      <c r="E74" s="208">
        <f>IFERROR(VLOOKUP($A74,SP_AcqTract_DB[],MATCH(E$2,SP_AcqTract_DB[#Headers],0),FALSE),"")</f>
        <v>0</v>
      </c>
      <c r="F74" s="227">
        <f>IFERROR(VLOOKUP($A74,SP_AcqTract_DB[],MATCH(F$2,SP_AcqTract_DB[#Headers],0),FALSE),"")</f>
        <v>0</v>
      </c>
      <c r="G74" s="227" t="str">
        <f>IFERROR(VLOOKUP($A74,SP_AcqTract_DB[],MATCH(G$2,SP_AcqTract_DB[#Headers],0),FALSE),"")</f>
        <v>Elizabeth Taylor</v>
      </c>
      <c r="H74" s="250">
        <f>IFERROR(IF(VLOOKUP(CONCATENATE($A74,"_",H$1),SP_ACQ_Lib[],MATCH(H$2,SP_ACQ_Lib[#Headers],0),FALSE)=0,"",VLOOKUP(CONCATENATE($A74,"_",H$1),SP_ACQ_Lib[],MATCH(H$2,SP_ACQ_Lib[#Headers],0),FALSE)),"")</f>
        <v>44019.579872685186</v>
      </c>
      <c r="I74" s="227" t="str">
        <f>IFERROR(VLOOKUP($A74,SP_AcqTract_DB[],MATCH(I$2,SP_AcqTract_DB[#Headers],0),FALSE),"")</f>
        <v>Garcia Natividad Heir Of Jesus Garcia-Decd</v>
      </c>
      <c r="J74" s="227">
        <f>IFERROR(VLOOKUP($A74,SP_AcqTract_DB[],MATCH(J$2,SP_AcqTract_DB[#Headers],0),FALSE),"")</f>
        <v>0</v>
      </c>
      <c r="K74" s="227">
        <f>IFERROR(VLOOKUP($A74,SP_AcqTract_DB[],MATCH(K$2,SP_AcqTract_DB[#Headers],0),FALSE),"")</f>
        <v>0</v>
      </c>
      <c r="L74" s="227">
        <f>IFERROR(VLOOKUP($A74,SP_AcqTract_DB[],MATCH(L$2,SP_AcqTract_DB[#Headers],0),FALSE),"")</f>
        <v>0</v>
      </c>
      <c r="M74" s="208">
        <f>IFERROR(VLOOKUP($A74,SP_AcqTract_DB[],MATCH(M$2,SP_AcqTract_DB[#Headers],0),FALSE),"")</f>
        <v>0</v>
      </c>
      <c r="N74" s="227" t="str">
        <f>IFERROR(VLOOKUP($A74,SP_AcqTract_DB[],MATCH(N$2,SP_AcqTract_DB[#Headers],0),FALSE),"")</f>
        <v>1264 CR 188</v>
      </c>
      <c r="O74" s="220">
        <f>IFERROR(VLOOKUP($A74,SP_AcqTract_DB[],MATCH(O$2,SP_AcqTract_DB[#Headers],0),FALSE),"")</f>
        <v>0</v>
      </c>
      <c r="P74" s="220">
        <f>IFERROR(VLOOKUP($A74,SP_AcqTract_DB[],MATCH(P$2,SP_AcqTract_DB[#Headers],0),FALSE),"")</f>
        <v>0</v>
      </c>
      <c r="Q74" s="208">
        <f>IFERROR(VLOOKUP($A74,SP_AcqTract_DB[],MATCH(Q$2,SP_AcqTract_DB[#Headers],0),FALSE),"")</f>
        <v>0</v>
      </c>
      <c r="R74" s="250" t="str">
        <f>IFERROR(IF(VLOOKUP(CONCATENATE($A74,"_",R$1),SP_ACQ_Lib[],MATCH(R$2,SP_ACQ_Lib[#Headers],0),FALSE)=0,"",VLOOKUP(CONCATENATE($A74,"_",R$1),SP_ACQ_Lib[],MATCH(R$2,SP_ACQ_Lib[#Headers],0),FALSE)),"")</f>
        <v/>
      </c>
      <c r="S74" s="253" t="str">
        <f>IFERROR(IF(VLOOKUP(CONCATENATE($A74,"_",S$1),SP_ACQ_Lib[],MATCH(S$2,SP_ACQ_Lib[#Headers],0),FALSE)=0,"",VLOOKUP(CONCATENATE($A74,"_",S$1),SP_ACQ_Lib[],MATCH(S$2,SP_ACQ_Lib[#Headers],0),FALSE)),"")</f>
        <v/>
      </c>
      <c r="T74" s="205">
        <f>IFERROR(VLOOKUP(CONCATENATE($A74,"_",T$1),SP_ACQ_Lib[],MATCH(T$2,SP_ACQ_Lib[#Headers],0),FALSE),0)</f>
        <v>0</v>
      </c>
      <c r="U74" s="250" t="str">
        <f>IFERROR(IF(VLOOKUP(CONCATENATE($A74,"_",U$1),SP_ACQ_Lib[],MATCH(U$2,SP_ACQ_Lib[#Headers],0),FALSE)=0,"",VLOOKUP(CONCATENATE($A74,"_",U$1),SP_ACQ_Lib[],MATCH(U$2,SP_ACQ_Lib[#Headers],0),FALSE)),"")</f>
        <v/>
      </c>
      <c r="V74" s="205" t="str">
        <f>IFERROR(VLOOKUP(CONCATENATE($A74,"_",V$1),SP_ACQ_Lib[],MATCH(V$2,SP_ACQ_Lib[#Headers],0),FALSE),0)</f>
        <v>Accepted</v>
      </c>
      <c r="W74" s="209">
        <f>IFERROR(VLOOKUP(CONCATENATE($A74,"_",W$1),SP_ACQ_Lib[],MATCH(W$2,SP_ACQ_Lib[#Headers],0),FALSE),0)</f>
        <v>0</v>
      </c>
      <c r="X74" s="250">
        <f>IFERROR(VLOOKUP($A74,SP_AcqTract_DB[],MATCH(X$2,SP_AcqTract_DB[#Headers],0),FALSE),"")</f>
        <v>0</v>
      </c>
      <c r="Y74" s="237">
        <f>IFERROR(VLOOKUP($A74,SP_AcqTract_DB[],MATCH(Y$2,SP_AcqTract_DB[#Headers],0),FALSE),"")</f>
        <v>0</v>
      </c>
      <c r="Z74" s="229">
        <f>IFERROR(VLOOKUP($A74,SP_AcqTract_DB[],MATCH(Z$2,SP_AcqTract_DB[#Headers],0),FALSE),"")</f>
        <v>0</v>
      </c>
      <c r="AA74" s="229">
        <f>IFERROR(VLOOKUP($A74,SP_AcqTract_DB[],MATCH(AA$2,SP_AcqTract_DB[#Headers],0),FALSE),"")</f>
        <v>0</v>
      </c>
      <c r="AB74" s="250" t="str">
        <f>IFERROR(IF(VLOOKUP(CONCATENATE($A74,"_",AB$1),SP_ACQ_Lib[],MATCH(AB$2,SP_ACQ_Lib[#Headers],0),FALSE)=0,"",VLOOKUP(CONCATENATE($A74,"_",AB$1),SP_ACQ_Lib[],MATCH(AB$2,SP_ACQ_Lib[#Headers],0),FALSE)),"")</f>
        <v/>
      </c>
      <c r="AC74" s="250" t="str">
        <f>IFERROR(IF(VLOOKUP(CONCATENATE($A74,"_",AC$1),SP_ACQ_Lib[],MATCH(AC$2,SP_ACQ_Lib[#Headers],0),FALSE)=0,"",VLOOKUP(CONCATENATE($A74,"_",AC$1),SP_ACQ_Lib[],MATCH(AC$2,SP_ACQ_Lib[#Headers],0),FALSE)),"")</f>
        <v/>
      </c>
      <c r="AD74" s="229">
        <f>IFERROR(VLOOKUP($A74,SP_AcqTract_DB[],MATCH(AD$2,SP_AcqTract_DB[#Headers],0),FALSE),"")</f>
        <v>0</v>
      </c>
      <c r="AE74" s="250" t="str">
        <f>IFERROR(IF(VLOOKUP(CONCATENATE($A74,"_",AE$1),SP_ACQ_Lib[],MATCH(AE$2,SP_ACQ_Lib[#Headers],0),FALSE)=0,"",VLOOKUP(CONCATENATE($A74,"_",AE$1),SP_ACQ_Lib[],MATCH(AE$2,SP_ACQ_Lib[#Headers],0),FALSE)),"")</f>
        <v/>
      </c>
      <c r="AF74" s="250" t="str">
        <f>IFERROR(IF(VLOOKUP(CONCATENATE($A74,"_",AF$1),SP_ACQ_Lib[],MATCH(AF$2,SP_ACQ_Lib[#Headers],0),FALSE)=0,"",VLOOKUP(CONCATENATE($A74,"_",AF$1),SP_ACQ_Lib[],MATCH(AF$2,SP_ACQ_Lib[#Headers],0),FALSE)),"")</f>
        <v/>
      </c>
      <c r="AG74" s="250" t="str">
        <f>IFERROR(IF(VLOOKUP(CONCATENATE($A74,"_",AG$1),SP_ACQ_Lib[],MATCH(AG$2,SP_ACQ_Lib[#Headers],0),FALSE)=0,"",VLOOKUP(CONCATENATE($A74,"_",AG$1),SP_ACQ_Lib[],MATCH(AG$2,SP_ACQ_Lib[#Headers],0),FALSE)),"")</f>
        <v/>
      </c>
      <c r="AH74" s="250" t="str">
        <f>IFERROR(IF(VLOOKUP(CONCATENATE($A74,"_",AH$1),SP_ACQ_Lib[],MATCH(AH$2,SP_ACQ_Lib[#Headers],0),FALSE)=0,"",VLOOKUP(CONCATENATE($A74,"_",AH$1),SP_ACQ_Lib[],MATCH(AH$2,SP_ACQ_Lib[#Headers],0),FALSE)),"")</f>
        <v/>
      </c>
      <c r="AI74" s="249">
        <f>IFERROR(IF(VLOOKUP(CONCATENATE($A74,"_",AI$1),SP_ACQ_Lib[],MATCH(AI$2,SP_ACQ_Lib[#Headers],0),FALSE)=0,"",VLOOKUP(CONCATENATE($A74,"_",AI$1),SP_ACQ_Lib[],MATCH(AI$2,SP_ACQ_Lib[#Headers],0),FALSE)),"")</f>
        <v>43984</v>
      </c>
      <c r="AJ74" s="249" t="str">
        <f>IFERROR(IF(VLOOKUP(CONCATENATE($A74,"_",AJ$1),SP_ACQ_Lib[],MATCH(AJ$2,SP_ACQ_Lib[#Headers],0),FALSE)=0,"",VLOOKUP(CONCATENATE($A74,"_",AJ$1),SP_ACQ_Lib[],MATCH(AJ$2,SP_ACQ_Lib[#Headers],0),FALSE)),"")</f>
        <v/>
      </c>
      <c r="AK74" s="249" t="str">
        <f>IFERROR(IF(VLOOKUP(CONCATENATE($A74,"_",AK$1),SP_ACQ_Lib[],MATCH(AK$2,SP_ACQ_Lib[#Headers],0),FALSE)=0,"",VLOOKUP(CONCATENATE($A74,"_",AK$1),SP_ACQ_Lib[],MATCH(AK$2,SP_ACQ_Lib[#Headers],0),FALSE)),"")</f>
        <v/>
      </c>
      <c r="AL74" s="249">
        <f>IFERROR(VLOOKUP($A74,SP_AcqTract_DB[],MATCH(AL$2,SP_AcqTract_DB[#Headers],0),FALSE),"")</f>
        <v>0</v>
      </c>
      <c r="AM74" s="227">
        <f>IFERROR(VLOOKUP($A74,SP_AcqTract_DB[],MATCH(AM$2,SP_AcqTract_DB[#Headers],0),FALSE),"")</f>
        <v>0</v>
      </c>
      <c r="AN74" s="227">
        <f>IFERROR(VLOOKUP($A74,SP_AcqTract_DB[],MATCH(AN$2,SP_AcqTract_DB[#Headers],0),FALSE),"")</f>
        <v>0</v>
      </c>
      <c r="AO74" s="228">
        <f>IFERROR(VLOOKUP($A74,SP_AcqTract_DB[],MATCH(AO$2,SP_AcqTract_DB[#Headers],0),FALSE),"")</f>
        <v>0</v>
      </c>
      <c r="AP74" s="210">
        <f>IFERROR(VLOOKUP($A74,SP_AcqTract_DB[],MATCH(AP$2,SP_AcqTract_DB[#Headers],0),FALSE),"")</f>
        <v>0</v>
      </c>
      <c r="AQ74" s="252" t="str">
        <f>IFERROR(IF(VLOOKUP(CONCATENATE($A74,"_",AQ$1),SP_ACQ_Lib[],MATCH(AQ$2,SP_ACQ_Lib[#Headers],0),FALSE)=0,"",VLOOKUP(CONCATENATE($A74,"_",AQ$1),SP_ACQ_Lib[],MATCH(AQ$2,SP_ACQ_Lib[#Headers],0),FALSE)),"")</f>
        <v/>
      </c>
      <c r="AR74" s="250" t="str">
        <f>IFERROR(IF(VLOOKUP(CONCATENATE($A74,"_",AR$1),SP_ACQ_Lib[],MATCH(AR$2,SP_ACQ_Lib[#Headers],0),FALSE)=0,"",VLOOKUP(CONCATENATE($A74,"_",AR$1),SP_ACQ_Lib[],MATCH(AR$2,SP_ACQ_Lib[#Headers],0),FALSE)),"")</f>
        <v/>
      </c>
      <c r="AS74" s="249" t="str">
        <f>IFERROR(IF(VLOOKUP(CONCATENATE($A74,"_",AS$1),SP_ACQ_Lib[],MATCH(AS$2,SP_ACQ_Lib[#Headers],0),FALSE)=0,"",VLOOKUP(CONCATENATE($A74,"_",AS$1),SP_ACQ_Lib[],MATCH(AS$2,SP_ACQ_Lib[#Headers],0),FALSE)),"")</f>
        <v/>
      </c>
      <c r="AT74" s="251" t="str">
        <f>IFERROR(IF(VLOOKUP(CONCATENATE($A74,"_",AT$1),SP_ACQ_Lib[],MATCH(AT$2,SP_ACQ_Lib[#Headers],0),FALSE)=0,"",VLOOKUP(CONCATENATE($A74,"_",AT$1),SP_ACQ_Lib[],MATCH(AT$2,SP_ACQ_Lib[#Headers],0),FALSE)),"")</f>
        <v/>
      </c>
      <c r="AU74" s="251" t="str">
        <f>IFERROR(IF(VLOOKUP(CONCATENATE($A74,"_",AU$1),SP_ACQ_Lib[],MATCH(AU$2,SP_ACQ_Lib[#Headers],0),FALSE)=0,"",VLOOKUP(CONCATENATE($A74,"_",AU$1),SP_ACQ_Lib[],MATCH(AU$2,SP_ACQ_Lib[#Headers],0),FALSE)),"")</f>
        <v/>
      </c>
      <c r="AV74" s="225" t="str">
        <f>IFERROR(IF(VLOOKUP(CONCATENATE($A74,"_",AV$1),SP_ACQ_Lib[],MATCH(AV$2,SP_ACQ_Lib[#Headers],0),FALSE)=0,"",VLOOKUP(CONCATENATE($A74,"_",AV$1),SP_ACQ_Lib[],MATCH(AV$2,SP_ACQ_Lib[#Headers],0),FALSE)),"")</f>
        <v/>
      </c>
      <c r="AW74" s="251" t="str">
        <f>IFERROR(IF(VLOOKUP(CONCATENATE($A74,"_",AW$1),SP_ACQ_Lib[],MATCH(AW$2,SP_ACQ_Lib[#Headers],0),FALSE)=0,"",VLOOKUP(CONCATENATE($A74,"_",AW$1),SP_ACQ_Lib[],MATCH(AW$2,SP_ACQ_Lib[#Headers],0),FALSE)),"")</f>
        <v/>
      </c>
      <c r="AX74" s="251" t="str">
        <f>IFERROR(IF(VLOOKUP(CONCATENATE($A74,"_",AX$1),SP_ACQ_Lib[],MATCH(AX$2,SP_ACQ_Lib[#Headers],0),FALSE)=0,"",VLOOKUP(CONCATENATE($A74,"_",AX$1),SP_ACQ_Lib[],MATCH(AX$2,SP_ACQ_Lib[#Headers],0),FALSE)),"")</f>
        <v/>
      </c>
      <c r="AY74" s="251" t="str">
        <f>IFERROR(IF(VLOOKUP(CONCATENATE($A74,"_",AY$1),SP_ACQ_Lib[],MATCH(AY$2,SP_ACQ_Lib[#Headers],0),FALSE)=0,"",VLOOKUP(CONCATENATE($A74,"_",AY$1),SP_ACQ_Lib[],MATCH(AY$2,SP_ACQ_Lib[#Headers],0),FALSE)),"")</f>
        <v/>
      </c>
      <c r="AZ74" s="251" t="str">
        <f>IFERROR(IF(VLOOKUP(CONCATENATE($A74,"_",AZ$1),SP_ACQ_Lib[],MATCH(AZ$2,SP_ACQ_Lib[#Headers],0),FALSE)=0,"",VLOOKUP(CONCATENATE($A74,"_",AZ$1),SP_ACQ_Lib[],MATCH(AZ$2,SP_ACQ_Lib[#Headers],0),FALSE)),"")</f>
        <v/>
      </c>
      <c r="BA74" s="251" t="str">
        <f>IFERROR(IF(VLOOKUP(CONCATENATE($A74,"_",BA$1),SP_ACQ_Lib[],MATCH(BA$2,SP_ACQ_Lib[#Headers],0),FALSE)=0,"",VLOOKUP(CONCATENATE($A74,"_",BA$1),SP_ACQ_Lib[],MATCH(BA$2,SP_ACQ_Lib[#Headers],0),FALSE)),"")</f>
        <v/>
      </c>
      <c r="BB74" s="224">
        <f>IFERROR(VLOOKUP(CONCATENATE($A74,"_",BB$1),SP_ACQ_Lib[],MATCH(BB$2,SP_ACQ_Lib[#Headers],0),FALSE),0)</f>
        <v>0</v>
      </c>
      <c r="BC74" s="231">
        <f>IFERROR(VLOOKUP($A74,SP_AcqTract_DB[],MATCH(BC$2,SP_AcqTract_DB[#Headers],0),FALSE),"")</f>
        <v>0</v>
      </c>
      <c r="BD74" s="231">
        <f>IFERROR(VLOOKUP($A74,SP_AcqTract_DB[],MATCH(BD$2,SP_AcqTract_DB[#Headers],0),FALSE),"")</f>
        <v>0</v>
      </c>
      <c r="BE74" s="249" t="str">
        <f>IFERROR(IF(VLOOKUP(CONCATENATE($A74,"_",BE$1),SP_ACQ_Lib[],MATCH(BE$2,SP_ACQ_Lib[#Headers],0),FALSE)=0,"",VLOOKUP(CONCATENATE($A74,"_",BE$1),SP_ACQ_Lib[],MATCH(BE$2,SP_ACQ_Lib[#Headers],0),FALSE)),"")</f>
        <v/>
      </c>
      <c r="BF74" s="249" t="str">
        <f>IFERROR(IF(VLOOKUP(CONCATENATE($A74,"_",BF$1),SP_ACQ_Lib[],MATCH(BF$2,SP_ACQ_Lib[#Headers],0),FALSE)=0,"",VLOOKUP(CONCATENATE($A74,"_",BF$1),SP_ACQ_Lib[],MATCH(BF$2,SP_ACQ_Lib[#Headers],0),FALSE)),"")</f>
        <v/>
      </c>
      <c r="BG74" s="249" t="str">
        <f>IFERROR(IF(VLOOKUP(CONCATENATE($A74,"_",BG$1),SP_ACQ_Lib[],MATCH(BG$2,SP_ACQ_Lib[#Headers],0),FALSE)=0,"",VLOOKUP(CONCATENATE($A74,"_",BG$1),SP_ACQ_Lib[],MATCH(BG$2,SP_ACQ_Lib[#Headers],0),FALSE)),"")</f>
        <v/>
      </c>
      <c r="BH74" s="249" t="str">
        <f>IFERROR(IF(VLOOKUP(CONCATENATE($A74,"_",BH$1),SP_ACQ_Lib[],MATCH(BH$2,SP_ACQ_Lib[#Headers],0),FALSE)=0,"",VLOOKUP(CONCATENATE($A74,"_",BH$1),SP_ACQ_Lib[],MATCH(BH$2,SP_ACQ_Lib[#Headers],0),FALSE)),"")</f>
        <v/>
      </c>
      <c r="BI74" s="249" t="str">
        <f>IFERROR(IF(VLOOKUP(CONCATENATE($A74,"_",BI$1),SP_ACQ_Lib[],MATCH(BI$2,SP_ACQ_Lib[#Headers],0),FALSE)=0,"",VLOOKUP(CONCATENATE($A74,"_",BI$1),SP_ACQ_Lib[],MATCH(BI$2,SP_ACQ_Lib[#Headers],0),FALSE)),"")</f>
        <v/>
      </c>
      <c r="BJ74" s="249" t="str">
        <f>IFERROR(IF(VLOOKUP(CONCATENATE($A74,"_",BJ$1),SP_ACQ_Lib[],MATCH(BJ$2,SP_ACQ_Lib[#Headers],0),FALSE)=0,"",VLOOKUP(CONCATENATE($A74,"_",BJ$1),SP_ACQ_Lib[],MATCH(BJ$2,SP_ACQ_Lib[#Headers],0),FALSE)),"")</f>
        <v/>
      </c>
      <c r="BK74" s="250" t="str">
        <f>IFERROR(IF(VLOOKUP(CONCATENATE($A74,"_",BK$1),SP_ACQ_Lib[],MATCH(BK$2,SP_ACQ_Lib[#Headers],0),FALSE)=0,"",VLOOKUP(CONCATENATE($A74,"_",BK$1),SP_ACQ_Lib[],MATCH(BK$2,SP_ACQ_Lib[#Headers],0),FALSE)),"")</f>
        <v/>
      </c>
      <c r="BL74" s="249" t="str">
        <f>IFERROR(IF(VLOOKUP(CONCATENATE($A74,"_",BL$1),SP_ACQ_Lib[],MATCH(BL$2,SP_ACQ_Lib[#Headers],0),FALSE)=0,"",VLOOKUP(CONCATENATE($A74,"_",BL$1),SP_ACQ_Lib[],MATCH(BL$2,SP_ACQ_Lib[#Headers],0),FALSE)),"")</f>
        <v/>
      </c>
      <c r="BM74" s="249" t="str">
        <f>IFERROR(IF(VLOOKUP(CONCATENATE($A74,"_",BM$1),SP_ACQ_Lib[],MATCH(BM$2,SP_ACQ_Lib[#Headers],0),FALSE)=0,"",VLOOKUP(CONCATENATE($A74,"_",BM$1),SP_ACQ_Lib[],MATCH(BM$2,SP_ACQ_Lib[#Headers],0),FALSE)),"")</f>
        <v/>
      </c>
      <c r="BN74" s="249" t="str">
        <f>IFERROR(IF(VLOOKUP(CONCATENATE($A74,"_",BN$1),SP_ACQ_Lib[],MATCH(BN$2,SP_ACQ_Lib[#Headers],0),FALSE)=0,"",VLOOKUP(CONCATENATE($A74,"_",BN$1),SP_ACQ_Lib[],MATCH(BN$2,SP_ACQ_Lib[#Headers],0),FALSE)),"")</f>
        <v/>
      </c>
    </row>
    <row r="75" spans="1:66" s="226" customFormat="1" ht="15.75" x14ac:dyDescent="0.2">
      <c r="A75" s="192" t="s">
        <v>5271</v>
      </c>
      <c r="B75" s="227" t="str">
        <f>IFERROR(VLOOKUP($A75,SP_AcqTract_DB[],MATCH(B$2,SP_AcqTract_DB[#Headers],0),FALSE),"")</f>
        <v>R018697</v>
      </c>
      <c r="C75" s="228" t="str">
        <f>IFERROR(VLOOKUP($A75,SP_AcqTract_DB[],MATCH(C$2,SP_AcqTract_DB[#Headers],0),FALSE),"")</f>
        <v>PH2</v>
      </c>
      <c r="D75" s="208" t="str">
        <f>IFERROR(VLOOKUP($A75,SP_AcqTract_DB[],MATCH(D$2,SP_AcqTract_DB[#Headers],0),FALSE),"")</f>
        <v>Active</v>
      </c>
      <c r="E75" s="208">
        <f>IFERROR(VLOOKUP($A75,SP_AcqTract_DB[],MATCH(E$2,SP_AcqTract_DB[#Headers],0),FALSE),"")</f>
        <v>0</v>
      </c>
      <c r="F75" s="227">
        <f>IFERROR(VLOOKUP($A75,SP_AcqTract_DB[],MATCH(F$2,SP_AcqTract_DB[#Headers],0),FALSE),"")</f>
        <v>0</v>
      </c>
      <c r="G75" s="227" t="str">
        <f>IFERROR(VLOOKUP($A75,SP_AcqTract_DB[],MATCH(G$2,SP_AcqTract_DB[#Headers],0),FALSE),"")</f>
        <v>Elizabeth Taylor</v>
      </c>
      <c r="H75" s="250">
        <f>IFERROR(IF(VLOOKUP(CONCATENATE($A75,"_",H$1),SP_ACQ_Lib[],MATCH(H$2,SP_ACQ_Lib[#Headers],0),FALSE)=0,"",VLOOKUP(CONCATENATE($A75,"_",H$1),SP_ACQ_Lib[],MATCH(H$2,SP_ACQ_Lib[#Headers],0),FALSE)),"")</f>
        <v>44021.769270833334</v>
      </c>
      <c r="I75" s="227" t="str">
        <f>IFERROR(VLOOKUP($A75,SP_AcqTract_DB[],MATCH(I$2,SP_AcqTract_DB[#Headers],0),FALSE),"")</f>
        <v>Gomez Ricardo E Etux Erminia L</v>
      </c>
      <c r="J75" s="227">
        <f>IFERROR(VLOOKUP($A75,SP_AcqTract_DB[],MATCH(J$2,SP_AcqTract_DB[#Headers],0),FALSE),"")</f>
        <v>0</v>
      </c>
      <c r="K75" s="227">
        <f>IFERROR(VLOOKUP($A75,SP_AcqTract_DB[],MATCH(K$2,SP_AcqTract_DB[#Headers],0),FALSE),"")</f>
        <v>0</v>
      </c>
      <c r="L75" s="227">
        <f>IFERROR(VLOOKUP($A75,SP_AcqTract_DB[],MATCH(L$2,SP_AcqTract_DB[#Headers],0),FALSE),"")</f>
        <v>0</v>
      </c>
      <c r="M75" s="208">
        <f>IFERROR(VLOOKUP($A75,SP_AcqTract_DB[],MATCH(M$2,SP_AcqTract_DB[#Headers],0),FALSE),"")</f>
        <v>0</v>
      </c>
      <c r="N75" s="227" t="str">
        <f>IFERROR(VLOOKUP($A75,SP_AcqTract_DB[],MATCH(N$2,SP_AcqTract_DB[#Headers],0),FALSE),"")</f>
        <v>914 CR 188</v>
      </c>
      <c r="O75" s="220">
        <f>IFERROR(VLOOKUP($A75,SP_AcqTract_DB[],MATCH(O$2,SP_AcqTract_DB[#Headers],0),FALSE),"")</f>
        <v>0</v>
      </c>
      <c r="P75" s="220">
        <f>IFERROR(VLOOKUP($A75,SP_AcqTract_DB[],MATCH(P$2,SP_AcqTract_DB[#Headers],0),FALSE),"")</f>
        <v>0</v>
      </c>
      <c r="Q75" s="208">
        <f>IFERROR(VLOOKUP($A75,SP_AcqTract_DB[],MATCH(Q$2,SP_AcqTract_DB[#Headers],0),FALSE),"")</f>
        <v>0</v>
      </c>
      <c r="R75" s="250" t="str">
        <f>IFERROR(IF(VLOOKUP(CONCATENATE($A75,"_",R$1),SP_ACQ_Lib[],MATCH(R$2,SP_ACQ_Lib[#Headers],0),FALSE)=0,"",VLOOKUP(CONCATENATE($A75,"_",R$1),SP_ACQ_Lib[],MATCH(R$2,SP_ACQ_Lib[#Headers],0),FALSE)),"")</f>
        <v/>
      </c>
      <c r="S75" s="253" t="str">
        <f>IFERROR(IF(VLOOKUP(CONCATENATE($A75,"_",S$1),SP_ACQ_Lib[],MATCH(S$2,SP_ACQ_Lib[#Headers],0),FALSE)=0,"",VLOOKUP(CONCATENATE($A75,"_",S$1),SP_ACQ_Lib[],MATCH(S$2,SP_ACQ_Lib[#Headers],0),FALSE)),"")</f>
        <v/>
      </c>
      <c r="T75" s="205">
        <f>IFERROR(VLOOKUP(CONCATENATE($A75,"_",T$1),SP_ACQ_Lib[],MATCH(T$2,SP_ACQ_Lib[#Headers],0),FALSE),0)</f>
        <v>0</v>
      </c>
      <c r="U75" s="250" t="str">
        <f>IFERROR(IF(VLOOKUP(CONCATENATE($A75,"_",U$1),SP_ACQ_Lib[],MATCH(U$2,SP_ACQ_Lib[#Headers],0),FALSE)=0,"",VLOOKUP(CONCATENATE($A75,"_",U$1),SP_ACQ_Lib[],MATCH(U$2,SP_ACQ_Lib[#Headers],0),FALSE)),"")</f>
        <v/>
      </c>
      <c r="V75" s="205" t="str">
        <f>IFERROR(VLOOKUP(CONCATENATE($A75,"_",V$1),SP_ACQ_Lib[],MATCH(V$2,SP_ACQ_Lib[#Headers],0),FALSE),0)</f>
        <v>Accepted</v>
      </c>
      <c r="W75" s="209">
        <f>IFERROR(VLOOKUP(CONCATENATE($A75,"_",W$1),SP_ACQ_Lib[],MATCH(W$2,SP_ACQ_Lib[#Headers],0),FALSE),0)</f>
        <v>0</v>
      </c>
      <c r="X75" s="250">
        <f>IFERROR(VLOOKUP($A75,SP_AcqTract_DB[],MATCH(X$2,SP_AcqTract_DB[#Headers],0),FALSE),"")</f>
        <v>0</v>
      </c>
      <c r="Y75" s="237">
        <f>IFERROR(VLOOKUP($A75,SP_AcqTract_DB[],MATCH(Y$2,SP_AcqTract_DB[#Headers],0),FALSE),"")</f>
        <v>0</v>
      </c>
      <c r="Z75" s="229">
        <f>IFERROR(VLOOKUP($A75,SP_AcqTract_DB[],MATCH(Z$2,SP_AcqTract_DB[#Headers],0),FALSE),"")</f>
        <v>0</v>
      </c>
      <c r="AA75" s="229">
        <f>IFERROR(VLOOKUP($A75,SP_AcqTract_DB[],MATCH(AA$2,SP_AcqTract_DB[#Headers],0),FALSE),"")</f>
        <v>0</v>
      </c>
      <c r="AB75" s="250" t="str">
        <f>IFERROR(IF(VLOOKUP(CONCATENATE($A75,"_",AB$1),SP_ACQ_Lib[],MATCH(AB$2,SP_ACQ_Lib[#Headers],0),FALSE)=0,"",VLOOKUP(CONCATENATE($A75,"_",AB$1),SP_ACQ_Lib[],MATCH(AB$2,SP_ACQ_Lib[#Headers],0),FALSE)),"")</f>
        <v/>
      </c>
      <c r="AC75" s="250" t="str">
        <f>IFERROR(IF(VLOOKUP(CONCATENATE($A75,"_",AC$1),SP_ACQ_Lib[],MATCH(AC$2,SP_ACQ_Lib[#Headers],0),FALSE)=0,"",VLOOKUP(CONCATENATE($A75,"_",AC$1),SP_ACQ_Lib[],MATCH(AC$2,SP_ACQ_Lib[#Headers],0),FALSE)),"")</f>
        <v/>
      </c>
      <c r="AD75" s="229">
        <f>IFERROR(VLOOKUP($A75,SP_AcqTract_DB[],MATCH(AD$2,SP_AcqTract_DB[#Headers],0),FALSE),"")</f>
        <v>0</v>
      </c>
      <c r="AE75" s="250" t="str">
        <f>IFERROR(IF(VLOOKUP(CONCATENATE($A75,"_",AE$1),SP_ACQ_Lib[],MATCH(AE$2,SP_ACQ_Lib[#Headers],0),FALSE)=0,"",VLOOKUP(CONCATENATE($A75,"_",AE$1),SP_ACQ_Lib[],MATCH(AE$2,SP_ACQ_Lib[#Headers],0),FALSE)),"")</f>
        <v/>
      </c>
      <c r="AF75" s="250" t="str">
        <f>IFERROR(IF(VLOOKUP(CONCATENATE($A75,"_",AF$1),SP_ACQ_Lib[],MATCH(AF$2,SP_ACQ_Lib[#Headers],0),FALSE)=0,"",VLOOKUP(CONCATENATE($A75,"_",AF$1),SP_ACQ_Lib[],MATCH(AF$2,SP_ACQ_Lib[#Headers],0),FALSE)),"")</f>
        <v/>
      </c>
      <c r="AG75" s="250" t="str">
        <f>IFERROR(IF(VLOOKUP(CONCATENATE($A75,"_",AG$1),SP_ACQ_Lib[],MATCH(AG$2,SP_ACQ_Lib[#Headers],0),FALSE)=0,"",VLOOKUP(CONCATENATE($A75,"_",AG$1),SP_ACQ_Lib[],MATCH(AG$2,SP_ACQ_Lib[#Headers],0),FALSE)),"")</f>
        <v/>
      </c>
      <c r="AH75" s="250" t="str">
        <f>IFERROR(IF(VLOOKUP(CONCATENATE($A75,"_",AH$1),SP_ACQ_Lib[],MATCH(AH$2,SP_ACQ_Lib[#Headers],0),FALSE)=0,"",VLOOKUP(CONCATENATE($A75,"_",AH$1),SP_ACQ_Lib[],MATCH(AH$2,SP_ACQ_Lib[#Headers],0),FALSE)),"")</f>
        <v/>
      </c>
      <c r="AI75" s="249">
        <f>IFERROR(IF(VLOOKUP(CONCATENATE($A75,"_",AI$1),SP_ACQ_Lib[],MATCH(AI$2,SP_ACQ_Lib[#Headers],0),FALSE)=0,"",VLOOKUP(CONCATENATE($A75,"_",AI$1),SP_ACQ_Lib[],MATCH(AI$2,SP_ACQ_Lib[#Headers],0),FALSE)),"")</f>
        <v>43984</v>
      </c>
      <c r="AJ75" s="249" t="str">
        <f>IFERROR(IF(VLOOKUP(CONCATENATE($A75,"_",AJ$1),SP_ACQ_Lib[],MATCH(AJ$2,SP_ACQ_Lib[#Headers],0),FALSE)=0,"",VLOOKUP(CONCATENATE($A75,"_",AJ$1),SP_ACQ_Lib[],MATCH(AJ$2,SP_ACQ_Lib[#Headers],0),FALSE)),"")</f>
        <v/>
      </c>
      <c r="AK75" s="249" t="str">
        <f>IFERROR(IF(VLOOKUP(CONCATENATE($A75,"_",AK$1),SP_ACQ_Lib[],MATCH(AK$2,SP_ACQ_Lib[#Headers],0),FALSE)=0,"",VLOOKUP(CONCATENATE($A75,"_",AK$1),SP_ACQ_Lib[],MATCH(AK$2,SP_ACQ_Lib[#Headers],0),FALSE)),"")</f>
        <v/>
      </c>
      <c r="AL75" s="249">
        <f>IFERROR(VLOOKUP($A75,SP_AcqTract_DB[],MATCH(AL$2,SP_AcqTract_DB[#Headers],0),FALSE),"")</f>
        <v>0</v>
      </c>
      <c r="AM75" s="227">
        <f>IFERROR(VLOOKUP($A75,SP_AcqTract_DB[],MATCH(AM$2,SP_AcqTract_DB[#Headers],0),FALSE),"")</f>
        <v>0</v>
      </c>
      <c r="AN75" s="227">
        <f>IFERROR(VLOOKUP($A75,SP_AcqTract_DB[],MATCH(AN$2,SP_AcqTract_DB[#Headers],0),FALSE),"")</f>
        <v>0</v>
      </c>
      <c r="AO75" s="228">
        <f>IFERROR(VLOOKUP($A75,SP_AcqTract_DB[],MATCH(AO$2,SP_AcqTract_DB[#Headers],0),FALSE),"")</f>
        <v>0</v>
      </c>
      <c r="AP75" s="210">
        <f>IFERROR(VLOOKUP($A75,SP_AcqTract_DB[],MATCH(AP$2,SP_AcqTract_DB[#Headers],0),FALSE),"")</f>
        <v>0</v>
      </c>
      <c r="AQ75" s="252" t="str">
        <f>IFERROR(IF(VLOOKUP(CONCATENATE($A75,"_",AQ$1),SP_ACQ_Lib[],MATCH(AQ$2,SP_ACQ_Lib[#Headers],0),FALSE)=0,"",VLOOKUP(CONCATENATE($A75,"_",AQ$1),SP_ACQ_Lib[],MATCH(AQ$2,SP_ACQ_Lib[#Headers],0),FALSE)),"")</f>
        <v/>
      </c>
      <c r="AR75" s="250" t="str">
        <f>IFERROR(IF(VLOOKUP(CONCATENATE($A75,"_",AR$1),SP_ACQ_Lib[],MATCH(AR$2,SP_ACQ_Lib[#Headers],0),FALSE)=0,"",VLOOKUP(CONCATENATE($A75,"_",AR$1),SP_ACQ_Lib[],MATCH(AR$2,SP_ACQ_Lib[#Headers],0),FALSE)),"")</f>
        <v/>
      </c>
      <c r="AS75" s="249" t="str">
        <f>IFERROR(IF(VLOOKUP(CONCATENATE($A75,"_",AS$1),SP_ACQ_Lib[],MATCH(AS$2,SP_ACQ_Lib[#Headers],0),FALSE)=0,"",VLOOKUP(CONCATENATE($A75,"_",AS$1),SP_ACQ_Lib[],MATCH(AS$2,SP_ACQ_Lib[#Headers],0),FALSE)),"")</f>
        <v/>
      </c>
      <c r="AT75" s="251" t="str">
        <f>IFERROR(IF(VLOOKUP(CONCATENATE($A75,"_",AT$1),SP_ACQ_Lib[],MATCH(AT$2,SP_ACQ_Lib[#Headers],0),FALSE)=0,"",VLOOKUP(CONCATENATE($A75,"_",AT$1),SP_ACQ_Lib[],MATCH(AT$2,SP_ACQ_Lib[#Headers],0),FALSE)),"")</f>
        <v/>
      </c>
      <c r="AU75" s="251" t="str">
        <f>IFERROR(IF(VLOOKUP(CONCATENATE($A75,"_",AU$1),SP_ACQ_Lib[],MATCH(AU$2,SP_ACQ_Lib[#Headers],0),FALSE)=0,"",VLOOKUP(CONCATENATE($A75,"_",AU$1),SP_ACQ_Lib[],MATCH(AU$2,SP_ACQ_Lib[#Headers],0),FALSE)),"")</f>
        <v/>
      </c>
      <c r="AV75" s="225" t="str">
        <f>IFERROR(IF(VLOOKUP(CONCATENATE($A75,"_",AV$1),SP_ACQ_Lib[],MATCH(AV$2,SP_ACQ_Lib[#Headers],0),FALSE)=0,"",VLOOKUP(CONCATENATE($A75,"_",AV$1),SP_ACQ_Lib[],MATCH(AV$2,SP_ACQ_Lib[#Headers],0),FALSE)),"")</f>
        <v/>
      </c>
      <c r="AW75" s="251" t="str">
        <f>IFERROR(IF(VLOOKUP(CONCATENATE($A75,"_",AW$1),SP_ACQ_Lib[],MATCH(AW$2,SP_ACQ_Lib[#Headers],0),FALSE)=0,"",VLOOKUP(CONCATENATE($A75,"_",AW$1),SP_ACQ_Lib[],MATCH(AW$2,SP_ACQ_Lib[#Headers],0),FALSE)),"")</f>
        <v/>
      </c>
      <c r="AX75" s="251" t="str">
        <f>IFERROR(IF(VLOOKUP(CONCATENATE($A75,"_",AX$1),SP_ACQ_Lib[],MATCH(AX$2,SP_ACQ_Lib[#Headers],0),FALSE)=0,"",VLOOKUP(CONCATENATE($A75,"_",AX$1),SP_ACQ_Lib[],MATCH(AX$2,SP_ACQ_Lib[#Headers],0),FALSE)),"")</f>
        <v/>
      </c>
      <c r="AY75" s="251" t="str">
        <f>IFERROR(IF(VLOOKUP(CONCATENATE($A75,"_",AY$1),SP_ACQ_Lib[],MATCH(AY$2,SP_ACQ_Lib[#Headers],0),FALSE)=0,"",VLOOKUP(CONCATENATE($A75,"_",AY$1),SP_ACQ_Lib[],MATCH(AY$2,SP_ACQ_Lib[#Headers],0),FALSE)),"")</f>
        <v/>
      </c>
      <c r="AZ75" s="251" t="str">
        <f>IFERROR(IF(VLOOKUP(CONCATENATE($A75,"_",AZ$1),SP_ACQ_Lib[],MATCH(AZ$2,SP_ACQ_Lib[#Headers],0),FALSE)=0,"",VLOOKUP(CONCATENATE($A75,"_",AZ$1),SP_ACQ_Lib[],MATCH(AZ$2,SP_ACQ_Lib[#Headers],0),FALSE)),"")</f>
        <v/>
      </c>
      <c r="BA75" s="251" t="str">
        <f>IFERROR(IF(VLOOKUP(CONCATENATE($A75,"_",BA$1),SP_ACQ_Lib[],MATCH(BA$2,SP_ACQ_Lib[#Headers],0),FALSE)=0,"",VLOOKUP(CONCATENATE($A75,"_",BA$1),SP_ACQ_Lib[],MATCH(BA$2,SP_ACQ_Lib[#Headers],0),FALSE)),"")</f>
        <v/>
      </c>
      <c r="BB75" s="224">
        <f>IFERROR(VLOOKUP(CONCATENATE($A75,"_",BB$1),SP_ACQ_Lib[],MATCH(BB$2,SP_ACQ_Lib[#Headers],0),FALSE),0)</f>
        <v>0</v>
      </c>
      <c r="BC75" s="231">
        <f>IFERROR(VLOOKUP($A75,SP_AcqTract_DB[],MATCH(BC$2,SP_AcqTract_DB[#Headers],0),FALSE),"")</f>
        <v>0</v>
      </c>
      <c r="BD75" s="231">
        <f>IFERROR(VLOOKUP($A75,SP_AcqTract_DB[],MATCH(BD$2,SP_AcqTract_DB[#Headers],0),FALSE),"")</f>
        <v>0</v>
      </c>
      <c r="BE75" s="249" t="str">
        <f>IFERROR(IF(VLOOKUP(CONCATENATE($A75,"_",BE$1),SP_ACQ_Lib[],MATCH(BE$2,SP_ACQ_Lib[#Headers],0),FALSE)=0,"",VLOOKUP(CONCATENATE($A75,"_",BE$1),SP_ACQ_Lib[],MATCH(BE$2,SP_ACQ_Lib[#Headers],0),FALSE)),"")</f>
        <v/>
      </c>
      <c r="BF75" s="249" t="str">
        <f>IFERROR(IF(VLOOKUP(CONCATENATE($A75,"_",BF$1),SP_ACQ_Lib[],MATCH(BF$2,SP_ACQ_Lib[#Headers],0),FALSE)=0,"",VLOOKUP(CONCATENATE($A75,"_",BF$1),SP_ACQ_Lib[],MATCH(BF$2,SP_ACQ_Lib[#Headers],0),FALSE)),"")</f>
        <v/>
      </c>
      <c r="BG75" s="249" t="str">
        <f>IFERROR(IF(VLOOKUP(CONCATENATE($A75,"_",BG$1),SP_ACQ_Lib[],MATCH(BG$2,SP_ACQ_Lib[#Headers],0),FALSE)=0,"",VLOOKUP(CONCATENATE($A75,"_",BG$1),SP_ACQ_Lib[],MATCH(BG$2,SP_ACQ_Lib[#Headers],0),FALSE)),"")</f>
        <v/>
      </c>
      <c r="BH75" s="249" t="str">
        <f>IFERROR(IF(VLOOKUP(CONCATENATE($A75,"_",BH$1),SP_ACQ_Lib[],MATCH(BH$2,SP_ACQ_Lib[#Headers],0),FALSE)=0,"",VLOOKUP(CONCATENATE($A75,"_",BH$1),SP_ACQ_Lib[],MATCH(BH$2,SP_ACQ_Lib[#Headers],0),FALSE)),"")</f>
        <v/>
      </c>
      <c r="BI75" s="249" t="str">
        <f>IFERROR(IF(VLOOKUP(CONCATENATE($A75,"_",BI$1),SP_ACQ_Lib[],MATCH(BI$2,SP_ACQ_Lib[#Headers],0),FALSE)=0,"",VLOOKUP(CONCATENATE($A75,"_",BI$1),SP_ACQ_Lib[],MATCH(BI$2,SP_ACQ_Lib[#Headers],0),FALSE)),"")</f>
        <v/>
      </c>
      <c r="BJ75" s="249" t="str">
        <f>IFERROR(IF(VLOOKUP(CONCATENATE($A75,"_",BJ$1),SP_ACQ_Lib[],MATCH(BJ$2,SP_ACQ_Lib[#Headers],0),FALSE)=0,"",VLOOKUP(CONCATENATE($A75,"_",BJ$1),SP_ACQ_Lib[],MATCH(BJ$2,SP_ACQ_Lib[#Headers],0),FALSE)),"")</f>
        <v/>
      </c>
      <c r="BK75" s="250" t="str">
        <f>IFERROR(IF(VLOOKUP(CONCATENATE($A75,"_",BK$1),SP_ACQ_Lib[],MATCH(BK$2,SP_ACQ_Lib[#Headers],0),FALSE)=0,"",VLOOKUP(CONCATENATE($A75,"_",BK$1),SP_ACQ_Lib[],MATCH(BK$2,SP_ACQ_Lib[#Headers],0),FALSE)),"")</f>
        <v/>
      </c>
      <c r="BL75" s="249" t="str">
        <f>IFERROR(IF(VLOOKUP(CONCATENATE($A75,"_",BL$1),SP_ACQ_Lib[],MATCH(BL$2,SP_ACQ_Lib[#Headers],0),FALSE)=0,"",VLOOKUP(CONCATENATE($A75,"_",BL$1),SP_ACQ_Lib[],MATCH(BL$2,SP_ACQ_Lib[#Headers],0),FALSE)),"")</f>
        <v/>
      </c>
      <c r="BM75" s="249" t="str">
        <f>IFERROR(IF(VLOOKUP(CONCATENATE($A75,"_",BM$1),SP_ACQ_Lib[],MATCH(BM$2,SP_ACQ_Lib[#Headers],0),FALSE)=0,"",VLOOKUP(CONCATENATE($A75,"_",BM$1),SP_ACQ_Lib[],MATCH(BM$2,SP_ACQ_Lib[#Headers],0),FALSE)),"")</f>
        <v/>
      </c>
      <c r="BN75" s="249" t="str">
        <f>IFERROR(IF(VLOOKUP(CONCATENATE($A75,"_",BN$1),SP_ACQ_Lib[],MATCH(BN$2,SP_ACQ_Lib[#Headers],0),FALSE)=0,"",VLOOKUP(CONCATENATE($A75,"_",BN$1),SP_ACQ_Lib[],MATCH(BN$2,SP_ACQ_Lib[#Headers],0),FALSE)),"")</f>
        <v/>
      </c>
    </row>
    <row r="76" spans="1:66" s="226" customFormat="1" ht="15.75" x14ac:dyDescent="0.2">
      <c r="A76" s="192" t="s">
        <v>5253</v>
      </c>
      <c r="B76" s="227" t="str">
        <f>IFERROR(VLOOKUP($A76,SP_AcqTract_DB[],MATCH(B$2,SP_AcqTract_DB[#Headers],0),FALSE),"")</f>
        <v>R022826</v>
      </c>
      <c r="C76" s="228" t="str">
        <f>IFERROR(VLOOKUP($A76,SP_AcqTract_DB[],MATCH(C$2,SP_AcqTract_DB[#Headers],0),FALSE),"")</f>
        <v>PH2</v>
      </c>
      <c r="D76" s="208" t="str">
        <f>IFERROR(VLOOKUP($A76,SP_AcqTract_DB[],MATCH(D$2,SP_AcqTract_DB[#Headers],0),FALSE),"")</f>
        <v>Active</v>
      </c>
      <c r="E76" s="208">
        <f>IFERROR(VLOOKUP($A76,SP_AcqTract_DB[],MATCH(E$2,SP_AcqTract_DB[#Headers],0),FALSE),"")</f>
        <v>0</v>
      </c>
      <c r="F76" s="227">
        <f>IFERROR(VLOOKUP($A76,SP_AcqTract_DB[],MATCH(F$2,SP_AcqTract_DB[#Headers],0),FALSE),"")</f>
        <v>0</v>
      </c>
      <c r="G76" s="227" t="str">
        <f>IFERROR(VLOOKUP($A76,SP_AcqTract_DB[],MATCH(G$2,SP_AcqTract_DB[#Headers],0),FALSE),"")</f>
        <v>Elizabeth Taylor</v>
      </c>
      <c r="H76" s="250">
        <f>IFERROR(IF(VLOOKUP(CONCATENATE($A76,"_",H$1),SP_ACQ_Lib[],MATCH(H$2,SP_ACQ_Lib[#Headers],0),FALSE)=0,"",VLOOKUP(CONCATENATE($A76,"_",H$1),SP_ACQ_Lib[],MATCH(H$2,SP_ACQ_Lib[#Headers],0),FALSE)),"")</f>
        <v>44019.601423611108</v>
      </c>
      <c r="I76" s="227" t="str">
        <f>IFERROR(VLOOKUP($A76,SP_AcqTract_DB[],MATCH(I$2,SP_AcqTract_DB[#Headers],0),FALSE),"")</f>
        <v>Worth Richard Keith</v>
      </c>
      <c r="J76" s="227">
        <f>IFERROR(VLOOKUP($A76,SP_AcqTract_DB[],MATCH(J$2,SP_AcqTract_DB[#Headers],0),FALSE),"")</f>
        <v>0</v>
      </c>
      <c r="K76" s="227">
        <f>IFERROR(VLOOKUP($A76,SP_AcqTract_DB[],MATCH(K$2,SP_AcqTract_DB[#Headers],0),FALSE),"")</f>
        <v>0</v>
      </c>
      <c r="L76" s="227">
        <f>IFERROR(VLOOKUP($A76,SP_AcqTract_DB[],MATCH(L$2,SP_AcqTract_DB[#Headers],0),FALSE),"")</f>
        <v>0</v>
      </c>
      <c r="M76" s="208">
        <f>IFERROR(VLOOKUP($A76,SP_AcqTract_DB[],MATCH(M$2,SP_AcqTract_DB[#Headers],0),FALSE),"")</f>
        <v>0</v>
      </c>
      <c r="N76" s="227" t="str">
        <f>IFERROR(VLOOKUP($A76,SP_AcqTract_DB[],MATCH(N$2,SP_AcqTract_DB[#Headers],0),FALSE),"")</f>
        <v>0 FM 1299</v>
      </c>
      <c r="O76" s="220">
        <f>IFERROR(VLOOKUP($A76,SP_AcqTract_DB[],MATCH(O$2,SP_AcqTract_DB[#Headers],0),FALSE),"")</f>
        <v>0</v>
      </c>
      <c r="P76" s="220">
        <f>IFERROR(VLOOKUP($A76,SP_AcqTract_DB[],MATCH(P$2,SP_AcqTract_DB[#Headers],0),FALSE),"")</f>
        <v>0</v>
      </c>
      <c r="Q76" s="208">
        <f>IFERROR(VLOOKUP($A76,SP_AcqTract_DB[],MATCH(Q$2,SP_AcqTract_DB[#Headers],0),FALSE),"")</f>
        <v>0</v>
      </c>
      <c r="R76" s="250" t="str">
        <f>IFERROR(IF(VLOOKUP(CONCATENATE($A76,"_",R$1),SP_ACQ_Lib[],MATCH(R$2,SP_ACQ_Lib[#Headers],0),FALSE)=0,"",VLOOKUP(CONCATENATE($A76,"_",R$1),SP_ACQ_Lib[],MATCH(R$2,SP_ACQ_Lib[#Headers],0),FALSE)),"")</f>
        <v/>
      </c>
      <c r="S76" s="253" t="str">
        <f>IFERROR(IF(VLOOKUP(CONCATENATE($A76,"_",S$1),SP_ACQ_Lib[],MATCH(S$2,SP_ACQ_Lib[#Headers],0),FALSE)=0,"",VLOOKUP(CONCATENATE($A76,"_",S$1),SP_ACQ_Lib[],MATCH(S$2,SP_ACQ_Lib[#Headers],0),FALSE)),"")</f>
        <v/>
      </c>
      <c r="T76" s="205">
        <f>IFERROR(VLOOKUP(CONCATENATE($A76,"_",T$1),SP_ACQ_Lib[],MATCH(T$2,SP_ACQ_Lib[#Headers],0),FALSE),0)</f>
        <v>0</v>
      </c>
      <c r="U76" s="250" t="str">
        <f>IFERROR(IF(VLOOKUP(CONCATENATE($A76,"_",U$1),SP_ACQ_Lib[],MATCH(U$2,SP_ACQ_Lib[#Headers],0),FALSE)=0,"",VLOOKUP(CONCATENATE($A76,"_",U$1),SP_ACQ_Lib[],MATCH(U$2,SP_ACQ_Lib[#Headers],0),FALSE)),"")</f>
        <v/>
      </c>
      <c r="V76" s="205" t="str">
        <f>IFERROR(VLOOKUP(CONCATENATE($A76,"_",V$1),SP_ACQ_Lib[],MATCH(V$2,SP_ACQ_Lib[#Headers],0),FALSE),0)</f>
        <v>Accepted</v>
      </c>
      <c r="W76" s="209">
        <f>IFERROR(VLOOKUP(CONCATENATE($A76,"_",W$1),SP_ACQ_Lib[],MATCH(W$2,SP_ACQ_Lib[#Headers],0),FALSE),0)</f>
        <v>0</v>
      </c>
      <c r="X76" s="250">
        <f>IFERROR(VLOOKUP($A76,SP_AcqTract_DB[],MATCH(X$2,SP_AcqTract_DB[#Headers],0),FALSE),"")</f>
        <v>0</v>
      </c>
      <c r="Y76" s="237">
        <f>IFERROR(VLOOKUP($A76,SP_AcqTract_DB[],MATCH(Y$2,SP_AcqTract_DB[#Headers],0),FALSE),"")</f>
        <v>0</v>
      </c>
      <c r="Z76" s="229">
        <f>IFERROR(VLOOKUP($A76,SP_AcqTract_DB[],MATCH(Z$2,SP_AcqTract_DB[#Headers],0),FALSE),"")</f>
        <v>0</v>
      </c>
      <c r="AA76" s="229">
        <f>IFERROR(VLOOKUP($A76,SP_AcqTract_DB[],MATCH(AA$2,SP_AcqTract_DB[#Headers],0),FALSE),"")</f>
        <v>0</v>
      </c>
      <c r="AB76" s="250" t="str">
        <f>IFERROR(IF(VLOOKUP(CONCATENATE($A76,"_",AB$1),SP_ACQ_Lib[],MATCH(AB$2,SP_ACQ_Lib[#Headers],0),FALSE)=0,"",VLOOKUP(CONCATENATE($A76,"_",AB$1),SP_ACQ_Lib[],MATCH(AB$2,SP_ACQ_Lib[#Headers],0),FALSE)),"")</f>
        <v/>
      </c>
      <c r="AC76" s="250" t="str">
        <f>IFERROR(IF(VLOOKUP(CONCATENATE($A76,"_",AC$1),SP_ACQ_Lib[],MATCH(AC$2,SP_ACQ_Lib[#Headers],0),FALSE)=0,"",VLOOKUP(CONCATENATE($A76,"_",AC$1),SP_ACQ_Lib[],MATCH(AC$2,SP_ACQ_Lib[#Headers],0),FALSE)),"")</f>
        <v/>
      </c>
      <c r="AD76" s="229">
        <f>IFERROR(VLOOKUP($A76,SP_AcqTract_DB[],MATCH(AD$2,SP_AcqTract_DB[#Headers],0),FALSE),"")</f>
        <v>0</v>
      </c>
      <c r="AE76" s="250" t="str">
        <f>IFERROR(IF(VLOOKUP(CONCATENATE($A76,"_",AE$1),SP_ACQ_Lib[],MATCH(AE$2,SP_ACQ_Lib[#Headers],0),FALSE)=0,"",VLOOKUP(CONCATENATE($A76,"_",AE$1),SP_ACQ_Lib[],MATCH(AE$2,SP_ACQ_Lib[#Headers],0),FALSE)),"")</f>
        <v/>
      </c>
      <c r="AF76" s="250" t="str">
        <f>IFERROR(IF(VLOOKUP(CONCATENATE($A76,"_",AF$1),SP_ACQ_Lib[],MATCH(AF$2,SP_ACQ_Lib[#Headers],0),FALSE)=0,"",VLOOKUP(CONCATENATE($A76,"_",AF$1),SP_ACQ_Lib[],MATCH(AF$2,SP_ACQ_Lib[#Headers],0),FALSE)),"")</f>
        <v/>
      </c>
      <c r="AG76" s="250" t="str">
        <f>IFERROR(IF(VLOOKUP(CONCATENATE($A76,"_",AG$1),SP_ACQ_Lib[],MATCH(AG$2,SP_ACQ_Lib[#Headers],0),FALSE)=0,"",VLOOKUP(CONCATENATE($A76,"_",AG$1),SP_ACQ_Lib[],MATCH(AG$2,SP_ACQ_Lib[#Headers],0),FALSE)),"")</f>
        <v/>
      </c>
      <c r="AH76" s="250" t="str">
        <f>IFERROR(IF(VLOOKUP(CONCATENATE($A76,"_",AH$1),SP_ACQ_Lib[],MATCH(AH$2,SP_ACQ_Lib[#Headers],0),FALSE)=0,"",VLOOKUP(CONCATENATE($A76,"_",AH$1),SP_ACQ_Lib[],MATCH(AH$2,SP_ACQ_Lib[#Headers],0),FALSE)),"")</f>
        <v/>
      </c>
      <c r="AI76" s="249">
        <f>IFERROR(IF(VLOOKUP(CONCATENATE($A76,"_",AI$1),SP_ACQ_Lib[],MATCH(AI$2,SP_ACQ_Lib[#Headers],0),FALSE)=0,"",VLOOKUP(CONCATENATE($A76,"_",AI$1),SP_ACQ_Lib[],MATCH(AI$2,SP_ACQ_Lib[#Headers],0),FALSE)),"")</f>
        <v>43984</v>
      </c>
      <c r="AJ76" s="249" t="str">
        <f>IFERROR(IF(VLOOKUP(CONCATENATE($A76,"_",AJ$1),SP_ACQ_Lib[],MATCH(AJ$2,SP_ACQ_Lib[#Headers],0),FALSE)=0,"",VLOOKUP(CONCATENATE($A76,"_",AJ$1),SP_ACQ_Lib[],MATCH(AJ$2,SP_ACQ_Lib[#Headers],0),FALSE)),"")</f>
        <v/>
      </c>
      <c r="AK76" s="249" t="str">
        <f>IFERROR(IF(VLOOKUP(CONCATENATE($A76,"_",AK$1),SP_ACQ_Lib[],MATCH(AK$2,SP_ACQ_Lib[#Headers],0),FALSE)=0,"",VLOOKUP(CONCATENATE($A76,"_",AK$1),SP_ACQ_Lib[],MATCH(AK$2,SP_ACQ_Lib[#Headers],0),FALSE)),"")</f>
        <v/>
      </c>
      <c r="AL76" s="249">
        <f>IFERROR(VLOOKUP($A76,SP_AcqTract_DB[],MATCH(AL$2,SP_AcqTract_DB[#Headers],0),FALSE),"")</f>
        <v>0</v>
      </c>
      <c r="AM76" s="227">
        <f>IFERROR(VLOOKUP($A76,SP_AcqTract_DB[],MATCH(AM$2,SP_AcqTract_DB[#Headers],0),FALSE),"")</f>
        <v>0</v>
      </c>
      <c r="AN76" s="227">
        <f>IFERROR(VLOOKUP($A76,SP_AcqTract_DB[],MATCH(AN$2,SP_AcqTract_DB[#Headers],0),FALSE),"")</f>
        <v>0</v>
      </c>
      <c r="AO76" s="228">
        <f>IFERROR(VLOOKUP($A76,SP_AcqTract_DB[],MATCH(AO$2,SP_AcqTract_DB[#Headers],0),FALSE),"")</f>
        <v>0</v>
      </c>
      <c r="AP76" s="210">
        <f>IFERROR(VLOOKUP($A76,SP_AcqTract_DB[],MATCH(AP$2,SP_AcqTract_DB[#Headers],0),FALSE),"")</f>
        <v>0</v>
      </c>
      <c r="AQ76" s="252" t="str">
        <f>IFERROR(IF(VLOOKUP(CONCATENATE($A76,"_",AQ$1),SP_ACQ_Lib[],MATCH(AQ$2,SP_ACQ_Lib[#Headers],0),FALSE)=0,"",VLOOKUP(CONCATENATE($A76,"_",AQ$1),SP_ACQ_Lib[],MATCH(AQ$2,SP_ACQ_Lib[#Headers],0),FALSE)),"")</f>
        <v/>
      </c>
      <c r="AR76" s="250" t="str">
        <f>IFERROR(IF(VLOOKUP(CONCATENATE($A76,"_",AR$1),SP_ACQ_Lib[],MATCH(AR$2,SP_ACQ_Lib[#Headers],0),FALSE)=0,"",VLOOKUP(CONCATENATE($A76,"_",AR$1),SP_ACQ_Lib[],MATCH(AR$2,SP_ACQ_Lib[#Headers],0),FALSE)),"")</f>
        <v/>
      </c>
      <c r="AS76" s="249" t="str">
        <f>IFERROR(IF(VLOOKUP(CONCATENATE($A76,"_",AS$1),SP_ACQ_Lib[],MATCH(AS$2,SP_ACQ_Lib[#Headers],0),FALSE)=0,"",VLOOKUP(CONCATENATE($A76,"_",AS$1),SP_ACQ_Lib[],MATCH(AS$2,SP_ACQ_Lib[#Headers],0),FALSE)),"")</f>
        <v/>
      </c>
      <c r="AT76" s="251" t="str">
        <f>IFERROR(IF(VLOOKUP(CONCATENATE($A76,"_",AT$1),SP_ACQ_Lib[],MATCH(AT$2,SP_ACQ_Lib[#Headers],0),FALSE)=0,"",VLOOKUP(CONCATENATE($A76,"_",AT$1),SP_ACQ_Lib[],MATCH(AT$2,SP_ACQ_Lib[#Headers],0),FALSE)),"")</f>
        <v/>
      </c>
      <c r="AU76" s="251" t="str">
        <f>IFERROR(IF(VLOOKUP(CONCATENATE($A76,"_",AU$1),SP_ACQ_Lib[],MATCH(AU$2,SP_ACQ_Lib[#Headers],0),FALSE)=0,"",VLOOKUP(CONCATENATE($A76,"_",AU$1),SP_ACQ_Lib[],MATCH(AU$2,SP_ACQ_Lib[#Headers],0),FALSE)),"")</f>
        <v/>
      </c>
      <c r="AV76" s="225" t="str">
        <f>IFERROR(IF(VLOOKUP(CONCATENATE($A76,"_",AV$1),SP_ACQ_Lib[],MATCH(AV$2,SP_ACQ_Lib[#Headers],0),FALSE)=0,"",VLOOKUP(CONCATENATE($A76,"_",AV$1),SP_ACQ_Lib[],MATCH(AV$2,SP_ACQ_Lib[#Headers],0),FALSE)),"")</f>
        <v/>
      </c>
      <c r="AW76" s="251" t="str">
        <f>IFERROR(IF(VLOOKUP(CONCATENATE($A76,"_",AW$1),SP_ACQ_Lib[],MATCH(AW$2,SP_ACQ_Lib[#Headers],0),FALSE)=0,"",VLOOKUP(CONCATENATE($A76,"_",AW$1),SP_ACQ_Lib[],MATCH(AW$2,SP_ACQ_Lib[#Headers],0),FALSE)),"")</f>
        <v/>
      </c>
      <c r="AX76" s="251" t="str">
        <f>IFERROR(IF(VLOOKUP(CONCATENATE($A76,"_",AX$1),SP_ACQ_Lib[],MATCH(AX$2,SP_ACQ_Lib[#Headers],0),FALSE)=0,"",VLOOKUP(CONCATENATE($A76,"_",AX$1),SP_ACQ_Lib[],MATCH(AX$2,SP_ACQ_Lib[#Headers],0),FALSE)),"")</f>
        <v/>
      </c>
      <c r="AY76" s="251" t="str">
        <f>IFERROR(IF(VLOOKUP(CONCATENATE($A76,"_",AY$1),SP_ACQ_Lib[],MATCH(AY$2,SP_ACQ_Lib[#Headers],0),FALSE)=0,"",VLOOKUP(CONCATENATE($A76,"_",AY$1),SP_ACQ_Lib[],MATCH(AY$2,SP_ACQ_Lib[#Headers],0),FALSE)),"")</f>
        <v/>
      </c>
      <c r="AZ76" s="251" t="str">
        <f>IFERROR(IF(VLOOKUP(CONCATENATE($A76,"_",AZ$1),SP_ACQ_Lib[],MATCH(AZ$2,SP_ACQ_Lib[#Headers],0),FALSE)=0,"",VLOOKUP(CONCATENATE($A76,"_",AZ$1),SP_ACQ_Lib[],MATCH(AZ$2,SP_ACQ_Lib[#Headers],0),FALSE)),"")</f>
        <v/>
      </c>
      <c r="BA76" s="251" t="str">
        <f>IFERROR(IF(VLOOKUP(CONCATENATE($A76,"_",BA$1),SP_ACQ_Lib[],MATCH(BA$2,SP_ACQ_Lib[#Headers],0),FALSE)=0,"",VLOOKUP(CONCATENATE($A76,"_",BA$1),SP_ACQ_Lib[],MATCH(BA$2,SP_ACQ_Lib[#Headers],0),FALSE)),"")</f>
        <v/>
      </c>
      <c r="BB76" s="224">
        <f>IFERROR(VLOOKUP(CONCATENATE($A76,"_",BB$1),SP_ACQ_Lib[],MATCH(BB$2,SP_ACQ_Lib[#Headers],0),FALSE),0)</f>
        <v>0</v>
      </c>
      <c r="BC76" s="231">
        <f>IFERROR(VLOOKUP($A76,SP_AcqTract_DB[],MATCH(BC$2,SP_AcqTract_DB[#Headers],0),FALSE),"")</f>
        <v>0</v>
      </c>
      <c r="BD76" s="231">
        <f>IFERROR(VLOOKUP($A76,SP_AcqTract_DB[],MATCH(BD$2,SP_AcqTract_DB[#Headers],0),FALSE),"")</f>
        <v>0</v>
      </c>
      <c r="BE76" s="249" t="str">
        <f>IFERROR(IF(VLOOKUP(CONCATENATE($A76,"_",BE$1),SP_ACQ_Lib[],MATCH(BE$2,SP_ACQ_Lib[#Headers],0),FALSE)=0,"",VLOOKUP(CONCATENATE($A76,"_",BE$1),SP_ACQ_Lib[],MATCH(BE$2,SP_ACQ_Lib[#Headers],0),FALSE)),"")</f>
        <v/>
      </c>
      <c r="BF76" s="249" t="str">
        <f>IFERROR(IF(VLOOKUP(CONCATENATE($A76,"_",BF$1),SP_ACQ_Lib[],MATCH(BF$2,SP_ACQ_Lib[#Headers],0),FALSE)=0,"",VLOOKUP(CONCATENATE($A76,"_",BF$1),SP_ACQ_Lib[],MATCH(BF$2,SP_ACQ_Lib[#Headers],0),FALSE)),"")</f>
        <v/>
      </c>
      <c r="BG76" s="249" t="str">
        <f>IFERROR(IF(VLOOKUP(CONCATENATE($A76,"_",BG$1),SP_ACQ_Lib[],MATCH(BG$2,SP_ACQ_Lib[#Headers],0),FALSE)=0,"",VLOOKUP(CONCATENATE($A76,"_",BG$1),SP_ACQ_Lib[],MATCH(BG$2,SP_ACQ_Lib[#Headers],0),FALSE)),"")</f>
        <v/>
      </c>
      <c r="BH76" s="249" t="str">
        <f>IFERROR(IF(VLOOKUP(CONCATENATE($A76,"_",BH$1),SP_ACQ_Lib[],MATCH(BH$2,SP_ACQ_Lib[#Headers],0),FALSE)=0,"",VLOOKUP(CONCATENATE($A76,"_",BH$1),SP_ACQ_Lib[],MATCH(BH$2,SP_ACQ_Lib[#Headers],0),FALSE)),"")</f>
        <v/>
      </c>
      <c r="BI76" s="249" t="str">
        <f>IFERROR(IF(VLOOKUP(CONCATENATE($A76,"_",BI$1),SP_ACQ_Lib[],MATCH(BI$2,SP_ACQ_Lib[#Headers],0),FALSE)=0,"",VLOOKUP(CONCATENATE($A76,"_",BI$1),SP_ACQ_Lib[],MATCH(BI$2,SP_ACQ_Lib[#Headers],0),FALSE)),"")</f>
        <v/>
      </c>
      <c r="BJ76" s="249" t="str">
        <f>IFERROR(IF(VLOOKUP(CONCATENATE($A76,"_",BJ$1),SP_ACQ_Lib[],MATCH(BJ$2,SP_ACQ_Lib[#Headers],0),FALSE)=0,"",VLOOKUP(CONCATENATE($A76,"_",BJ$1),SP_ACQ_Lib[],MATCH(BJ$2,SP_ACQ_Lib[#Headers],0),FALSE)),"")</f>
        <v/>
      </c>
      <c r="BK76" s="250" t="str">
        <f>IFERROR(IF(VLOOKUP(CONCATENATE($A76,"_",BK$1),SP_ACQ_Lib[],MATCH(BK$2,SP_ACQ_Lib[#Headers],0),FALSE)=0,"",VLOOKUP(CONCATENATE($A76,"_",BK$1),SP_ACQ_Lib[],MATCH(BK$2,SP_ACQ_Lib[#Headers],0),FALSE)),"")</f>
        <v/>
      </c>
      <c r="BL76" s="249" t="str">
        <f>IFERROR(IF(VLOOKUP(CONCATENATE($A76,"_",BL$1),SP_ACQ_Lib[],MATCH(BL$2,SP_ACQ_Lib[#Headers],0),FALSE)=0,"",VLOOKUP(CONCATENATE($A76,"_",BL$1),SP_ACQ_Lib[],MATCH(BL$2,SP_ACQ_Lib[#Headers],0),FALSE)),"")</f>
        <v/>
      </c>
      <c r="BM76" s="249" t="str">
        <f>IFERROR(IF(VLOOKUP(CONCATENATE($A76,"_",BM$1),SP_ACQ_Lib[],MATCH(BM$2,SP_ACQ_Lib[#Headers],0),FALSE)=0,"",VLOOKUP(CONCATENATE($A76,"_",BM$1),SP_ACQ_Lib[],MATCH(BM$2,SP_ACQ_Lib[#Headers],0),FALSE)),"")</f>
        <v/>
      </c>
      <c r="BN76" s="249" t="str">
        <f>IFERROR(IF(VLOOKUP(CONCATENATE($A76,"_",BN$1),SP_ACQ_Lib[],MATCH(BN$2,SP_ACQ_Lib[#Headers],0),FALSE)=0,"",VLOOKUP(CONCATENATE($A76,"_",BN$1),SP_ACQ_Lib[],MATCH(BN$2,SP_ACQ_Lib[#Headers],0),FALSE)),"")</f>
        <v/>
      </c>
    </row>
    <row r="77" spans="1:66" s="226" customFormat="1" ht="15.75" x14ac:dyDescent="0.2">
      <c r="A77" s="192" t="s">
        <v>5254</v>
      </c>
      <c r="B77" s="227" t="str">
        <f>IFERROR(VLOOKUP($A77,SP_AcqTract_DB[],MATCH(B$2,SP_AcqTract_DB[#Headers],0),FALSE),"")</f>
        <v>R026596</v>
      </c>
      <c r="C77" s="228" t="str">
        <f>IFERROR(VLOOKUP($A77,SP_AcqTract_DB[],MATCH(C$2,SP_AcqTract_DB[#Headers],0),FALSE),"")</f>
        <v>PH2</v>
      </c>
      <c r="D77" s="208" t="str">
        <f>IFERROR(VLOOKUP($A77,SP_AcqTract_DB[],MATCH(D$2,SP_AcqTract_DB[#Headers],0),FALSE),"")</f>
        <v>Active</v>
      </c>
      <c r="E77" s="208">
        <f>IFERROR(VLOOKUP($A77,SP_AcqTract_DB[],MATCH(E$2,SP_AcqTract_DB[#Headers],0),FALSE),"")</f>
        <v>0</v>
      </c>
      <c r="F77" s="227">
        <f>IFERROR(VLOOKUP($A77,SP_AcqTract_DB[],MATCH(F$2,SP_AcqTract_DB[#Headers],0),FALSE),"")</f>
        <v>0</v>
      </c>
      <c r="G77" s="227" t="str">
        <f>IFERROR(VLOOKUP($A77,SP_AcqTract_DB[],MATCH(G$2,SP_AcqTract_DB[#Headers],0),FALSE),"")</f>
        <v>Melissa DeLeon</v>
      </c>
      <c r="H77" s="250">
        <f>IFERROR(IF(VLOOKUP(CONCATENATE($A77,"_",H$1),SP_ACQ_Lib[],MATCH(H$2,SP_ACQ_Lib[#Headers],0),FALSE)=0,"",VLOOKUP(CONCATENATE($A77,"_",H$1),SP_ACQ_Lib[],MATCH(H$2,SP_ACQ_Lib[#Headers],0),FALSE)),"")</f>
        <v>44011.501469907409</v>
      </c>
      <c r="I77" s="227" t="str">
        <f>IFERROR(VLOOKUP($A77,SP_AcqTract_DB[],MATCH(I$2,SP_AcqTract_DB[#Headers],0),FALSE),"")</f>
        <v>Donahue Ira L Est %Donahue Allen</v>
      </c>
      <c r="J77" s="227">
        <f>IFERROR(VLOOKUP($A77,SP_AcqTract_DB[],MATCH(J$2,SP_AcqTract_DB[#Headers],0),FALSE),"")</f>
        <v>0</v>
      </c>
      <c r="K77" s="227">
        <f>IFERROR(VLOOKUP($A77,SP_AcqTract_DB[],MATCH(K$2,SP_AcqTract_DB[#Headers],0),FALSE),"")</f>
        <v>0</v>
      </c>
      <c r="L77" s="227">
        <f>IFERROR(VLOOKUP($A77,SP_AcqTract_DB[],MATCH(L$2,SP_AcqTract_DB[#Headers],0),FALSE),"")</f>
        <v>0</v>
      </c>
      <c r="M77" s="208">
        <f>IFERROR(VLOOKUP($A77,SP_AcqTract_DB[],MATCH(M$2,SP_AcqTract_DB[#Headers],0),FALSE),"")</f>
        <v>0</v>
      </c>
      <c r="N77" s="227" t="str">
        <f>IFERROR(VLOOKUP($A77,SP_AcqTract_DB[],MATCH(N$2,SP_AcqTract_DB[#Headers],0),FALSE),"")</f>
        <v>0 S EAST AVE</v>
      </c>
      <c r="O77" s="220">
        <f>IFERROR(VLOOKUP($A77,SP_AcqTract_DB[],MATCH(O$2,SP_AcqTract_DB[#Headers],0),FALSE),"")</f>
        <v>0</v>
      </c>
      <c r="P77" s="220">
        <f>IFERROR(VLOOKUP($A77,SP_AcqTract_DB[],MATCH(P$2,SP_AcqTract_DB[#Headers],0),FALSE),"")</f>
        <v>0</v>
      </c>
      <c r="Q77" s="208">
        <f>IFERROR(VLOOKUP($A77,SP_AcqTract_DB[],MATCH(Q$2,SP_AcqTract_DB[#Headers],0),FALSE),"")</f>
        <v>0</v>
      </c>
      <c r="R77" s="250" t="str">
        <f>IFERROR(IF(VLOOKUP(CONCATENATE($A77,"_",R$1),SP_ACQ_Lib[],MATCH(R$2,SP_ACQ_Lib[#Headers],0),FALSE)=0,"",VLOOKUP(CONCATENATE($A77,"_",R$1),SP_ACQ_Lib[],MATCH(R$2,SP_ACQ_Lib[#Headers],0),FALSE)),"")</f>
        <v/>
      </c>
      <c r="S77" s="253" t="str">
        <f>IFERROR(IF(VLOOKUP(CONCATENATE($A77,"_",S$1),SP_ACQ_Lib[],MATCH(S$2,SP_ACQ_Lib[#Headers],0),FALSE)=0,"",VLOOKUP(CONCATENATE($A77,"_",S$1),SP_ACQ_Lib[],MATCH(S$2,SP_ACQ_Lib[#Headers],0),FALSE)),"")</f>
        <v/>
      </c>
      <c r="T77" s="205">
        <f>IFERROR(VLOOKUP(CONCATENATE($A77,"_",T$1),SP_ACQ_Lib[],MATCH(T$2,SP_ACQ_Lib[#Headers],0),FALSE),0)</f>
        <v>0</v>
      </c>
      <c r="U77" s="250" t="str">
        <f>IFERROR(IF(VLOOKUP(CONCATENATE($A77,"_",U$1),SP_ACQ_Lib[],MATCH(U$2,SP_ACQ_Lib[#Headers],0),FALSE)=0,"",VLOOKUP(CONCATENATE($A77,"_",U$1),SP_ACQ_Lib[],MATCH(U$2,SP_ACQ_Lib[#Headers],0),FALSE)),"")</f>
        <v/>
      </c>
      <c r="V77" s="205" t="str">
        <f>IFERROR(VLOOKUP(CONCATENATE($A77,"_",V$1),SP_ACQ_Lib[],MATCH(V$2,SP_ACQ_Lib[#Headers],0),FALSE),0)</f>
        <v>Accepted</v>
      </c>
      <c r="W77" s="209">
        <f>IFERROR(VLOOKUP(CONCATENATE($A77,"_",W$1),SP_ACQ_Lib[],MATCH(W$2,SP_ACQ_Lib[#Headers],0),FALSE),0)</f>
        <v>0</v>
      </c>
      <c r="X77" s="250">
        <f>IFERROR(VLOOKUP($A77,SP_AcqTract_DB[],MATCH(X$2,SP_AcqTract_DB[#Headers],0),FALSE),"")</f>
        <v>0</v>
      </c>
      <c r="Y77" s="237">
        <f>IFERROR(VLOOKUP($A77,SP_AcqTract_DB[],MATCH(Y$2,SP_AcqTract_DB[#Headers],0),FALSE),"")</f>
        <v>0</v>
      </c>
      <c r="Z77" s="229">
        <f>IFERROR(VLOOKUP($A77,SP_AcqTract_DB[],MATCH(Z$2,SP_AcqTract_DB[#Headers],0),FALSE),"")</f>
        <v>0</v>
      </c>
      <c r="AA77" s="229">
        <f>IFERROR(VLOOKUP($A77,SP_AcqTract_DB[],MATCH(AA$2,SP_AcqTract_DB[#Headers],0),FALSE),"")</f>
        <v>0</v>
      </c>
      <c r="AB77" s="250" t="str">
        <f>IFERROR(IF(VLOOKUP(CONCATENATE($A77,"_",AB$1),SP_ACQ_Lib[],MATCH(AB$2,SP_ACQ_Lib[#Headers],0),FALSE)=0,"",VLOOKUP(CONCATENATE($A77,"_",AB$1),SP_ACQ_Lib[],MATCH(AB$2,SP_ACQ_Lib[#Headers],0),FALSE)),"")</f>
        <v/>
      </c>
      <c r="AC77" s="250" t="str">
        <f>IFERROR(IF(VLOOKUP(CONCATENATE($A77,"_",AC$1),SP_ACQ_Lib[],MATCH(AC$2,SP_ACQ_Lib[#Headers],0),FALSE)=0,"",VLOOKUP(CONCATENATE($A77,"_",AC$1),SP_ACQ_Lib[],MATCH(AC$2,SP_ACQ_Lib[#Headers],0),FALSE)),"")</f>
        <v/>
      </c>
      <c r="AD77" s="229">
        <f>IFERROR(VLOOKUP($A77,SP_AcqTract_DB[],MATCH(AD$2,SP_AcqTract_DB[#Headers],0),FALSE),"")</f>
        <v>0</v>
      </c>
      <c r="AE77" s="250" t="str">
        <f>IFERROR(IF(VLOOKUP(CONCATENATE($A77,"_",AE$1),SP_ACQ_Lib[],MATCH(AE$2,SP_ACQ_Lib[#Headers],0),FALSE)=0,"",VLOOKUP(CONCATENATE($A77,"_",AE$1),SP_ACQ_Lib[],MATCH(AE$2,SP_ACQ_Lib[#Headers],0),FALSE)),"")</f>
        <v/>
      </c>
      <c r="AF77" s="250" t="str">
        <f>IFERROR(IF(VLOOKUP(CONCATENATE($A77,"_",AF$1),SP_ACQ_Lib[],MATCH(AF$2,SP_ACQ_Lib[#Headers],0),FALSE)=0,"",VLOOKUP(CONCATENATE($A77,"_",AF$1),SP_ACQ_Lib[],MATCH(AF$2,SP_ACQ_Lib[#Headers],0),FALSE)),"")</f>
        <v/>
      </c>
      <c r="AG77" s="250" t="str">
        <f>IFERROR(IF(VLOOKUP(CONCATENATE($A77,"_",AG$1),SP_ACQ_Lib[],MATCH(AG$2,SP_ACQ_Lib[#Headers],0),FALSE)=0,"",VLOOKUP(CONCATENATE($A77,"_",AG$1),SP_ACQ_Lib[],MATCH(AG$2,SP_ACQ_Lib[#Headers],0),FALSE)),"")</f>
        <v/>
      </c>
      <c r="AH77" s="250" t="str">
        <f>IFERROR(IF(VLOOKUP(CONCATENATE($A77,"_",AH$1),SP_ACQ_Lib[],MATCH(AH$2,SP_ACQ_Lib[#Headers],0),FALSE)=0,"",VLOOKUP(CONCATENATE($A77,"_",AH$1),SP_ACQ_Lib[],MATCH(AH$2,SP_ACQ_Lib[#Headers],0),FALSE)),"")</f>
        <v/>
      </c>
      <c r="AI77" s="249">
        <f>IFERROR(IF(VLOOKUP(CONCATENATE($A77,"_",AI$1),SP_ACQ_Lib[],MATCH(AI$2,SP_ACQ_Lib[#Headers],0),FALSE)=0,"",VLOOKUP(CONCATENATE($A77,"_",AI$1),SP_ACQ_Lib[],MATCH(AI$2,SP_ACQ_Lib[#Headers],0),FALSE)),"")</f>
        <v>43984</v>
      </c>
      <c r="AJ77" s="249" t="str">
        <f>IFERROR(IF(VLOOKUP(CONCATENATE($A77,"_",AJ$1),SP_ACQ_Lib[],MATCH(AJ$2,SP_ACQ_Lib[#Headers],0),FALSE)=0,"",VLOOKUP(CONCATENATE($A77,"_",AJ$1),SP_ACQ_Lib[],MATCH(AJ$2,SP_ACQ_Lib[#Headers],0),FALSE)),"")</f>
        <v/>
      </c>
      <c r="AK77" s="249" t="str">
        <f>IFERROR(IF(VLOOKUP(CONCATENATE($A77,"_",AK$1),SP_ACQ_Lib[],MATCH(AK$2,SP_ACQ_Lib[#Headers],0),FALSE)=0,"",VLOOKUP(CONCATENATE($A77,"_",AK$1),SP_ACQ_Lib[],MATCH(AK$2,SP_ACQ_Lib[#Headers],0),FALSE)),"")</f>
        <v/>
      </c>
      <c r="AL77" s="249">
        <f>IFERROR(VLOOKUP($A77,SP_AcqTract_DB[],MATCH(AL$2,SP_AcqTract_DB[#Headers],0),FALSE),"")</f>
        <v>0</v>
      </c>
      <c r="AM77" s="227">
        <f>IFERROR(VLOOKUP($A77,SP_AcqTract_DB[],MATCH(AM$2,SP_AcqTract_DB[#Headers],0),FALSE),"")</f>
        <v>0</v>
      </c>
      <c r="AN77" s="227">
        <f>IFERROR(VLOOKUP($A77,SP_AcqTract_DB[],MATCH(AN$2,SP_AcqTract_DB[#Headers],0),FALSE),"")</f>
        <v>0</v>
      </c>
      <c r="AO77" s="228">
        <f>IFERROR(VLOOKUP($A77,SP_AcqTract_DB[],MATCH(AO$2,SP_AcqTract_DB[#Headers],0),FALSE),"")</f>
        <v>0</v>
      </c>
      <c r="AP77" s="210">
        <f>IFERROR(VLOOKUP($A77,SP_AcqTract_DB[],MATCH(AP$2,SP_AcqTract_DB[#Headers],0),FALSE),"")</f>
        <v>0</v>
      </c>
      <c r="AQ77" s="252" t="str">
        <f>IFERROR(IF(VLOOKUP(CONCATENATE($A77,"_",AQ$1),SP_ACQ_Lib[],MATCH(AQ$2,SP_ACQ_Lib[#Headers],0),FALSE)=0,"",VLOOKUP(CONCATENATE($A77,"_",AQ$1),SP_ACQ_Lib[],MATCH(AQ$2,SP_ACQ_Lib[#Headers],0),FALSE)),"")</f>
        <v/>
      </c>
      <c r="AR77" s="250" t="str">
        <f>IFERROR(IF(VLOOKUP(CONCATENATE($A77,"_",AR$1),SP_ACQ_Lib[],MATCH(AR$2,SP_ACQ_Lib[#Headers],0),FALSE)=0,"",VLOOKUP(CONCATENATE($A77,"_",AR$1),SP_ACQ_Lib[],MATCH(AR$2,SP_ACQ_Lib[#Headers],0),FALSE)),"")</f>
        <v/>
      </c>
      <c r="AS77" s="249" t="str">
        <f>IFERROR(IF(VLOOKUP(CONCATENATE($A77,"_",AS$1),SP_ACQ_Lib[],MATCH(AS$2,SP_ACQ_Lib[#Headers],0),FALSE)=0,"",VLOOKUP(CONCATENATE($A77,"_",AS$1),SP_ACQ_Lib[],MATCH(AS$2,SP_ACQ_Lib[#Headers],0),FALSE)),"")</f>
        <v/>
      </c>
      <c r="AT77" s="251" t="str">
        <f>IFERROR(IF(VLOOKUP(CONCATENATE($A77,"_",AT$1),SP_ACQ_Lib[],MATCH(AT$2,SP_ACQ_Lib[#Headers],0),FALSE)=0,"",VLOOKUP(CONCATENATE($A77,"_",AT$1),SP_ACQ_Lib[],MATCH(AT$2,SP_ACQ_Lib[#Headers],0),FALSE)),"")</f>
        <v/>
      </c>
      <c r="AU77" s="251" t="str">
        <f>IFERROR(IF(VLOOKUP(CONCATENATE($A77,"_",AU$1),SP_ACQ_Lib[],MATCH(AU$2,SP_ACQ_Lib[#Headers],0),FALSE)=0,"",VLOOKUP(CONCATENATE($A77,"_",AU$1),SP_ACQ_Lib[],MATCH(AU$2,SP_ACQ_Lib[#Headers],0),FALSE)),"")</f>
        <v/>
      </c>
      <c r="AV77" s="225" t="str">
        <f>IFERROR(IF(VLOOKUP(CONCATENATE($A77,"_",AV$1),SP_ACQ_Lib[],MATCH(AV$2,SP_ACQ_Lib[#Headers],0),FALSE)=0,"",VLOOKUP(CONCATENATE($A77,"_",AV$1),SP_ACQ_Lib[],MATCH(AV$2,SP_ACQ_Lib[#Headers],0),FALSE)),"")</f>
        <v/>
      </c>
      <c r="AW77" s="251" t="str">
        <f>IFERROR(IF(VLOOKUP(CONCATENATE($A77,"_",AW$1),SP_ACQ_Lib[],MATCH(AW$2,SP_ACQ_Lib[#Headers],0),FALSE)=0,"",VLOOKUP(CONCATENATE($A77,"_",AW$1),SP_ACQ_Lib[],MATCH(AW$2,SP_ACQ_Lib[#Headers],0),FALSE)),"")</f>
        <v/>
      </c>
      <c r="AX77" s="251" t="str">
        <f>IFERROR(IF(VLOOKUP(CONCATENATE($A77,"_",AX$1),SP_ACQ_Lib[],MATCH(AX$2,SP_ACQ_Lib[#Headers],0),FALSE)=0,"",VLOOKUP(CONCATENATE($A77,"_",AX$1),SP_ACQ_Lib[],MATCH(AX$2,SP_ACQ_Lib[#Headers],0),FALSE)),"")</f>
        <v/>
      </c>
      <c r="AY77" s="251" t="str">
        <f>IFERROR(IF(VLOOKUP(CONCATENATE($A77,"_",AY$1),SP_ACQ_Lib[],MATCH(AY$2,SP_ACQ_Lib[#Headers],0),FALSE)=0,"",VLOOKUP(CONCATENATE($A77,"_",AY$1),SP_ACQ_Lib[],MATCH(AY$2,SP_ACQ_Lib[#Headers],0),FALSE)),"")</f>
        <v/>
      </c>
      <c r="AZ77" s="251" t="str">
        <f>IFERROR(IF(VLOOKUP(CONCATENATE($A77,"_",AZ$1),SP_ACQ_Lib[],MATCH(AZ$2,SP_ACQ_Lib[#Headers],0),FALSE)=0,"",VLOOKUP(CONCATENATE($A77,"_",AZ$1),SP_ACQ_Lib[],MATCH(AZ$2,SP_ACQ_Lib[#Headers],0),FALSE)),"")</f>
        <v/>
      </c>
      <c r="BA77" s="251" t="str">
        <f>IFERROR(IF(VLOOKUP(CONCATENATE($A77,"_",BA$1),SP_ACQ_Lib[],MATCH(BA$2,SP_ACQ_Lib[#Headers],0),FALSE)=0,"",VLOOKUP(CONCATENATE($A77,"_",BA$1),SP_ACQ_Lib[],MATCH(BA$2,SP_ACQ_Lib[#Headers],0),FALSE)),"")</f>
        <v/>
      </c>
      <c r="BB77" s="224">
        <f>IFERROR(VLOOKUP(CONCATENATE($A77,"_",BB$1),SP_ACQ_Lib[],MATCH(BB$2,SP_ACQ_Lib[#Headers],0),FALSE),0)</f>
        <v>0</v>
      </c>
      <c r="BC77" s="231">
        <f>IFERROR(VLOOKUP($A77,SP_AcqTract_DB[],MATCH(BC$2,SP_AcqTract_DB[#Headers],0),FALSE),"")</f>
        <v>0</v>
      </c>
      <c r="BD77" s="231">
        <f>IFERROR(VLOOKUP($A77,SP_AcqTract_DB[],MATCH(BD$2,SP_AcqTract_DB[#Headers],0),FALSE),"")</f>
        <v>0</v>
      </c>
      <c r="BE77" s="249" t="str">
        <f>IFERROR(IF(VLOOKUP(CONCATENATE($A77,"_",BE$1),SP_ACQ_Lib[],MATCH(BE$2,SP_ACQ_Lib[#Headers],0),FALSE)=0,"",VLOOKUP(CONCATENATE($A77,"_",BE$1),SP_ACQ_Lib[],MATCH(BE$2,SP_ACQ_Lib[#Headers],0),FALSE)),"")</f>
        <v/>
      </c>
      <c r="BF77" s="249" t="str">
        <f>IFERROR(IF(VLOOKUP(CONCATENATE($A77,"_",BF$1),SP_ACQ_Lib[],MATCH(BF$2,SP_ACQ_Lib[#Headers],0),FALSE)=0,"",VLOOKUP(CONCATENATE($A77,"_",BF$1),SP_ACQ_Lib[],MATCH(BF$2,SP_ACQ_Lib[#Headers],0),FALSE)),"")</f>
        <v/>
      </c>
      <c r="BG77" s="249" t="str">
        <f>IFERROR(IF(VLOOKUP(CONCATENATE($A77,"_",BG$1),SP_ACQ_Lib[],MATCH(BG$2,SP_ACQ_Lib[#Headers],0),FALSE)=0,"",VLOOKUP(CONCATENATE($A77,"_",BG$1),SP_ACQ_Lib[],MATCH(BG$2,SP_ACQ_Lib[#Headers],0),FALSE)),"")</f>
        <v/>
      </c>
      <c r="BH77" s="249" t="str">
        <f>IFERROR(IF(VLOOKUP(CONCATENATE($A77,"_",BH$1),SP_ACQ_Lib[],MATCH(BH$2,SP_ACQ_Lib[#Headers],0),FALSE)=0,"",VLOOKUP(CONCATENATE($A77,"_",BH$1),SP_ACQ_Lib[],MATCH(BH$2,SP_ACQ_Lib[#Headers],0),FALSE)),"")</f>
        <v/>
      </c>
      <c r="BI77" s="249" t="str">
        <f>IFERROR(IF(VLOOKUP(CONCATENATE($A77,"_",BI$1),SP_ACQ_Lib[],MATCH(BI$2,SP_ACQ_Lib[#Headers],0),FALSE)=0,"",VLOOKUP(CONCATENATE($A77,"_",BI$1),SP_ACQ_Lib[],MATCH(BI$2,SP_ACQ_Lib[#Headers],0),FALSE)),"")</f>
        <v/>
      </c>
      <c r="BJ77" s="249" t="str">
        <f>IFERROR(IF(VLOOKUP(CONCATENATE($A77,"_",BJ$1),SP_ACQ_Lib[],MATCH(BJ$2,SP_ACQ_Lib[#Headers],0),FALSE)=0,"",VLOOKUP(CONCATENATE($A77,"_",BJ$1),SP_ACQ_Lib[],MATCH(BJ$2,SP_ACQ_Lib[#Headers],0),FALSE)),"")</f>
        <v/>
      </c>
      <c r="BK77" s="250" t="str">
        <f>IFERROR(IF(VLOOKUP(CONCATENATE($A77,"_",BK$1),SP_ACQ_Lib[],MATCH(BK$2,SP_ACQ_Lib[#Headers],0),FALSE)=0,"",VLOOKUP(CONCATENATE($A77,"_",BK$1),SP_ACQ_Lib[],MATCH(BK$2,SP_ACQ_Lib[#Headers],0),FALSE)),"")</f>
        <v/>
      </c>
      <c r="BL77" s="249" t="str">
        <f>IFERROR(IF(VLOOKUP(CONCATENATE($A77,"_",BL$1),SP_ACQ_Lib[],MATCH(BL$2,SP_ACQ_Lib[#Headers],0),FALSE)=0,"",VLOOKUP(CONCATENATE($A77,"_",BL$1),SP_ACQ_Lib[],MATCH(BL$2,SP_ACQ_Lib[#Headers],0),FALSE)),"")</f>
        <v/>
      </c>
      <c r="BM77" s="249" t="str">
        <f>IFERROR(IF(VLOOKUP(CONCATENATE($A77,"_",BM$1),SP_ACQ_Lib[],MATCH(BM$2,SP_ACQ_Lib[#Headers],0),FALSE)=0,"",VLOOKUP(CONCATENATE($A77,"_",BM$1),SP_ACQ_Lib[],MATCH(BM$2,SP_ACQ_Lib[#Headers],0),FALSE)),"")</f>
        <v/>
      </c>
      <c r="BN77" s="249" t="str">
        <f>IFERROR(IF(VLOOKUP(CONCATENATE($A77,"_",BN$1),SP_ACQ_Lib[],MATCH(BN$2,SP_ACQ_Lib[#Headers],0),FALSE)=0,"",VLOOKUP(CONCATENATE($A77,"_",BN$1),SP_ACQ_Lib[],MATCH(BN$2,SP_ACQ_Lib[#Headers],0),FALSE)),"")</f>
        <v/>
      </c>
    </row>
    <row r="78" spans="1:66" s="226" customFormat="1" ht="38.25" x14ac:dyDescent="0.2">
      <c r="A78" s="192" t="s">
        <v>5275</v>
      </c>
      <c r="B78" s="227" t="str">
        <f>IFERROR(VLOOKUP($A78,SP_AcqTract_DB[],MATCH(B$2,SP_AcqTract_DB[#Headers],0),FALSE),"")</f>
        <v>R026597</v>
      </c>
      <c r="C78" s="228" t="str">
        <f>IFERROR(VLOOKUP($A78,SP_AcqTract_DB[],MATCH(C$2,SP_AcqTract_DB[#Headers],0),FALSE),"")</f>
        <v>PH2</v>
      </c>
      <c r="D78" s="208" t="str">
        <f>IFERROR(VLOOKUP($A78,SP_AcqTract_DB[],MATCH(D$2,SP_AcqTract_DB[#Headers],0),FALSE),"")</f>
        <v>Active</v>
      </c>
      <c r="E78" s="208">
        <f>IFERROR(VLOOKUP($A78,SP_AcqTract_DB[],MATCH(E$2,SP_AcqTract_DB[#Headers],0),FALSE),"")</f>
        <v>0</v>
      </c>
      <c r="F78" s="227">
        <f>IFERROR(VLOOKUP($A78,SP_AcqTract_DB[],MATCH(F$2,SP_AcqTract_DB[#Headers],0),FALSE),"")</f>
        <v>0</v>
      </c>
      <c r="G78" s="227" t="str">
        <f>IFERROR(VLOOKUP($A78,SP_AcqTract_DB[],MATCH(G$2,SP_AcqTract_DB[#Headers],0),FALSE),"")</f>
        <v>Melissa DeLeon</v>
      </c>
      <c r="H78" s="250">
        <f>IFERROR(IF(VLOOKUP(CONCATENATE($A78,"_",H$1),SP_ACQ_Lib[],MATCH(H$2,SP_ACQ_Lib[#Headers],0),FALSE)=0,"",VLOOKUP(CONCATENATE($A78,"_",H$1),SP_ACQ_Lib[],MATCH(H$2,SP_ACQ_Lib[#Headers],0),FALSE)),"")</f>
        <v>44012.31758101852</v>
      </c>
      <c r="I78" s="227" t="str">
        <f>IFERROR(VLOOKUP($A78,SP_AcqTract_DB[],MATCH(I$2,SP_AcqTract_DB[#Headers],0),FALSE),"")</f>
        <v>Ochoa Lizbeth</v>
      </c>
      <c r="J78" s="227">
        <f>IFERROR(VLOOKUP($A78,SP_AcqTract_DB[],MATCH(J$2,SP_AcqTract_DB[#Headers],0),FALSE),"")</f>
        <v>0</v>
      </c>
      <c r="K78" s="227" t="str">
        <f>IFERROR(VLOOKUP($A78,SP_AcqTract_DB[],MATCH(K$2,SP_AcqTract_DB[#Headers],0),FALSE),"")</f>
        <v>Lizbeth Ochoa</v>
      </c>
      <c r="L78" s="227" t="str">
        <f>IFERROR(VLOOKUP($A78,SP_AcqTract_DB[],MATCH(L$2,SP_AcqTract_DB[#Headers],0),FALSE),"")</f>
        <v>12750 Briar Forest Drive Apt 1914</v>
      </c>
      <c r="M78" s="208" t="str">
        <f>IFERROR(VLOOKUP($A78,SP_AcqTract_DB[],MATCH(M$2,SP_AcqTract_DB[#Headers],0),FALSE),"")</f>
        <v>Houston, TX 77077</v>
      </c>
      <c r="N78" s="227" t="str">
        <f>IFERROR(VLOOKUP($A78,SP_AcqTract_DB[],MATCH(N$2,SP_AcqTract_DB[#Headers],0),FALSE),"")</f>
        <v>328 S EAST AVE</v>
      </c>
      <c r="O78" s="220">
        <f>IFERROR(VLOOKUP($A78,SP_AcqTract_DB[],MATCH(O$2,SP_AcqTract_DB[#Headers],0),FALSE),"")</f>
        <v>0</v>
      </c>
      <c r="P78" s="220">
        <f>IFERROR(VLOOKUP($A78,SP_AcqTract_DB[],MATCH(P$2,SP_AcqTract_DB[#Headers],0),FALSE),"")</f>
        <v>0</v>
      </c>
      <c r="Q78" s="208">
        <f>IFERROR(VLOOKUP($A78,SP_AcqTract_DB[],MATCH(Q$2,SP_AcqTract_DB[#Headers],0),FALSE),"")</f>
        <v>0</v>
      </c>
      <c r="R78" s="250" t="str">
        <f>IFERROR(IF(VLOOKUP(CONCATENATE($A78,"_",R$1),SP_ACQ_Lib[],MATCH(R$2,SP_ACQ_Lib[#Headers],0),FALSE)=0,"",VLOOKUP(CONCATENATE($A78,"_",R$1),SP_ACQ_Lib[],MATCH(R$2,SP_ACQ_Lib[#Headers],0),FALSE)),"")</f>
        <v/>
      </c>
      <c r="S78" s="253" t="str">
        <f>IFERROR(IF(VLOOKUP(CONCATENATE($A78,"_",S$1),SP_ACQ_Lib[],MATCH(S$2,SP_ACQ_Lib[#Headers],0),FALSE)=0,"",VLOOKUP(CONCATENATE($A78,"_",S$1),SP_ACQ_Lib[],MATCH(S$2,SP_ACQ_Lib[#Headers],0),FALSE)),"")</f>
        <v/>
      </c>
      <c r="T78" s="205">
        <f>IFERROR(VLOOKUP(CONCATENATE($A78,"_",T$1),SP_ACQ_Lib[],MATCH(T$2,SP_ACQ_Lib[#Headers],0),FALSE),0)</f>
        <v>0</v>
      </c>
      <c r="U78" s="250" t="str">
        <f>IFERROR(IF(VLOOKUP(CONCATENATE($A78,"_",U$1),SP_ACQ_Lib[],MATCH(U$2,SP_ACQ_Lib[#Headers],0),FALSE)=0,"",VLOOKUP(CONCATENATE($A78,"_",U$1),SP_ACQ_Lib[],MATCH(U$2,SP_ACQ_Lib[#Headers],0),FALSE)),"")</f>
        <v/>
      </c>
      <c r="V78" s="205" t="str">
        <f>IFERROR(VLOOKUP(CONCATENATE($A78,"_",V$1),SP_ACQ_Lib[],MATCH(V$2,SP_ACQ_Lib[#Headers],0),FALSE),0)</f>
        <v>Accepted</v>
      </c>
      <c r="W78" s="209">
        <f>IFERROR(VLOOKUP(CONCATENATE($A78,"_",W$1),SP_ACQ_Lib[],MATCH(W$2,SP_ACQ_Lib[#Headers],0),FALSE),0)</f>
        <v>0</v>
      </c>
      <c r="X78" s="250">
        <f>IFERROR(VLOOKUP($A78,SP_AcqTract_DB[],MATCH(X$2,SP_AcqTract_DB[#Headers],0),FALSE),"")</f>
        <v>0</v>
      </c>
      <c r="Y78" s="237">
        <f>IFERROR(VLOOKUP($A78,SP_AcqTract_DB[],MATCH(Y$2,SP_AcqTract_DB[#Headers],0),FALSE),"")</f>
        <v>0</v>
      </c>
      <c r="Z78" s="229">
        <f>IFERROR(VLOOKUP($A78,SP_AcqTract_DB[],MATCH(Z$2,SP_AcqTract_DB[#Headers],0),FALSE),"")</f>
        <v>0</v>
      </c>
      <c r="AA78" s="229">
        <f>IFERROR(VLOOKUP($A78,SP_AcqTract_DB[],MATCH(AA$2,SP_AcqTract_DB[#Headers],0),FALSE),"")</f>
        <v>0</v>
      </c>
      <c r="AB78" s="250" t="str">
        <f>IFERROR(IF(VLOOKUP(CONCATENATE($A78,"_",AB$1),SP_ACQ_Lib[],MATCH(AB$2,SP_ACQ_Lib[#Headers],0),FALSE)=0,"",VLOOKUP(CONCATENATE($A78,"_",AB$1),SP_ACQ_Lib[],MATCH(AB$2,SP_ACQ_Lib[#Headers],0),FALSE)),"")</f>
        <v/>
      </c>
      <c r="AC78" s="250" t="str">
        <f>IFERROR(IF(VLOOKUP(CONCATENATE($A78,"_",AC$1),SP_ACQ_Lib[],MATCH(AC$2,SP_ACQ_Lib[#Headers],0),FALSE)=0,"",VLOOKUP(CONCATENATE($A78,"_",AC$1),SP_ACQ_Lib[],MATCH(AC$2,SP_ACQ_Lib[#Headers],0),FALSE)),"")</f>
        <v/>
      </c>
      <c r="AD78" s="229">
        <f>IFERROR(VLOOKUP($A78,SP_AcqTract_DB[],MATCH(AD$2,SP_AcqTract_DB[#Headers],0),FALSE),"")</f>
        <v>0</v>
      </c>
      <c r="AE78" s="250" t="str">
        <f>IFERROR(IF(VLOOKUP(CONCATENATE($A78,"_",AE$1),SP_ACQ_Lib[],MATCH(AE$2,SP_ACQ_Lib[#Headers],0),FALSE)=0,"",VLOOKUP(CONCATENATE($A78,"_",AE$1),SP_ACQ_Lib[],MATCH(AE$2,SP_ACQ_Lib[#Headers],0),FALSE)),"")</f>
        <v/>
      </c>
      <c r="AF78" s="250" t="str">
        <f>IFERROR(IF(VLOOKUP(CONCATENATE($A78,"_",AF$1),SP_ACQ_Lib[],MATCH(AF$2,SP_ACQ_Lib[#Headers],0),FALSE)=0,"",VLOOKUP(CONCATENATE($A78,"_",AF$1),SP_ACQ_Lib[],MATCH(AF$2,SP_ACQ_Lib[#Headers],0),FALSE)),"")</f>
        <v/>
      </c>
      <c r="AG78" s="250" t="str">
        <f>IFERROR(IF(VLOOKUP(CONCATENATE($A78,"_",AG$1),SP_ACQ_Lib[],MATCH(AG$2,SP_ACQ_Lib[#Headers],0),FALSE)=0,"",VLOOKUP(CONCATENATE($A78,"_",AG$1),SP_ACQ_Lib[],MATCH(AG$2,SP_ACQ_Lib[#Headers],0),FALSE)),"")</f>
        <v/>
      </c>
      <c r="AH78" s="250" t="str">
        <f>IFERROR(IF(VLOOKUP(CONCATENATE($A78,"_",AH$1),SP_ACQ_Lib[],MATCH(AH$2,SP_ACQ_Lib[#Headers],0),FALSE)=0,"",VLOOKUP(CONCATENATE($A78,"_",AH$1),SP_ACQ_Lib[],MATCH(AH$2,SP_ACQ_Lib[#Headers],0),FALSE)),"")</f>
        <v/>
      </c>
      <c r="AI78" s="249">
        <f>IFERROR(IF(VLOOKUP(CONCATENATE($A78,"_",AI$1),SP_ACQ_Lib[],MATCH(AI$2,SP_ACQ_Lib[#Headers],0),FALSE)=0,"",VLOOKUP(CONCATENATE($A78,"_",AI$1),SP_ACQ_Lib[],MATCH(AI$2,SP_ACQ_Lib[#Headers],0),FALSE)),"")</f>
        <v>43984</v>
      </c>
      <c r="AJ78" s="249">
        <f>IFERROR(IF(VLOOKUP(CONCATENATE($A78,"_",AJ$1),SP_ACQ_Lib[],MATCH(AJ$2,SP_ACQ_Lib[#Headers],0),FALSE)=0,"",VLOOKUP(CONCATENATE($A78,"_",AJ$1),SP_ACQ_Lib[],MATCH(AJ$2,SP_ACQ_Lib[#Headers],0),FALSE)),"")</f>
        <v>44014</v>
      </c>
      <c r="AK78" s="249">
        <f>IFERROR(IF(VLOOKUP(CONCATENATE($A78,"_",AK$1),SP_ACQ_Lib[],MATCH(AK$2,SP_ACQ_Lib[#Headers],0),FALSE)=0,"",VLOOKUP(CONCATENATE($A78,"_",AK$1),SP_ACQ_Lib[],MATCH(AK$2,SP_ACQ_Lib[#Headers],0),FALSE)),"")</f>
        <v>44198</v>
      </c>
      <c r="AL78" s="249">
        <f>IFERROR(VLOOKUP($A78,SP_AcqTract_DB[],MATCH(AL$2,SP_AcqTract_DB[#Headers],0),FALSE),"")</f>
        <v>0</v>
      </c>
      <c r="AM78" s="227">
        <f>IFERROR(VLOOKUP($A78,SP_AcqTract_DB[],MATCH(AM$2,SP_AcqTract_DB[#Headers],0),FALSE),"")</f>
        <v>0</v>
      </c>
      <c r="AN78" s="227">
        <f>IFERROR(VLOOKUP($A78,SP_AcqTract_DB[],MATCH(AN$2,SP_AcqTract_DB[#Headers],0),FALSE),"")</f>
        <v>0</v>
      </c>
      <c r="AO78" s="228">
        <f>IFERROR(VLOOKUP($A78,SP_AcqTract_DB[],MATCH(AO$2,SP_AcqTract_DB[#Headers],0),FALSE),"")</f>
        <v>0</v>
      </c>
      <c r="AP78" s="210">
        <f>IFERROR(VLOOKUP($A78,SP_AcqTract_DB[],MATCH(AP$2,SP_AcqTract_DB[#Headers],0),FALSE),"")</f>
        <v>0</v>
      </c>
      <c r="AQ78" s="252" t="str">
        <f>IFERROR(IF(VLOOKUP(CONCATENATE($A78,"_",AQ$1),SP_ACQ_Lib[],MATCH(AQ$2,SP_ACQ_Lib[#Headers],0),FALSE)=0,"",VLOOKUP(CONCATENATE($A78,"_",AQ$1),SP_ACQ_Lib[],MATCH(AQ$2,SP_ACQ_Lib[#Headers],0),FALSE)),"")</f>
        <v/>
      </c>
      <c r="AR78" s="250" t="str">
        <f>IFERROR(IF(VLOOKUP(CONCATENATE($A78,"_",AR$1),SP_ACQ_Lib[],MATCH(AR$2,SP_ACQ_Lib[#Headers],0),FALSE)=0,"",VLOOKUP(CONCATENATE($A78,"_",AR$1),SP_ACQ_Lib[],MATCH(AR$2,SP_ACQ_Lib[#Headers],0),FALSE)),"")</f>
        <v/>
      </c>
      <c r="AS78" s="249" t="str">
        <f>IFERROR(IF(VLOOKUP(CONCATENATE($A78,"_",AS$1),SP_ACQ_Lib[],MATCH(AS$2,SP_ACQ_Lib[#Headers],0),FALSE)=0,"",VLOOKUP(CONCATENATE($A78,"_",AS$1),SP_ACQ_Lib[],MATCH(AS$2,SP_ACQ_Lib[#Headers],0),FALSE)),"")</f>
        <v/>
      </c>
      <c r="AT78" s="251" t="str">
        <f>IFERROR(IF(VLOOKUP(CONCATENATE($A78,"_",AT$1),SP_ACQ_Lib[],MATCH(AT$2,SP_ACQ_Lib[#Headers],0),FALSE)=0,"",VLOOKUP(CONCATENATE($A78,"_",AT$1),SP_ACQ_Lib[],MATCH(AT$2,SP_ACQ_Lib[#Headers],0),FALSE)),"")</f>
        <v/>
      </c>
      <c r="AU78" s="251" t="str">
        <f>IFERROR(IF(VLOOKUP(CONCATENATE($A78,"_",AU$1),SP_ACQ_Lib[],MATCH(AU$2,SP_ACQ_Lib[#Headers],0),FALSE)=0,"",VLOOKUP(CONCATENATE($A78,"_",AU$1),SP_ACQ_Lib[],MATCH(AU$2,SP_ACQ_Lib[#Headers],0),FALSE)),"")</f>
        <v/>
      </c>
      <c r="AV78" s="225" t="str">
        <f>IFERROR(IF(VLOOKUP(CONCATENATE($A78,"_",AV$1),SP_ACQ_Lib[],MATCH(AV$2,SP_ACQ_Lib[#Headers],0),FALSE)=0,"",VLOOKUP(CONCATENATE($A78,"_",AV$1),SP_ACQ_Lib[],MATCH(AV$2,SP_ACQ_Lib[#Headers],0),FALSE)),"")</f>
        <v/>
      </c>
      <c r="AW78" s="251" t="str">
        <f>IFERROR(IF(VLOOKUP(CONCATENATE($A78,"_",AW$1),SP_ACQ_Lib[],MATCH(AW$2,SP_ACQ_Lib[#Headers],0),FALSE)=0,"",VLOOKUP(CONCATENATE($A78,"_",AW$1),SP_ACQ_Lib[],MATCH(AW$2,SP_ACQ_Lib[#Headers],0),FALSE)),"")</f>
        <v/>
      </c>
      <c r="AX78" s="251" t="str">
        <f>IFERROR(IF(VLOOKUP(CONCATENATE($A78,"_",AX$1),SP_ACQ_Lib[],MATCH(AX$2,SP_ACQ_Lib[#Headers],0),FALSE)=0,"",VLOOKUP(CONCATENATE($A78,"_",AX$1),SP_ACQ_Lib[],MATCH(AX$2,SP_ACQ_Lib[#Headers],0),FALSE)),"")</f>
        <v/>
      </c>
      <c r="AY78" s="251" t="str">
        <f>IFERROR(IF(VLOOKUP(CONCATENATE($A78,"_",AY$1),SP_ACQ_Lib[],MATCH(AY$2,SP_ACQ_Lib[#Headers],0),FALSE)=0,"",VLOOKUP(CONCATENATE($A78,"_",AY$1),SP_ACQ_Lib[],MATCH(AY$2,SP_ACQ_Lib[#Headers],0),FALSE)),"")</f>
        <v/>
      </c>
      <c r="AZ78" s="251" t="str">
        <f>IFERROR(IF(VLOOKUP(CONCATENATE($A78,"_",AZ$1),SP_ACQ_Lib[],MATCH(AZ$2,SP_ACQ_Lib[#Headers],0),FALSE)=0,"",VLOOKUP(CONCATENATE($A78,"_",AZ$1),SP_ACQ_Lib[],MATCH(AZ$2,SP_ACQ_Lib[#Headers],0),FALSE)),"")</f>
        <v/>
      </c>
      <c r="BA78" s="251" t="str">
        <f>IFERROR(IF(VLOOKUP(CONCATENATE($A78,"_",BA$1),SP_ACQ_Lib[],MATCH(BA$2,SP_ACQ_Lib[#Headers],0),FALSE)=0,"",VLOOKUP(CONCATENATE($A78,"_",BA$1),SP_ACQ_Lib[],MATCH(BA$2,SP_ACQ_Lib[#Headers],0),FALSE)),"")</f>
        <v/>
      </c>
      <c r="BB78" s="224">
        <f>IFERROR(VLOOKUP(CONCATENATE($A78,"_",BB$1),SP_ACQ_Lib[],MATCH(BB$2,SP_ACQ_Lib[#Headers],0),FALSE),0)</f>
        <v>0</v>
      </c>
      <c r="BC78" s="231">
        <f>IFERROR(VLOOKUP($A78,SP_AcqTract_DB[],MATCH(BC$2,SP_AcqTract_DB[#Headers],0),FALSE),"")</f>
        <v>0</v>
      </c>
      <c r="BD78" s="231">
        <f>IFERROR(VLOOKUP($A78,SP_AcqTract_DB[],MATCH(BD$2,SP_AcqTract_DB[#Headers],0),FALSE),"")</f>
        <v>0</v>
      </c>
      <c r="BE78" s="249" t="str">
        <f>IFERROR(IF(VLOOKUP(CONCATENATE($A78,"_",BE$1),SP_ACQ_Lib[],MATCH(BE$2,SP_ACQ_Lib[#Headers],0),FALSE)=0,"",VLOOKUP(CONCATENATE($A78,"_",BE$1),SP_ACQ_Lib[],MATCH(BE$2,SP_ACQ_Lib[#Headers],0),FALSE)),"")</f>
        <v/>
      </c>
      <c r="BF78" s="249" t="str">
        <f>IFERROR(IF(VLOOKUP(CONCATENATE($A78,"_",BF$1),SP_ACQ_Lib[],MATCH(BF$2,SP_ACQ_Lib[#Headers],0),FALSE)=0,"",VLOOKUP(CONCATENATE($A78,"_",BF$1),SP_ACQ_Lib[],MATCH(BF$2,SP_ACQ_Lib[#Headers],0),FALSE)),"")</f>
        <v/>
      </c>
      <c r="BG78" s="249" t="str">
        <f>IFERROR(IF(VLOOKUP(CONCATENATE($A78,"_",BG$1),SP_ACQ_Lib[],MATCH(BG$2,SP_ACQ_Lib[#Headers],0),FALSE)=0,"",VLOOKUP(CONCATENATE($A78,"_",BG$1),SP_ACQ_Lib[],MATCH(BG$2,SP_ACQ_Lib[#Headers],0),FALSE)),"")</f>
        <v/>
      </c>
      <c r="BH78" s="249" t="str">
        <f>IFERROR(IF(VLOOKUP(CONCATENATE($A78,"_",BH$1),SP_ACQ_Lib[],MATCH(BH$2,SP_ACQ_Lib[#Headers],0),FALSE)=0,"",VLOOKUP(CONCATENATE($A78,"_",BH$1),SP_ACQ_Lib[],MATCH(BH$2,SP_ACQ_Lib[#Headers],0),FALSE)),"")</f>
        <v/>
      </c>
      <c r="BI78" s="249" t="str">
        <f>IFERROR(IF(VLOOKUP(CONCATENATE($A78,"_",BI$1),SP_ACQ_Lib[],MATCH(BI$2,SP_ACQ_Lib[#Headers],0),FALSE)=0,"",VLOOKUP(CONCATENATE($A78,"_",BI$1),SP_ACQ_Lib[],MATCH(BI$2,SP_ACQ_Lib[#Headers],0),FALSE)),"")</f>
        <v/>
      </c>
      <c r="BJ78" s="249" t="str">
        <f>IFERROR(IF(VLOOKUP(CONCATENATE($A78,"_",BJ$1),SP_ACQ_Lib[],MATCH(BJ$2,SP_ACQ_Lib[#Headers],0),FALSE)=0,"",VLOOKUP(CONCATENATE($A78,"_",BJ$1),SP_ACQ_Lib[],MATCH(BJ$2,SP_ACQ_Lib[#Headers],0),FALSE)),"")</f>
        <v/>
      </c>
      <c r="BK78" s="250" t="str">
        <f>IFERROR(IF(VLOOKUP(CONCATENATE($A78,"_",BK$1),SP_ACQ_Lib[],MATCH(BK$2,SP_ACQ_Lib[#Headers],0),FALSE)=0,"",VLOOKUP(CONCATENATE($A78,"_",BK$1),SP_ACQ_Lib[],MATCH(BK$2,SP_ACQ_Lib[#Headers],0),FALSE)),"")</f>
        <v/>
      </c>
      <c r="BL78" s="249" t="str">
        <f>IFERROR(IF(VLOOKUP(CONCATENATE($A78,"_",BL$1),SP_ACQ_Lib[],MATCH(BL$2,SP_ACQ_Lib[#Headers],0),FALSE)=0,"",VLOOKUP(CONCATENATE($A78,"_",BL$1),SP_ACQ_Lib[],MATCH(BL$2,SP_ACQ_Lib[#Headers],0),FALSE)),"")</f>
        <v/>
      </c>
      <c r="BM78" s="249" t="str">
        <f>IFERROR(IF(VLOOKUP(CONCATENATE($A78,"_",BM$1),SP_ACQ_Lib[],MATCH(BM$2,SP_ACQ_Lib[#Headers],0),FALSE)=0,"",VLOOKUP(CONCATENATE($A78,"_",BM$1),SP_ACQ_Lib[],MATCH(BM$2,SP_ACQ_Lib[#Headers],0),FALSE)),"")</f>
        <v/>
      </c>
      <c r="BN78" s="249" t="str">
        <f>IFERROR(IF(VLOOKUP(CONCATENATE($A78,"_",BN$1),SP_ACQ_Lib[],MATCH(BN$2,SP_ACQ_Lib[#Headers],0),FALSE)=0,"",VLOOKUP(CONCATENATE($A78,"_",BN$1),SP_ACQ_Lib[],MATCH(BN$2,SP_ACQ_Lib[#Headers],0),FALSE)),"")</f>
        <v/>
      </c>
    </row>
    <row r="79" spans="1:66" s="226" customFormat="1" ht="25.5" x14ac:dyDescent="0.2">
      <c r="A79" s="192" t="s">
        <v>5277</v>
      </c>
      <c r="B79" s="227" t="str">
        <f>IFERROR(VLOOKUP($A79,SP_AcqTract_DB[],MATCH(B$2,SP_AcqTract_DB[#Headers],0),FALSE),"")</f>
        <v>R026598</v>
      </c>
      <c r="C79" s="228" t="str">
        <f>IFERROR(VLOOKUP($A79,SP_AcqTract_DB[],MATCH(C$2,SP_AcqTract_DB[#Headers],0),FALSE),"")</f>
        <v>PH2</v>
      </c>
      <c r="D79" s="208" t="str">
        <f>IFERROR(VLOOKUP($A79,SP_AcqTract_DB[],MATCH(D$2,SP_AcqTract_DB[#Headers],0),FALSE),"")</f>
        <v>Active</v>
      </c>
      <c r="E79" s="208">
        <f>IFERROR(VLOOKUP($A79,SP_AcqTract_DB[],MATCH(E$2,SP_AcqTract_DB[#Headers],0),FALSE),"")</f>
        <v>0</v>
      </c>
      <c r="F79" s="227" t="str">
        <f>IFERROR(VLOOKUP($A79,SP_AcqTract_DB[],MATCH(F$2,SP_AcqTract_DB[#Headers],0),FALSE),"")</f>
        <v>FEE / EASEMENT</v>
      </c>
      <c r="G79" s="227" t="str">
        <f>IFERROR(VLOOKUP($A79,SP_AcqTract_DB[],MATCH(G$2,SP_AcqTract_DB[#Headers],0),FALSE),"")</f>
        <v>Melissa DeLeon</v>
      </c>
      <c r="H79" s="250">
        <f>IFERROR(IF(VLOOKUP(CONCATENATE($A79,"_",H$1),SP_ACQ_Lib[],MATCH(H$2,SP_ACQ_Lib[#Headers],0),FALSE)=0,"",VLOOKUP(CONCATENATE($A79,"_",H$1),SP_ACQ_Lib[],MATCH(H$2,SP_ACQ_Lib[#Headers],0),FALSE)),"")</f>
        <v>43992.618414351855</v>
      </c>
      <c r="I79" s="227" t="str">
        <f>IFERROR(VLOOKUP($A79,SP_AcqTract_DB[],MATCH(I$2,SP_AcqTract_DB[#Headers],0),FALSE),"")</f>
        <v>Baker Helena</v>
      </c>
      <c r="J79" s="227">
        <f>IFERROR(VLOOKUP($A79,SP_AcqTract_DB[],MATCH(J$2,SP_AcqTract_DB[#Headers],0),FALSE),"")</f>
        <v>0</v>
      </c>
      <c r="K79" s="227">
        <f>IFERROR(VLOOKUP($A79,SP_AcqTract_DB[],MATCH(K$2,SP_AcqTract_DB[#Headers],0),FALSE),"")</f>
        <v>0</v>
      </c>
      <c r="L79" s="227">
        <f>IFERROR(VLOOKUP($A79,SP_AcqTract_DB[],MATCH(L$2,SP_AcqTract_DB[#Headers],0),FALSE),"")</f>
        <v>0</v>
      </c>
      <c r="M79" s="208">
        <f>IFERROR(VLOOKUP($A79,SP_AcqTract_DB[],MATCH(M$2,SP_AcqTract_DB[#Headers],0),FALSE),"")</f>
        <v>0</v>
      </c>
      <c r="N79" s="227" t="str">
        <f>IFERROR(VLOOKUP($A79,SP_AcqTract_DB[],MATCH(N$2,SP_AcqTract_DB[#Headers],0),FALSE),"")</f>
        <v>400 S EAST AVE</v>
      </c>
      <c r="O79" s="220">
        <f>IFERROR(VLOOKUP($A79,SP_AcqTract_DB[],MATCH(O$2,SP_AcqTract_DB[#Headers],0),FALSE),"")</f>
        <v>0</v>
      </c>
      <c r="P79" s="220">
        <f>IFERROR(VLOOKUP($A79,SP_AcqTract_DB[],MATCH(P$2,SP_AcqTract_DB[#Headers],0),FALSE),"")</f>
        <v>0</v>
      </c>
      <c r="Q79" s="208">
        <f>IFERROR(VLOOKUP($A79,SP_AcqTract_DB[],MATCH(Q$2,SP_AcqTract_DB[#Headers],0),FALSE),"")</f>
        <v>0</v>
      </c>
      <c r="R79" s="250" t="str">
        <f>IFERROR(IF(VLOOKUP(CONCATENATE($A79,"_",R$1),SP_ACQ_Lib[],MATCH(R$2,SP_ACQ_Lib[#Headers],0),FALSE)=0,"",VLOOKUP(CONCATENATE($A79,"_",R$1),SP_ACQ_Lib[],MATCH(R$2,SP_ACQ_Lib[#Headers],0),FALSE)),"")</f>
        <v/>
      </c>
      <c r="S79" s="253" t="str">
        <f>IFERROR(IF(VLOOKUP(CONCATENATE($A79,"_",S$1),SP_ACQ_Lib[],MATCH(S$2,SP_ACQ_Lib[#Headers],0),FALSE)=0,"",VLOOKUP(CONCATENATE($A79,"_",S$1),SP_ACQ_Lib[],MATCH(S$2,SP_ACQ_Lib[#Headers],0),FALSE)),"")</f>
        <v/>
      </c>
      <c r="T79" s="205">
        <f>IFERROR(VLOOKUP(CONCATENATE($A79,"_",T$1),SP_ACQ_Lib[],MATCH(T$2,SP_ACQ_Lib[#Headers],0),FALSE),0)</f>
        <v>0</v>
      </c>
      <c r="U79" s="250" t="str">
        <f>IFERROR(IF(VLOOKUP(CONCATENATE($A79,"_",U$1),SP_ACQ_Lib[],MATCH(U$2,SP_ACQ_Lib[#Headers],0),FALSE)=0,"",VLOOKUP(CONCATENATE($A79,"_",U$1),SP_ACQ_Lib[],MATCH(U$2,SP_ACQ_Lib[#Headers],0),FALSE)),"")</f>
        <v/>
      </c>
      <c r="V79" s="205" t="str">
        <f>IFERROR(VLOOKUP(CONCATENATE($A79,"_",V$1),SP_ACQ_Lib[],MATCH(V$2,SP_ACQ_Lib[#Headers],0),FALSE),0)</f>
        <v>Accepted</v>
      </c>
      <c r="W79" s="209">
        <f>IFERROR(VLOOKUP(CONCATENATE($A79,"_",W$1),SP_ACQ_Lib[],MATCH(W$2,SP_ACQ_Lib[#Headers],0),FALSE),0)</f>
        <v>0</v>
      </c>
      <c r="X79" s="250">
        <f>IFERROR(VLOOKUP($A79,SP_AcqTract_DB[],MATCH(X$2,SP_AcqTract_DB[#Headers],0),FALSE),"")</f>
        <v>0</v>
      </c>
      <c r="Y79" s="237">
        <f>IFERROR(VLOOKUP($A79,SP_AcqTract_DB[],MATCH(Y$2,SP_AcqTract_DB[#Headers],0),FALSE),"")</f>
        <v>0</v>
      </c>
      <c r="Z79" s="229">
        <f>IFERROR(VLOOKUP($A79,SP_AcqTract_DB[],MATCH(Z$2,SP_AcqTract_DB[#Headers],0),FALSE),"")</f>
        <v>0</v>
      </c>
      <c r="AA79" s="229">
        <f>IFERROR(VLOOKUP($A79,SP_AcqTract_DB[],MATCH(AA$2,SP_AcqTract_DB[#Headers],0),FALSE),"")</f>
        <v>0</v>
      </c>
      <c r="AB79" s="250" t="str">
        <f>IFERROR(IF(VLOOKUP(CONCATENATE($A79,"_",AB$1),SP_ACQ_Lib[],MATCH(AB$2,SP_ACQ_Lib[#Headers],0),FALSE)=0,"",VLOOKUP(CONCATENATE($A79,"_",AB$1),SP_ACQ_Lib[],MATCH(AB$2,SP_ACQ_Lib[#Headers],0),FALSE)),"")</f>
        <v/>
      </c>
      <c r="AC79" s="250" t="str">
        <f>IFERROR(IF(VLOOKUP(CONCATENATE($A79,"_",AC$1),SP_ACQ_Lib[],MATCH(AC$2,SP_ACQ_Lib[#Headers],0),FALSE)=0,"",VLOOKUP(CONCATENATE($A79,"_",AC$1),SP_ACQ_Lib[],MATCH(AC$2,SP_ACQ_Lib[#Headers],0),FALSE)),"")</f>
        <v/>
      </c>
      <c r="AD79" s="229">
        <f>IFERROR(VLOOKUP($A79,SP_AcqTract_DB[],MATCH(AD$2,SP_AcqTract_DB[#Headers],0),FALSE),"")</f>
        <v>0</v>
      </c>
      <c r="AE79" s="250" t="str">
        <f>IFERROR(IF(VLOOKUP(CONCATENATE($A79,"_",AE$1),SP_ACQ_Lib[],MATCH(AE$2,SP_ACQ_Lib[#Headers],0),FALSE)=0,"",VLOOKUP(CONCATENATE($A79,"_",AE$1),SP_ACQ_Lib[],MATCH(AE$2,SP_ACQ_Lib[#Headers],0),FALSE)),"")</f>
        <v/>
      </c>
      <c r="AF79" s="250" t="str">
        <f>IFERROR(IF(VLOOKUP(CONCATENATE($A79,"_",AF$1),SP_ACQ_Lib[],MATCH(AF$2,SP_ACQ_Lib[#Headers],0),FALSE)=0,"",VLOOKUP(CONCATENATE($A79,"_",AF$1),SP_ACQ_Lib[],MATCH(AF$2,SP_ACQ_Lib[#Headers],0),FALSE)),"")</f>
        <v/>
      </c>
      <c r="AG79" s="250" t="str">
        <f>IFERROR(IF(VLOOKUP(CONCATENATE($A79,"_",AG$1),SP_ACQ_Lib[],MATCH(AG$2,SP_ACQ_Lib[#Headers],0),FALSE)=0,"",VLOOKUP(CONCATENATE($A79,"_",AG$1),SP_ACQ_Lib[],MATCH(AG$2,SP_ACQ_Lib[#Headers],0),FALSE)),"")</f>
        <v/>
      </c>
      <c r="AH79" s="250" t="str">
        <f>IFERROR(IF(VLOOKUP(CONCATENATE($A79,"_",AH$1),SP_ACQ_Lib[],MATCH(AH$2,SP_ACQ_Lib[#Headers],0),FALSE)=0,"",VLOOKUP(CONCATENATE($A79,"_",AH$1),SP_ACQ_Lib[],MATCH(AH$2,SP_ACQ_Lib[#Headers],0),FALSE)),"")</f>
        <v/>
      </c>
      <c r="AI79" s="249">
        <f>IFERROR(IF(VLOOKUP(CONCATENATE($A79,"_",AI$1),SP_ACQ_Lib[],MATCH(AI$2,SP_ACQ_Lib[#Headers],0),FALSE)=0,"",VLOOKUP(CONCATENATE($A79,"_",AI$1),SP_ACQ_Lib[],MATCH(AI$2,SP_ACQ_Lib[#Headers],0),FALSE)),"")</f>
        <v>43984</v>
      </c>
      <c r="AJ79" s="249" t="str">
        <f>IFERROR(IF(VLOOKUP(CONCATENATE($A79,"_",AJ$1),SP_ACQ_Lib[],MATCH(AJ$2,SP_ACQ_Lib[#Headers],0),FALSE)=0,"",VLOOKUP(CONCATENATE($A79,"_",AJ$1),SP_ACQ_Lib[],MATCH(AJ$2,SP_ACQ_Lib[#Headers],0),FALSE)),"")</f>
        <v/>
      </c>
      <c r="AK79" s="249" t="str">
        <f>IFERROR(IF(VLOOKUP(CONCATENATE($A79,"_",AK$1),SP_ACQ_Lib[],MATCH(AK$2,SP_ACQ_Lib[#Headers],0),FALSE)=0,"",VLOOKUP(CONCATENATE($A79,"_",AK$1),SP_ACQ_Lib[],MATCH(AK$2,SP_ACQ_Lib[#Headers],0),FALSE)),"")</f>
        <v/>
      </c>
      <c r="AL79" s="249">
        <f>IFERROR(VLOOKUP($A79,SP_AcqTract_DB[],MATCH(AL$2,SP_AcqTract_DB[#Headers],0),FALSE),"")</f>
        <v>0</v>
      </c>
      <c r="AM79" s="227">
        <f>IFERROR(VLOOKUP($A79,SP_AcqTract_DB[],MATCH(AM$2,SP_AcqTract_DB[#Headers],0),FALSE),"")</f>
        <v>0</v>
      </c>
      <c r="AN79" s="227">
        <f>IFERROR(VLOOKUP($A79,SP_AcqTract_DB[],MATCH(AN$2,SP_AcqTract_DB[#Headers],0),FALSE),"")</f>
        <v>0</v>
      </c>
      <c r="AO79" s="228">
        <f>IFERROR(VLOOKUP($A79,SP_AcqTract_DB[],MATCH(AO$2,SP_AcqTract_DB[#Headers],0),FALSE),"")</f>
        <v>0</v>
      </c>
      <c r="AP79" s="210">
        <f>IFERROR(VLOOKUP($A79,SP_AcqTract_DB[],MATCH(AP$2,SP_AcqTract_DB[#Headers],0),FALSE),"")</f>
        <v>0</v>
      </c>
      <c r="AQ79" s="252" t="str">
        <f>IFERROR(IF(VLOOKUP(CONCATENATE($A79,"_",AQ$1),SP_ACQ_Lib[],MATCH(AQ$2,SP_ACQ_Lib[#Headers],0),FALSE)=0,"",VLOOKUP(CONCATENATE($A79,"_",AQ$1),SP_ACQ_Lib[],MATCH(AQ$2,SP_ACQ_Lib[#Headers],0),FALSE)),"")</f>
        <v/>
      </c>
      <c r="AR79" s="250" t="str">
        <f>IFERROR(IF(VLOOKUP(CONCATENATE($A79,"_",AR$1),SP_ACQ_Lib[],MATCH(AR$2,SP_ACQ_Lib[#Headers],0),FALSE)=0,"",VLOOKUP(CONCATENATE($A79,"_",AR$1),SP_ACQ_Lib[],MATCH(AR$2,SP_ACQ_Lib[#Headers],0),FALSE)),"")</f>
        <v/>
      </c>
      <c r="AS79" s="249" t="str">
        <f>IFERROR(IF(VLOOKUP(CONCATENATE($A79,"_",AS$1),SP_ACQ_Lib[],MATCH(AS$2,SP_ACQ_Lib[#Headers],0),FALSE)=0,"",VLOOKUP(CONCATENATE($A79,"_",AS$1),SP_ACQ_Lib[],MATCH(AS$2,SP_ACQ_Lib[#Headers],0),FALSE)),"")</f>
        <v/>
      </c>
      <c r="AT79" s="251" t="str">
        <f>IFERROR(IF(VLOOKUP(CONCATENATE($A79,"_",AT$1),SP_ACQ_Lib[],MATCH(AT$2,SP_ACQ_Lib[#Headers],0),FALSE)=0,"",VLOOKUP(CONCATENATE($A79,"_",AT$1),SP_ACQ_Lib[],MATCH(AT$2,SP_ACQ_Lib[#Headers],0),FALSE)),"")</f>
        <v/>
      </c>
      <c r="AU79" s="251" t="str">
        <f>IFERROR(IF(VLOOKUP(CONCATENATE($A79,"_",AU$1),SP_ACQ_Lib[],MATCH(AU$2,SP_ACQ_Lib[#Headers],0),FALSE)=0,"",VLOOKUP(CONCATENATE($A79,"_",AU$1),SP_ACQ_Lib[],MATCH(AU$2,SP_ACQ_Lib[#Headers],0),FALSE)),"")</f>
        <v/>
      </c>
      <c r="AV79" s="225" t="str">
        <f>IFERROR(IF(VLOOKUP(CONCATENATE($A79,"_",AV$1),SP_ACQ_Lib[],MATCH(AV$2,SP_ACQ_Lib[#Headers],0),FALSE)=0,"",VLOOKUP(CONCATENATE($A79,"_",AV$1),SP_ACQ_Lib[],MATCH(AV$2,SP_ACQ_Lib[#Headers],0),FALSE)),"")</f>
        <v/>
      </c>
      <c r="AW79" s="251" t="str">
        <f>IFERROR(IF(VLOOKUP(CONCATENATE($A79,"_",AW$1),SP_ACQ_Lib[],MATCH(AW$2,SP_ACQ_Lib[#Headers],0),FALSE)=0,"",VLOOKUP(CONCATENATE($A79,"_",AW$1),SP_ACQ_Lib[],MATCH(AW$2,SP_ACQ_Lib[#Headers],0),FALSE)),"")</f>
        <v/>
      </c>
      <c r="AX79" s="251" t="str">
        <f>IFERROR(IF(VLOOKUP(CONCATENATE($A79,"_",AX$1),SP_ACQ_Lib[],MATCH(AX$2,SP_ACQ_Lib[#Headers],0),FALSE)=0,"",VLOOKUP(CONCATENATE($A79,"_",AX$1),SP_ACQ_Lib[],MATCH(AX$2,SP_ACQ_Lib[#Headers],0),FALSE)),"")</f>
        <v/>
      </c>
      <c r="AY79" s="251" t="str">
        <f>IFERROR(IF(VLOOKUP(CONCATENATE($A79,"_",AY$1),SP_ACQ_Lib[],MATCH(AY$2,SP_ACQ_Lib[#Headers],0),FALSE)=0,"",VLOOKUP(CONCATENATE($A79,"_",AY$1),SP_ACQ_Lib[],MATCH(AY$2,SP_ACQ_Lib[#Headers],0),FALSE)),"")</f>
        <v/>
      </c>
      <c r="AZ79" s="251" t="str">
        <f>IFERROR(IF(VLOOKUP(CONCATENATE($A79,"_",AZ$1),SP_ACQ_Lib[],MATCH(AZ$2,SP_ACQ_Lib[#Headers],0),FALSE)=0,"",VLOOKUP(CONCATENATE($A79,"_",AZ$1),SP_ACQ_Lib[],MATCH(AZ$2,SP_ACQ_Lib[#Headers],0),FALSE)),"")</f>
        <v/>
      </c>
      <c r="BA79" s="251" t="str">
        <f>IFERROR(IF(VLOOKUP(CONCATENATE($A79,"_",BA$1),SP_ACQ_Lib[],MATCH(BA$2,SP_ACQ_Lib[#Headers],0),FALSE)=0,"",VLOOKUP(CONCATENATE($A79,"_",BA$1),SP_ACQ_Lib[],MATCH(BA$2,SP_ACQ_Lib[#Headers],0),FALSE)),"")</f>
        <v/>
      </c>
      <c r="BB79" s="224">
        <f>IFERROR(VLOOKUP(CONCATENATE($A79,"_",BB$1),SP_ACQ_Lib[],MATCH(BB$2,SP_ACQ_Lib[#Headers],0),FALSE),0)</f>
        <v>0</v>
      </c>
      <c r="BC79" s="231">
        <f>IFERROR(VLOOKUP($A79,SP_AcqTract_DB[],MATCH(BC$2,SP_AcqTract_DB[#Headers],0),FALSE),"")</f>
        <v>0</v>
      </c>
      <c r="BD79" s="231">
        <f>IFERROR(VLOOKUP($A79,SP_AcqTract_DB[],MATCH(BD$2,SP_AcqTract_DB[#Headers],0),FALSE),"")</f>
        <v>0</v>
      </c>
      <c r="BE79" s="249" t="str">
        <f>IFERROR(IF(VLOOKUP(CONCATENATE($A79,"_",BE$1),SP_ACQ_Lib[],MATCH(BE$2,SP_ACQ_Lib[#Headers],0),FALSE)=0,"",VLOOKUP(CONCATENATE($A79,"_",BE$1),SP_ACQ_Lib[],MATCH(BE$2,SP_ACQ_Lib[#Headers],0),FALSE)),"")</f>
        <v/>
      </c>
      <c r="BF79" s="249" t="str">
        <f>IFERROR(IF(VLOOKUP(CONCATENATE($A79,"_",BF$1),SP_ACQ_Lib[],MATCH(BF$2,SP_ACQ_Lib[#Headers],0),FALSE)=0,"",VLOOKUP(CONCATENATE($A79,"_",BF$1),SP_ACQ_Lib[],MATCH(BF$2,SP_ACQ_Lib[#Headers],0),FALSE)),"")</f>
        <v/>
      </c>
      <c r="BG79" s="249" t="str">
        <f>IFERROR(IF(VLOOKUP(CONCATENATE($A79,"_",BG$1),SP_ACQ_Lib[],MATCH(BG$2,SP_ACQ_Lib[#Headers],0),FALSE)=0,"",VLOOKUP(CONCATENATE($A79,"_",BG$1),SP_ACQ_Lib[],MATCH(BG$2,SP_ACQ_Lib[#Headers],0),FALSE)),"")</f>
        <v/>
      </c>
      <c r="BH79" s="249" t="str">
        <f>IFERROR(IF(VLOOKUP(CONCATENATE($A79,"_",BH$1),SP_ACQ_Lib[],MATCH(BH$2,SP_ACQ_Lib[#Headers],0),FALSE)=0,"",VLOOKUP(CONCATENATE($A79,"_",BH$1),SP_ACQ_Lib[],MATCH(BH$2,SP_ACQ_Lib[#Headers],0),FALSE)),"")</f>
        <v/>
      </c>
      <c r="BI79" s="249" t="str">
        <f>IFERROR(IF(VLOOKUP(CONCATENATE($A79,"_",BI$1),SP_ACQ_Lib[],MATCH(BI$2,SP_ACQ_Lib[#Headers],0),FALSE)=0,"",VLOOKUP(CONCATENATE($A79,"_",BI$1),SP_ACQ_Lib[],MATCH(BI$2,SP_ACQ_Lib[#Headers],0),FALSE)),"")</f>
        <v/>
      </c>
      <c r="BJ79" s="249" t="str">
        <f>IFERROR(IF(VLOOKUP(CONCATENATE($A79,"_",BJ$1),SP_ACQ_Lib[],MATCH(BJ$2,SP_ACQ_Lib[#Headers],0),FALSE)=0,"",VLOOKUP(CONCATENATE($A79,"_",BJ$1),SP_ACQ_Lib[],MATCH(BJ$2,SP_ACQ_Lib[#Headers],0),FALSE)),"")</f>
        <v/>
      </c>
      <c r="BK79" s="250" t="str">
        <f>IFERROR(IF(VLOOKUP(CONCATENATE($A79,"_",BK$1),SP_ACQ_Lib[],MATCH(BK$2,SP_ACQ_Lib[#Headers],0),FALSE)=0,"",VLOOKUP(CONCATENATE($A79,"_",BK$1),SP_ACQ_Lib[],MATCH(BK$2,SP_ACQ_Lib[#Headers],0),FALSE)),"")</f>
        <v/>
      </c>
      <c r="BL79" s="249" t="str">
        <f>IFERROR(IF(VLOOKUP(CONCATENATE($A79,"_",BL$1),SP_ACQ_Lib[],MATCH(BL$2,SP_ACQ_Lib[#Headers],0),FALSE)=0,"",VLOOKUP(CONCATENATE($A79,"_",BL$1),SP_ACQ_Lib[],MATCH(BL$2,SP_ACQ_Lib[#Headers],0),FALSE)),"")</f>
        <v/>
      </c>
      <c r="BM79" s="249" t="str">
        <f>IFERROR(IF(VLOOKUP(CONCATENATE($A79,"_",BM$1),SP_ACQ_Lib[],MATCH(BM$2,SP_ACQ_Lib[#Headers],0),FALSE)=0,"",VLOOKUP(CONCATENATE($A79,"_",BM$1),SP_ACQ_Lib[],MATCH(BM$2,SP_ACQ_Lib[#Headers],0),FALSE)),"")</f>
        <v/>
      </c>
      <c r="BN79" s="249" t="str">
        <f>IFERROR(IF(VLOOKUP(CONCATENATE($A79,"_",BN$1),SP_ACQ_Lib[],MATCH(BN$2,SP_ACQ_Lib[#Headers],0),FALSE)=0,"",VLOOKUP(CONCATENATE($A79,"_",BN$1),SP_ACQ_Lib[],MATCH(BN$2,SP_ACQ_Lib[#Headers],0),FALSE)),"")</f>
        <v/>
      </c>
    </row>
    <row r="80" spans="1:66" s="226" customFormat="1" ht="15.75" x14ac:dyDescent="0.2">
      <c r="A80" s="192" t="s">
        <v>5279</v>
      </c>
      <c r="B80" s="227" t="str">
        <f>IFERROR(VLOOKUP($A80,SP_AcqTract_DB[],MATCH(B$2,SP_AcqTract_DB[#Headers],0),FALSE),"")</f>
        <v>R026604</v>
      </c>
      <c r="C80" s="228" t="str">
        <f>IFERROR(VLOOKUP($A80,SP_AcqTract_DB[],MATCH(C$2,SP_AcqTract_DB[#Headers],0),FALSE),"")</f>
        <v>PH2</v>
      </c>
      <c r="D80" s="208" t="str">
        <f>IFERROR(VLOOKUP($A80,SP_AcqTract_DB[],MATCH(D$2,SP_AcqTract_DB[#Headers],0),FALSE),"")</f>
        <v>Active</v>
      </c>
      <c r="E80" s="208">
        <f>IFERROR(VLOOKUP($A80,SP_AcqTract_DB[],MATCH(E$2,SP_AcqTract_DB[#Headers],0),FALSE),"")</f>
        <v>0</v>
      </c>
      <c r="F80" s="227">
        <f>IFERROR(VLOOKUP($A80,SP_AcqTract_DB[],MATCH(F$2,SP_AcqTract_DB[#Headers],0),FALSE),"")</f>
        <v>0</v>
      </c>
      <c r="G80" s="227" t="str">
        <f>IFERROR(VLOOKUP($A80,SP_AcqTract_DB[],MATCH(G$2,SP_AcqTract_DB[#Headers],0),FALSE),"")</f>
        <v>Melissa DeLeon</v>
      </c>
      <c r="H80" s="250">
        <f>IFERROR(IF(VLOOKUP(CONCATENATE($A80,"_",H$1),SP_ACQ_Lib[],MATCH(H$2,SP_ACQ_Lib[#Headers],0),FALSE)=0,"",VLOOKUP(CONCATENATE($A80,"_",H$1),SP_ACQ_Lib[],MATCH(H$2,SP_ACQ_Lib[#Headers],0),FALSE)),"")</f>
        <v>44011.926620370374</v>
      </c>
      <c r="I80" s="227" t="str">
        <f>IFERROR(VLOOKUP($A80,SP_AcqTract_DB[],MATCH(I$2,SP_AcqTract_DB[#Headers],0),FALSE),"")</f>
        <v>Gordon William A</v>
      </c>
      <c r="J80" s="227">
        <f>IFERROR(VLOOKUP($A80,SP_AcqTract_DB[],MATCH(J$2,SP_AcqTract_DB[#Headers],0),FALSE),"")</f>
        <v>0</v>
      </c>
      <c r="K80" s="227">
        <f>IFERROR(VLOOKUP($A80,SP_AcqTract_DB[],MATCH(K$2,SP_AcqTract_DB[#Headers],0),FALSE),"")</f>
        <v>0</v>
      </c>
      <c r="L80" s="227">
        <f>IFERROR(VLOOKUP($A80,SP_AcqTract_DB[],MATCH(L$2,SP_AcqTract_DB[#Headers],0),FALSE),"")</f>
        <v>0</v>
      </c>
      <c r="M80" s="208">
        <f>IFERROR(VLOOKUP($A80,SP_AcqTract_DB[],MATCH(M$2,SP_AcqTract_DB[#Headers],0),FALSE),"")</f>
        <v>0</v>
      </c>
      <c r="N80" s="227" t="str">
        <f>IFERROR(VLOOKUP($A80,SP_AcqTract_DB[],MATCH(N$2,SP_AcqTract_DB[#Headers],0),FALSE),"")</f>
        <v>0 BLACK</v>
      </c>
      <c r="O80" s="220">
        <f>IFERROR(VLOOKUP($A80,SP_AcqTract_DB[],MATCH(O$2,SP_AcqTract_DB[#Headers],0),FALSE),"")</f>
        <v>0</v>
      </c>
      <c r="P80" s="220">
        <f>IFERROR(VLOOKUP($A80,SP_AcqTract_DB[],MATCH(P$2,SP_AcqTract_DB[#Headers],0),FALSE),"")</f>
        <v>0</v>
      </c>
      <c r="Q80" s="208">
        <f>IFERROR(VLOOKUP($A80,SP_AcqTract_DB[],MATCH(Q$2,SP_AcqTract_DB[#Headers],0),FALSE),"")</f>
        <v>0</v>
      </c>
      <c r="R80" s="250" t="str">
        <f>IFERROR(IF(VLOOKUP(CONCATENATE($A80,"_",R$1),SP_ACQ_Lib[],MATCH(R$2,SP_ACQ_Lib[#Headers],0),FALSE)=0,"",VLOOKUP(CONCATENATE($A80,"_",R$1),SP_ACQ_Lib[],MATCH(R$2,SP_ACQ_Lib[#Headers],0),FALSE)),"")</f>
        <v/>
      </c>
      <c r="S80" s="253" t="str">
        <f>IFERROR(IF(VLOOKUP(CONCATENATE($A80,"_",S$1),SP_ACQ_Lib[],MATCH(S$2,SP_ACQ_Lib[#Headers],0),FALSE)=0,"",VLOOKUP(CONCATENATE($A80,"_",S$1),SP_ACQ_Lib[],MATCH(S$2,SP_ACQ_Lib[#Headers],0),FALSE)),"")</f>
        <v/>
      </c>
      <c r="T80" s="205">
        <f>IFERROR(VLOOKUP(CONCATENATE($A80,"_",T$1),SP_ACQ_Lib[],MATCH(T$2,SP_ACQ_Lib[#Headers],0),FALSE),0)</f>
        <v>0</v>
      </c>
      <c r="U80" s="250" t="str">
        <f>IFERROR(IF(VLOOKUP(CONCATENATE($A80,"_",U$1),SP_ACQ_Lib[],MATCH(U$2,SP_ACQ_Lib[#Headers],0),FALSE)=0,"",VLOOKUP(CONCATENATE($A80,"_",U$1),SP_ACQ_Lib[],MATCH(U$2,SP_ACQ_Lib[#Headers],0),FALSE)),"")</f>
        <v/>
      </c>
      <c r="V80" s="205" t="str">
        <f>IFERROR(VLOOKUP(CONCATENATE($A80,"_",V$1),SP_ACQ_Lib[],MATCH(V$2,SP_ACQ_Lib[#Headers],0),FALSE),0)</f>
        <v>Accepted</v>
      </c>
      <c r="W80" s="209">
        <f>IFERROR(VLOOKUP(CONCATENATE($A80,"_",W$1),SP_ACQ_Lib[],MATCH(W$2,SP_ACQ_Lib[#Headers],0),FALSE),0)</f>
        <v>0</v>
      </c>
      <c r="X80" s="250">
        <f>IFERROR(VLOOKUP($A80,SP_AcqTract_DB[],MATCH(X$2,SP_AcqTract_DB[#Headers],0),FALSE),"")</f>
        <v>0</v>
      </c>
      <c r="Y80" s="237">
        <f>IFERROR(VLOOKUP($A80,SP_AcqTract_DB[],MATCH(Y$2,SP_AcqTract_DB[#Headers],0),FALSE),"")</f>
        <v>0</v>
      </c>
      <c r="Z80" s="229">
        <f>IFERROR(VLOOKUP($A80,SP_AcqTract_DB[],MATCH(Z$2,SP_AcqTract_DB[#Headers],0),FALSE),"")</f>
        <v>0</v>
      </c>
      <c r="AA80" s="229">
        <f>IFERROR(VLOOKUP($A80,SP_AcqTract_DB[],MATCH(AA$2,SP_AcqTract_DB[#Headers],0),FALSE),"")</f>
        <v>0</v>
      </c>
      <c r="AB80" s="250" t="str">
        <f>IFERROR(IF(VLOOKUP(CONCATENATE($A80,"_",AB$1),SP_ACQ_Lib[],MATCH(AB$2,SP_ACQ_Lib[#Headers],0),FALSE)=0,"",VLOOKUP(CONCATENATE($A80,"_",AB$1),SP_ACQ_Lib[],MATCH(AB$2,SP_ACQ_Lib[#Headers],0),FALSE)),"")</f>
        <v/>
      </c>
      <c r="AC80" s="250" t="str">
        <f>IFERROR(IF(VLOOKUP(CONCATENATE($A80,"_",AC$1),SP_ACQ_Lib[],MATCH(AC$2,SP_ACQ_Lib[#Headers],0),FALSE)=0,"",VLOOKUP(CONCATENATE($A80,"_",AC$1),SP_ACQ_Lib[],MATCH(AC$2,SP_ACQ_Lib[#Headers],0),FALSE)),"")</f>
        <v/>
      </c>
      <c r="AD80" s="229">
        <f>IFERROR(VLOOKUP($A80,SP_AcqTract_DB[],MATCH(AD$2,SP_AcqTract_DB[#Headers],0),FALSE),"")</f>
        <v>0</v>
      </c>
      <c r="AE80" s="250" t="str">
        <f>IFERROR(IF(VLOOKUP(CONCATENATE($A80,"_",AE$1),SP_ACQ_Lib[],MATCH(AE$2,SP_ACQ_Lib[#Headers],0),FALSE)=0,"",VLOOKUP(CONCATENATE($A80,"_",AE$1),SP_ACQ_Lib[],MATCH(AE$2,SP_ACQ_Lib[#Headers],0),FALSE)),"")</f>
        <v/>
      </c>
      <c r="AF80" s="250" t="str">
        <f>IFERROR(IF(VLOOKUP(CONCATENATE($A80,"_",AF$1),SP_ACQ_Lib[],MATCH(AF$2,SP_ACQ_Lib[#Headers],0),FALSE)=0,"",VLOOKUP(CONCATENATE($A80,"_",AF$1),SP_ACQ_Lib[],MATCH(AF$2,SP_ACQ_Lib[#Headers],0),FALSE)),"")</f>
        <v/>
      </c>
      <c r="AG80" s="250" t="str">
        <f>IFERROR(IF(VLOOKUP(CONCATENATE($A80,"_",AG$1),SP_ACQ_Lib[],MATCH(AG$2,SP_ACQ_Lib[#Headers],0),FALSE)=0,"",VLOOKUP(CONCATENATE($A80,"_",AG$1),SP_ACQ_Lib[],MATCH(AG$2,SP_ACQ_Lib[#Headers],0),FALSE)),"")</f>
        <v/>
      </c>
      <c r="AH80" s="250" t="str">
        <f>IFERROR(IF(VLOOKUP(CONCATENATE($A80,"_",AH$1),SP_ACQ_Lib[],MATCH(AH$2,SP_ACQ_Lib[#Headers],0),FALSE)=0,"",VLOOKUP(CONCATENATE($A80,"_",AH$1),SP_ACQ_Lib[],MATCH(AH$2,SP_ACQ_Lib[#Headers],0),FALSE)),"")</f>
        <v/>
      </c>
      <c r="AI80" s="249">
        <f>IFERROR(IF(VLOOKUP(CONCATENATE($A80,"_",AI$1),SP_ACQ_Lib[],MATCH(AI$2,SP_ACQ_Lib[#Headers],0),FALSE)=0,"",VLOOKUP(CONCATENATE($A80,"_",AI$1),SP_ACQ_Lib[],MATCH(AI$2,SP_ACQ_Lib[#Headers],0),FALSE)),"")</f>
        <v>43984</v>
      </c>
      <c r="AJ80" s="249">
        <f>IFERROR(IF(VLOOKUP(CONCATENATE($A80,"_",AJ$1),SP_ACQ_Lib[],MATCH(AJ$2,SP_ACQ_Lib[#Headers],0),FALSE)=0,"",VLOOKUP(CONCATENATE($A80,"_",AJ$1),SP_ACQ_Lib[],MATCH(AJ$2,SP_ACQ_Lib[#Headers],0),FALSE)),"")</f>
        <v>43999</v>
      </c>
      <c r="AK80" s="249">
        <f>IFERROR(IF(VLOOKUP(CONCATENATE($A80,"_",AK$1),SP_ACQ_Lib[],MATCH(AK$2,SP_ACQ_Lib[#Headers],0),FALSE)=0,"",VLOOKUP(CONCATENATE($A80,"_",AK$1),SP_ACQ_Lib[],MATCH(AK$2,SP_ACQ_Lib[#Headers],0),FALSE)),"")</f>
        <v>44182</v>
      </c>
      <c r="AL80" s="249">
        <f>IFERROR(VLOOKUP($A80,SP_AcqTract_DB[],MATCH(AL$2,SP_AcqTract_DB[#Headers],0),FALSE),"")</f>
        <v>0</v>
      </c>
      <c r="AM80" s="227">
        <f>IFERROR(VLOOKUP($A80,SP_AcqTract_DB[],MATCH(AM$2,SP_AcqTract_DB[#Headers],0),FALSE),"")</f>
        <v>0</v>
      </c>
      <c r="AN80" s="227">
        <f>IFERROR(VLOOKUP($A80,SP_AcqTract_DB[],MATCH(AN$2,SP_AcqTract_DB[#Headers],0),FALSE),"")</f>
        <v>0</v>
      </c>
      <c r="AO80" s="228">
        <f>IFERROR(VLOOKUP($A80,SP_AcqTract_DB[],MATCH(AO$2,SP_AcqTract_DB[#Headers],0),FALSE),"")</f>
        <v>0</v>
      </c>
      <c r="AP80" s="210">
        <f>IFERROR(VLOOKUP($A80,SP_AcqTract_DB[],MATCH(AP$2,SP_AcqTract_DB[#Headers],0),FALSE),"")</f>
        <v>0</v>
      </c>
      <c r="AQ80" s="252" t="str">
        <f>IFERROR(IF(VLOOKUP(CONCATENATE($A80,"_",AQ$1),SP_ACQ_Lib[],MATCH(AQ$2,SP_ACQ_Lib[#Headers],0),FALSE)=0,"",VLOOKUP(CONCATENATE($A80,"_",AQ$1),SP_ACQ_Lib[],MATCH(AQ$2,SP_ACQ_Lib[#Headers],0),FALSE)),"")</f>
        <v/>
      </c>
      <c r="AR80" s="250" t="str">
        <f>IFERROR(IF(VLOOKUP(CONCATENATE($A80,"_",AR$1),SP_ACQ_Lib[],MATCH(AR$2,SP_ACQ_Lib[#Headers],0),FALSE)=0,"",VLOOKUP(CONCATENATE($A80,"_",AR$1),SP_ACQ_Lib[],MATCH(AR$2,SP_ACQ_Lib[#Headers],0),FALSE)),"")</f>
        <v/>
      </c>
      <c r="AS80" s="249" t="str">
        <f>IFERROR(IF(VLOOKUP(CONCATENATE($A80,"_",AS$1),SP_ACQ_Lib[],MATCH(AS$2,SP_ACQ_Lib[#Headers],0),FALSE)=0,"",VLOOKUP(CONCATENATE($A80,"_",AS$1),SP_ACQ_Lib[],MATCH(AS$2,SP_ACQ_Lib[#Headers],0),FALSE)),"")</f>
        <v/>
      </c>
      <c r="AT80" s="251" t="str">
        <f>IFERROR(IF(VLOOKUP(CONCATENATE($A80,"_",AT$1),SP_ACQ_Lib[],MATCH(AT$2,SP_ACQ_Lib[#Headers],0),FALSE)=0,"",VLOOKUP(CONCATENATE($A80,"_",AT$1),SP_ACQ_Lib[],MATCH(AT$2,SP_ACQ_Lib[#Headers],0),FALSE)),"")</f>
        <v/>
      </c>
      <c r="AU80" s="251" t="str">
        <f>IFERROR(IF(VLOOKUP(CONCATENATE($A80,"_",AU$1),SP_ACQ_Lib[],MATCH(AU$2,SP_ACQ_Lib[#Headers],0),FALSE)=0,"",VLOOKUP(CONCATENATE($A80,"_",AU$1),SP_ACQ_Lib[],MATCH(AU$2,SP_ACQ_Lib[#Headers],0),FALSE)),"")</f>
        <v/>
      </c>
      <c r="AV80" s="225" t="str">
        <f>IFERROR(IF(VLOOKUP(CONCATENATE($A80,"_",AV$1),SP_ACQ_Lib[],MATCH(AV$2,SP_ACQ_Lib[#Headers],0),FALSE)=0,"",VLOOKUP(CONCATENATE($A80,"_",AV$1),SP_ACQ_Lib[],MATCH(AV$2,SP_ACQ_Lib[#Headers],0),FALSE)),"")</f>
        <v/>
      </c>
      <c r="AW80" s="251" t="str">
        <f>IFERROR(IF(VLOOKUP(CONCATENATE($A80,"_",AW$1),SP_ACQ_Lib[],MATCH(AW$2,SP_ACQ_Lib[#Headers],0),FALSE)=0,"",VLOOKUP(CONCATENATE($A80,"_",AW$1),SP_ACQ_Lib[],MATCH(AW$2,SP_ACQ_Lib[#Headers],0),FALSE)),"")</f>
        <v/>
      </c>
      <c r="AX80" s="251" t="str">
        <f>IFERROR(IF(VLOOKUP(CONCATENATE($A80,"_",AX$1),SP_ACQ_Lib[],MATCH(AX$2,SP_ACQ_Lib[#Headers],0),FALSE)=0,"",VLOOKUP(CONCATENATE($A80,"_",AX$1),SP_ACQ_Lib[],MATCH(AX$2,SP_ACQ_Lib[#Headers],0),FALSE)),"")</f>
        <v/>
      </c>
      <c r="AY80" s="251" t="str">
        <f>IFERROR(IF(VLOOKUP(CONCATENATE($A80,"_",AY$1),SP_ACQ_Lib[],MATCH(AY$2,SP_ACQ_Lib[#Headers],0),FALSE)=0,"",VLOOKUP(CONCATENATE($A80,"_",AY$1),SP_ACQ_Lib[],MATCH(AY$2,SP_ACQ_Lib[#Headers],0),FALSE)),"")</f>
        <v/>
      </c>
      <c r="AZ80" s="251" t="str">
        <f>IFERROR(IF(VLOOKUP(CONCATENATE($A80,"_",AZ$1),SP_ACQ_Lib[],MATCH(AZ$2,SP_ACQ_Lib[#Headers],0),FALSE)=0,"",VLOOKUP(CONCATENATE($A80,"_",AZ$1),SP_ACQ_Lib[],MATCH(AZ$2,SP_ACQ_Lib[#Headers],0),FALSE)),"")</f>
        <v/>
      </c>
      <c r="BA80" s="251" t="str">
        <f>IFERROR(IF(VLOOKUP(CONCATENATE($A80,"_",BA$1),SP_ACQ_Lib[],MATCH(BA$2,SP_ACQ_Lib[#Headers],0),FALSE)=0,"",VLOOKUP(CONCATENATE($A80,"_",BA$1),SP_ACQ_Lib[],MATCH(BA$2,SP_ACQ_Lib[#Headers],0),FALSE)),"")</f>
        <v/>
      </c>
      <c r="BB80" s="224">
        <f>IFERROR(VLOOKUP(CONCATENATE($A80,"_",BB$1),SP_ACQ_Lib[],MATCH(BB$2,SP_ACQ_Lib[#Headers],0),FALSE),0)</f>
        <v>0</v>
      </c>
      <c r="BC80" s="231">
        <f>IFERROR(VLOOKUP($A80,SP_AcqTract_DB[],MATCH(BC$2,SP_AcqTract_DB[#Headers],0),FALSE),"")</f>
        <v>0</v>
      </c>
      <c r="BD80" s="231">
        <f>IFERROR(VLOOKUP($A80,SP_AcqTract_DB[],MATCH(BD$2,SP_AcqTract_DB[#Headers],0),FALSE),"")</f>
        <v>0</v>
      </c>
      <c r="BE80" s="249" t="str">
        <f>IFERROR(IF(VLOOKUP(CONCATENATE($A80,"_",BE$1),SP_ACQ_Lib[],MATCH(BE$2,SP_ACQ_Lib[#Headers],0),FALSE)=0,"",VLOOKUP(CONCATENATE($A80,"_",BE$1),SP_ACQ_Lib[],MATCH(BE$2,SP_ACQ_Lib[#Headers],0),FALSE)),"")</f>
        <v/>
      </c>
      <c r="BF80" s="249" t="str">
        <f>IFERROR(IF(VLOOKUP(CONCATENATE($A80,"_",BF$1),SP_ACQ_Lib[],MATCH(BF$2,SP_ACQ_Lib[#Headers],0),FALSE)=0,"",VLOOKUP(CONCATENATE($A80,"_",BF$1),SP_ACQ_Lib[],MATCH(BF$2,SP_ACQ_Lib[#Headers],0),FALSE)),"")</f>
        <v/>
      </c>
      <c r="BG80" s="249" t="str">
        <f>IFERROR(IF(VLOOKUP(CONCATENATE($A80,"_",BG$1),SP_ACQ_Lib[],MATCH(BG$2,SP_ACQ_Lib[#Headers],0),FALSE)=0,"",VLOOKUP(CONCATENATE($A80,"_",BG$1),SP_ACQ_Lib[],MATCH(BG$2,SP_ACQ_Lib[#Headers],0),FALSE)),"")</f>
        <v/>
      </c>
      <c r="BH80" s="249" t="str">
        <f>IFERROR(IF(VLOOKUP(CONCATENATE($A80,"_",BH$1),SP_ACQ_Lib[],MATCH(BH$2,SP_ACQ_Lib[#Headers],0),FALSE)=0,"",VLOOKUP(CONCATENATE($A80,"_",BH$1),SP_ACQ_Lib[],MATCH(BH$2,SP_ACQ_Lib[#Headers],0),FALSE)),"")</f>
        <v/>
      </c>
      <c r="BI80" s="249" t="str">
        <f>IFERROR(IF(VLOOKUP(CONCATENATE($A80,"_",BI$1),SP_ACQ_Lib[],MATCH(BI$2,SP_ACQ_Lib[#Headers],0),FALSE)=0,"",VLOOKUP(CONCATENATE($A80,"_",BI$1),SP_ACQ_Lib[],MATCH(BI$2,SP_ACQ_Lib[#Headers],0),FALSE)),"")</f>
        <v/>
      </c>
      <c r="BJ80" s="249" t="str">
        <f>IFERROR(IF(VLOOKUP(CONCATENATE($A80,"_",BJ$1),SP_ACQ_Lib[],MATCH(BJ$2,SP_ACQ_Lib[#Headers],0),FALSE)=0,"",VLOOKUP(CONCATENATE($A80,"_",BJ$1),SP_ACQ_Lib[],MATCH(BJ$2,SP_ACQ_Lib[#Headers],0),FALSE)),"")</f>
        <v/>
      </c>
      <c r="BK80" s="250" t="str">
        <f>IFERROR(IF(VLOOKUP(CONCATENATE($A80,"_",BK$1),SP_ACQ_Lib[],MATCH(BK$2,SP_ACQ_Lib[#Headers],0),FALSE)=0,"",VLOOKUP(CONCATENATE($A80,"_",BK$1),SP_ACQ_Lib[],MATCH(BK$2,SP_ACQ_Lib[#Headers],0),FALSE)),"")</f>
        <v/>
      </c>
      <c r="BL80" s="249" t="str">
        <f>IFERROR(IF(VLOOKUP(CONCATENATE($A80,"_",BL$1),SP_ACQ_Lib[],MATCH(BL$2,SP_ACQ_Lib[#Headers],0),FALSE)=0,"",VLOOKUP(CONCATENATE($A80,"_",BL$1),SP_ACQ_Lib[],MATCH(BL$2,SP_ACQ_Lib[#Headers],0),FALSE)),"")</f>
        <v/>
      </c>
      <c r="BM80" s="249" t="str">
        <f>IFERROR(IF(VLOOKUP(CONCATENATE($A80,"_",BM$1),SP_ACQ_Lib[],MATCH(BM$2,SP_ACQ_Lib[#Headers],0),FALSE)=0,"",VLOOKUP(CONCATENATE($A80,"_",BM$1),SP_ACQ_Lib[],MATCH(BM$2,SP_ACQ_Lib[#Headers],0),FALSE)),"")</f>
        <v/>
      </c>
      <c r="BN80" s="249" t="str">
        <f>IFERROR(IF(VLOOKUP(CONCATENATE($A80,"_",BN$1),SP_ACQ_Lib[],MATCH(BN$2,SP_ACQ_Lib[#Headers],0),FALSE)=0,"",VLOOKUP(CONCATENATE($A80,"_",BN$1),SP_ACQ_Lib[],MATCH(BN$2,SP_ACQ_Lib[#Headers],0),FALSE)),"")</f>
        <v/>
      </c>
    </row>
    <row r="81" spans="1:66" s="226" customFormat="1" ht="15.75" x14ac:dyDescent="0.2">
      <c r="A81" s="192" t="s">
        <v>5281</v>
      </c>
      <c r="B81" s="227" t="str">
        <f>IFERROR(VLOOKUP($A81,SP_AcqTract_DB[],MATCH(B$2,SP_AcqTract_DB[#Headers],0),FALSE),"")</f>
        <v>R026605</v>
      </c>
      <c r="C81" s="228" t="str">
        <f>IFERROR(VLOOKUP($A81,SP_AcqTract_DB[],MATCH(C$2,SP_AcqTract_DB[#Headers],0),FALSE),"")</f>
        <v>PH2</v>
      </c>
      <c r="D81" s="208" t="str">
        <f>IFERROR(VLOOKUP($A81,SP_AcqTract_DB[],MATCH(D$2,SP_AcqTract_DB[#Headers],0),FALSE),"")</f>
        <v>Active</v>
      </c>
      <c r="E81" s="208">
        <f>IFERROR(VLOOKUP($A81,SP_AcqTract_DB[],MATCH(E$2,SP_AcqTract_DB[#Headers],0),FALSE),"")</f>
        <v>0</v>
      </c>
      <c r="F81" s="227">
        <f>IFERROR(VLOOKUP($A81,SP_AcqTract_DB[],MATCH(F$2,SP_AcqTract_DB[#Headers],0),FALSE),"")</f>
        <v>0</v>
      </c>
      <c r="G81" s="227" t="str">
        <f>IFERROR(VLOOKUP($A81,SP_AcqTract_DB[],MATCH(G$2,SP_AcqTract_DB[#Headers],0),FALSE),"")</f>
        <v>Melissa DeLeon</v>
      </c>
      <c r="H81" s="250">
        <f>IFERROR(IF(VLOOKUP(CONCATENATE($A81,"_",H$1),SP_ACQ_Lib[],MATCH(H$2,SP_ACQ_Lib[#Headers],0),FALSE)=0,"",VLOOKUP(CONCATENATE($A81,"_",H$1),SP_ACQ_Lib[],MATCH(H$2,SP_ACQ_Lib[#Headers],0),FALSE)),"")</f>
        <v>44011.895115740743</v>
      </c>
      <c r="I81" s="227" t="str">
        <f>IFERROR(VLOOKUP($A81,SP_AcqTract_DB[],MATCH(I$2,SP_AcqTract_DB[#Headers],0),FALSE),"")</f>
        <v>Ross Haywood Mack</v>
      </c>
      <c r="J81" s="227">
        <f>IFERROR(VLOOKUP($A81,SP_AcqTract_DB[],MATCH(J$2,SP_AcqTract_DB[#Headers],0),FALSE),"")</f>
        <v>0</v>
      </c>
      <c r="K81" s="227">
        <f>IFERROR(VLOOKUP($A81,SP_AcqTract_DB[],MATCH(K$2,SP_AcqTract_DB[#Headers],0),FALSE),"")</f>
        <v>0</v>
      </c>
      <c r="L81" s="227">
        <f>IFERROR(VLOOKUP($A81,SP_AcqTract_DB[],MATCH(L$2,SP_AcqTract_DB[#Headers],0),FALSE),"")</f>
        <v>0</v>
      </c>
      <c r="M81" s="208">
        <f>IFERROR(VLOOKUP($A81,SP_AcqTract_DB[],MATCH(M$2,SP_AcqTract_DB[#Headers],0),FALSE),"")</f>
        <v>0</v>
      </c>
      <c r="N81" s="227" t="str">
        <f>IFERROR(VLOOKUP($A81,SP_AcqTract_DB[],MATCH(N$2,SP_AcqTract_DB[#Headers],0),FALSE),"")</f>
        <v>0 BLACK</v>
      </c>
      <c r="O81" s="220">
        <f>IFERROR(VLOOKUP($A81,SP_AcqTract_DB[],MATCH(O$2,SP_AcqTract_DB[#Headers],0),FALSE),"")</f>
        <v>0</v>
      </c>
      <c r="P81" s="220">
        <f>IFERROR(VLOOKUP($A81,SP_AcqTract_DB[],MATCH(P$2,SP_AcqTract_DB[#Headers],0),FALSE),"")</f>
        <v>0</v>
      </c>
      <c r="Q81" s="208">
        <f>IFERROR(VLOOKUP($A81,SP_AcqTract_DB[],MATCH(Q$2,SP_AcqTract_DB[#Headers],0),FALSE),"")</f>
        <v>0</v>
      </c>
      <c r="R81" s="250" t="str">
        <f>IFERROR(IF(VLOOKUP(CONCATENATE($A81,"_",R$1),SP_ACQ_Lib[],MATCH(R$2,SP_ACQ_Lib[#Headers],0),FALSE)=0,"",VLOOKUP(CONCATENATE($A81,"_",R$1),SP_ACQ_Lib[],MATCH(R$2,SP_ACQ_Lib[#Headers],0),FALSE)),"")</f>
        <v/>
      </c>
      <c r="S81" s="253" t="str">
        <f>IFERROR(IF(VLOOKUP(CONCATENATE($A81,"_",S$1),SP_ACQ_Lib[],MATCH(S$2,SP_ACQ_Lib[#Headers],0),FALSE)=0,"",VLOOKUP(CONCATENATE($A81,"_",S$1),SP_ACQ_Lib[],MATCH(S$2,SP_ACQ_Lib[#Headers],0),FALSE)),"")</f>
        <v/>
      </c>
      <c r="T81" s="205">
        <f>IFERROR(VLOOKUP(CONCATENATE($A81,"_",T$1),SP_ACQ_Lib[],MATCH(T$2,SP_ACQ_Lib[#Headers],0),FALSE),0)</f>
        <v>0</v>
      </c>
      <c r="U81" s="250" t="str">
        <f>IFERROR(IF(VLOOKUP(CONCATENATE($A81,"_",U$1),SP_ACQ_Lib[],MATCH(U$2,SP_ACQ_Lib[#Headers],0),FALSE)=0,"",VLOOKUP(CONCATENATE($A81,"_",U$1),SP_ACQ_Lib[],MATCH(U$2,SP_ACQ_Lib[#Headers],0),FALSE)),"")</f>
        <v/>
      </c>
      <c r="V81" s="205" t="str">
        <f>IFERROR(VLOOKUP(CONCATENATE($A81,"_",V$1),SP_ACQ_Lib[],MATCH(V$2,SP_ACQ_Lib[#Headers],0),FALSE),0)</f>
        <v>Accepted</v>
      </c>
      <c r="W81" s="209">
        <f>IFERROR(VLOOKUP(CONCATENATE($A81,"_",W$1),SP_ACQ_Lib[],MATCH(W$2,SP_ACQ_Lib[#Headers],0),FALSE),0)</f>
        <v>0</v>
      </c>
      <c r="X81" s="250">
        <f>IFERROR(VLOOKUP($A81,SP_AcqTract_DB[],MATCH(X$2,SP_AcqTract_DB[#Headers],0),FALSE),"")</f>
        <v>0</v>
      </c>
      <c r="Y81" s="237">
        <f>IFERROR(VLOOKUP($A81,SP_AcqTract_DB[],MATCH(Y$2,SP_AcqTract_DB[#Headers],0),FALSE),"")</f>
        <v>0</v>
      </c>
      <c r="Z81" s="229">
        <f>IFERROR(VLOOKUP($A81,SP_AcqTract_DB[],MATCH(Z$2,SP_AcqTract_DB[#Headers],0),FALSE),"")</f>
        <v>0</v>
      </c>
      <c r="AA81" s="229">
        <f>IFERROR(VLOOKUP($A81,SP_AcqTract_DB[],MATCH(AA$2,SP_AcqTract_DB[#Headers],0),FALSE),"")</f>
        <v>0</v>
      </c>
      <c r="AB81" s="250" t="str">
        <f>IFERROR(IF(VLOOKUP(CONCATENATE($A81,"_",AB$1),SP_ACQ_Lib[],MATCH(AB$2,SP_ACQ_Lib[#Headers],0),FALSE)=0,"",VLOOKUP(CONCATENATE($A81,"_",AB$1),SP_ACQ_Lib[],MATCH(AB$2,SP_ACQ_Lib[#Headers],0),FALSE)),"")</f>
        <v/>
      </c>
      <c r="AC81" s="250" t="str">
        <f>IFERROR(IF(VLOOKUP(CONCATENATE($A81,"_",AC$1),SP_ACQ_Lib[],MATCH(AC$2,SP_ACQ_Lib[#Headers],0),FALSE)=0,"",VLOOKUP(CONCATENATE($A81,"_",AC$1),SP_ACQ_Lib[],MATCH(AC$2,SP_ACQ_Lib[#Headers],0),FALSE)),"")</f>
        <v/>
      </c>
      <c r="AD81" s="229">
        <f>IFERROR(VLOOKUP($A81,SP_AcqTract_DB[],MATCH(AD$2,SP_AcqTract_DB[#Headers],0),FALSE),"")</f>
        <v>0</v>
      </c>
      <c r="AE81" s="250" t="str">
        <f>IFERROR(IF(VLOOKUP(CONCATENATE($A81,"_",AE$1),SP_ACQ_Lib[],MATCH(AE$2,SP_ACQ_Lib[#Headers],0),FALSE)=0,"",VLOOKUP(CONCATENATE($A81,"_",AE$1),SP_ACQ_Lib[],MATCH(AE$2,SP_ACQ_Lib[#Headers],0),FALSE)),"")</f>
        <v/>
      </c>
      <c r="AF81" s="250" t="str">
        <f>IFERROR(IF(VLOOKUP(CONCATENATE($A81,"_",AF$1),SP_ACQ_Lib[],MATCH(AF$2,SP_ACQ_Lib[#Headers],0),FALSE)=0,"",VLOOKUP(CONCATENATE($A81,"_",AF$1),SP_ACQ_Lib[],MATCH(AF$2,SP_ACQ_Lib[#Headers],0),FALSE)),"")</f>
        <v/>
      </c>
      <c r="AG81" s="250" t="str">
        <f>IFERROR(IF(VLOOKUP(CONCATENATE($A81,"_",AG$1),SP_ACQ_Lib[],MATCH(AG$2,SP_ACQ_Lib[#Headers],0),FALSE)=0,"",VLOOKUP(CONCATENATE($A81,"_",AG$1),SP_ACQ_Lib[],MATCH(AG$2,SP_ACQ_Lib[#Headers],0),FALSE)),"")</f>
        <v/>
      </c>
      <c r="AH81" s="250" t="str">
        <f>IFERROR(IF(VLOOKUP(CONCATENATE($A81,"_",AH$1),SP_ACQ_Lib[],MATCH(AH$2,SP_ACQ_Lib[#Headers],0),FALSE)=0,"",VLOOKUP(CONCATENATE($A81,"_",AH$1),SP_ACQ_Lib[],MATCH(AH$2,SP_ACQ_Lib[#Headers],0),FALSE)),"")</f>
        <v/>
      </c>
      <c r="AI81" s="249">
        <f>IFERROR(IF(VLOOKUP(CONCATENATE($A81,"_",AI$1),SP_ACQ_Lib[],MATCH(AI$2,SP_ACQ_Lib[#Headers],0),FALSE)=0,"",VLOOKUP(CONCATENATE($A81,"_",AI$1),SP_ACQ_Lib[],MATCH(AI$2,SP_ACQ_Lib[#Headers],0),FALSE)),"")</f>
        <v>43984</v>
      </c>
      <c r="AJ81" s="249" t="str">
        <f>IFERROR(IF(VLOOKUP(CONCATENATE($A81,"_",AJ$1),SP_ACQ_Lib[],MATCH(AJ$2,SP_ACQ_Lib[#Headers],0),FALSE)=0,"",VLOOKUP(CONCATENATE($A81,"_",AJ$1),SP_ACQ_Lib[],MATCH(AJ$2,SP_ACQ_Lib[#Headers],0),FALSE)),"")</f>
        <v/>
      </c>
      <c r="AK81" s="249" t="str">
        <f>IFERROR(IF(VLOOKUP(CONCATENATE($A81,"_",AK$1),SP_ACQ_Lib[],MATCH(AK$2,SP_ACQ_Lib[#Headers],0),FALSE)=0,"",VLOOKUP(CONCATENATE($A81,"_",AK$1),SP_ACQ_Lib[],MATCH(AK$2,SP_ACQ_Lib[#Headers],0),FALSE)),"")</f>
        <v/>
      </c>
      <c r="AL81" s="249">
        <f>IFERROR(VLOOKUP($A81,SP_AcqTract_DB[],MATCH(AL$2,SP_AcqTract_DB[#Headers],0),FALSE),"")</f>
        <v>0</v>
      </c>
      <c r="AM81" s="227">
        <f>IFERROR(VLOOKUP($A81,SP_AcqTract_DB[],MATCH(AM$2,SP_AcqTract_DB[#Headers],0),FALSE),"")</f>
        <v>0</v>
      </c>
      <c r="AN81" s="227">
        <f>IFERROR(VLOOKUP($A81,SP_AcqTract_DB[],MATCH(AN$2,SP_AcqTract_DB[#Headers],0),FALSE),"")</f>
        <v>0</v>
      </c>
      <c r="AO81" s="228">
        <f>IFERROR(VLOOKUP($A81,SP_AcqTract_DB[],MATCH(AO$2,SP_AcqTract_DB[#Headers],0),FALSE),"")</f>
        <v>0</v>
      </c>
      <c r="AP81" s="210">
        <f>IFERROR(VLOOKUP($A81,SP_AcqTract_DB[],MATCH(AP$2,SP_AcqTract_DB[#Headers],0),FALSE),"")</f>
        <v>0</v>
      </c>
      <c r="AQ81" s="252" t="str">
        <f>IFERROR(IF(VLOOKUP(CONCATENATE($A81,"_",AQ$1),SP_ACQ_Lib[],MATCH(AQ$2,SP_ACQ_Lib[#Headers],0),FALSE)=0,"",VLOOKUP(CONCATENATE($A81,"_",AQ$1),SP_ACQ_Lib[],MATCH(AQ$2,SP_ACQ_Lib[#Headers],0),FALSE)),"")</f>
        <v/>
      </c>
      <c r="AR81" s="250" t="str">
        <f>IFERROR(IF(VLOOKUP(CONCATENATE($A81,"_",AR$1),SP_ACQ_Lib[],MATCH(AR$2,SP_ACQ_Lib[#Headers],0),FALSE)=0,"",VLOOKUP(CONCATENATE($A81,"_",AR$1),SP_ACQ_Lib[],MATCH(AR$2,SP_ACQ_Lib[#Headers],0),FALSE)),"")</f>
        <v/>
      </c>
      <c r="AS81" s="249" t="str">
        <f>IFERROR(IF(VLOOKUP(CONCATENATE($A81,"_",AS$1),SP_ACQ_Lib[],MATCH(AS$2,SP_ACQ_Lib[#Headers],0),FALSE)=0,"",VLOOKUP(CONCATENATE($A81,"_",AS$1),SP_ACQ_Lib[],MATCH(AS$2,SP_ACQ_Lib[#Headers],0),FALSE)),"")</f>
        <v/>
      </c>
      <c r="AT81" s="251" t="str">
        <f>IFERROR(IF(VLOOKUP(CONCATENATE($A81,"_",AT$1),SP_ACQ_Lib[],MATCH(AT$2,SP_ACQ_Lib[#Headers],0),FALSE)=0,"",VLOOKUP(CONCATENATE($A81,"_",AT$1),SP_ACQ_Lib[],MATCH(AT$2,SP_ACQ_Lib[#Headers],0),FALSE)),"")</f>
        <v/>
      </c>
      <c r="AU81" s="251" t="str">
        <f>IFERROR(IF(VLOOKUP(CONCATENATE($A81,"_",AU$1),SP_ACQ_Lib[],MATCH(AU$2,SP_ACQ_Lib[#Headers],0),FALSE)=0,"",VLOOKUP(CONCATENATE($A81,"_",AU$1),SP_ACQ_Lib[],MATCH(AU$2,SP_ACQ_Lib[#Headers],0),FALSE)),"")</f>
        <v/>
      </c>
      <c r="AV81" s="225" t="str">
        <f>IFERROR(IF(VLOOKUP(CONCATENATE($A81,"_",AV$1),SP_ACQ_Lib[],MATCH(AV$2,SP_ACQ_Lib[#Headers],0),FALSE)=0,"",VLOOKUP(CONCATENATE($A81,"_",AV$1),SP_ACQ_Lib[],MATCH(AV$2,SP_ACQ_Lib[#Headers],0),FALSE)),"")</f>
        <v/>
      </c>
      <c r="AW81" s="251" t="str">
        <f>IFERROR(IF(VLOOKUP(CONCATENATE($A81,"_",AW$1),SP_ACQ_Lib[],MATCH(AW$2,SP_ACQ_Lib[#Headers],0),FALSE)=0,"",VLOOKUP(CONCATENATE($A81,"_",AW$1),SP_ACQ_Lib[],MATCH(AW$2,SP_ACQ_Lib[#Headers],0),FALSE)),"")</f>
        <v/>
      </c>
      <c r="AX81" s="251" t="str">
        <f>IFERROR(IF(VLOOKUP(CONCATENATE($A81,"_",AX$1),SP_ACQ_Lib[],MATCH(AX$2,SP_ACQ_Lib[#Headers],0),FALSE)=0,"",VLOOKUP(CONCATENATE($A81,"_",AX$1),SP_ACQ_Lib[],MATCH(AX$2,SP_ACQ_Lib[#Headers],0),FALSE)),"")</f>
        <v/>
      </c>
      <c r="AY81" s="251" t="str">
        <f>IFERROR(IF(VLOOKUP(CONCATENATE($A81,"_",AY$1),SP_ACQ_Lib[],MATCH(AY$2,SP_ACQ_Lib[#Headers],0),FALSE)=0,"",VLOOKUP(CONCATENATE($A81,"_",AY$1),SP_ACQ_Lib[],MATCH(AY$2,SP_ACQ_Lib[#Headers],0),FALSE)),"")</f>
        <v/>
      </c>
      <c r="AZ81" s="251" t="str">
        <f>IFERROR(IF(VLOOKUP(CONCATENATE($A81,"_",AZ$1),SP_ACQ_Lib[],MATCH(AZ$2,SP_ACQ_Lib[#Headers],0),FALSE)=0,"",VLOOKUP(CONCATENATE($A81,"_",AZ$1),SP_ACQ_Lib[],MATCH(AZ$2,SP_ACQ_Lib[#Headers],0),FALSE)),"")</f>
        <v/>
      </c>
      <c r="BA81" s="251" t="str">
        <f>IFERROR(IF(VLOOKUP(CONCATENATE($A81,"_",BA$1),SP_ACQ_Lib[],MATCH(BA$2,SP_ACQ_Lib[#Headers],0),FALSE)=0,"",VLOOKUP(CONCATENATE($A81,"_",BA$1),SP_ACQ_Lib[],MATCH(BA$2,SP_ACQ_Lib[#Headers],0),FALSE)),"")</f>
        <v/>
      </c>
      <c r="BB81" s="224">
        <f>IFERROR(VLOOKUP(CONCATENATE($A81,"_",BB$1),SP_ACQ_Lib[],MATCH(BB$2,SP_ACQ_Lib[#Headers],0),FALSE),0)</f>
        <v>0</v>
      </c>
      <c r="BC81" s="231">
        <f>IFERROR(VLOOKUP($A81,SP_AcqTract_DB[],MATCH(BC$2,SP_AcqTract_DB[#Headers],0),FALSE),"")</f>
        <v>0</v>
      </c>
      <c r="BD81" s="231">
        <f>IFERROR(VLOOKUP($A81,SP_AcqTract_DB[],MATCH(BD$2,SP_AcqTract_DB[#Headers],0),FALSE),"")</f>
        <v>0</v>
      </c>
      <c r="BE81" s="249" t="str">
        <f>IFERROR(IF(VLOOKUP(CONCATENATE($A81,"_",BE$1),SP_ACQ_Lib[],MATCH(BE$2,SP_ACQ_Lib[#Headers],0),FALSE)=0,"",VLOOKUP(CONCATENATE($A81,"_",BE$1),SP_ACQ_Lib[],MATCH(BE$2,SP_ACQ_Lib[#Headers],0),FALSE)),"")</f>
        <v/>
      </c>
      <c r="BF81" s="249" t="str">
        <f>IFERROR(IF(VLOOKUP(CONCATENATE($A81,"_",BF$1),SP_ACQ_Lib[],MATCH(BF$2,SP_ACQ_Lib[#Headers],0),FALSE)=0,"",VLOOKUP(CONCATENATE($A81,"_",BF$1),SP_ACQ_Lib[],MATCH(BF$2,SP_ACQ_Lib[#Headers],0),FALSE)),"")</f>
        <v/>
      </c>
      <c r="BG81" s="249" t="str">
        <f>IFERROR(IF(VLOOKUP(CONCATENATE($A81,"_",BG$1),SP_ACQ_Lib[],MATCH(BG$2,SP_ACQ_Lib[#Headers],0),FALSE)=0,"",VLOOKUP(CONCATENATE($A81,"_",BG$1),SP_ACQ_Lib[],MATCH(BG$2,SP_ACQ_Lib[#Headers],0),FALSE)),"")</f>
        <v/>
      </c>
      <c r="BH81" s="249" t="str">
        <f>IFERROR(IF(VLOOKUP(CONCATENATE($A81,"_",BH$1),SP_ACQ_Lib[],MATCH(BH$2,SP_ACQ_Lib[#Headers],0),FALSE)=0,"",VLOOKUP(CONCATENATE($A81,"_",BH$1),SP_ACQ_Lib[],MATCH(BH$2,SP_ACQ_Lib[#Headers],0),FALSE)),"")</f>
        <v/>
      </c>
      <c r="BI81" s="249" t="str">
        <f>IFERROR(IF(VLOOKUP(CONCATENATE($A81,"_",BI$1),SP_ACQ_Lib[],MATCH(BI$2,SP_ACQ_Lib[#Headers],0),FALSE)=0,"",VLOOKUP(CONCATENATE($A81,"_",BI$1),SP_ACQ_Lib[],MATCH(BI$2,SP_ACQ_Lib[#Headers],0),FALSE)),"")</f>
        <v/>
      </c>
      <c r="BJ81" s="249" t="str">
        <f>IFERROR(IF(VLOOKUP(CONCATENATE($A81,"_",BJ$1),SP_ACQ_Lib[],MATCH(BJ$2,SP_ACQ_Lib[#Headers],0),FALSE)=0,"",VLOOKUP(CONCATENATE($A81,"_",BJ$1),SP_ACQ_Lib[],MATCH(BJ$2,SP_ACQ_Lib[#Headers],0),FALSE)),"")</f>
        <v/>
      </c>
      <c r="BK81" s="250" t="str">
        <f>IFERROR(IF(VLOOKUP(CONCATENATE($A81,"_",BK$1),SP_ACQ_Lib[],MATCH(BK$2,SP_ACQ_Lib[#Headers],0),FALSE)=0,"",VLOOKUP(CONCATENATE($A81,"_",BK$1),SP_ACQ_Lib[],MATCH(BK$2,SP_ACQ_Lib[#Headers],0),FALSE)),"")</f>
        <v/>
      </c>
      <c r="BL81" s="249" t="str">
        <f>IFERROR(IF(VLOOKUP(CONCATENATE($A81,"_",BL$1),SP_ACQ_Lib[],MATCH(BL$2,SP_ACQ_Lib[#Headers],0),FALSE)=0,"",VLOOKUP(CONCATENATE($A81,"_",BL$1),SP_ACQ_Lib[],MATCH(BL$2,SP_ACQ_Lib[#Headers],0),FALSE)),"")</f>
        <v/>
      </c>
      <c r="BM81" s="249" t="str">
        <f>IFERROR(IF(VLOOKUP(CONCATENATE($A81,"_",BM$1),SP_ACQ_Lib[],MATCH(BM$2,SP_ACQ_Lib[#Headers],0),FALSE)=0,"",VLOOKUP(CONCATENATE($A81,"_",BM$1),SP_ACQ_Lib[],MATCH(BM$2,SP_ACQ_Lib[#Headers],0),FALSE)),"")</f>
        <v/>
      </c>
      <c r="BN81" s="249" t="str">
        <f>IFERROR(IF(VLOOKUP(CONCATENATE($A81,"_",BN$1),SP_ACQ_Lib[],MATCH(BN$2,SP_ACQ_Lib[#Headers],0),FALSE)=0,"",VLOOKUP(CONCATENATE($A81,"_",BN$1),SP_ACQ_Lib[],MATCH(BN$2,SP_ACQ_Lib[#Headers],0),FALSE)),"")</f>
        <v/>
      </c>
    </row>
    <row r="82" spans="1:66" s="226" customFormat="1" ht="15.75" x14ac:dyDescent="0.2">
      <c r="A82" s="192" t="s">
        <v>5283</v>
      </c>
      <c r="B82" s="227" t="str">
        <f>IFERROR(VLOOKUP($A82,SP_AcqTract_DB[],MATCH(B$2,SP_AcqTract_DB[#Headers],0),FALSE),"")</f>
        <v>R026606</v>
      </c>
      <c r="C82" s="228" t="str">
        <f>IFERROR(VLOOKUP($A82,SP_AcqTract_DB[],MATCH(C$2,SP_AcqTract_DB[#Headers],0),FALSE),"")</f>
        <v>PH2</v>
      </c>
      <c r="D82" s="208" t="str">
        <f>IFERROR(VLOOKUP($A82,SP_AcqTract_DB[],MATCH(D$2,SP_AcqTract_DB[#Headers],0),FALSE),"")</f>
        <v>Active</v>
      </c>
      <c r="E82" s="208">
        <f>IFERROR(VLOOKUP($A82,SP_AcqTract_DB[],MATCH(E$2,SP_AcqTract_DB[#Headers],0),FALSE),"")</f>
        <v>0</v>
      </c>
      <c r="F82" s="227">
        <f>IFERROR(VLOOKUP($A82,SP_AcqTract_DB[],MATCH(F$2,SP_AcqTract_DB[#Headers],0),FALSE),"")</f>
        <v>0</v>
      </c>
      <c r="G82" s="227" t="str">
        <f>IFERROR(VLOOKUP($A82,SP_AcqTract_DB[],MATCH(G$2,SP_AcqTract_DB[#Headers],0),FALSE),"")</f>
        <v>Melissa DeLeon</v>
      </c>
      <c r="H82" s="250">
        <f>IFERROR(IF(VLOOKUP(CONCATENATE($A82,"_",H$1),SP_ACQ_Lib[],MATCH(H$2,SP_ACQ_Lib[#Headers],0),FALSE)=0,"",VLOOKUP(CONCATENATE($A82,"_",H$1),SP_ACQ_Lib[],MATCH(H$2,SP_ACQ_Lib[#Headers],0),FALSE)),"")</f>
        <v>44000.915648148148</v>
      </c>
      <c r="I82" s="227" t="str">
        <f>IFERROR(VLOOKUP($A82,SP_AcqTract_DB[],MATCH(I$2,SP_AcqTract_DB[#Headers],0),FALSE),"")</f>
        <v>Gordon William</v>
      </c>
      <c r="J82" s="227">
        <f>IFERROR(VLOOKUP($A82,SP_AcqTract_DB[],MATCH(J$2,SP_AcqTract_DB[#Headers],0),FALSE),"")</f>
        <v>0</v>
      </c>
      <c r="K82" s="227">
        <f>IFERROR(VLOOKUP($A82,SP_AcqTract_DB[],MATCH(K$2,SP_AcqTract_DB[#Headers],0),FALSE),"")</f>
        <v>0</v>
      </c>
      <c r="L82" s="227">
        <f>IFERROR(VLOOKUP($A82,SP_AcqTract_DB[],MATCH(L$2,SP_AcqTract_DB[#Headers],0),FALSE),"")</f>
        <v>0</v>
      </c>
      <c r="M82" s="208">
        <f>IFERROR(VLOOKUP($A82,SP_AcqTract_DB[],MATCH(M$2,SP_AcqTract_DB[#Headers],0),FALSE),"")</f>
        <v>0</v>
      </c>
      <c r="N82" s="227" t="str">
        <f>IFERROR(VLOOKUP($A82,SP_AcqTract_DB[],MATCH(N$2,SP_AcqTract_DB[#Headers],0),FALSE),"")</f>
        <v>0 BLACK</v>
      </c>
      <c r="O82" s="220">
        <f>IFERROR(VLOOKUP($A82,SP_AcqTract_DB[],MATCH(O$2,SP_AcqTract_DB[#Headers],0),FALSE),"")</f>
        <v>0</v>
      </c>
      <c r="P82" s="220">
        <f>IFERROR(VLOOKUP($A82,SP_AcqTract_DB[],MATCH(P$2,SP_AcqTract_DB[#Headers],0),FALSE),"")</f>
        <v>0</v>
      </c>
      <c r="Q82" s="208">
        <f>IFERROR(VLOOKUP($A82,SP_AcqTract_DB[],MATCH(Q$2,SP_AcqTract_DB[#Headers],0),FALSE),"")</f>
        <v>0</v>
      </c>
      <c r="R82" s="250" t="str">
        <f>IFERROR(IF(VLOOKUP(CONCATENATE($A82,"_",R$1),SP_ACQ_Lib[],MATCH(R$2,SP_ACQ_Lib[#Headers],0),FALSE)=0,"",VLOOKUP(CONCATENATE($A82,"_",R$1),SP_ACQ_Lib[],MATCH(R$2,SP_ACQ_Lib[#Headers],0),FALSE)),"")</f>
        <v/>
      </c>
      <c r="S82" s="253" t="str">
        <f>IFERROR(IF(VLOOKUP(CONCATENATE($A82,"_",S$1),SP_ACQ_Lib[],MATCH(S$2,SP_ACQ_Lib[#Headers],0),FALSE)=0,"",VLOOKUP(CONCATENATE($A82,"_",S$1),SP_ACQ_Lib[],MATCH(S$2,SP_ACQ_Lib[#Headers],0),FALSE)),"")</f>
        <v/>
      </c>
      <c r="T82" s="205">
        <f>IFERROR(VLOOKUP(CONCATENATE($A82,"_",T$1),SP_ACQ_Lib[],MATCH(T$2,SP_ACQ_Lib[#Headers],0),FALSE),0)</f>
        <v>0</v>
      </c>
      <c r="U82" s="250" t="str">
        <f>IFERROR(IF(VLOOKUP(CONCATENATE($A82,"_",U$1),SP_ACQ_Lib[],MATCH(U$2,SP_ACQ_Lib[#Headers],0),FALSE)=0,"",VLOOKUP(CONCATENATE($A82,"_",U$1),SP_ACQ_Lib[],MATCH(U$2,SP_ACQ_Lib[#Headers],0),FALSE)),"")</f>
        <v/>
      </c>
      <c r="V82" s="205" t="str">
        <f>IFERROR(VLOOKUP(CONCATENATE($A82,"_",V$1),SP_ACQ_Lib[],MATCH(V$2,SP_ACQ_Lib[#Headers],0),FALSE),0)</f>
        <v>Accepted</v>
      </c>
      <c r="W82" s="209">
        <f>IFERROR(VLOOKUP(CONCATENATE($A82,"_",W$1),SP_ACQ_Lib[],MATCH(W$2,SP_ACQ_Lib[#Headers],0),FALSE),0)</f>
        <v>0</v>
      </c>
      <c r="X82" s="250">
        <f>IFERROR(VLOOKUP($A82,SP_AcqTract_DB[],MATCH(X$2,SP_AcqTract_DB[#Headers],0),FALSE),"")</f>
        <v>0</v>
      </c>
      <c r="Y82" s="237">
        <f>IFERROR(VLOOKUP($A82,SP_AcqTract_DB[],MATCH(Y$2,SP_AcqTract_DB[#Headers],0),FALSE),"")</f>
        <v>0</v>
      </c>
      <c r="Z82" s="229">
        <f>IFERROR(VLOOKUP($A82,SP_AcqTract_DB[],MATCH(Z$2,SP_AcqTract_DB[#Headers],0),FALSE),"")</f>
        <v>0</v>
      </c>
      <c r="AA82" s="229">
        <f>IFERROR(VLOOKUP($A82,SP_AcqTract_DB[],MATCH(AA$2,SP_AcqTract_DB[#Headers],0),FALSE),"")</f>
        <v>0</v>
      </c>
      <c r="AB82" s="250" t="str">
        <f>IFERROR(IF(VLOOKUP(CONCATENATE($A82,"_",AB$1),SP_ACQ_Lib[],MATCH(AB$2,SP_ACQ_Lib[#Headers],0),FALSE)=0,"",VLOOKUP(CONCATENATE($A82,"_",AB$1),SP_ACQ_Lib[],MATCH(AB$2,SP_ACQ_Lib[#Headers],0),FALSE)),"")</f>
        <v/>
      </c>
      <c r="AC82" s="250" t="str">
        <f>IFERROR(IF(VLOOKUP(CONCATENATE($A82,"_",AC$1),SP_ACQ_Lib[],MATCH(AC$2,SP_ACQ_Lib[#Headers],0),FALSE)=0,"",VLOOKUP(CONCATENATE($A82,"_",AC$1),SP_ACQ_Lib[],MATCH(AC$2,SP_ACQ_Lib[#Headers],0),FALSE)),"")</f>
        <v/>
      </c>
      <c r="AD82" s="229">
        <f>IFERROR(VLOOKUP($A82,SP_AcqTract_DB[],MATCH(AD$2,SP_AcqTract_DB[#Headers],0),FALSE),"")</f>
        <v>0</v>
      </c>
      <c r="AE82" s="250" t="str">
        <f>IFERROR(IF(VLOOKUP(CONCATENATE($A82,"_",AE$1),SP_ACQ_Lib[],MATCH(AE$2,SP_ACQ_Lib[#Headers],0),FALSE)=0,"",VLOOKUP(CONCATENATE($A82,"_",AE$1),SP_ACQ_Lib[],MATCH(AE$2,SP_ACQ_Lib[#Headers],0),FALSE)),"")</f>
        <v/>
      </c>
      <c r="AF82" s="250" t="str">
        <f>IFERROR(IF(VLOOKUP(CONCATENATE($A82,"_",AF$1),SP_ACQ_Lib[],MATCH(AF$2,SP_ACQ_Lib[#Headers],0),FALSE)=0,"",VLOOKUP(CONCATENATE($A82,"_",AF$1),SP_ACQ_Lib[],MATCH(AF$2,SP_ACQ_Lib[#Headers],0),FALSE)),"")</f>
        <v/>
      </c>
      <c r="AG82" s="250" t="str">
        <f>IFERROR(IF(VLOOKUP(CONCATENATE($A82,"_",AG$1),SP_ACQ_Lib[],MATCH(AG$2,SP_ACQ_Lib[#Headers],0),FALSE)=0,"",VLOOKUP(CONCATENATE($A82,"_",AG$1),SP_ACQ_Lib[],MATCH(AG$2,SP_ACQ_Lib[#Headers],0),FALSE)),"")</f>
        <v/>
      </c>
      <c r="AH82" s="250" t="str">
        <f>IFERROR(IF(VLOOKUP(CONCATENATE($A82,"_",AH$1),SP_ACQ_Lib[],MATCH(AH$2,SP_ACQ_Lib[#Headers],0),FALSE)=0,"",VLOOKUP(CONCATENATE($A82,"_",AH$1),SP_ACQ_Lib[],MATCH(AH$2,SP_ACQ_Lib[#Headers],0),FALSE)),"")</f>
        <v/>
      </c>
      <c r="AI82" s="249">
        <f>IFERROR(IF(VLOOKUP(CONCATENATE($A82,"_",AI$1),SP_ACQ_Lib[],MATCH(AI$2,SP_ACQ_Lib[#Headers],0),FALSE)=0,"",VLOOKUP(CONCATENATE($A82,"_",AI$1),SP_ACQ_Lib[],MATCH(AI$2,SP_ACQ_Lib[#Headers],0),FALSE)),"")</f>
        <v>43984</v>
      </c>
      <c r="AJ82" s="249">
        <f>IFERROR(IF(VLOOKUP(CONCATENATE($A82,"_",AJ$1),SP_ACQ_Lib[],MATCH(AJ$2,SP_ACQ_Lib[#Headers],0),FALSE)=0,"",VLOOKUP(CONCATENATE($A82,"_",AJ$1),SP_ACQ_Lib[],MATCH(AJ$2,SP_ACQ_Lib[#Headers],0),FALSE)),"")</f>
        <v>43999</v>
      </c>
      <c r="AK82" s="249">
        <f>IFERROR(IF(VLOOKUP(CONCATENATE($A82,"_",AK$1),SP_ACQ_Lib[],MATCH(AK$2,SP_ACQ_Lib[#Headers],0),FALSE)=0,"",VLOOKUP(CONCATENATE($A82,"_",AK$1),SP_ACQ_Lib[],MATCH(AK$2,SP_ACQ_Lib[#Headers],0),FALSE)),"")</f>
        <v>44182</v>
      </c>
      <c r="AL82" s="249">
        <f>IFERROR(VLOOKUP($A82,SP_AcqTract_DB[],MATCH(AL$2,SP_AcqTract_DB[#Headers],0),FALSE),"")</f>
        <v>0</v>
      </c>
      <c r="AM82" s="227">
        <f>IFERROR(VLOOKUP($A82,SP_AcqTract_DB[],MATCH(AM$2,SP_AcqTract_DB[#Headers],0),FALSE),"")</f>
        <v>0</v>
      </c>
      <c r="AN82" s="227">
        <f>IFERROR(VLOOKUP($A82,SP_AcqTract_DB[],MATCH(AN$2,SP_AcqTract_DB[#Headers],0),FALSE),"")</f>
        <v>0</v>
      </c>
      <c r="AO82" s="228">
        <f>IFERROR(VLOOKUP($A82,SP_AcqTract_DB[],MATCH(AO$2,SP_AcqTract_DB[#Headers],0),FALSE),"")</f>
        <v>0</v>
      </c>
      <c r="AP82" s="210">
        <f>IFERROR(VLOOKUP($A82,SP_AcqTract_DB[],MATCH(AP$2,SP_AcqTract_DB[#Headers],0),FALSE),"")</f>
        <v>0</v>
      </c>
      <c r="AQ82" s="252" t="str">
        <f>IFERROR(IF(VLOOKUP(CONCATENATE($A82,"_",AQ$1),SP_ACQ_Lib[],MATCH(AQ$2,SP_ACQ_Lib[#Headers],0),FALSE)=0,"",VLOOKUP(CONCATENATE($A82,"_",AQ$1),SP_ACQ_Lib[],MATCH(AQ$2,SP_ACQ_Lib[#Headers],0),FALSE)),"")</f>
        <v/>
      </c>
      <c r="AR82" s="250" t="str">
        <f>IFERROR(IF(VLOOKUP(CONCATENATE($A82,"_",AR$1),SP_ACQ_Lib[],MATCH(AR$2,SP_ACQ_Lib[#Headers],0),FALSE)=0,"",VLOOKUP(CONCATENATE($A82,"_",AR$1),SP_ACQ_Lib[],MATCH(AR$2,SP_ACQ_Lib[#Headers],0),FALSE)),"")</f>
        <v/>
      </c>
      <c r="AS82" s="249" t="str">
        <f>IFERROR(IF(VLOOKUP(CONCATENATE($A82,"_",AS$1),SP_ACQ_Lib[],MATCH(AS$2,SP_ACQ_Lib[#Headers],0),FALSE)=0,"",VLOOKUP(CONCATENATE($A82,"_",AS$1),SP_ACQ_Lib[],MATCH(AS$2,SP_ACQ_Lib[#Headers],0),FALSE)),"")</f>
        <v/>
      </c>
      <c r="AT82" s="251" t="str">
        <f>IFERROR(IF(VLOOKUP(CONCATENATE($A82,"_",AT$1),SP_ACQ_Lib[],MATCH(AT$2,SP_ACQ_Lib[#Headers],0),FALSE)=0,"",VLOOKUP(CONCATENATE($A82,"_",AT$1),SP_ACQ_Lib[],MATCH(AT$2,SP_ACQ_Lib[#Headers],0),FALSE)),"")</f>
        <v/>
      </c>
      <c r="AU82" s="251" t="str">
        <f>IFERROR(IF(VLOOKUP(CONCATENATE($A82,"_",AU$1),SP_ACQ_Lib[],MATCH(AU$2,SP_ACQ_Lib[#Headers],0),FALSE)=0,"",VLOOKUP(CONCATENATE($A82,"_",AU$1),SP_ACQ_Lib[],MATCH(AU$2,SP_ACQ_Lib[#Headers],0),FALSE)),"")</f>
        <v/>
      </c>
      <c r="AV82" s="225" t="str">
        <f>IFERROR(IF(VLOOKUP(CONCATENATE($A82,"_",AV$1),SP_ACQ_Lib[],MATCH(AV$2,SP_ACQ_Lib[#Headers],0),FALSE)=0,"",VLOOKUP(CONCATENATE($A82,"_",AV$1),SP_ACQ_Lib[],MATCH(AV$2,SP_ACQ_Lib[#Headers],0),FALSE)),"")</f>
        <v/>
      </c>
      <c r="AW82" s="251" t="str">
        <f>IFERROR(IF(VLOOKUP(CONCATENATE($A82,"_",AW$1),SP_ACQ_Lib[],MATCH(AW$2,SP_ACQ_Lib[#Headers],0),FALSE)=0,"",VLOOKUP(CONCATENATE($A82,"_",AW$1),SP_ACQ_Lib[],MATCH(AW$2,SP_ACQ_Lib[#Headers],0),FALSE)),"")</f>
        <v/>
      </c>
      <c r="AX82" s="251" t="str">
        <f>IFERROR(IF(VLOOKUP(CONCATENATE($A82,"_",AX$1),SP_ACQ_Lib[],MATCH(AX$2,SP_ACQ_Lib[#Headers],0),FALSE)=0,"",VLOOKUP(CONCATENATE($A82,"_",AX$1),SP_ACQ_Lib[],MATCH(AX$2,SP_ACQ_Lib[#Headers],0),FALSE)),"")</f>
        <v/>
      </c>
      <c r="AY82" s="251" t="str">
        <f>IFERROR(IF(VLOOKUP(CONCATENATE($A82,"_",AY$1),SP_ACQ_Lib[],MATCH(AY$2,SP_ACQ_Lib[#Headers],0),FALSE)=0,"",VLOOKUP(CONCATENATE($A82,"_",AY$1),SP_ACQ_Lib[],MATCH(AY$2,SP_ACQ_Lib[#Headers],0),FALSE)),"")</f>
        <v/>
      </c>
      <c r="AZ82" s="251" t="str">
        <f>IFERROR(IF(VLOOKUP(CONCATENATE($A82,"_",AZ$1),SP_ACQ_Lib[],MATCH(AZ$2,SP_ACQ_Lib[#Headers],0),FALSE)=0,"",VLOOKUP(CONCATENATE($A82,"_",AZ$1),SP_ACQ_Lib[],MATCH(AZ$2,SP_ACQ_Lib[#Headers],0),FALSE)),"")</f>
        <v/>
      </c>
      <c r="BA82" s="251" t="str">
        <f>IFERROR(IF(VLOOKUP(CONCATENATE($A82,"_",BA$1),SP_ACQ_Lib[],MATCH(BA$2,SP_ACQ_Lib[#Headers],0),FALSE)=0,"",VLOOKUP(CONCATENATE($A82,"_",BA$1),SP_ACQ_Lib[],MATCH(BA$2,SP_ACQ_Lib[#Headers],0),FALSE)),"")</f>
        <v/>
      </c>
      <c r="BB82" s="224">
        <f>IFERROR(VLOOKUP(CONCATENATE($A82,"_",BB$1),SP_ACQ_Lib[],MATCH(BB$2,SP_ACQ_Lib[#Headers],0),FALSE),0)</f>
        <v>0</v>
      </c>
      <c r="BC82" s="231">
        <f>IFERROR(VLOOKUP($A82,SP_AcqTract_DB[],MATCH(BC$2,SP_AcqTract_DB[#Headers],0),FALSE),"")</f>
        <v>0</v>
      </c>
      <c r="BD82" s="231">
        <f>IFERROR(VLOOKUP($A82,SP_AcqTract_DB[],MATCH(BD$2,SP_AcqTract_DB[#Headers],0),FALSE),"")</f>
        <v>0</v>
      </c>
      <c r="BE82" s="249" t="str">
        <f>IFERROR(IF(VLOOKUP(CONCATENATE($A82,"_",BE$1),SP_ACQ_Lib[],MATCH(BE$2,SP_ACQ_Lib[#Headers],0),FALSE)=0,"",VLOOKUP(CONCATENATE($A82,"_",BE$1),SP_ACQ_Lib[],MATCH(BE$2,SP_ACQ_Lib[#Headers],0),FALSE)),"")</f>
        <v/>
      </c>
      <c r="BF82" s="249" t="str">
        <f>IFERROR(IF(VLOOKUP(CONCATENATE($A82,"_",BF$1),SP_ACQ_Lib[],MATCH(BF$2,SP_ACQ_Lib[#Headers],0),FALSE)=0,"",VLOOKUP(CONCATENATE($A82,"_",BF$1),SP_ACQ_Lib[],MATCH(BF$2,SP_ACQ_Lib[#Headers],0),FALSE)),"")</f>
        <v/>
      </c>
      <c r="BG82" s="249" t="str">
        <f>IFERROR(IF(VLOOKUP(CONCATENATE($A82,"_",BG$1),SP_ACQ_Lib[],MATCH(BG$2,SP_ACQ_Lib[#Headers],0),FALSE)=0,"",VLOOKUP(CONCATENATE($A82,"_",BG$1),SP_ACQ_Lib[],MATCH(BG$2,SP_ACQ_Lib[#Headers],0),FALSE)),"")</f>
        <v/>
      </c>
      <c r="BH82" s="249" t="str">
        <f>IFERROR(IF(VLOOKUP(CONCATENATE($A82,"_",BH$1),SP_ACQ_Lib[],MATCH(BH$2,SP_ACQ_Lib[#Headers],0),FALSE)=0,"",VLOOKUP(CONCATENATE($A82,"_",BH$1),SP_ACQ_Lib[],MATCH(BH$2,SP_ACQ_Lib[#Headers],0),FALSE)),"")</f>
        <v/>
      </c>
      <c r="BI82" s="249" t="str">
        <f>IFERROR(IF(VLOOKUP(CONCATENATE($A82,"_",BI$1),SP_ACQ_Lib[],MATCH(BI$2,SP_ACQ_Lib[#Headers],0),FALSE)=0,"",VLOOKUP(CONCATENATE($A82,"_",BI$1),SP_ACQ_Lib[],MATCH(BI$2,SP_ACQ_Lib[#Headers],0),FALSE)),"")</f>
        <v/>
      </c>
      <c r="BJ82" s="249" t="str">
        <f>IFERROR(IF(VLOOKUP(CONCATENATE($A82,"_",BJ$1),SP_ACQ_Lib[],MATCH(BJ$2,SP_ACQ_Lib[#Headers],0),FALSE)=0,"",VLOOKUP(CONCATENATE($A82,"_",BJ$1),SP_ACQ_Lib[],MATCH(BJ$2,SP_ACQ_Lib[#Headers],0),FALSE)),"")</f>
        <v/>
      </c>
      <c r="BK82" s="250" t="str">
        <f>IFERROR(IF(VLOOKUP(CONCATENATE($A82,"_",BK$1),SP_ACQ_Lib[],MATCH(BK$2,SP_ACQ_Lib[#Headers],0),FALSE)=0,"",VLOOKUP(CONCATENATE($A82,"_",BK$1),SP_ACQ_Lib[],MATCH(BK$2,SP_ACQ_Lib[#Headers],0),FALSE)),"")</f>
        <v/>
      </c>
      <c r="BL82" s="249" t="str">
        <f>IFERROR(IF(VLOOKUP(CONCATENATE($A82,"_",BL$1),SP_ACQ_Lib[],MATCH(BL$2,SP_ACQ_Lib[#Headers],0),FALSE)=0,"",VLOOKUP(CONCATENATE($A82,"_",BL$1),SP_ACQ_Lib[],MATCH(BL$2,SP_ACQ_Lib[#Headers],0),FALSE)),"")</f>
        <v/>
      </c>
      <c r="BM82" s="249" t="str">
        <f>IFERROR(IF(VLOOKUP(CONCATENATE($A82,"_",BM$1),SP_ACQ_Lib[],MATCH(BM$2,SP_ACQ_Lib[#Headers],0),FALSE)=0,"",VLOOKUP(CONCATENATE($A82,"_",BM$1),SP_ACQ_Lib[],MATCH(BM$2,SP_ACQ_Lib[#Headers],0),FALSE)),"")</f>
        <v/>
      </c>
      <c r="BN82" s="249" t="str">
        <f>IFERROR(IF(VLOOKUP(CONCATENATE($A82,"_",BN$1),SP_ACQ_Lib[],MATCH(BN$2,SP_ACQ_Lib[#Headers],0),FALSE)=0,"",VLOOKUP(CONCATENATE($A82,"_",BN$1),SP_ACQ_Lib[],MATCH(BN$2,SP_ACQ_Lib[#Headers],0),FALSE)),"")</f>
        <v/>
      </c>
    </row>
    <row r="83" spans="1:66" s="226" customFormat="1" ht="25.5" x14ac:dyDescent="0.2">
      <c r="A83" s="192" t="s">
        <v>5285</v>
      </c>
      <c r="B83" s="227" t="str">
        <f>IFERROR(VLOOKUP($A83,SP_AcqTract_DB[],MATCH(B$2,SP_AcqTract_DB[#Headers],0),FALSE),"")</f>
        <v>R026610</v>
      </c>
      <c r="C83" s="228" t="str">
        <f>IFERROR(VLOOKUP($A83,SP_AcqTract_DB[],MATCH(C$2,SP_AcqTract_DB[#Headers],0),FALSE),"")</f>
        <v>PH2</v>
      </c>
      <c r="D83" s="208" t="str">
        <f>IFERROR(VLOOKUP($A83,SP_AcqTract_DB[],MATCH(D$2,SP_AcqTract_DB[#Headers],0),FALSE),"")</f>
        <v>Active</v>
      </c>
      <c r="E83" s="208">
        <f>IFERROR(VLOOKUP($A83,SP_AcqTract_DB[],MATCH(E$2,SP_AcqTract_DB[#Headers],0),FALSE),"")</f>
        <v>0</v>
      </c>
      <c r="F83" s="227">
        <f>IFERROR(VLOOKUP($A83,SP_AcqTract_DB[],MATCH(F$2,SP_AcqTract_DB[#Headers],0),FALSE),"")</f>
        <v>0</v>
      </c>
      <c r="G83" s="227" t="str">
        <f>IFERROR(VLOOKUP($A83,SP_AcqTract_DB[],MATCH(G$2,SP_AcqTract_DB[#Headers],0),FALSE),"")</f>
        <v>Darlene Snow</v>
      </c>
      <c r="H83" s="250">
        <f>IFERROR(IF(VLOOKUP(CONCATENATE($A83,"_",H$1),SP_ACQ_Lib[],MATCH(H$2,SP_ACQ_Lib[#Headers],0),FALSE)=0,"",VLOOKUP(CONCATENATE($A83,"_",H$1),SP_ACQ_Lib[],MATCH(H$2,SP_ACQ_Lib[#Headers],0),FALSE)),"")</f>
        <v>43997.354317129626</v>
      </c>
      <c r="I83" s="227" t="str">
        <f>IFERROR(VLOOKUP($A83,SP_AcqTract_DB[],MATCH(I$2,SP_AcqTract_DB[#Headers],0),FALSE),"")</f>
        <v>Fellhauer David E Most Rev Bishop Of Diocese Of Victoria</v>
      </c>
      <c r="J83" s="227">
        <f>IFERROR(VLOOKUP($A83,SP_AcqTract_DB[],MATCH(J$2,SP_AcqTract_DB[#Headers],0),FALSE),"")</f>
        <v>0</v>
      </c>
      <c r="K83" s="227">
        <f>IFERROR(VLOOKUP($A83,SP_AcqTract_DB[],MATCH(K$2,SP_AcqTract_DB[#Headers],0),FALSE),"")</f>
        <v>0</v>
      </c>
      <c r="L83" s="227">
        <f>IFERROR(VLOOKUP($A83,SP_AcqTract_DB[],MATCH(L$2,SP_AcqTract_DB[#Headers],0),FALSE),"")</f>
        <v>0</v>
      </c>
      <c r="M83" s="208">
        <f>IFERROR(VLOOKUP($A83,SP_AcqTract_DB[],MATCH(M$2,SP_AcqTract_DB[#Headers],0),FALSE),"")</f>
        <v>0</v>
      </c>
      <c r="N83" s="227" t="str">
        <f>IFERROR(VLOOKUP($A83,SP_AcqTract_DB[],MATCH(N$2,SP_AcqTract_DB[#Headers],0),FALSE),"")</f>
        <v>506 S EAST AVE</v>
      </c>
      <c r="O83" s="220">
        <f>IFERROR(VLOOKUP($A83,SP_AcqTract_DB[],MATCH(O$2,SP_AcqTract_DB[#Headers],0),FALSE),"")</f>
        <v>0</v>
      </c>
      <c r="P83" s="220">
        <f>IFERROR(VLOOKUP($A83,SP_AcqTract_DB[],MATCH(P$2,SP_AcqTract_DB[#Headers],0),FALSE),"")</f>
        <v>0</v>
      </c>
      <c r="Q83" s="208">
        <f>IFERROR(VLOOKUP($A83,SP_AcqTract_DB[],MATCH(Q$2,SP_AcqTract_DB[#Headers],0),FALSE),"")</f>
        <v>0</v>
      </c>
      <c r="R83" s="250" t="str">
        <f>IFERROR(IF(VLOOKUP(CONCATENATE($A83,"_",R$1),SP_ACQ_Lib[],MATCH(R$2,SP_ACQ_Lib[#Headers],0),FALSE)=0,"",VLOOKUP(CONCATENATE($A83,"_",R$1),SP_ACQ_Lib[],MATCH(R$2,SP_ACQ_Lib[#Headers],0),FALSE)),"")</f>
        <v/>
      </c>
      <c r="S83" s="253" t="str">
        <f>IFERROR(IF(VLOOKUP(CONCATENATE($A83,"_",S$1),SP_ACQ_Lib[],MATCH(S$2,SP_ACQ_Lib[#Headers],0),FALSE)=0,"",VLOOKUP(CONCATENATE($A83,"_",S$1),SP_ACQ_Lib[],MATCH(S$2,SP_ACQ_Lib[#Headers],0),FALSE)),"")</f>
        <v/>
      </c>
      <c r="T83" s="205">
        <f>IFERROR(VLOOKUP(CONCATENATE($A83,"_",T$1),SP_ACQ_Lib[],MATCH(T$2,SP_ACQ_Lib[#Headers],0),FALSE),0)</f>
        <v>0</v>
      </c>
      <c r="U83" s="250" t="str">
        <f>IFERROR(IF(VLOOKUP(CONCATENATE($A83,"_",U$1),SP_ACQ_Lib[],MATCH(U$2,SP_ACQ_Lib[#Headers],0),FALSE)=0,"",VLOOKUP(CONCATENATE($A83,"_",U$1),SP_ACQ_Lib[],MATCH(U$2,SP_ACQ_Lib[#Headers],0),FALSE)),"")</f>
        <v/>
      </c>
      <c r="V83" s="205">
        <f>IFERROR(VLOOKUP(CONCATENATE($A83,"_",V$1),SP_ACQ_Lib[],MATCH(V$2,SP_ACQ_Lib[#Headers],0),FALSE),0)</f>
        <v>0</v>
      </c>
      <c r="W83" s="209">
        <f>IFERROR(VLOOKUP(CONCATENATE($A83,"_",W$1),SP_ACQ_Lib[],MATCH(W$2,SP_ACQ_Lib[#Headers],0),FALSE),0)</f>
        <v>0</v>
      </c>
      <c r="X83" s="250">
        <f>IFERROR(VLOOKUP($A83,SP_AcqTract_DB[],MATCH(X$2,SP_AcqTract_DB[#Headers],0),FALSE),"")</f>
        <v>0</v>
      </c>
      <c r="Y83" s="237">
        <f>IFERROR(VLOOKUP($A83,SP_AcqTract_DB[],MATCH(Y$2,SP_AcqTract_DB[#Headers],0),FALSE),"")</f>
        <v>0</v>
      </c>
      <c r="Z83" s="229">
        <f>IFERROR(VLOOKUP($A83,SP_AcqTract_DB[],MATCH(Z$2,SP_AcqTract_DB[#Headers],0),FALSE),"")</f>
        <v>0</v>
      </c>
      <c r="AA83" s="229">
        <f>IFERROR(VLOOKUP($A83,SP_AcqTract_DB[],MATCH(AA$2,SP_AcqTract_DB[#Headers],0),FALSE),"")</f>
        <v>0</v>
      </c>
      <c r="AB83" s="250" t="str">
        <f>IFERROR(IF(VLOOKUP(CONCATENATE($A83,"_",AB$1),SP_ACQ_Lib[],MATCH(AB$2,SP_ACQ_Lib[#Headers],0),FALSE)=0,"",VLOOKUP(CONCATENATE($A83,"_",AB$1),SP_ACQ_Lib[],MATCH(AB$2,SP_ACQ_Lib[#Headers],0),FALSE)),"")</f>
        <v/>
      </c>
      <c r="AC83" s="250" t="str">
        <f>IFERROR(IF(VLOOKUP(CONCATENATE($A83,"_",AC$1),SP_ACQ_Lib[],MATCH(AC$2,SP_ACQ_Lib[#Headers],0),FALSE)=0,"",VLOOKUP(CONCATENATE($A83,"_",AC$1),SP_ACQ_Lib[],MATCH(AC$2,SP_ACQ_Lib[#Headers],0),FALSE)),"")</f>
        <v/>
      </c>
      <c r="AD83" s="229">
        <f>IFERROR(VLOOKUP($A83,SP_AcqTract_DB[],MATCH(AD$2,SP_AcqTract_DB[#Headers],0),FALSE),"")</f>
        <v>0</v>
      </c>
      <c r="AE83" s="250" t="str">
        <f>IFERROR(IF(VLOOKUP(CONCATENATE($A83,"_",AE$1),SP_ACQ_Lib[],MATCH(AE$2,SP_ACQ_Lib[#Headers],0),FALSE)=0,"",VLOOKUP(CONCATENATE($A83,"_",AE$1),SP_ACQ_Lib[],MATCH(AE$2,SP_ACQ_Lib[#Headers],0),FALSE)),"")</f>
        <v/>
      </c>
      <c r="AF83" s="250" t="str">
        <f>IFERROR(IF(VLOOKUP(CONCATENATE($A83,"_",AF$1),SP_ACQ_Lib[],MATCH(AF$2,SP_ACQ_Lib[#Headers],0),FALSE)=0,"",VLOOKUP(CONCATENATE($A83,"_",AF$1),SP_ACQ_Lib[],MATCH(AF$2,SP_ACQ_Lib[#Headers],0),FALSE)),"")</f>
        <v/>
      </c>
      <c r="AG83" s="250" t="str">
        <f>IFERROR(IF(VLOOKUP(CONCATENATE($A83,"_",AG$1),SP_ACQ_Lib[],MATCH(AG$2,SP_ACQ_Lib[#Headers],0),FALSE)=0,"",VLOOKUP(CONCATENATE($A83,"_",AG$1),SP_ACQ_Lib[],MATCH(AG$2,SP_ACQ_Lib[#Headers],0),FALSE)),"")</f>
        <v/>
      </c>
      <c r="AH83" s="250" t="str">
        <f>IFERROR(IF(VLOOKUP(CONCATENATE($A83,"_",AH$1),SP_ACQ_Lib[],MATCH(AH$2,SP_ACQ_Lib[#Headers],0),FALSE)=0,"",VLOOKUP(CONCATENATE($A83,"_",AH$1),SP_ACQ_Lib[],MATCH(AH$2,SP_ACQ_Lib[#Headers],0),FALSE)),"")</f>
        <v/>
      </c>
      <c r="AI83" s="249">
        <f>IFERROR(IF(VLOOKUP(CONCATENATE($A83,"_",AI$1),SP_ACQ_Lib[],MATCH(AI$2,SP_ACQ_Lib[#Headers],0),FALSE)=0,"",VLOOKUP(CONCATENATE($A83,"_",AI$1),SP_ACQ_Lib[],MATCH(AI$2,SP_ACQ_Lib[#Headers],0),FALSE)),"")</f>
        <v>43984</v>
      </c>
      <c r="AJ83" s="249">
        <f>IFERROR(IF(VLOOKUP(CONCATENATE($A83,"_",AJ$1),SP_ACQ_Lib[],MATCH(AJ$2,SP_ACQ_Lib[#Headers],0),FALSE)=0,"",VLOOKUP(CONCATENATE($A83,"_",AJ$1),SP_ACQ_Lib[],MATCH(AJ$2,SP_ACQ_Lib[#Headers],0),FALSE)),"")</f>
        <v>43991</v>
      </c>
      <c r="AK83" s="249">
        <f>IFERROR(IF(VLOOKUP(CONCATENATE($A83,"_",AK$1),SP_ACQ_Lib[],MATCH(AK$2,SP_ACQ_Lib[#Headers],0),FALSE)=0,"",VLOOKUP(CONCATENATE($A83,"_",AK$1),SP_ACQ_Lib[],MATCH(AK$2,SP_ACQ_Lib[#Headers],0),FALSE)),"")</f>
        <v>44174</v>
      </c>
      <c r="AL83" s="249">
        <f>IFERROR(VLOOKUP($A83,SP_AcqTract_DB[],MATCH(AL$2,SP_AcqTract_DB[#Headers],0),FALSE),"")</f>
        <v>0</v>
      </c>
      <c r="AM83" s="227">
        <f>IFERROR(VLOOKUP($A83,SP_AcqTract_DB[],MATCH(AM$2,SP_AcqTract_DB[#Headers],0),FALSE),"")</f>
        <v>0</v>
      </c>
      <c r="AN83" s="227">
        <f>IFERROR(VLOOKUP($A83,SP_AcqTract_DB[],MATCH(AN$2,SP_AcqTract_DB[#Headers],0),FALSE),"")</f>
        <v>0</v>
      </c>
      <c r="AO83" s="228">
        <f>IFERROR(VLOOKUP($A83,SP_AcqTract_DB[],MATCH(AO$2,SP_AcqTract_DB[#Headers],0),FALSE),"")</f>
        <v>0</v>
      </c>
      <c r="AP83" s="210">
        <f>IFERROR(VLOOKUP($A83,SP_AcqTract_DB[],MATCH(AP$2,SP_AcqTract_DB[#Headers],0),FALSE),"")</f>
        <v>0</v>
      </c>
      <c r="AQ83" s="252" t="str">
        <f>IFERROR(IF(VLOOKUP(CONCATENATE($A83,"_",AQ$1),SP_ACQ_Lib[],MATCH(AQ$2,SP_ACQ_Lib[#Headers],0),FALSE)=0,"",VLOOKUP(CONCATENATE($A83,"_",AQ$1),SP_ACQ_Lib[],MATCH(AQ$2,SP_ACQ_Lib[#Headers],0),FALSE)),"")</f>
        <v/>
      </c>
      <c r="AR83" s="250" t="str">
        <f>IFERROR(IF(VLOOKUP(CONCATENATE($A83,"_",AR$1),SP_ACQ_Lib[],MATCH(AR$2,SP_ACQ_Lib[#Headers],0),FALSE)=0,"",VLOOKUP(CONCATENATE($A83,"_",AR$1),SP_ACQ_Lib[],MATCH(AR$2,SP_ACQ_Lib[#Headers],0),FALSE)),"")</f>
        <v/>
      </c>
      <c r="AS83" s="249" t="str">
        <f>IFERROR(IF(VLOOKUP(CONCATENATE($A83,"_",AS$1),SP_ACQ_Lib[],MATCH(AS$2,SP_ACQ_Lib[#Headers],0),FALSE)=0,"",VLOOKUP(CONCATENATE($A83,"_",AS$1),SP_ACQ_Lib[],MATCH(AS$2,SP_ACQ_Lib[#Headers],0),FALSE)),"")</f>
        <v/>
      </c>
      <c r="AT83" s="251" t="str">
        <f>IFERROR(IF(VLOOKUP(CONCATENATE($A83,"_",AT$1),SP_ACQ_Lib[],MATCH(AT$2,SP_ACQ_Lib[#Headers],0),FALSE)=0,"",VLOOKUP(CONCATENATE($A83,"_",AT$1),SP_ACQ_Lib[],MATCH(AT$2,SP_ACQ_Lib[#Headers],0),FALSE)),"")</f>
        <v/>
      </c>
      <c r="AU83" s="251" t="str">
        <f>IFERROR(IF(VLOOKUP(CONCATENATE($A83,"_",AU$1),SP_ACQ_Lib[],MATCH(AU$2,SP_ACQ_Lib[#Headers],0),FALSE)=0,"",VLOOKUP(CONCATENATE($A83,"_",AU$1),SP_ACQ_Lib[],MATCH(AU$2,SP_ACQ_Lib[#Headers],0),FALSE)),"")</f>
        <v/>
      </c>
      <c r="AV83" s="225" t="str">
        <f>IFERROR(IF(VLOOKUP(CONCATENATE($A83,"_",AV$1),SP_ACQ_Lib[],MATCH(AV$2,SP_ACQ_Lib[#Headers],0),FALSE)=0,"",VLOOKUP(CONCATENATE($A83,"_",AV$1),SP_ACQ_Lib[],MATCH(AV$2,SP_ACQ_Lib[#Headers],0),FALSE)),"")</f>
        <v/>
      </c>
      <c r="AW83" s="251" t="str">
        <f>IFERROR(IF(VLOOKUP(CONCATENATE($A83,"_",AW$1),SP_ACQ_Lib[],MATCH(AW$2,SP_ACQ_Lib[#Headers],0),FALSE)=0,"",VLOOKUP(CONCATENATE($A83,"_",AW$1),SP_ACQ_Lib[],MATCH(AW$2,SP_ACQ_Lib[#Headers],0),FALSE)),"")</f>
        <v/>
      </c>
      <c r="AX83" s="251" t="str">
        <f>IFERROR(IF(VLOOKUP(CONCATENATE($A83,"_",AX$1),SP_ACQ_Lib[],MATCH(AX$2,SP_ACQ_Lib[#Headers],0),FALSE)=0,"",VLOOKUP(CONCATENATE($A83,"_",AX$1),SP_ACQ_Lib[],MATCH(AX$2,SP_ACQ_Lib[#Headers],0),FALSE)),"")</f>
        <v/>
      </c>
      <c r="AY83" s="251" t="str">
        <f>IFERROR(IF(VLOOKUP(CONCATENATE($A83,"_",AY$1),SP_ACQ_Lib[],MATCH(AY$2,SP_ACQ_Lib[#Headers],0),FALSE)=0,"",VLOOKUP(CONCATENATE($A83,"_",AY$1),SP_ACQ_Lib[],MATCH(AY$2,SP_ACQ_Lib[#Headers],0),FALSE)),"")</f>
        <v/>
      </c>
      <c r="AZ83" s="251" t="str">
        <f>IFERROR(IF(VLOOKUP(CONCATENATE($A83,"_",AZ$1),SP_ACQ_Lib[],MATCH(AZ$2,SP_ACQ_Lib[#Headers],0),FALSE)=0,"",VLOOKUP(CONCATENATE($A83,"_",AZ$1),SP_ACQ_Lib[],MATCH(AZ$2,SP_ACQ_Lib[#Headers],0),FALSE)),"")</f>
        <v/>
      </c>
      <c r="BA83" s="251" t="str">
        <f>IFERROR(IF(VLOOKUP(CONCATENATE($A83,"_",BA$1),SP_ACQ_Lib[],MATCH(BA$2,SP_ACQ_Lib[#Headers],0),FALSE)=0,"",VLOOKUP(CONCATENATE($A83,"_",BA$1),SP_ACQ_Lib[],MATCH(BA$2,SP_ACQ_Lib[#Headers],0),FALSE)),"")</f>
        <v/>
      </c>
      <c r="BB83" s="224">
        <f>IFERROR(VLOOKUP(CONCATENATE($A83,"_",BB$1),SP_ACQ_Lib[],MATCH(BB$2,SP_ACQ_Lib[#Headers],0),FALSE),0)</f>
        <v>0</v>
      </c>
      <c r="BC83" s="231">
        <f>IFERROR(VLOOKUP($A83,SP_AcqTract_DB[],MATCH(BC$2,SP_AcqTract_DB[#Headers],0),FALSE),"")</f>
        <v>0</v>
      </c>
      <c r="BD83" s="231">
        <f>IFERROR(VLOOKUP($A83,SP_AcqTract_DB[],MATCH(BD$2,SP_AcqTract_DB[#Headers],0),FALSE),"")</f>
        <v>0</v>
      </c>
      <c r="BE83" s="249" t="str">
        <f>IFERROR(IF(VLOOKUP(CONCATENATE($A83,"_",BE$1),SP_ACQ_Lib[],MATCH(BE$2,SP_ACQ_Lib[#Headers],0),FALSE)=0,"",VLOOKUP(CONCATENATE($A83,"_",BE$1),SP_ACQ_Lib[],MATCH(BE$2,SP_ACQ_Lib[#Headers],0),FALSE)),"")</f>
        <v/>
      </c>
      <c r="BF83" s="249" t="str">
        <f>IFERROR(IF(VLOOKUP(CONCATENATE($A83,"_",BF$1),SP_ACQ_Lib[],MATCH(BF$2,SP_ACQ_Lib[#Headers],0),FALSE)=0,"",VLOOKUP(CONCATENATE($A83,"_",BF$1),SP_ACQ_Lib[],MATCH(BF$2,SP_ACQ_Lib[#Headers],0),FALSE)),"")</f>
        <v/>
      </c>
      <c r="BG83" s="249" t="str">
        <f>IFERROR(IF(VLOOKUP(CONCATENATE($A83,"_",BG$1),SP_ACQ_Lib[],MATCH(BG$2,SP_ACQ_Lib[#Headers],0),FALSE)=0,"",VLOOKUP(CONCATENATE($A83,"_",BG$1),SP_ACQ_Lib[],MATCH(BG$2,SP_ACQ_Lib[#Headers],0),FALSE)),"")</f>
        <v/>
      </c>
      <c r="BH83" s="249" t="str">
        <f>IFERROR(IF(VLOOKUP(CONCATENATE($A83,"_",BH$1),SP_ACQ_Lib[],MATCH(BH$2,SP_ACQ_Lib[#Headers],0),FALSE)=0,"",VLOOKUP(CONCATENATE($A83,"_",BH$1),SP_ACQ_Lib[],MATCH(BH$2,SP_ACQ_Lib[#Headers],0),FALSE)),"")</f>
        <v/>
      </c>
      <c r="BI83" s="249" t="str">
        <f>IFERROR(IF(VLOOKUP(CONCATENATE($A83,"_",BI$1),SP_ACQ_Lib[],MATCH(BI$2,SP_ACQ_Lib[#Headers],0),FALSE)=0,"",VLOOKUP(CONCATENATE($A83,"_",BI$1),SP_ACQ_Lib[],MATCH(BI$2,SP_ACQ_Lib[#Headers],0),FALSE)),"")</f>
        <v/>
      </c>
      <c r="BJ83" s="249" t="str">
        <f>IFERROR(IF(VLOOKUP(CONCATENATE($A83,"_",BJ$1),SP_ACQ_Lib[],MATCH(BJ$2,SP_ACQ_Lib[#Headers],0),FALSE)=0,"",VLOOKUP(CONCATENATE($A83,"_",BJ$1),SP_ACQ_Lib[],MATCH(BJ$2,SP_ACQ_Lib[#Headers],0),FALSE)),"")</f>
        <v/>
      </c>
      <c r="BK83" s="250" t="str">
        <f>IFERROR(IF(VLOOKUP(CONCATENATE($A83,"_",BK$1),SP_ACQ_Lib[],MATCH(BK$2,SP_ACQ_Lib[#Headers],0),FALSE)=0,"",VLOOKUP(CONCATENATE($A83,"_",BK$1),SP_ACQ_Lib[],MATCH(BK$2,SP_ACQ_Lib[#Headers],0),FALSE)),"")</f>
        <v/>
      </c>
      <c r="BL83" s="249" t="str">
        <f>IFERROR(IF(VLOOKUP(CONCATENATE($A83,"_",BL$1),SP_ACQ_Lib[],MATCH(BL$2,SP_ACQ_Lib[#Headers],0),FALSE)=0,"",VLOOKUP(CONCATENATE($A83,"_",BL$1),SP_ACQ_Lib[],MATCH(BL$2,SP_ACQ_Lib[#Headers],0),FALSE)),"")</f>
        <v/>
      </c>
      <c r="BM83" s="249" t="str">
        <f>IFERROR(IF(VLOOKUP(CONCATENATE($A83,"_",BM$1),SP_ACQ_Lib[],MATCH(BM$2,SP_ACQ_Lib[#Headers],0),FALSE)=0,"",VLOOKUP(CONCATENATE($A83,"_",BM$1),SP_ACQ_Lib[],MATCH(BM$2,SP_ACQ_Lib[#Headers],0),FALSE)),"")</f>
        <v/>
      </c>
      <c r="BN83" s="249" t="str">
        <f>IFERROR(IF(VLOOKUP(CONCATENATE($A83,"_",BN$1),SP_ACQ_Lib[],MATCH(BN$2,SP_ACQ_Lib[#Headers],0),FALSE)=0,"",VLOOKUP(CONCATENATE($A83,"_",BN$1),SP_ACQ_Lib[],MATCH(BN$2,SP_ACQ_Lib[#Headers],0),FALSE)),"")</f>
        <v/>
      </c>
    </row>
    <row r="84" spans="1:66" s="226" customFormat="1" ht="15.75" x14ac:dyDescent="0.2">
      <c r="A84" s="192" t="s">
        <v>5287</v>
      </c>
      <c r="B84" s="227" t="str">
        <f>IFERROR(VLOOKUP($A84,SP_AcqTract_DB[],MATCH(B$2,SP_AcqTract_DB[#Headers],0),FALSE),"")</f>
        <v>R026611</v>
      </c>
      <c r="C84" s="228" t="str">
        <f>IFERROR(VLOOKUP($A84,SP_AcqTract_DB[],MATCH(C$2,SP_AcqTract_DB[#Headers],0),FALSE),"")</f>
        <v>PH2</v>
      </c>
      <c r="D84" s="208" t="str">
        <f>IFERROR(VLOOKUP($A84,SP_AcqTract_DB[],MATCH(D$2,SP_AcqTract_DB[#Headers],0),FALSE),"")</f>
        <v>Active</v>
      </c>
      <c r="E84" s="208">
        <f>IFERROR(VLOOKUP($A84,SP_AcqTract_DB[],MATCH(E$2,SP_AcqTract_DB[#Headers],0),FALSE),"")</f>
        <v>0</v>
      </c>
      <c r="F84" s="227">
        <f>IFERROR(VLOOKUP($A84,SP_AcqTract_DB[],MATCH(F$2,SP_AcqTract_DB[#Headers],0),FALSE),"")</f>
        <v>0</v>
      </c>
      <c r="G84" s="227" t="str">
        <f>IFERROR(VLOOKUP($A84,SP_AcqTract_DB[],MATCH(G$2,SP_AcqTract_DB[#Headers],0),FALSE),"")</f>
        <v>Elizabeth Taylor</v>
      </c>
      <c r="H84" s="250">
        <f>IFERROR(IF(VLOOKUP(CONCATENATE($A84,"_",H$1),SP_ACQ_Lib[],MATCH(H$2,SP_ACQ_Lib[#Headers],0),FALSE)=0,"",VLOOKUP(CONCATENATE($A84,"_",H$1),SP_ACQ_Lib[],MATCH(H$2,SP_ACQ_Lib[#Headers],0),FALSE)),"")</f>
        <v>44019.647638888891</v>
      </c>
      <c r="I84" s="227" t="str">
        <f>IFERROR(VLOOKUP($A84,SP_AcqTract_DB[],MATCH(I$2,SP_AcqTract_DB[#Headers],0),FALSE),"")</f>
        <v>Aubrey Delores</v>
      </c>
      <c r="J84" s="227">
        <f>IFERROR(VLOOKUP($A84,SP_AcqTract_DB[],MATCH(J$2,SP_AcqTract_DB[#Headers],0),FALSE),"")</f>
        <v>0</v>
      </c>
      <c r="K84" s="227">
        <f>IFERROR(VLOOKUP($A84,SP_AcqTract_DB[],MATCH(K$2,SP_AcqTract_DB[#Headers],0),FALSE),"")</f>
        <v>0</v>
      </c>
      <c r="L84" s="227">
        <f>IFERROR(VLOOKUP($A84,SP_AcqTract_DB[],MATCH(L$2,SP_AcqTract_DB[#Headers],0),FALSE),"")</f>
        <v>0</v>
      </c>
      <c r="M84" s="208">
        <f>IFERROR(VLOOKUP($A84,SP_AcqTract_DB[],MATCH(M$2,SP_AcqTract_DB[#Headers],0),FALSE),"")</f>
        <v>0</v>
      </c>
      <c r="N84" s="227" t="str">
        <f>IFERROR(VLOOKUP($A84,SP_AcqTract_DB[],MATCH(N$2,SP_AcqTract_DB[#Headers],0),FALSE),"")</f>
        <v>0 BLACK</v>
      </c>
      <c r="O84" s="220">
        <f>IFERROR(VLOOKUP($A84,SP_AcqTract_DB[],MATCH(O$2,SP_AcqTract_DB[#Headers],0),FALSE),"")</f>
        <v>0</v>
      </c>
      <c r="P84" s="220">
        <f>IFERROR(VLOOKUP($A84,SP_AcqTract_DB[],MATCH(P$2,SP_AcqTract_DB[#Headers],0),FALSE),"")</f>
        <v>0</v>
      </c>
      <c r="Q84" s="208">
        <f>IFERROR(VLOOKUP($A84,SP_AcqTract_DB[],MATCH(Q$2,SP_AcqTract_DB[#Headers],0),FALSE),"")</f>
        <v>0</v>
      </c>
      <c r="R84" s="250" t="str">
        <f>IFERROR(IF(VLOOKUP(CONCATENATE($A84,"_",R$1),SP_ACQ_Lib[],MATCH(R$2,SP_ACQ_Lib[#Headers],0),FALSE)=0,"",VLOOKUP(CONCATENATE($A84,"_",R$1),SP_ACQ_Lib[],MATCH(R$2,SP_ACQ_Lib[#Headers],0),FALSE)),"")</f>
        <v/>
      </c>
      <c r="S84" s="253" t="str">
        <f>IFERROR(IF(VLOOKUP(CONCATENATE($A84,"_",S$1),SP_ACQ_Lib[],MATCH(S$2,SP_ACQ_Lib[#Headers],0),FALSE)=0,"",VLOOKUP(CONCATENATE($A84,"_",S$1),SP_ACQ_Lib[],MATCH(S$2,SP_ACQ_Lib[#Headers],0),FALSE)),"")</f>
        <v/>
      </c>
      <c r="T84" s="205">
        <f>IFERROR(VLOOKUP(CONCATENATE($A84,"_",T$1),SP_ACQ_Lib[],MATCH(T$2,SP_ACQ_Lib[#Headers],0),FALSE),0)</f>
        <v>0</v>
      </c>
      <c r="U84" s="250" t="str">
        <f>IFERROR(IF(VLOOKUP(CONCATENATE($A84,"_",U$1),SP_ACQ_Lib[],MATCH(U$2,SP_ACQ_Lib[#Headers],0),FALSE)=0,"",VLOOKUP(CONCATENATE($A84,"_",U$1),SP_ACQ_Lib[],MATCH(U$2,SP_ACQ_Lib[#Headers],0),FALSE)),"")</f>
        <v/>
      </c>
      <c r="V84" s="205" t="str">
        <f>IFERROR(VLOOKUP(CONCATENATE($A84,"_",V$1),SP_ACQ_Lib[],MATCH(V$2,SP_ACQ_Lib[#Headers],0),FALSE),0)</f>
        <v>Accepted</v>
      </c>
      <c r="W84" s="209">
        <f>IFERROR(VLOOKUP(CONCATENATE($A84,"_",W$1),SP_ACQ_Lib[],MATCH(W$2,SP_ACQ_Lib[#Headers],0),FALSE),0)</f>
        <v>0</v>
      </c>
      <c r="X84" s="250">
        <f>IFERROR(VLOOKUP($A84,SP_AcqTract_DB[],MATCH(X$2,SP_AcqTract_DB[#Headers],0),FALSE),"")</f>
        <v>0</v>
      </c>
      <c r="Y84" s="237">
        <f>IFERROR(VLOOKUP($A84,SP_AcqTract_DB[],MATCH(Y$2,SP_AcqTract_DB[#Headers],0),FALSE),"")</f>
        <v>0</v>
      </c>
      <c r="Z84" s="229">
        <f>IFERROR(VLOOKUP($A84,SP_AcqTract_DB[],MATCH(Z$2,SP_AcqTract_DB[#Headers],0),FALSE),"")</f>
        <v>0</v>
      </c>
      <c r="AA84" s="229">
        <f>IFERROR(VLOOKUP($A84,SP_AcqTract_DB[],MATCH(AA$2,SP_AcqTract_DB[#Headers],0),FALSE),"")</f>
        <v>0</v>
      </c>
      <c r="AB84" s="250" t="str">
        <f>IFERROR(IF(VLOOKUP(CONCATENATE($A84,"_",AB$1),SP_ACQ_Lib[],MATCH(AB$2,SP_ACQ_Lib[#Headers],0),FALSE)=0,"",VLOOKUP(CONCATENATE($A84,"_",AB$1),SP_ACQ_Lib[],MATCH(AB$2,SP_ACQ_Lib[#Headers],0),FALSE)),"")</f>
        <v/>
      </c>
      <c r="AC84" s="250" t="str">
        <f>IFERROR(IF(VLOOKUP(CONCATENATE($A84,"_",AC$1),SP_ACQ_Lib[],MATCH(AC$2,SP_ACQ_Lib[#Headers],0),FALSE)=0,"",VLOOKUP(CONCATENATE($A84,"_",AC$1),SP_ACQ_Lib[],MATCH(AC$2,SP_ACQ_Lib[#Headers],0),FALSE)),"")</f>
        <v/>
      </c>
      <c r="AD84" s="229">
        <f>IFERROR(VLOOKUP($A84,SP_AcqTract_DB[],MATCH(AD$2,SP_AcqTract_DB[#Headers],0),FALSE),"")</f>
        <v>0</v>
      </c>
      <c r="AE84" s="250" t="str">
        <f>IFERROR(IF(VLOOKUP(CONCATENATE($A84,"_",AE$1),SP_ACQ_Lib[],MATCH(AE$2,SP_ACQ_Lib[#Headers],0),FALSE)=0,"",VLOOKUP(CONCATENATE($A84,"_",AE$1),SP_ACQ_Lib[],MATCH(AE$2,SP_ACQ_Lib[#Headers],0),FALSE)),"")</f>
        <v/>
      </c>
      <c r="AF84" s="250" t="str">
        <f>IFERROR(IF(VLOOKUP(CONCATENATE($A84,"_",AF$1),SP_ACQ_Lib[],MATCH(AF$2,SP_ACQ_Lib[#Headers],0),FALSE)=0,"",VLOOKUP(CONCATENATE($A84,"_",AF$1),SP_ACQ_Lib[],MATCH(AF$2,SP_ACQ_Lib[#Headers],0),FALSE)),"")</f>
        <v/>
      </c>
      <c r="AG84" s="250" t="str">
        <f>IFERROR(IF(VLOOKUP(CONCATENATE($A84,"_",AG$1),SP_ACQ_Lib[],MATCH(AG$2,SP_ACQ_Lib[#Headers],0),FALSE)=0,"",VLOOKUP(CONCATENATE($A84,"_",AG$1),SP_ACQ_Lib[],MATCH(AG$2,SP_ACQ_Lib[#Headers],0),FALSE)),"")</f>
        <v/>
      </c>
      <c r="AH84" s="250" t="str">
        <f>IFERROR(IF(VLOOKUP(CONCATENATE($A84,"_",AH$1),SP_ACQ_Lib[],MATCH(AH$2,SP_ACQ_Lib[#Headers],0),FALSE)=0,"",VLOOKUP(CONCATENATE($A84,"_",AH$1),SP_ACQ_Lib[],MATCH(AH$2,SP_ACQ_Lib[#Headers],0),FALSE)),"")</f>
        <v/>
      </c>
      <c r="AI84" s="249">
        <f>IFERROR(IF(VLOOKUP(CONCATENATE($A84,"_",AI$1),SP_ACQ_Lib[],MATCH(AI$2,SP_ACQ_Lib[#Headers],0),FALSE)=0,"",VLOOKUP(CONCATENATE($A84,"_",AI$1),SP_ACQ_Lib[],MATCH(AI$2,SP_ACQ_Lib[#Headers],0),FALSE)),"")</f>
        <v>43984</v>
      </c>
      <c r="AJ84" s="249" t="str">
        <f>IFERROR(IF(VLOOKUP(CONCATENATE($A84,"_",AJ$1),SP_ACQ_Lib[],MATCH(AJ$2,SP_ACQ_Lib[#Headers],0),FALSE)=0,"",VLOOKUP(CONCATENATE($A84,"_",AJ$1),SP_ACQ_Lib[],MATCH(AJ$2,SP_ACQ_Lib[#Headers],0),FALSE)),"")</f>
        <v/>
      </c>
      <c r="AK84" s="249" t="str">
        <f>IFERROR(IF(VLOOKUP(CONCATENATE($A84,"_",AK$1),SP_ACQ_Lib[],MATCH(AK$2,SP_ACQ_Lib[#Headers],0),FALSE)=0,"",VLOOKUP(CONCATENATE($A84,"_",AK$1),SP_ACQ_Lib[],MATCH(AK$2,SP_ACQ_Lib[#Headers],0),FALSE)),"")</f>
        <v/>
      </c>
      <c r="AL84" s="249">
        <f>IFERROR(VLOOKUP($A84,SP_AcqTract_DB[],MATCH(AL$2,SP_AcqTract_DB[#Headers],0),FALSE),"")</f>
        <v>0</v>
      </c>
      <c r="AM84" s="227">
        <f>IFERROR(VLOOKUP($A84,SP_AcqTract_DB[],MATCH(AM$2,SP_AcqTract_DB[#Headers],0),FALSE),"")</f>
        <v>0</v>
      </c>
      <c r="AN84" s="227">
        <f>IFERROR(VLOOKUP($A84,SP_AcqTract_DB[],MATCH(AN$2,SP_AcqTract_DB[#Headers],0),FALSE),"")</f>
        <v>0</v>
      </c>
      <c r="AO84" s="228">
        <f>IFERROR(VLOOKUP($A84,SP_AcqTract_DB[],MATCH(AO$2,SP_AcqTract_DB[#Headers],0),FALSE),"")</f>
        <v>0</v>
      </c>
      <c r="AP84" s="210">
        <f>IFERROR(VLOOKUP($A84,SP_AcqTract_DB[],MATCH(AP$2,SP_AcqTract_DB[#Headers],0),FALSE),"")</f>
        <v>0</v>
      </c>
      <c r="AQ84" s="252" t="str">
        <f>IFERROR(IF(VLOOKUP(CONCATENATE($A84,"_",AQ$1),SP_ACQ_Lib[],MATCH(AQ$2,SP_ACQ_Lib[#Headers],0),FALSE)=0,"",VLOOKUP(CONCATENATE($A84,"_",AQ$1),SP_ACQ_Lib[],MATCH(AQ$2,SP_ACQ_Lib[#Headers],0),FALSE)),"")</f>
        <v/>
      </c>
      <c r="AR84" s="250" t="str">
        <f>IFERROR(IF(VLOOKUP(CONCATENATE($A84,"_",AR$1),SP_ACQ_Lib[],MATCH(AR$2,SP_ACQ_Lib[#Headers],0),FALSE)=0,"",VLOOKUP(CONCATENATE($A84,"_",AR$1),SP_ACQ_Lib[],MATCH(AR$2,SP_ACQ_Lib[#Headers],0),FALSE)),"")</f>
        <v/>
      </c>
      <c r="AS84" s="249" t="str">
        <f>IFERROR(IF(VLOOKUP(CONCATENATE($A84,"_",AS$1),SP_ACQ_Lib[],MATCH(AS$2,SP_ACQ_Lib[#Headers],0),FALSE)=0,"",VLOOKUP(CONCATENATE($A84,"_",AS$1),SP_ACQ_Lib[],MATCH(AS$2,SP_ACQ_Lib[#Headers],0),FALSE)),"")</f>
        <v/>
      </c>
      <c r="AT84" s="251" t="str">
        <f>IFERROR(IF(VLOOKUP(CONCATENATE($A84,"_",AT$1),SP_ACQ_Lib[],MATCH(AT$2,SP_ACQ_Lib[#Headers],0),FALSE)=0,"",VLOOKUP(CONCATENATE($A84,"_",AT$1),SP_ACQ_Lib[],MATCH(AT$2,SP_ACQ_Lib[#Headers],0),FALSE)),"")</f>
        <v/>
      </c>
      <c r="AU84" s="251" t="str">
        <f>IFERROR(IF(VLOOKUP(CONCATENATE($A84,"_",AU$1),SP_ACQ_Lib[],MATCH(AU$2,SP_ACQ_Lib[#Headers],0),FALSE)=0,"",VLOOKUP(CONCATENATE($A84,"_",AU$1),SP_ACQ_Lib[],MATCH(AU$2,SP_ACQ_Lib[#Headers],0),FALSE)),"")</f>
        <v/>
      </c>
      <c r="AV84" s="225" t="str">
        <f>IFERROR(IF(VLOOKUP(CONCATENATE($A84,"_",AV$1),SP_ACQ_Lib[],MATCH(AV$2,SP_ACQ_Lib[#Headers],0),FALSE)=0,"",VLOOKUP(CONCATENATE($A84,"_",AV$1),SP_ACQ_Lib[],MATCH(AV$2,SP_ACQ_Lib[#Headers],0),FALSE)),"")</f>
        <v/>
      </c>
      <c r="AW84" s="251" t="str">
        <f>IFERROR(IF(VLOOKUP(CONCATENATE($A84,"_",AW$1),SP_ACQ_Lib[],MATCH(AW$2,SP_ACQ_Lib[#Headers],0),FALSE)=0,"",VLOOKUP(CONCATENATE($A84,"_",AW$1),SP_ACQ_Lib[],MATCH(AW$2,SP_ACQ_Lib[#Headers],0),FALSE)),"")</f>
        <v/>
      </c>
      <c r="AX84" s="251" t="str">
        <f>IFERROR(IF(VLOOKUP(CONCATENATE($A84,"_",AX$1),SP_ACQ_Lib[],MATCH(AX$2,SP_ACQ_Lib[#Headers],0),FALSE)=0,"",VLOOKUP(CONCATENATE($A84,"_",AX$1),SP_ACQ_Lib[],MATCH(AX$2,SP_ACQ_Lib[#Headers],0),FALSE)),"")</f>
        <v/>
      </c>
      <c r="AY84" s="251" t="str">
        <f>IFERROR(IF(VLOOKUP(CONCATENATE($A84,"_",AY$1),SP_ACQ_Lib[],MATCH(AY$2,SP_ACQ_Lib[#Headers],0),FALSE)=0,"",VLOOKUP(CONCATENATE($A84,"_",AY$1),SP_ACQ_Lib[],MATCH(AY$2,SP_ACQ_Lib[#Headers],0),FALSE)),"")</f>
        <v/>
      </c>
      <c r="AZ84" s="251" t="str">
        <f>IFERROR(IF(VLOOKUP(CONCATENATE($A84,"_",AZ$1),SP_ACQ_Lib[],MATCH(AZ$2,SP_ACQ_Lib[#Headers],0),FALSE)=0,"",VLOOKUP(CONCATENATE($A84,"_",AZ$1),SP_ACQ_Lib[],MATCH(AZ$2,SP_ACQ_Lib[#Headers],0),FALSE)),"")</f>
        <v/>
      </c>
      <c r="BA84" s="251" t="str">
        <f>IFERROR(IF(VLOOKUP(CONCATENATE($A84,"_",BA$1),SP_ACQ_Lib[],MATCH(BA$2,SP_ACQ_Lib[#Headers],0),FALSE)=0,"",VLOOKUP(CONCATENATE($A84,"_",BA$1),SP_ACQ_Lib[],MATCH(BA$2,SP_ACQ_Lib[#Headers],0),FALSE)),"")</f>
        <v/>
      </c>
      <c r="BB84" s="224">
        <f>IFERROR(VLOOKUP(CONCATENATE($A84,"_",BB$1),SP_ACQ_Lib[],MATCH(BB$2,SP_ACQ_Lib[#Headers],0),FALSE),0)</f>
        <v>0</v>
      </c>
      <c r="BC84" s="231">
        <f>IFERROR(VLOOKUP($A84,SP_AcqTract_DB[],MATCH(BC$2,SP_AcqTract_DB[#Headers],0),FALSE),"")</f>
        <v>0</v>
      </c>
      <c r="BD84" s="231">
        <f>IFERROR(VLOOKUP($A84,SP_AcqTract_DB[],MATCH(BD$2,SP_AcqTract_DB[#Headers],0),FALSE),"")</f>
        <v>0</v>
      </c>
      <c r="BE84" s="249" t="str">
        <f>IFERROR(IF(VLOOKUP(CONCATENATE($A84,"_",BE$1),SP_ACQ_Lib[],MATCH(BE$2,SP_ACQ_Lib[#Headers],0),FALSE)=0,"",VLOOKUP(CONCATENATE($A84,"_",BE$1),SP_ACQ_Lib[],MATCH(BE$2,SP_ACQ_Lib[#Headers],0),FALSE)),"")</f>
        <v/>
      </c>
      <c r="BF84" s="249" t="str">
        <f>IFERROR(IF(VLOOKUP(CONCATENATE($A84,"_",BF$1),SP_ACQ_Lib[],MATCH(BF$2,SP_ACQ_Lib[#Headers],0),FALSE)=0,"",VLOOKUP(CONCATENATE($A84,"_",BF$1),SP_ACQ_Lib[],MATCH(BF$2,SP_ACQ_Lib[#Headers],0),FALSE)),"")</f>
        <v/>
      </c>
      <c r="BG84" s="249" t="str">
        <f>IFERROR(IF(VLOOKUP(CONCATENATE($A84,"_",BG$1),SP_ACQ_Lib[],MATCH(BG$2,SP_ACQ_Lib[#Headers],0),FALSE)=0,"",VLOOKUP(CONCATENATE($A84,"_",BG$1),SP_ACQ_Lib[],MATCH(BG$2,SP_ACQ_Lib[#Headers],0),FALSE)),"")</f>
        <v/>
      </c>
      <c r="BH84" s="249" t="str">
        <f>IFERROR(IF(VLOOKUP(CONCATENATE($A84,"_",BH$1),SP_ACQ_Lib[],MATCH(BH$2,SP_ACQ_Lib[#Headers],0),FALSE)=0,"",VLOOKUP(CONCATENATE($A84,"_",BH$1),SP_ACQ_Lib[],MATCH(BH$2,SP_ACQ_Lib[#Headers],0),FALSE)),"")</f>
        <v/>
      </c>
      <c r="BI84" s="249" t="str">
        <f>IFERROR(IF(VLOOKUP(CONCATENATE($A84,"_",BI$1),SP_ACQ_Lib[],MATCH(BI$2,SP_ACQ_Lib[#Headers],0),FALSE)=0,"",VLOOKUP(CONCATENATE($A84,"_",BI$1),SP_ACQ_Lib[],MATCH(BI$2,SP_ACQ_Lib[#Headers],0),FALSE)),"")</f>
        <v/>
      </c>
      <c r="BJ84" s="249" t="str">
        <f>IFERROR(IF(VLOOKUP(CONCATENATE($A84,"_",BJ$1),SP_ACQ_Lib[],MATCH(BJ$2,SP_ACQ_Lib[#Headers],0),FALSE)=0,"",VLOOKUP(CONCATENATE($A84,"_",BJ$1),SP_ACQ_Lib[],MATCH(BJ$2,SP_ACQ_Lib[#Headers],0),FALSE)),"")</f>
        <v/>
      </c>
      <c r="BK84" s="250" t="str">
        <f>IFERROR(IF(VLOOKUP(CONCATENATE($A84,"_",BK$1),SP_ACQ_Lib[],MATCH(BK$2,SP_ACQ_Lib[#Headers],0),FALSE)=0,"",VLOOKUP(CONCATENATE($A84,"_",BK$1),SP_ACQ_Lib[],MATCH(BK$2,SP_ACQ_Lib[#Headers],0),FALSE)),"")</f>
        <v/>
      </c>
      <c r="BL84" s="249" t="str">
        <f>IFERROR(IF(VLOOKUP(CONCATENATE($A84,"_",BL$1),SP_ACQ_Lib[],MATCH(BL$2,SP_ACQ_Lib[#Headers],0),FALSE)=0,"",VLOOKUP(CONCATENATE($A84,"_",BL$1),SP_ACQ_Lib[],MATCH(BL$2,SP_ACQ_Lib[#Headers],0),FALSE)),"")</f>
        <v/>
      </c>
      <c r="BM84" s="249" t="str">
        <f>IFERROR(IF(VLOOKUP(CONCATENATE($A84,"_",BM$1),SP_ACQ_Lib[],MATCH(BM$2,SP_ACQ_Lib[#Headers],0),FALSE)=0,"",VLOOKUP(CONCATENATE($A84,"_",BM$1),SP_ACQ_Lib[],MATCH(BM$2,SP_ACQ_Lib[#Headers],0),FALSE)),"")</f>
        <v/>
      </c>
      <c r="BN84" s="249" t="str">
        <f>IFERROR(IF(VLOOKUP(CONCATENATE($A84,"_",BN$1),SP_ACQ_Lib[],MATCH(BN$2,SP_ACQ_Lib[#Headers],0),FALSE)=0,"",VLOOKUP(CONCATENATE($A84,"_",BN$1),SP_ACQ_Lib[],MATCH(BN$2,SP_ACQ_Lib[#Headers],0),FALSE)),"")</f>
        <v/>
      </c>
    </row>
    <row r="85" spans="1:66" s="226" customFormat="1" ht="25.5" x14ac:dyDescent="0.2">
      <c r="A85" s="192" t="s">
        <v>5289</v>
      </c>
      <c r="B85" s="227" t="str">
        <f>IFERROR(VLOOKUP($A85,SP_AcqTract_DB[],MATCH(B$2,SP_AcqTract_DB[#Headers],0),FALSE),"")</f>
        <v>R026612</v>
      </c>
      <c r="C85" s="228" t="str">
        <f>IFERROR(VLOOKUP($A85,SP_AcqTract_DB[],MATCH(C$2,SP_AcqTract_DB[#Headers],0),FALSE),"")</f>
        <v>PH2</v>
      </c>
      <c r="D85" s="208" t="str">
        <f>IFERROR(VLOOKUP($A85,SP_AcqTract_DB[],MATCH(D$2,SP_AcqTract_DB[#Headers],0),FALSE),"")</f>
        <v>Active</v>
      </c>
      <c r="E85" s="208">
        <f>IFERROR(VLOOKUP($A85,SP_AcqTract_DB[],MATCH(E$2,SP_AcqTract_DB[#Headers],0),FALSE),"")</f>
        <v>0</v>
      </c>
      <c r="F85" s="227">
        <f>IFERROR(VLOOKUP($A85,SP_AcqTract_DB[],MATCH(F$2,SP_AcqTract_DB[#Headers],0),FALSE),"")</f>
        <v>0</v>
      </c>
      <c r="G85" s="227">
        <f>IFERROR(VLOOKUP($A85,SP_AcqTract_DB[],MATCH(G$2,SP_AcqTract_DB[#Headers],0),FALSE),"")</f>
        <v>0</v>
      </c>
      <c r="H85" s="250">
        <f>IFERROR(IF(VLOOKUP(CONCATENATE($A85,"_",H$1),SP_ACQ_Lib[],MATCH(H$2,SP_ACQ_Lib[#Headers],0),FALSE)=0,"",VLOOKUP(CONCATENATE($A85,"_",H$1),SP_ACQ_Lib[],MATCH(H$2,SP_ACQ_Lib[#Headers],0),FALSE)),"")</f>
        <v>43978.543576388889</v>
      </c>
      <c r="I85" s="227" t="str">
        <f>IFERROR(VLOOKUP($A85,SP_AcqTract_DB[],MATCH(I$2,SP_AcqTract_DB[#Headers],0),FALSE),"")</f>
        <v>Harrison Marjorie Gordon %Dunbar J V</v>
      </c>
      <c r="J85" s="227">
        <f>IFERROR(VLOOKUP($A85,SP_AcqTract_DB[],MATCH(J$2,SP_AcqTract_DB[#Headers],0),FALSE),"")</f>
        <v>0</v>
      </c>
      <c r="K85" s="227">
        <f>IFERROR(VLOOKUP($A85,SP_AcqTract_DB[],MATCH(K$2,SP_AcqTract_DB[#Headers],0),FALSE),"")</f>
        <v>0</v>
      </c>
      <c r="L85" s="227">
        <f>IFERROR(VLOOKUP($A85,SP_AcqTract_DB[],MATCH(L$2,SP_AcqTract_DB[#Headers],0),FALSE),"")</f>
        <v>0</v>
      </c>
      <c r="M85" s="208">
        <f>IFERROR(VLOOKUP($A85,SP_AcqTract_DB[],MATCH(M$2,SP_AcqTract_DB[#Headers],0),FALSE),"")</f>
        <v>0</v>
      </c>
      <c r="N85" s="227" t="str">
        <f>IFERROR(VLOOKUP($A85,SP_AcqTract_DB[],MATCH(N$2,SP_AcqTract_DB[#Headers],0),FALSE),"")</f>
        <v>0 BLACK</v>
      </c>
      <c r="O85" s="220">
        <f>IFERROR(VLOOKUP($A85,SP_AcqTract_DB[],MATCH(O$2,SP_AcqTract_DB[#Headers],0),FALSE),"")</f>
        <v>0</v>
      </c>
      <c r="P85" s="220">
        <f>IFERROR(VLOOKUP($A85,SP_AcqTract_DB[],MATCH(P$2,SP_AcqTract_DB[#Headers],0),FALSE),"")</f>
        <v>0</v>
      </c>
      <c r="Q85" s="208">
        <f>IFERROR(VLOOKUP($A85,SP_AcqTract_DB[],MATCH(Q$2,SP_AcqTract_DB[#Headers],0),FALSE),"")</f>
        <v>0</v>
      </c>
      <c r="R85" s="250" t="str">
        <f>IFERROR(IF(VLOOKUP(CONCATENATE($A85,"_",R$1),SP_ACQ_Lib[],MATCH(R$2,SP_ACQ_Lib[#Headers],0),FALSE)=0,"",VLOOKUP(CONCATENATE($A85,"_",R$1),SP_ACQ_Lib[],MATCH(R$2,SP_ACQ_Lib[#Headers],0),FALSE)),"")</f>
        <v/>
      </c>
      <c r="S85" s="253" t="str">
        <f>IFERROR(IF(VLOOKUP(CONCATENATE($A85,"_",S$1),SP_ACQ_Lib[],MATCH(S$2,SP_ACQ_Lib[#Headers],0),FALSE)=0,"",VLOOKUP(CONCATENATE($A85,"_",S$1),SP_ACQ_Lib[],MATCH(S$2,SP_ACQ_Lib[#Headers],0),FALSE)),"")</f>
        <v/>
      </c>
      <c r="T85" s="205">
        <f>IFERROR(VLOOKUP(CONCATENATE($A85,"_",T$1),SP_ACQ_Lib[],MATCH(T$2,SP_ACQ_Lib[#Headers],0),FALSE),0)</f>
        <v>0</v>
      </c>
      <c r="U85" s="250" t="str">
        <f>IFERROR(IF(VLOOKUP(CONCATENATE($A85,"_",U$1),SP_ACQ_Lib[],MATCH(U$2,SP_ACQ_Lib[#Headers],0),FALSE)=0,"",VLOOKUP(CONCATENATE($A85,"_",U$1),SP_ACQ_Lib[],MATCH(U$2,SP_ACQ_Lib[#Headers],0),FALSE)),"")</f>
        <v/>
      </c>
      <c r="V85" s="205" t="str">
        <f>IFERROR(VLOOKUP(CONCATENATE($A85,"_",V$1),SP_ACQ_Lib[],MATCH(V$2,SP_ACQ_Lib[#Headers],0),FALSE),0)</f>
        <v>Accepted</v>
      </c>
      <c r="W85" s="209">
        <f>IFERROR(VLOOKUP(CONCATENATE($A85,"_",W$1),SP_ACQ_Lib[],MATCH(W$2,SP_ACQ_Lib[#Headers],0),FALSE),0)</f>
        <v>0</v>
      </c>
      <c r="X85" s="250">
        <f>IFERROR(VLOOKUP($A85,SP_AcqTract_DB[],MATCH(X$2,SP_AcqTract_DB[#Headers],0),FALSE),"")</f>
        <v>0</v>
      </c>
      <c r="Y85" s="237">
        <f>IFERROR(VLOOKUP($A85,SP_AcqTract_DB[],MATCH(Y$2,SP_AcqTract_DB[#Headers],0),FALSE),"")</f>
        <v>0</v>
      </c>
      <c r="Z85" s="229">
        <f>IFERROR(VLOOKUP($A85,SP_AcqTract_DB[],MATCH(Z$2,SP_AcqTract_DB[#Headers],0),FALSE),"")</f>
        <v>0</v>
      </c>
      <c r="AA85" s="229">
        <f>IFERROR(VLOOKUP($A85,SP_AcqTract_DB[],MATCH(AA$2,SP_AcqTract_DB[#Headers],0),FALSE),"")</f>
        <v>0</v>
      </c>
      <c r="AB85" s="250" t="str">
        <f>IFERROR(IF(VLOOKUP(CONCATENATE($A85,"_",AB$1),SP_ACQ_Lib[],MATCH(AB$2,SP_ACQ_Lib[#Headers],0),FALSE)=0,"",VLOOKUP(CONCATENATE($A85,"_",AB$1),SP_ACQ_Lib[],MATCH(AB$2,SP_ACQ_Lib[#Headers],0),FALSE)),"")</f>
        <v/>
      </c>
      <c r="AC85" s="250" t="str">
        <f>IFERROR(IF(VLOOKUP(CONCATENATE($A85,"_",AC$1),SP_ACQ_Lib[],MATCH(AC$2,SP_ACQ_Lib[#Headers],0),FALSE)=0,"",VLOOKUP(CONCATENATE($A85,"_",AC$1),SP_ACQ_Lib[],MATCH(AC$2,SP_ACQ_Lib[#Headers],0),FALSE)),"")</f>
        <v/>
      </c>
      <c r="AD85" s="229">
        <f>IFERROR(VLOOKUP($A85,SP_AcqTract_DB[],MATCH(AD$2,SP_AcqTract_DB[#Headers],0),FALSE),"")</f>
        <v>0</v>
      </c>
      <c r="AE85" s="250" t="str">
        <f>IFERROR(IF(VLOOKUP(CONCATENATE($A85,"_",AE$1),SP_ACQ_Lib[],MATCH(AE$2,SP_ACQ_Lib[#Headers],0),FALSE)=0,"",VLOOKUP(CONCATENATE($A85,"_",AE$1),SP_ACQ_Lib[],MATCH(AE$2,SP_ACQ_Lib[#Headers],0),FALSE)),"")</f>
        <v/>
      </c>
      <c r="AF85" s="250" t="str">
        <f>IFERROR(IF(VLOOKUP(CONCATENATE($A85,"_",AF$1),SP_ACQ_Lib[],MATCH(AF$2,SP_ACQ_Lib[#Headers],0),FALSE)=0,"",VLOOKUP(CONCATENATE($A85,"_",AF$1),SP_ACQ_Lib[],MATCH(AF$2,SP_ACQ_Lib[#Headers],0),FALSE)),"")</f>
        <v/>
      </c>
      <c r="AG85" s="250" t="str">
        <f>IFERROR(IF(VLOOKUP(CONCATENATE($A85,"_",AG$1),SP_ACQ_Lib[],MATCH(AG$2,SP_ACQ_Lib[#Headers],0),FALSE)=0,"",VLOOKUP(CONCATENATE($A85,"_",AG$1),SP_ACQ_Lib[],MATCH(AG$2,SP_ACQ_Lib[#Headers],0),FALSE)),"")</f>
        <v/>
      </c>
      <c r="AH85" s="250" t="str">
        <f>IFERROR(IF(VLOOKUP(CONCATENATE($A85,"_",AH$1),SP_ACQ_Lib[],MATCH(AH$2,SP_ACQ_Lib[#Headers],0),FALSE)=0,"",VLOOKUP(CONCATENATE($A85,"_",AH$1),SP_ACQ_Lib[],MATCH(AH$2,SP_ACQ_Lib[#Headers],0),FALSE)),"")</f>
        <v/>
      </c>
      <c r="AI85" s="249" t="str">
        <f>IFERROR(IF(VLOOKUP(CONCATENATE($A85,"_",AI$1),SP_ACQ_Lib[],MATCH(AI$2,SP_ACQ_Lib[#Headers],0),FALSE)=0,"",VLOOKUP(CONCATENATE($A85,"_",AI$1),SP_ACQ_Lib[],MATCH(AI$2,SP_ACQ_Lib[#Headers],0),FALSE)),"")</f>
        <v/>
      </c>
      <c r="AJ85" s="249" t="str">
        <f>IFERROR(IF(VLOOKUP(CONCATENATE($A85,"_",AJ$1),SP_ACQ_Lib[],MATCH(AJ$2,SP_ACQ_Lib[#Headers],0),FALSE)=0,"",VLOOKUP(CONCATENATE($A85,"_",AJ$1),SP_ACQ_Lib[],MATCH(AJ$2,SP_ACQ_Lib[#Headers],0),FALSE)),"")</f>
        <v/>
      </c>
      <c r="AK85" s="249" t="str">
        <f>IFERROR(IF(VLOOKUP(CONCATENATE($A85,"_",AK$1),SP_ACQ_Lib[],MATCH(AK$2,SP_ACQ_Lib[#Headers],0),FALSE)=0,"",VLOOKUP(CONCATENATE($A85,"_",AK$1),SP_ACQ_Lib[],MATCH(AK$2,SP_ACQ_Lib[#Headers],0),FALSE)),"")</f>
        <v/>
      </c>
      <c r="AL85" s="249">
        <f>IFERROR(VLOOKUP($A85,SP_AcqTract_DB[],MATCH(AL$2,SP_AcqTract_DB[#Headers],0),FALSE),"")</f>
        <v>0</v>
      </c>
      <c r="AM85" s="227">
        <f>IFERROR(VLOOKUP($A85,SP_AcqTract_DB[],MATCH(AM$2,SP_AcqTract_DB[#Headers],0),FALSE),"")</f>
        <v>0</v>
      </c>
      <c r="AN85" s="227">
        <f>IFERROR(VLOOKUP($A85,SP_AcqTract_DB[],MATCH(AN$2,SP_AcqTract_DB[#Headers],0),FALSE),"")</f>
        <v>0</v>
      </c>
      <c r="AO85" s="228">
        <f>IFERROR(VLOOKUP($A85,SP_AcqTract_DB[],MATCH(AO$2,SP_AcqTract_DB[#Headers],0),FALSE),"")</f>
        <v>0</v>
      </c>
      <c r="AP85" s="210">
        <f>IFERROR(VLOOKUP($A85,SP_AcqTract_DB[],MATCH(AP$2,SP_AcqTract_DB[#Headers],0),FALSE),"")</f>
        <v>0</v>
      </c>
      <c r="AQ85" s="252" t="str">
        <f>IFERROR(IF(VLOOKUP(CONCATENATE($A85,"_",AQ$1),SP_ACQ_Lib[],MATCH(AQ$2,SP_ACQ_Lib[#Headers],0),FALSE)=0,"",VLOOKUP(CONCATENATE($A85,"_",AQ$1),SP_ACQ_Lib[],MATCH(AQ$2,SP_ACQ_Lib[#Headers],0),FALSE)),"")</f>
        <v/>
      </c>
      <c r="AR85" s="250" t="str">
        <f>IFERROR(IF(VLOOKUP(CONCATENATE($A85,"_",AR$1),SP_ACQ_Lib[],MATCH(AR$2,SP_ACQ_Lib[#Headers],0),FALSE)=0,"",VLOOKUP(CONCATENATE($A85,"_",AR$1),SP_ACQ_Lib[],MATCH(AR$2,SP_ACQ_Lib[#Headers],0),FALSE)),"")</f>
        <v/>
      </c>
      <c r="AS85" s="249" t="str">
        <f>IFERROR(IF(VLOOKUP(CONCATENATE($A85,"_",AS$1),SP_ACQ_Lib[],MATCH(AS$2,SP_ACQ_Lib[#Headers],0),FALSE)=0,"",VLOOKUP(CONCATENATE($A85,"_",AS$1),SP_ACQ_Lib[],MATCH(AS$2,SP_ACQ_Lib[#Headers],0),FALSE)),"")</f>
        <v/>
      </c>
      <c r="AT85" s="251" t="str">
        <f>IFERROR(IF(VLOOKUP(CONCATENATE($A85,"_",AT$1),SP_ACQ_Lib[],MATCH(AT$2,SP_ACQ_Lib[#Headers],0),FALSE)=0,"",VLOOKUP(CONCATENATE($A85,"_",AT$1),SP_ACQ_Lib[],MATCH(AT$2,SP_ACQ_Lib[#Headers],0),FALSE)),"")</f>
        <v/>
      </c>
      <c r="AU85" s="251" t="str">
        <f>IFERROR(IF(VLOOKUP(CONCATENATE($A85,"_",AU$1),SP_ACQ_Lib[],MATCH(AU$2,SP_ACQ_Lib[#Headers],0),FALSE)=0,"",VLOOKUP(CONCATENATE($A85,"_",AU$1),SP_ACQ_Lib[],MATCH(AU$2,SP_ACQ_Lib[#Headers],0),FALSE)),"")</f>
        <v/>
      </c>
      <c r="AV85" s="225" t="str">
        <f>IFERROR(IF(VLOOKUP(CONCATENATE($A85,"_",AV$1),SP_ACQ_Lib[],MATCH(AV$2,SP_ACQ_Lib[#Headers],0),FALSE)=0,"",VLOOKUP(CONCATENATE($A85,"_",AV$1),SP_ACQ_Lib[],MATCH(AV$2,SP_ACQ_Lib[#Headers],0),FALSE)),"")</f>
        <v/>
      </c>
      <c r="AW85" s="251" t="str">
        <f>IFERROR(IF(VLOOKUP(CONCATENATE($A85,"_",AW$1),SP_ACQ_Lib[],MATCH(AW$2,SP_ACQ_Lib[#Headers],0),FALSE)=0,"",VLOOKUP(CONCATENATE($A85,"_",AW$1),SP_ACQ_Lib[],MATCH(AW$2,SP_ACQ_Lib[#Headers],0),FALSE)),"")</f>
        <v/>
      </c>
      <c r="AX85" s="251" t="str">
        <f>IFERROR(IF(VLOOKUP(CONCATENATE($A85,"_",AX$1),SP_ACQ_Lib[],MATCH(AX$2,SP_ACQ_Lib[#Headers],0),FALSE)=0,"",VLOOKUP(CONCATENATE($A85,"_",AX$1),SP_ACQ_Lib[],MATCH(AX$2,SP_ACQ_Lib[#Headers],0),FALSE)),"")</f>
        <v/>
      </c>
      <c r="AY85" s="251" t="str">
        <f>IFERROR(IF(VLOOKUP(CONCATENATE($A85,"_",AY$1),SP_ACQ_Lib[],MATCH(AY$2,SP_ACQ_Lib[#Headers],0),FALSE)=0,"",VLOOKUP(CONCATENATE($A85,"_",AY$1),SP_ACQ_Lib[],MATCH(AY$2,SP_ACQ_Lib[#Headers],0),FALSE)),"")</f>
        <v/>
      </c>
      <c r="AZ85" s="251" t="str">
        <f>IFERROR(IF(VLOOKUP(CONCATENATE($A85,"_",AZ$1),SP_ACQ_Lib[],MATCH(AZ$2,SP_ACQ_Lib[#Headers],0),FALSE)=0,"",VLOOKUP(CONCATENATE($A85,"_",AZ$1),SP_ACQ_Lib[],MATCH(AZ$2,SP_ACQ_Lib[#Headers],0),FALSE)),"")</f>
        <v/>
      </c>
      <c r="BA85" s="251" t="str">
        <f>IFERROR(IF(VLOOKUP(CONCATENATE($A85,"_",BA$1),SP_ACQ_Lib[],MATCH(BA$2,SP_ACQ_Lib[#Headers],0),FALSE)=0,"",VLOOKUP(CONCATENATE($A85,"_",BA$1),SP_ACQ_Lib[],MATCH(BA$2,SP_ACQ_Lib[#Headers],0),FALSE)),"")</f>
        <v/>
      </c>
      <c r="BB85" s="224">
        <f>IFERROR(VLOOKUP(CONCATENATE($A85,"_",BB$1),SP_ACQ_Lib[],MATCH(BB$2,SP_ACQ_Lib[#Headers],0),FALSE),0)</f>
        <v>0</v>
      </c>
      <c r="BC85" s="231">
        <f>IFERROR(VLOOKUP($A85,SP_AcqTract_DB[],MATCH(BC$2,SP_AcqTract_DB[#Headers],0),FALSE),"")</f>
        <v>0</v>
      </c>
      <c r="BD85" s="231">
        <f>IFERROR(VLOOKUP($A85,SP_AcqTract_DB[],MATCH(BD$2,SP_AcqTract_DB[#Headers],0),FALSE),"")</f>
        <v>0</v>
      </c>
      <c r="BE85" s="249" t="str">
        <f>IFERROR(IF(VLOOKUP(CONCATENATE($A85,"_",BE$1),SP_ACQ_Lib[],MATCH(BE$2,SP_ACQ_Lib[#Headers],0),FALSE)=0,"",VLOOKUP(CONCATENATE($A85,"_",BE$1),SP_ACQ_Lib[],MATCH(BE$2,SP_ACQ_Lib[#Headers],0),FALSE)),"")</f>
        <v/>
      </c>
      <c r="BF85" s="249" t="str">
        <f>IFERROR(IF(VLOOKUP(CONCATENATE($A85,"_",BF$1),SP_ACQ_Lib[],MATCH(BF$2,SP_ACQ_Lib[#Headers],0),FALSE)=0,"",VLOOKUP(CONCATENATE($A85,"_",BF$1),SP_ACQ_Lib[],MATCH(BF$2,SP_ACQ_Lib[#Headers],0),FALSE)),"")</f>
        <v/>
      </c>
      <c r="BG85" s="249" t="str">
        <f>IFERROR(IF(VLOOKUP(CONCATENATE($A85,"_",BG$1),SP_ACQ_Lib[],MATCH(BG$2,SP_ACQ_Lib[#Headers],0),FALSE)=0,"",VLOOKUP(CONCATENATE($A85,"_",BG$1),SP_ACQ_Lib[],MATCH(BG$2,SP_ACQ_Lib[#Headers],0),FALSE)),"")</f>
        <v/>
      </c>
      <c r="BH85" s="249" t="str">
        <f>IFERROR(IF(VLOOKUP(CONCATENATE($A85,"_",BH$1),SP_ACQ_Lib[],MATCH(BH$2,SP_ACQ_Lib[#Headers],0),FALSE)=0,"",VLOOKUP(CONCATENATE($A85,"_",BH$1),SP_ACQ_Lib[],MATCH(BH$2,SP_ACQ_Lib[#Headers],0),FALSE)),"")</f>
        <v/>
      </c>
      <c r="BI85" s="249" t="str">
        <f>IFERROR(IF(VLOOKUP(CONCATENATE($A85,"_",BI$1),SP_ACQ_Lib[],MATCH(BI$2,SP_ACQ_Lib[#Headers],0),FALSE)=0,"",VLOOKUP(CONCATENATE($A85,"_",BI$1),SP_ACQ_Lib[],MATCH(BI$2,SP_ACQ_Lib[#Headers],0),FALSE)),"")</f>
        <v/>
      </c>
      <c r="BJ85" s="249" t="str">
        <f>IFERROR(IF(VLOOKUP(CONCATENATE($A85,"_",BJ$1),SP_ACQ_Lib[],MATCH(BJ$2,SP_ACQ_Lib[#Headers],0),FALSE)=0,"",VLOOKUP(CONCATENATE($A85,"_",BJ$1),SP_ACQ_Lib[],MATCH(BJ$2,SP_ACQ_Lib[#Headers],0),FALSE)),"")</f>
        <v/>
      </c>
      <c r="BK85" s="250" t="str">
        <f>IFERROR(IF(VLOOKUP(CONCATENATE($A85,"_",BK$1),SP_ACQ_Lib[],MATCH(BK$2,SP_ACQ_Lib[#Headers],0),FALSE)=0,"",VLOOKUP(CONCATENATE($A85,"_",BK$1),SP_ACQ_Lib[],MATCH(BK$2,SP_ACQ_Lib[#Headers],0),FALSE)),"")</f>
        <v/>
      </c>
      <c r="BL85" s="249" t="str">
        <f>IFERROR(IF(VLOOKUP(CONCATENATE($A85,"_",BL$1),SP_ACQ_Lib[],MATCH(BL$2,SP_ACQ_Lib[#Headers],0),FALSE)=0,"",VLOOKUP(CONCATENATE($A85,"_",BL$1),SP_ACQ_Lib[],MATCH(BL$2,SP_ACQ_Lib[#Headers],0),FALSE)),"")</f>
        <v/>
      </c>
      <c r="BM85" s="249" t="str">
        <f>IFERROR(IF(VLOOKUP(CONCATENATE($A85,"_",BM$1),SP_ACQ_Lib[],MATCH(BM$2,SP_ACQ_Lib[#Headers],0),FALSE)=0,"",VLOOKUP(CONCATENATE($A85,"_",BM$1),SP_ACQ_Lib[],MATCH(BM$2,SP_ACQ_Lib[#Headers],0),FALSE)),"")</f>
        <v/>
      </c>
      <c r="BN85" s="249" t="str">
        <f>IFERROR(IF(VLOOKUP(CONCATENATE($A85,"_",BN$1),SP_ACQ_Lib[],MATCH(BN$2,SP_ACQ_Lib[#Headers],0),FALSE)=0,"",VLOOKUP(CONCATENATE($A85,"_",BN$1),SP_ACQ_Lib[],MATCH(BN$2,SP_ACQ_Lib[#Headers],0),FALSE)),"")</f>
        <v/>
      </c>
    </row>
    <row r="86" spans="1:66" s="226" customFormat="1" ht="15.75" x14ac:dyDescent="0.2">
      <c r="A86" s="192" t="s">
        <v>5291</v>
      </c>
      <c r="B86" s="227" t="str">
        <f>IFERROR(VLOOKUP($A86,SP_AcqTract_DB[],MATCH(B$2,SP_AcqTract_DB[#Headers],0),FALSE),"")</f>
        <v>R026931</v>
      </c>
      <c r="C86" s="228" t="str">
        <f>IFERROR(VLOOKUP($A86,SP_AcqTract_DB[],MATCH(C$2,SP_AcqTract_DB[#Headers],0),FALSE),"")</f>
        <v>PH2</v>
      </c>
      <c r="D86" s="208" t="str">
        <f>IFERROR(VLOOKUP($A86,SP_AcqTract_DB[],MATCH(D$2,SP_AcqTract_DB[#Headers],0),FALSE),"")</f>
        <v>Active</v>
      </c>
      <c r="E86" s="208">
        <f>IFERROR(VLOOKUP($A86,SP_AcqTract_DB[],MATCH(E$2,SP_AcqTract_DB[#Headers],0),FALSE),"")</f>
        <v>0</v>
      </c>
      <c r="F86" s="227">
        <f>IFERROR(VLOOKUP($A86,SP_AcqTract_DB[],MATCH(F$2,SP_AcqTract_DB[#Headers],0),FALSE),"")</f>
        <v>0</v>
      </c>
      <c r="G86" s="227" t="str">
        <f>IFERROR(VLOOKUP($A86,SP_AcqTract_DB[],MATCH(G$2,SP_AcqTract_DB[#Headers],0),FALSE),"")</f>
        <v>Elizabeth Taylor</v>
      </c>
      <c r="H86" s="250">
        <f>IFERROR(IF(VLOOKUP(CONCATENATE($A86,"_",H$1),SP_ACQ_Lib[],MATCH(H$2,SP_ACQ_Lib[#Headers],0),FALSE)=0,"",VLOOKUP(CONCATENATE($A86,"_",H$1),SP_ACQ_Lib[],MATCH(H$2,SP_ACQ_Lib[#Headers],0),FALSE)),"")</f>
        <v>44014.490104166667</v>
      </c>
      <c r="I86" s="227" t="str">
        <f>IFERROR(VLOOKUP($A86,SP_AcqTract_DB[],MATCH(I$2,SP_AcqTract_DB[#Headers],0),FALSE),"")</f>
        <v>Felcman Frank J Etux Judy M</v>
      </c>
      <c r="J86" s="227">
        <f>IFERROR(VLOOKUP($A86,SP_AcqTract_DB[],MATCH(J$2,SP_AcqTract_DB[#Headers],0),FALSE),"")</f>
        <v>0</v>
      </c>
      <c r="K86" s="227">
        <f>IFERROR(VLOOKUP($A86,SP_AcqTract_DB[],MATCH(K$2,SP_AcqTract_DB[#Headers],0),FALSE),"")</f>
        <v>0</v>
      </c>
      <c r="L86" s="227">
        <f>IFERROR(VLOOKUP($A86,SP_AcqTract_DB[],MATCH(L$2,SP_AcqTract_DB[#Headers],0),FALSE),"")</f>
        <v>0</v>
      </c>
      <c r="M86" s="208">
        <f>IFERROR(VLOOKUP($A86,SP_AcqTract_DB[],MATCH(M$2,SP_AcqTract_DB[#Headers],0),FALSE),"")</f>
        <v>0</v>
      </c>
      <c r="N86" s="227" t="str">
        <f>IFERROR(VLOOKUP($A86,SP_AcqTract_DB[],MATCH(N$2,SP_AcqTract_DB[#Headers],0),FALSE),"")</f>
        <v>409 MOERS LN</v>
      </c>
      <c r="O86" s="220">
        <f>IFERROR(VLOOKUP($A86,SP_AcqTract_DB[],MATCH(O$2,SP_AcqTract_DB[#Headers],0),FALSE),"")</f>
        <v>0</v>
      </c>
      <c r="P86" s="220">
        <f>IFERROR(VLOOKUP($A86,SP_AcqTract_DB[],MATCH(P$2,SP_AcqTract_DB[#Headers],0),FALSE),"")</f>
        <v>0</v>
      </c>
      <c r="Q86" s="208">
        <f>IFERROR(VLOOKUP($A86,SP_AcqTract_DB[],MATCH(Q$2,SP_AcqTract_DB[#Headers],0),FALSE),"")</f>
        <v>0</v>
      </c>
      <c r="R86" s="250" t="str">
        <f>IFERROR(IF(VLOOKUP(CONCATENATE($A86,"_",R$1),SP_ACQ_Lib[],MATCH(R$2,SP_ACQ_Lib[#Headers],0),FALSE)=0,"",VLOOKUP(CONCATENATE($A86,"_",R$1),SP_ACQ_Lib[],MATCH(R$2,SP_ACQ_Lib[#Headers],0),FALSE)),"")</f>
        <v/>
      </c>
      <c r="S86" s="253" t="str">
        <f>IFERROR(IF(VLOOKUP(CONCATENATE($A86,"_",S$1),SP_ACQ_Lib[],MATCH(S$2,SP_ACQ_Lib[#Headers],0),FALSE)=0,"",VLOOKUP(CONCATENATE($A86,"_",S$1),SP_ACQ_Lib[],MATCH(S$2,SP_ACQ_Lib[#Headers],0),FALSE)),"")</f>
        <v/>
      </c>
      <c r="T86" s="205">
        <f>IFERROR(VLOOKUP(CONCATENATE($A86,"_",T$1),SP_ACQ_Lib[],MATCH(T$2,SP_ACQ_Lib[#Headers],0),FALSE),0)</f>
        <v>0</v>
      </c>
      <c r="U86" s="250" t="str">
        <f>IFERROR(IF(VLOOKUP(CONCATENATE($A86,"_",U$1),SP_ACQ_Lib[],MATCH(U$2,SP_ACQ_Lib[#Headers],0),FALSE)=0,"",VLOOKUP(CONCATENATE($A86,"_",U$1),SP_ACQ_Lib[],MATCH(U$2,SP_ACQ_Lib[#Headers],0),FALSE)),"")</f>
        <v/>
      </c>
      <c r="V86" s="205" t="str">
        <f>IFERROR(VLOOKUP(CONCATENATE($A86,"_",V$1),SP_ACQ_Lib[],MATCH(V$2,SP_ACQ_Lib[#Headers],0),FALSE),0)</f>
        <v>Accepted</v>
      </c>
      <c r="W86" s="209">
        <f>IFERROR(VLOOKUP(CONCATENATE($A86,"_",W$1),SP_ACQ_Lib[],MATCH(W$2,SP_ACQ_Lib[#Headers],0),FALSE),0)</f>
        <v>0</v>
      </c>
      <c r="X86" s="250">
        <f>IFERROR(VLOOKUP($A86,SP_AcqTract_DB[],MATCH(X$2,SP_AcqTract_DB[#Headers],0),FALSE),"")</f>
        <v>0</v>
      </c>
      <c r="Y86" s="237">
        <f>IFERROR(VLOOKUP($A86,SP_AcqTract_DB[],MATCH(Y$2,SP_AcqTract_DB[#Headers],0),FALSE),"")</f>
        <v>0</v>
      </c>
      <c r="Z86" s="229">
        <f>IFERROR(VLOOKUP($A86,SP_AcqTract_DB[],MATCH(Z$2,SP_AcqTract_DB[#Headers],0),FALSE),"")</f>
        <v>0</v>
      </c>
      <c r="AA86" s="229">
        <f>IFERROR(VLOOKUP($A86,SP_AcqTract_DB[],MATCH(AA$2,SP_AcqTract_DB[#Headers],0),FALSE),"")</f>
        <v>0</v>
      </c>
      <c r="AB86" s="250" t="str">
        <f>IFERROR(IF(VLOOKUP(CONCATENATE($A86,"_",AB$1),SP_ACQ_Lib[],MATCH(AB$2,SP_ACQ_Lib[#Headers],0),FALSE)=0,"",VLOOKUP(CONCATENATE($A86,"_",AB$1),SP_ACQ_Lib[],MATCH(AB$2,SP_ACQ_Lib[#Headers],0),FALSE)),"")</f>
        <v/>
      </c>
      <c r="AC86" s="250" t="str">
        <f>IFERROR(IF(VLOOKUP(CONCATENATE($A86,"_",AC$1),SP_ACQ_Lib[],MATCH(AC$2,SP_ACQ_Lib[#Headers],0),FALSE)=0,"",VLOOKUP(CONCATENATE($A86,"_",AC$1),SP_ACQ_Lib[],MATCH(AC$2,SP_ACQ_Lib[#Headers],0),FALSE)),"")</f>
        <v/>
      </c>
      <c r="AD86" s="229">
        <f>IFERROR(VLOOKUP($A86,SP_AcqTract_DB[],MATCH(AD$2,SP_AcqTract_DB[#Headers],0),FALSE),"")</f>
        <v>0</v>
      </c>
      <c r="AE86" s="250" t="str">
        <f>IFERROR(IF(VLOOKUP(CONCATENATE($A86,"_",AE$1),SP_ACQ_Lib[],MATCH(AE$2,SP_ACQ_Lib[#Headers],0),FALSE)=0,"",VLOOKUP(CONCATENATE($A86,"_",AE$1),SP_ACQ_Lib[],MATCH(AE$2,SP_ACQ_Lib[#Headers],0),FALSE)),"")</f>
        <v/>
      </c>
      <c r="AF86" s="250" t="str">
        <f>IFERROR(IF(VLOOKUP(CONCATENATE($A86,"_",AF$1),SP_ACQ_Lib[],MATCH(AF$2,SP_ACQ_Lib[#Headers],0),FALSE)=0,"",VLOOKUP(CONCATENATE($A86,"_",AF$1),SP_ACQ_Lib[],MATCH(AF$2,SP_ACQ_Lib[#Headers],0),FALSE)),"")</f>
        <v/>
      </c>
      <c r="AG86" s="250" t="str">
        <f>IFERROR(IF(VLOOKUP(CONCATENATE($A86,"_",AG$1),SP_ACQ_Lib[],MATCH(AG$2,SP_ACQ_Lib[#Headers],0),FALSE)=0,"",VLOOKUP(CONCATENATE($A86,"_",AG$1),SP_ACQ_Lib[],MATCH(AG$2,SP_ACQ_Lib[#Headers],0),FALSE)),"")</f>
        <v/>
      </c>
      <c r="AH86" s="250" t="str">
        <f>IFERROR(IF(VLOOKUP(CONCATENATE($A86,"_",AH$1),SP_ACQ_Lib[],MATCH(AH$2,SP_ACQ_Lib[#Headers],0),FALSE)=0,"",VLOOKUP(CONCATENATE($A86,"_",AH$1),SP_ACQ_Lib[],MATCH(AH$2,SP_ACQ_Lib[#Headers],0),FALSE)),"")</f>
        <v/>
      </c>
      <c r="AI86" s="249">
        <f>IFERROR(IF(VLOOKUP(CONCATENATE($A86,"_",AI$1),SP_ACQ_Lib[],MATCH(AI$2,SP_ACQ_Lib[#Headers],0),FALSE)=0,"",VLOOKUP(CONCATENATE($A86,"_",AI$1),SP_ACQ_Lib[],MATCH(AI$2,SP_ACQ_Lib[#Headers],0),FALSE)),"")</f>
        <v>43984</v>
      </c>
      <c r="AJ86" s="249" t="str">
        <f>IFERROR(IF(VLOOKUP(CONCATENATE($A86,"_",AJ$1),SP_ACQ_Lib[],MATCH(AJ$2,SP_ACQ_Lib[#Headers],0),FALSE)=0,"",VLOOKUP(CONCATENATE($A86,"_",AJ$1),SP_ACQ_Lib[],MATCH(AJ$2,SP_ACQ_Lib[#Headers],0),FALSE)),"")</f>
        <v/>
      </c>
      <c r="AK86" s="249" t="str">
        <f>IFERROR(IF(VLOOKUP(CONCATENATE($A86,"_",AK$1),SP_ACQ_Lib[],MATCH(AK$2,SP_ACQ_Lib[#Headers],0),FALSE)=0,"",VLOOKUP(CONCATENATE($A86,"_",AK$1),SP_ACQ_Lib[],MATCH(AK$2,SP_ACQ_Lib[#Headers],0),FALSE)),"")</f>
        <v/>
      </c>
      <c r="AL86" s="249">
        <f>IFERROR(VLOOKUP($A86,SP_AcqTract_DB[],MATCH(AL$2,SP_AcqTract_DB[#Headers],0),FALSE),"")</f>
        <v>0</v>
      </c>
      <c r="AM86" s="227">
        <f>IFERROR(VLOOKUP($A86,SP_AcqTract_DB[],MATCH(AM$2,SP_AcqTract_DB[#Headers],0),FALSE),"")</f>
        <v>0</v>
      </c>
      <c r="AN86" s="227">
        <f>IFERROR(VLOOKUP($A86,SP_AcqTract_DB[],MATCH(AN$2,SP_AcqTract_DB[#Headers],0),FALSE),"")</f>
        <v>0</v>
      </c>
      <c r="AO86" s="228">
        <f>IFERROR(VLOOKUP($A86,SP_AcqTract_DB[],MATCH(AO$2,SP_AcqTract_DB[#Headers],0),FALSE),"")</f>
        <v>0</v>
      </c>
      <c r="AP86" s="210">
        <f>IFERROR(VLOOKUP($A86,SP_AcqTract_DB[],MATCH(AP$2,SP_AcqTract_DB[#Headers],0),FALSE),"")</f>
        <v>0</v>
      </c>
      <c r="AQ86" s="252" t="str">
        <f>IFERROR(IF(VLOOKUP(CONCATENATE($A86,"_",AQ$1),SP_ACQ_Lib[],MATCH(AQ$2,SP_ACQ_Lib[#Headers],0),FALSE)=0,"",VLOOKUP(CONCATENATE($A86,"_",AQ$1),SP_ACQ_Lib[],MATCH(AQ$2,SP_ACQ_Lib[#Headers],0),FALSE)),"")</f>
        <v/>
      </c>
      <c r="AR86" s="250" t="str">
        <f>IFERROR(IF(VLOOKUP(CONCATENATE($A86,"_",AR$1),SP_ACQ_Lib[],MATCH(AR$2,SP_ACQ_Lib[#Headers],0),FALSE)=0,"",VLOOKUP(CONCATENATE($A86,"_",AR$1),SP_ACQ_Lib[],MATCH(AR$2,SP_ACQ_Lib[#Headers],0),FALSE)),"")</f>
        <v/>
      </c>
      <c r="AS86" s="249" t="str">
        <f>IFERROR(IF(VLOOKUP(CONCATENATE($A86,"_",AS$1),SP_ACQ_Lib[],MATCH(AS$2,SP_ACQ_Lib[#Headers],0),FALSE)=0,"",VLOOKUP(CONCATENATE($A86,"_",AS$1),SP_ACQ_Lib[],MATCH(AS$2,SP_ACQ_Lib[#Headers],0),FALSE)),"")</f>
        <v/>
      </c>
      <c r="AT86" s="251" t="str">
        <f>IFERROR(IF(VLOOKUP(CONCATENATE($A86,"_",AT$1),SP_ACQ_Lib[],MATCH(AT$2,SP_ACQ_Lib[#Headers],0),FALSE)=0,"",VLOOKUP(CONCATENATE($A86,"_",AT$1),SP_ACQ_Lib[],MATCH(AT$2,SP_ACQ_Lib[#Headers],0),FALSE)),"")</f>
        <v/>
      </c>
      <c r="AU86" s="251" t="str">
        <f>IFERROR(IF(VLOOKUP(CONCATENATE($A86,"_",AU$1),SP_ACQ_Lib[],MATCH(AU$2,SP_ACQ_Lib[#Headers],0),FALSE)=0,"",VLOOKUP(CONCATENATE($A86,"_",AU$1),SP_ACQ_Lib[],MATCH(AU$2,SP_ACQ_Lib[#Headers],0),FALSE)),"")</f>
        <v/>
      </c>
      <c r="AV86" s="225" t="str">
        <f>IFERROR(IF(VLOOKUP(CONCATENATE($A86,"_",AV$1),SP_ACQ_Lib[],MATCH(AV$2,SP_ACQ_Lib[#Headers],0),FALSE)=0,"",VLOOKUP(CONCATENATE($A86,"_",AV$1),SP_ACQ_Lib[],MATCH(AV$2,SP_ACQ_Lib[#Headers],0),FALSE)),"")</f>
        <v/>
      </c>
      <c r="AW86" s="251" t="str">
        <f>IFERROR(IF(VLOOKUP(CONCATENATE($A86,"_",AW$1),SP_ACQ_Lib[],MATCH(AW$2,SP_ACQ_Lib[#Headers],0),FALSE)=0,"",VLOOKUP(CONCATENATE($A86,"_",AW$1),SP_ACQ_Lib[],MATCH(AW$2,SP_ACQ_Lib[#Headers],0),FALSE)),"")</f>
        <v/>
      </c>
      <c r="AX86" s="251" t="str">
        <f>IFERROR(IF(VLOOKUP(CONCATENATE($A86,"_",AX$1),SP_ACQ_Lib[],MATCH(AX$2,SP_ACQ_Lib[#Headers],0),FALSE)=0,"",VLOOKUP(CONCATENATE($A86,"_",AX$1),SP_ACQ_Lib[],MATCH(AX$2,SP_ACQ_Lib[#Headers],0),FALSE)),"")</f>
        <v/>
      </c>
      <c r="AY86" s="251" t="str">
        <f>IFERROR(IF(VLOOKUP(CONCATENATE($A86,"_",AY$1),SP_ACQ_Lib[],MATCH(AY$2,SP_ACQ_Lib[#Headers],0),FALSE)=0,"",VLOOKUP(CONCATENATE($A86,"_",AY$1),SP_ACQ_Lib[],MATCH(AY$2,SP_ACQ_Lib[#Headers],0),FALSE)),"")</f>
        <v/>
      </c>
      <c r="AZ86" s="251" t="str">
        <f>IFERROR(IF(VLOOKUP(CONCATENATE($A86,"_",AZ$1),SP_ACQ_Lib[],MATCH(AZ$2,SP_ACQ_Lib[#Headers],0),FALSE)=0,"",VLOOKUP(CONCATENATE($A86,"_",AZ$1),SP_ACQ_Lib[],MATCH(AZ$2,SP_ACQ_Lib[#Headers],0),FALSE)),"")</f>
        <v/>
      </c>
      <c r="BA86" s="251" t="str">
        <f>IFERROR(IF(VLOOKUP(CONCATENATE($A86,"_",BA$1),SP_ACQ_Lib[],MATCH(BA$2,SP_ACQ_Lib[#Headers],0),FALSE)=0,"",VLOOKUP(CONCATENATE($A86,"_",BA$1),SP_ACQ_Lib[],MATCH(BA$2,SP_ACQ_Lib[#Headers],0),FALSE)),"")</f>
        <v/>
      </c>
      <c r="BB86" s="224">
        <f>IFERROR(VLOOKUP(CONCATENATE($A86,"_",BB$1),SP_ACQ_Lib[],MATCH(BB$2,SP_ACQ_Lib[#Headers],0),FALSE),0)</f>
        <v>0</v>
      </c>
      <c r="BC86" s="231">
        <f>IFERROR(VLOOKUP($A86,SP_AcqTract_DB[],MATCH(BC$2,SP_AcqTract_DB[#Headers],0),FALSE),"")</f>
        <v>0</v>
      </c>
      <c r="BD86" s="231">
        <f>IFERROR(VLOOKUP($A86,SP_AcqTract_DB[],MATCH(BD$2,SP_AcqTract_DB[#Headers],0),FALSE),"")</f>
        <v>0</v>
      </c>
      <c r="BE86" s="249" t="str">
        <f>IFERROR(IF(VLOOKUP(CONCATENATE($A86,"_",BE$1),SP_ACQ_Lib[],MATCH(BE$2,SP_ACQ_Lib[#Headers],0),FALSE)=0,"",VLOOKUP(CONCATENATE($A86,"_",BE$1),SP_ACQ_Lib[],MATCH(BE$2,SP_ACQ_Lib[#Headers],0),FALSE)),"")</f>
        <v/>
      </c>
      <c r="BF86" s="249" t="str">
        <f>IFERROR(IF(VLOOKUP(CONCATENATE($A86,"_",BF$1),SP_ACQ_Lib[],MATCH(BF$2,SP_ACQ_Lib[#Headers],0),FALSE)=0,"",VLOOKUP(CONCATENATE($A86,"_",BF$1),SP_ACQ_Lib[],MATCH(BF$2,SP_ACQ_Lib[#Headers],0),FALSE)),"")</f>
        <v/>
      </c>
      <c r="BG86" s="249" t="str">
        <f>IFERROR(IF(VLOOKUP(CONCATENATE($A86,"_",BG$1),SP_ACQ_Lib[],MATCH(BG$2,SP_ACQ_Lib[#Headers],0),FALSE)=0,"",VLOOKUP(CONCATENATE($A86,"_",BG$1),SP_ACQ_Lib[],MATCH(BG$2,SP_ACQ_Lib[#Headers],0),FALSE)),"")</f>
        <v/>
      </c>
      <c r="BH86" s="249" t="str">
        <f>IFERROR(IF(VLOOKUP(CONCATENATE($A86,"_",BH$1),SP_ACQ_Lib[],MATCH(BH$2,SP_ACQ_Lib[#Headers],0),FALSE)=0,"",VLOOKUP(CONCATENATE($A86,"_",BH$1),SP_ACQ_Lib[],MATCH(BH$2,SP_ACQ_Lib[#Headers],0),FALSE)),"")</f>
        <v/>
      </c>
      <c r="BI86" s="249" t="str">
        <f>IFERROR(IF(VLOOKUP(CONCATENATE($A86,"_",BI$1),SP_ACQ_Lib[],MATCH(BI$2,SP_ACQ_Lib[#Headers],0),FALSE)=0,"",VLOOKUP(CONCATENATE($A86,"_",BI$1),SP_ACQ_Lib[],MATCH(BI$2,SP_ACQ_Lib[#Headers],0),FALSE)),"")</f>
        <v/>
      </c>
      <c r="BJ86" s="249" t="str">
        <f>IFERROR(IF(VLOOKUP(CONCATENATE($A86,"_",BJ$1),SP_ACQ_Lib[],MATCH(BJ$2,SP_ACQ_Lib[#Headers],0),FALSE)=0,"",VLOOKUP(CONCATENATE($A86,"_",BJ$1),SP_ACQ_Lib[],MATCH(BJ$2,SP_ACQ_Lib[#Headers],0),FALSE)),"")</f>
        <v/>
      </c>
      <c r="BK86" s="250" t="str">
        <f>IFERROR(IF(VLOOKUP(CONCATENATE($A86,"_",BK$1),SP_ACQ_Lib[],MATCH(BK$2,SP_ACQ_Lib[#Headers],0),FALSE)=0,"",VLOOKUP(CONCATENATE($A86,"_",BK$1),SP_ACQ_Lib[],MATCH(BK$2,SP_ACQ_Lib[#Headers],0),FALSE)),"")</f>
        <v/>
      </c>
      <c r="BL86" s="249" t="str">
        <f>IFERROR(IF(VLOOKUP(CONCATENATE($A86,"_",BL$1),SP_ACQ_Lib[],MATCH(BL$2,SP_ACQ_Lib[#Headers],0),FALSE)=0,"",VLOOKUP(CONCATENATE($A86,"_",BL$1),SP_ACQ_Lib[],MATCH(BL$2,SP_ACQ_Lib[#Headers],0),FALSE)),"")</f>
        <v/>
      </c>
      <c r="BM86" s="249" t="str">
        <f>IFERROR(IF(VLOOKUP(CONCATENATE($A86,"_",BM$1),SP_ACQ_Lib[],MATCH(BM$2,SP_ACQ_Lib[#Headers],0),FALSE)=0,"",VLOOKUP(CONCATENATE($A86,"_",BM$1),SP_ACQ_Lib[],MATCH(BM$2,SP_ACQ_Lib[#Headers],0),FALSE)),"")</f>
        <v/>
      </c>
      <c r="BN86" s="249" t="str">
        <f>IFERROR(IF(VLOOKUP(CONCATENATE($A86,"_",BN$1),SP_ACQ_Lib[],MATCH(BN$2,SP_ACQ_Lib[#Headers],0),FALSE)=0,"",VLOOKUP(CONCATENATE($A86,"_",BN$1),SP_ACQ_Lib[],MATCH(BN$2,SP_ACQ_Lib[#Headers],0),FALSE)),"")</f>
        <v/>
      </c>
    </row>
    <row r="87" spans="1:66" s="226" customFormat="1" ht="15.75" x14ac:dyDescent="0.2">
      <c r="A87" s="192" t="s">
        <v>5293</v>
      </c>
      <c r="B87" s="227" t="str">
        <f>IFERROR(VLOOKUP($A87,SP_AcqTract_DB[],MATCH(B$2,SP_AcqTract_DB[#Headers],0),FALSE),"")</f>
        <v>R026936</v>
      </c>
      <c r="C87" s="228" t="str">
        <f>IFERROR(VLOOKUP($A87,SP_AcqTract_DB[],MATCH(C$2,SP_AcqTract_DB[#Headers],0),FALSE),"")</f>
        <v>PH2</v>
      </c>
      <c r="D87" s="208" t="str">
        <f>IFERROR(VLOOKUP($A87,SP_AcqTract_DB[],MATCH(D$2,SP_AcqTract_DB[#Headers],0),FALSE),"")</f>
        <v>Active</v>
      </c>
      <c r="E87" s="208">
        <f>IFERROR(VLOOKUP($A87,SP_AcqTract_DB[],MATCH(E$2,SP_AcqTract_DB[#Headers],0),FALSE),"")</f>
        <v>0</v>
      </c>
      <c r="F87" s="227">
        <f>IFERROR(VLOOKUP($A87,SP_AcqTract_DB[],MATCH(F$2,SP_AcqTract_DB[#Headers],0),FALSE),"")</f>
        <v>0</v>
      </c>
      <c r="G87" s="227" t="str">
        <f>IFERROR(VLOOKUP($A87,SP_AcqTract_DB[],MATCH(G$2,SP_AcqTract_DB[#Headers],0),FALSE),"")</f>
        <v>Melissa DeLeon</v>
      </c>
      <c r="H87" s="250">
        <f>IFERROR(IF(VLOOKUP(CONCATENATE($A87,"_",H$1),SP_ACQ_Lib[],MATCH(H$2,SP_ACQ_Lib[#Headers],0),FALSE)=0,"",VLOOKUP(CONCATENATE($A87,"_",H$1),SP_ACQ_Lib[],MATCH(H$2,SP_ACQ_Lib[#Headers],0),FALSE)),"")</f>
        <v>44004.885578703703</v>
      </c>
      <c r="I87" s="227" t="str">
        <f>IFERROR(VLOOKUP($A87,SP_AcqTract_DB[],MATCH(I$2,SP_AcqTract_DB[#Headers],0),FALSE),"")</f>
        <v>Urbanovsky Joe Jr &amp; Clement Ann C</v>
      </c>
      <c r="J87" s="227">
        <f>IFERROR(VLOOKUP($A87,SP_AcqTract_DB[],MATCH(J$2,SP_AcqTract_DB[#Headers],0),FALSE),"")</f>
        <v>0</v>
      </c>
      <c r="K87" s="227">
        <f>IFERROR(VLOOKUP($A87,SP_AcqTract_DB[],MATCH(K$2,SP_AcqTract_DB[#Headers],0),FALSE),"")</f>
        <v>0</v>
      </c>
      <c r="L87" s="227">
        <f>IFERROR(VLOOKUP($A87,SP_AcqTract_DB[],MATCH(L$2,SP_AcqTract_DB[#Headers],0),FALSE),"")</f>
        <v>0</v>
      </c>
      <c r="M87" s="208">
        <f>IFERROR(VLOOKUP($A87,SP_AcqTract_DB[],MATCH(M$2,SP_AcqTract_DB[#Headers],0),FALSE),"")</f>
        <v>0</v>
      </c>
      <c r="N87" s="227" t="str">
        <f>IFERROR(VLOOKUP($A87,SP_AcqTract_DB[],MATCH(N$2,SP_AcqTract_DB[#Headers],0),FALSE),"")</f>
        <v>4220 LEE LN</v>
      </c>
      <c r="O87" s="220">
        <f>IFERROR(VLOOKUP($A87,SP_AcqTract_DB[],MATCH(O$2,SP_AcqTract_DB[#Headers],0),FALSE),"")</f>
        <v>0</v>
      </c>
      <c r="P87" s="220">
        <f>IFERROR(VLOOKUP($A87,SP_AcqTract_DB[],MATCH(P$2,SP_AcqTract_DB[#Headers],0),FALSE),"")</f>
        <v>0</v>
      </c>
      <c r="Q87" s="208">
        <f>IFERROR(VLOOKUP($A87,SP_AcqTract_DB[],MATCH(Q$2,SP_AcqTract_DB[#Headers],0),FALSE),"")</f>
        <v>0</v>
      </c>
      <c r="R87" s="250" t="str">
        <f>IFERROR(IF(VLOOKUP(CONCATENATE($A87,"_",R$1),SP_ACQ_Lib[],MATCH(R$2,SP_ACQ_Lib[#Headers],0),FALSE)=0,"",VLOOKUP(CONCATENATE($A87,"_",R$1),SP_ACQ_Lib[],MATCH(R$2,SP_ACQ_Lib[#Headers],0),FALSE)),"")</f>
        <v/>
      </c>
      <c r="S87" s="253" t="str">
        <f>IFERROR(IF(VLOOKUP(CONCATENATE($A87,"_",S$1),SP_ACQ_Lib[],MATCH(S$2,SP_ACQ_Lib[#Headers],0),FALSE)=0,"",VLOOKUP(CONCATENATE($A87,"_",S$1),SP_ACQ_Lib[],MATCH(S$2,SP_ACQ_Lib[#Headers],0),FALSE)),"")</f>
        <v/>
      </c>
      <c r="T87" s="205">
        <f>IFERROR(VLOOKUP(CONCATENATE($A87,"_",T$1),SP_ACQ_Lib[],MATCH(T$2,SP_ACQ_Lib[#Headers],0),FALSE),0)</f>
        <v>0</v>
      </c>
      <c r="U87" s="250" t="str">
        <f>IFERROR(IF(VLOOKUP(CONCATENATE($A87,"_",U$1),SP_ACQ_Lib[],MATCH(U$2,SP_ACQ_Lib[#Headers],0),FALSE)=0,"",VLOOKUP(CONCATENATE($A87,"_",U$1),SP_ACQ_Lib[],MATCH(U$2,SP_ACQ_Lib[#Headers],0),FALSE)),"")</f>
        <v/>
      </c>
      <c r="V87" s="205" t="str">
        <f>IFERROR(VLOOKUP(CONCATENATE($A87,"_",V$1),SP_ACQ_Lib[],MATCH(V$2,SP_ACQ_Lib[#Headers],0),FALSE),0)</f>
        <v>Accepted</v>
      </c>
      <c r="W87" s="209">
        <f>IFERROR(VLOOKUP(CONCATENATE($A87,"_",W$1),SP_ACQ_Lib[],MATCH(W$2,SP_ACQ_Lib[#Headers],0),FALSE),0)</f>
        <v>0</v>
      </c>
      <c r="X87" s="250">
        <f>IFERROR(VLOOKUP($A87,SP_AcqTract_DB[],MATCH(X$2,SP_AcqTract_DB[#Headers],0),FALSE),"")</f>
        <v>0</v>
      </c>
      <c r="Y87" s="237">
        <f>IFERROR(VLOOKUP($A87,SP_AcqTract_DB[],MATCH(Y$2,SP_AcqTract_DB[#Headers],0),FALSE),"")</f>
        <v>0</v>
      </c>
      <c r="Z87" s="229">
        <f>IFERROR(VLOOKUP($A87,SP_AcqTract_DB[],MATCH(Z$2,SP_AcqTract_DB[#Headers],0),FALSE),"")</f>
        <v>0</v>
      </c>
      <c r="AA87" s="229">
        <f>IFERROR(VLOOKUP($A87,SP_AcqTract_DB[],MATCH(AA$2,SP_AcqTract_DB[#Headers],0),FALSE),"")</f>
        <v>0</v>
      </c>
      <c r="AB87" s="250" t="str">
        <f>IFERROR(IF(VLOOKUP(CONCATENATE($A87,"_",AB$1),SP_ACQ_Lib[],MATCH(AB$2,SP_ACQ_Lib[#Headers],0),FALSE)=0,"",VLOOKUP(CONCATENATE($A87,"_",AB$1),SP_ACQ_Lib[],MATCH(AB$2,SP_ACQ_Lib[#Headers],0),FALSE)),"")</f>
        <v/>
      </c>
      <c r="AC87" s="250" t="str">
        <f>IFERROR(IF(VLOOKUP(CONCATENATE($A87,"_",AC$1),SP_ACQ_Lib[],MATCH(AC$2,SP_ACQ_Lib[#Headers],0),FALSE)=0,"",VLOOKUP(CONCATENATE($A87,"_",AC$1),SP_ACQ_Lib[],MATCH(AC$2,SP_ACQ_Lib[#Headers],0),FALSE)),"")</f>
        <v/>
      </c>
      <c r="AD87" s="229">
        <f>IFERROR(VLOOKUP($A87,SP_AcqTract_DB[],MATCH(AD$2,SP_AcqTract_DB[#Headers],0),FALSE),"")</f>
        <v>0</v>
      </c>
      <c r="AE87" s="250" t="str">
        <f>IFERROR(IF(VLOOKUP(CONCATENATE($A87,"_",AE$1),SP_ACQ_Lib[],MATCH(AE$2,SP_ACQ_Lib[#Headers],0),FALSE)=0,"",VLOOKUP(CONCATENATE($A87,"_",AE$1),SP_ACQ_Lib[],MATCH(AE$2,SP_ACQ_Lib[#Headers],0),FALSE)),"")</f>
        <v/>
      </c>
      <c r="AF87" s="250" t="str">
        <f>IFERROR(IF(VLOOKUP(CONCATENATE($A87,"_",AF$1),SP_ACQ_Lib[],MATCH(AF$2,SP_ACQ_Lib[#Headers],0),FALSE)=0,"",VLOOKUP(CONCATENATE($A87,"_",AF$1),SP_ACQ_Lib[],MATCH(AF$2,SP_ACQ_Lib[#Headers],0),FALSE)),"")</f>
        <v/>
      </c>
      <c r="AG87" s="250" t="str">
        <f>IFERROR(IF(VLOOKUP(CONCATENATE($A87,"_",AG$1),SP_ACQ_Lib[],MATCH(AG$2,SP_ACQ_Lib[#Headers],0),FALSE)=0,"",VLOOKUP(CONCATENATE($A87,"_",AG$1),SP_ACQ_Lib[],MATCH(AG$2,SP_ACQ_Lib[#Headers],0),FALSE)),"")</f>
        <v/>
      </c>
      <c r="AH87" s="250" t="str">
        <f>IFERROR(IF(VLOOKUP(CONCATENATE($A87,"_",AH$1),SP_ACQ_Lib[],MATCH(AH$2,SP_ACQ_Lib[#Headers],0),FALSE)=0,"",VLOOKUP(CONCATENATE($A87,"_",AH$1),SP_ACQ_Lib[],MATCH(AH$2,SP_ACQ_Lib[#Headers],0),FALSE)),"")</f>
        <v/>
      </c>
      <c r="AI87" s="249">
        <f>IFERROR(IF(VLOOKUP(CONCATENATE($A87,"_",AI$1),SP_ACQ_Lib[],MATCH(AI$2,SP_ACQ_Lib[#Headers],0),FALSE)=0,"",VLOOKUP(CONCATENATE($A87,"_",AI$1),SP_ACQ_Lib[],MATCH(AI$2,SP_ACQ_Lib[#Headers],0),FALSE)),"")</f>
        <v>43984</v>
      </c>
      <c r="AJ87" s="249">
        <f>IFERROR(IF(VLOOKUP(CONCATENATE($A87,"_",AJ$1),SP_ACQ_Lib[],MATCH(AJ$2,SP_ACQ_Lib[#Headers],0),FALSE)=0,"",VLOOKUP(CONCATENATE($A87,"_",AJ$1),SP_ACQ_Lib[],MATCH(AJ$2,SP_ACQ_Lib[#Headers],0),FALSE)),"")</f>
        <v>43999</v>
      </c>
      <c r="AK87" s="249">
        <f>IFERROR(IF(VLOOKUP(CONCATENATE($A87,"_",AK$1),SP_ACQ_Lib[],MATCH(AK$2,SP_ACQ_Lib[#Headers],0),FALSE)=0,"",VLOOKUP(CONCATENATE($A87,"_",AK$1),SP_ACQ_Lib[],MATCH(AK$2,SP_ACQ_Lib[#Headers],0),FALSE)),"")</f>
        <v>44182</v>
      </c>
      <c r="AL87" s="249">
        <f>IFERROR(VLOOKUP($A87,SP_AcqTract_DB[],MATCH(AL$2,SP_AcqTract_DB[#Headers],0),FALSE),"")</f>
        <v>0</v>
      </c>
      <c r="AM87" s="227">
        <f>IFERROR(VLOOKUP($A87,SP_AcqTract_DB[],MATCH(AM$2,SP_AcqTract_DB[#Headers],0),FALSE),"")</f>
        <v>0</v>
      </c>
      <c r="AN87" s="227">
        <f>IFERROR(VLOOKUP($A87,SP_AcqTract_DB[],MATCH(AN$2,SP_AcqTract_DB[#Headers],0),FALSE),"")</f>
        <v>0</v>
      </c>
      <c r="AO87" s="228">
        <f>IFERROR(VLOOKUP($A87,SP_AcqTract_DB[],MATCH(AO$2,SP_AcqTract_DB[#Headers],0),FALSE),"")</f>
        <v>0</v>
      </c>
      <c r="AP87" s="210">
        <f>IFERROR(VLOOKUP($A87,SP_AcqTract_DB[],MATCH(AP$2,SP_AcqTract_DB[#Headers],0),FALSE),"")</f>
        <v>0</v>
      </c>
      <c r="AQ87" s="252" t="str">
        <f>IFERROR(IF(VLOOKUP(CONCATENATE($A87,"_",AQ$1),SP_ACQ_Lib[],MATCH(AQ$2,SP_ACQ_Lib[#Headers],0),FALSE)=0,"",VLOOKUP(CONCATENATE($A87,"_",AQ$1),SP_ACQ_Lib[],MATCH(AQ$2,SP_ACQ_Lib[#Headers],0),FALSE)),"")</f>
        <v/>
      </c>
      <c r="AR87" s="250" t="str">
        <f>IFERROR(IF(VLOOKUP(CONCATENATE($A87,"_",AR$1),SP_ACQ_Lib[],MATCH(AR$2,SP_ACQ_Lib[#Headers],0),FALSE)=0,"",VLOOKUP(CONCATENATE($A87,"_",AR$1),SP_ACQ_Lib[],MATCH(AR$2,SP_ACQ_Lib[#Headers],0),FALSE)),"")</f>
        <v/>
      </c>
      <c r="AS87" s="249" t="str">
        <f>IFERROR(IF(VLOOKUP(CONCATENATE($A87,"_",AS$1),SP_ACQ_Lib[],MATCH(AS$2,SP_ACQ_Lib[#Headers],0),FALSE)=0,"",VLOOKUP(CONCATENATE($A87,"_",AS$1),SP_ACQ_Lib[],MATCH(AS$2,SP_ACQ_Lib[#Headers],0),FALSE)),"")</f>
        <v/>
      </c>
      <c r="AT87" s="251" t="str">
        <f>IFERROR(IF(VLOOKUP(CONCATENATE($A87,"_",AT$1),SP_ACQ_Lib[],MATCH(AT$2,SP_ACQ_Lib[#Headers],0),FALSE)=0,"",VLOOKUP(CONCATENATE($A87,"_",AT$1),SP_ACQ_Lib[],MATCH(AT$2,SP_ACQ_Lib[#Headers],0),FALSE)),"")</f>
        <v/>
      </c>
      <c r="AU87" s="251" t="str">
        <f>IFERROR(IF(VLOOKUP(CONCATENATE($A87,"_",AU$1),SP_ACQ_Lib[],MATCH(AU$2,SP_ACQ_Lib[#Headers],0),FALSE)=0,"",VLOOKUP(CONCATENATE($A87,"_",AU$1),SP_ACQ_Lib[],MATCH(AU$2,SP_ACQ_Lib[#Headers],0),FALSE)),"")</f>
        <v/>
      </c>
      <c r="AV87" s="225" t="str">
        <f>IFERROR(IF(VLOOKUP(CONCATENATE($A87,"_",AV$1),SP_ACQ_Lib[],MATCH(AV$2,SP_ACQ_Lib[#Headers],0),FALSE)=0,"",VLOOKUP(CONCATENATE($A87,"_",AV$1),SP_ACQ_Lib[],MATCH(AV$2,SP_ACQ_Lib[#Headers],0),FALSE)),"")</f>
        <v/>
      </c>
      <c r="AW87" s="251" t="str">
        <f>IFERROR(IF(VLOOKUP(CONCATENATE($A87,"_",AW$1),SP_ACQ_Lib[],MATCH(AW$2,SP_ACQ_Lib[#Headers],0),FALSE)=0,"",VLOOKUP(CONCATENATE($A87,"_",AW$1),SP_ACQ_Lib[],MATCH(AW$2,SP_ACQ_Lib[#Headers],0),FALSE)),"")</f>
        <v/>
      </c>
      <c r="AX87" s="251" t="str">
        <f>IFERROR(IF(VLOOKUP(CONCATENATE($A87,"_",AX$1),SP_ACQ_Lib[],MATCH(AX$2,SP_ACQ_Lib[#Headers],0),FALSE)=0,"",VLOOKUP(CONCATENATE($A87,"_",AX$1),SP_ACQ_Lib[],MATCH(AX$2,SP_ACQ_Lib[#Headers],0),FALSE)),"")</f>
        <v/>
      </c>
      <c r="AY87" s="251" t="str">
        <f>IFERROR(IF(VLOOKUP(CONCATENATE($A87,"_",AY$1),SP_ACQ_Lib[],MATCH(AY$2,SP_ACQ_Lib[#Headers],0),FALSE)=0,"",VLOOKUP(CONCATENATE($A87,"_",AY$1),SP_ACQ_Lib[],MATCH(AY$2,SP_ACQ_Lib[#Headers],0),FALSE)),"")</f>
        <v/>
      </c>
      <c r="AZ87" s="251" t="str">
        <f>IFERROR(IF(VLOOKUP(CONCATENATE($A87,"_",AZ$1),SP_ACQ_Lib[],MATCH(AZ$2,SP_ACQ_Lib[#Headers],0),FALSE)=0,"",VLOOKUP(CONCATENATE($A87,"_",AZ$1),SP_ACQ_Lib[],MATCH(AZ$2,SP_ACQ_Lib[#Headers],0),FALSE)),"")</f>
        <v/>
      </c>
      <c r="BA87" s="251" t="str">
        <f>IFERROR(IF(VLOOKUP(CONCATENATE($A87,"_",BA$1),SP_ACQ_Lib[],MATCH(BA$2,SP_ACQ_Lib[#Headers],0),FALSE)=0,"",VLOOKUP(CONCATENATE($A87,"_",BA$1),SP_ACQ_Lib[],MATCH(BA$2,SP_ACQ_Lib[#Headers],0),FALSE)),"")</f>
        <v/>
      </c>
      <c r="BB87" s="224">
        <f>IFERROR(VLOOKUP(CONCATENATE($A87,"_",BB$1),SP_ACQ_Lib[],MATCH(BB$2,SP_ACQ_Lib[#Headers],0),FALSE),0)</f>
        <v>0</v>
      </c>
      <c r="BC87" s="231">
        <f>IFERROR(VLOOKUP($A87,SP_AcqTract_DB[],MATCH(BC$2,SP_AcqTract_DB[#Headers],0),FALSE),"")</f>
        <v>0</v>
      </c>
      <c r="BD87" s="231">
        <f>IFERROR(VLOOKUP($A87,SP_AcqTract_DB[],MATCH(BD$2,SP_AcqTract_DB[#Headers],0),FALSE),"")</f>
        <v>0</v>
      </c>
      <c r="BE87" s="249" t="str">
        <f>IFERROR(IF(VLOOKUP(CONCATENATE($A87,"_",BE$1),SP_ACQ_Lib[],MATCH(BE$2,SP_ACQ_Lib[#Headers],0),FALSE)=0,"",VLOOKUP(CONCATENATE($A87,"_",BE$1),SP_ACQ_Lib[],MATCH(BE$2,SP_ACQ_Lib[#Headers],0),FALSE)),"")</f>
        <v/>
      </c>
      <c r="BF87" s="249" t="str">
        <f>IFERROR(IF(VLOOKUP(CONCATENATE($A87,"_",BF$1),SP_ACQ_Lib[],MATCH(BF$2,SP_ACQ_Lib[#Headers],0),FALSE)=0,"",VLOOKUP(CONCATENATE($A87,"_",BF$1),SP_ACQ_Lib[],MATCH(BF$2,SP_ACQ_Lib[#Headers],0),FALSE)),"")</f>
        <v/>
      </c>
      <c r="BG87" s="249" t="str">
        <f>IFERROR(IF(VLOOKUP(CONCATENATE($A87,"_",BG$1),SP_ACQ_Lib[],MATCH(BG$2,SP_ACQ_Lib[#Headers],0),FALSE)=0,"",VLOOKUP(CONCATENATE($A87,"_",BG$1),SP_ACQ_Lib[],MATCH(BG$2,SP_ACQ_Lib[#Headers],0),FALSE)),"")</f>
        <v/>
      </c>
      <c r="BH87" s="249" t="str">
        <f>IFERROR(IF(VLOOKUP(CONCATENATE($A87,"_",BH$1),SP_ACQ_Lib[],MATCH(BH$2,SP_ACQ_Lib[#Headers],0),FALSE)=0,"",VLOOKUP(CONCATENATE($A87,"_",BH$1),SP_ACQ_Lib[],MATCH(BH$2,SP_ACQ_Lib[#Headers],0),FALSE)),"")</f>
        <v/>
      </c>
      <c r="BI87" s="249" t="str">
        <f>IFERROR(IF(VLOOKUP(CONCATENATE($A87,"_",BI$1),SP_ACQ_Lib[],MATCH(BI$2,SP_ACQ_Lib[#Headers],0),FALSE)=0,"",VLOOKUP(CONCATENATE($A87,"_",BI$1),SP_ACQ_Lib[],MATCH(BI$2,SP_ACQ_Lib[#Headers],0),FALSE)),"")</f>
        <v/>
      </c>
      <c r="BJ87" s="249" t="str">
        <f>IFERROR(IF(VLOOKUP(CONCATENATE($A87,"_",BJ$1),SP_ACQ_Lib[],MATCH(BJ$2,SP_ACQ_Lib[#Headers],0),FALSE)=0,"",VLOOKUP(CONCATENATE($A87,"_",BJ$1),SP_ACQ_Lib[],MATCH(BJ$2,SP_ACQ_Lib[#Headers],0),FALSE)),"")</f>
        <v/>
      </c>
      <c r="BK87" s="250" t="str">
        <f>IFERROR(IF(VLOOKUP(CONCATENATE($A87,"_",BK$1),SP_ACQ_Lib[],MATCH(BK$2,SP_ACQ_Lib[#Headers],0),FALSE)=0,"",VLOOKUP(CONCATENATE($A87,"_",BK$1),SP_ACQ_Lib[],MATCH(BK$2,SP_ACQ_Lib[#Headers],0),FALSE)),"")</f>
        <v/>
      </c>
      <c r="BL87" s="249" t="str">
        <f>IFERROR(IF(VLOOKUP(CONCATENATE($A87,"_",BL$1),SP_ACQ_Lib[],MATCH(BL$2,SP_ACQ_Lib[#Headers],0),FALSE)=0,"",VLOOKUP(CONCATENATE($A87,"_",BL$1),SP_ACQ_Lib[],MATCH(BL$2,SP_ACQ_Lib[#Headers],0),FALSE)),"")</f>
        <v/>
      </c>
      <c r="BM87" s="249" t="str">
        <f>IFERROR(IF(VLOOKUP(CONCATENATE($A87,"_",BM$1),SP_ACQ_Lib[],MATCH(BM$2,SP_ACQ_Lib[#Headers],0),FALSE)=0,"",VLOOKUP(CONCATENATE($A87,"_",BM$1),SP_ACQ_Lib[],MATCH(BM$2,SP_ACQ_Lib[#Headers],0),FALSE)),"")</f>
        <v/>
      </c>
      <c r="BN87" s="249" t="str">
        <f>IFERROR(IF(VLOOKUP(CONCATENATE($A87,"_",BN$1),SP_ACQ_Lib[],MATCH(BN$2,SP_ACQ_Lib[#Headers],0),FALSE)=0,"",VLOOKUP(CONCATENATE($A87,"_",BN$1),SP_ACQ_Lib[],MATCH(BN$2,SP_ACQ_Lib[#Headers],0),FALSE)),"")</f>
        <v/>
      </c>
    </row>
    <row r="88" spans="1:66" s="226" customFormat="1" ht="15.75" x14ac:dyDescent="0.2">
      <c r="A88" s="192" t="s">
        <v>5295</v>
      </c>
      <c r="B88" s="227" t="str">
        <f>IFERROR(VLOOKUP($A88,SP_AcqTract_DB[],MATCH(B$2,SP_AcqTract_DB[#Headers],0),FALSE),"")</f>
        <v>R026940</v>
      </c>
      <c r="C88" s="228" t="str">
        <f>IFERROR(VLOOKUP($A88,SP_AcqTract_DB[],MATCH(C$2,SP_AcqTract_DB[#Headers],0),FALSE),"")</f>
        <v>PH2</v>
      </c>
      <c r="D88" s="208" t="str">
        <f>IFERROR(VLOOKUP($A88,SP_AcqTract_DB[],MATCH(D$2,SP_AcqTract_DB[#Headers],0),FALSE),"")</f>
        <v>Active</v>
      </c>
      <c r="E88" s="208">
        <f>IFERROR(VLOOKUP($A88,SP_AcqTract_DB[],MATCH(E$2,SP_AcqTract_DB[#Headers],0),FALSE),"")</f>
        <v>0</v>
      </c>
      <c r="F88" s="227">
        <f>IFERROR(VLOOKUP($A88,SP_AcqTract_DB[],MATCH(F$2,SP_AcqTract_DB[#Headers],0),FALSE),"")</f>
        <v>0</v>
      </c>
      <c r="G88" s="227" t="str">
        <f>IFERROR(VLOOKUP($A88,SP_AcqTract_DB[],MATCH(G$2,SP_AcqTract_DB[#Headers],0),FALSE),"")</f>
        <v>Elizabeth Taylor</v>
      </c>
      <c r="H88" s="250">
        <f>IFERROR(IF(VLOOKUP(CONCATENATE($A88,"_",H$1),SP_ACQ_Lib[],MATCH(H$2,SP_ACQ_Lib[#Headers],0),FALSE)=0,"",VLOOKUP(CONCATENATE($A88,"_",H$1),SP_ACQ_Lib[],MATCH(H$2,SP_ACQ_Lib[#Headers],0),FALSE)),"")</f>
        <v>44021.423587962963</v>
      </c>
      <c r="I88" s="227" t="str">
        <f>IFERROR(VLOOKUP($A88,SP_AcqTract_DB[],MATCH(I$2,SP_AcqTract_DB[#Headers],0),FALSE),"")</f>
        <v>Lopez Daimus</v>
      </c>
      <c r="J88" s="227">
        <f>IFERROR(VLOOKUP($A88,SP_AcqTract_DB[],MATCH(J$2,SP_AcqTract_DB[#Headers],0),FALSE),"")</f>
        <v>0</v>
      </c>
      <c r="K88" s="227">
        <f>IFERROR(VLOOKUP($A88,SP_AcqTract_DB[],MATCH(K$2,SP_AcqTract_DB[#Headers],0),FALSE),"")</f>
        <v>0</v>
      </c>
      <c r="L88" s="227">
        <f>IFERROR(VLOOKUP($A88,SP_AcqTract_DB[],MATCH(L$2,SP_AcqTract_DB[#Headers],0),FALSE),"")</f>
        <v>0</v>
      </c>
      <c r="M88" s="208">
        <f>IFERROR(VLOOKUP($A88,SP_AcqTract_DB[],MATCH(M$2,SP_AcqTract_DB[#Headers],0),FALSE),"")</f>
        <v>0</v>
      </c>
      <c r="N88" s="227" t="str">
        <f>IFERROR(VLOOKUP($A88,SP_AcqTract_DB[],MATCH(N$2,SP_AcqTract_DB[#Headers],0),FALSE),"")</f>
        <v>0  MOERS LN</v>
      </c>
      <c r="O88" s="220">
        <f>IFERROR(VLOOKUP($A88,SP_AcqTract_DB[],MATCH(O$2,SP_AcqTract_DB[#Headers],0),FALSE),"")</f>
        <v>0</v>
      </c>
      <c r="P88" s="220">
        <f>IFERROR(VLOOKUP($A88,SP_AcqTract_DB[],MATCH(P$2,SP_AcqTract_DB[#Headers],0),FALSE),"")</f>
        <v>0</v>
      </c>
      <c r="Q88" s="208">
        <f>IFERROR(VLOOKUP($A88,SP_AcqTract_DB[],MATCH(Q$2,SP_AcqTract_DB[#Headers],0),FALSE),"")</f>
        <v>0</v>
      </c>
      <c r="R88" s="250" t="str">
        <f>IFERROR(IF(VLOOKUP(CONCATENATE($A88,"_",R$1),SP_ACQ_Lib[],MATCH(R$2,SP_ACQ_Lib[#Headers],0),FALSE)=0,"",VLOOKUP(CONCATENATE($A88,"_",R$1),SP_ACQ_Lib[],MATCH(R$2,SP_ACQ_Lib[#Headers],0),FALSE)),"")</f>
        <v/>
      </c>
      <c r="S88" s="253" t="str">
        <f>IFERROR(IF(VLOOKUP(CONCATENATE($A88,"_",S$1),SP_ACQ_Lib[],MATCH(S$2,SP_ACQ_Lib[#Headers],0),FALSE)=0,"",VLOOKUP(CONCATENATE($A88,"_",S$1),SP_ACQ_Lib[],MATCH(S$2,SP_ACQ_Lib[#Headers],0),FALSE)),"")</f>
        <v/>
      </c>
      <c r="T88" s="205">
        <f>IFERROR(VLOOKUP(CONCATENATE($A88,"_",T$1),SP_ACQ_Lib[],MATCH(T$2,SP_ACQ_Lib[#Headers],0),FALSE),0)</f>
        <v>0</v>
      </c>
      <c r="U88" s="250" t="str">
        <f>IFERROR(IF(VLOOKUP(CONCATENATE($A88,"_",U$1),SP_ACQ_Lib[],MATCH(U$2,SP_ACQ_Lib[#Headers],0),FALSE)=0,"",VLOOKUP(CONCATENATE($A88,"_",U$1),SP_ACQ_Lib[],MATCH(U$2,SP_ACQ_Lib[#Headers],0),FALSE)),"")</f>
        <v/>
      </c>
      <c r="V88" s="205" t="str">
        <f>IFERROR(VLOOKUP(CONCATENATE($A88,"_",V$1),SP_ACQ_Lib[],MATCH(V$2,SP_ACQ_Lib[#Headers],0),FALSE),0)</f>
        <v>Accepted</v>
      </c>
      <c r="W88" s="209">
        <f>IFERROR(VLOOKUP(CONCATENATE($A88,"_",W$1),SP_ACQ_Lib[],MATCH(W$2,SP_ACQ_Lib[#Headers],0),FALSE),0)</f>
        <v>0</v>
      </c>
      <c r="X88" s="250">
        <f>IFERROR(VLOOKUP($A88,SP_AcqTract_DB[],MATCH(X$2,SP_AcqTract_DB[#Headers],0),FALSE),"")</f>
        <v>0</v>
      </c>
      <c r="Y88" s="237">
        <f>IFERROR(VLOOKUP($A88,SP_AcqTract_DB[],MATCH(Y$2,SP_AcqTract_DB[#Headers],0),FALSE),"")</f>
        <v>0</v>
      </c>
      <c r="Z88" s="229">
        <f>IFERROR(VLOOKUP($A88,SP_AcqTract_DB[],MATCH(Z$2,SP_AcqTract_DB[#Headers],0),FALSE),"")</f>
        <v>0</v>
      </c>
      <c r="AA88" s="229">
        <f>IFERROR(VLOOKUP($A88,SP_AcqTract_DB[],MATCH(AA$2,SP_AcqTract_DB[#Headers],0),FALSE),"")</f>
        <v>0</v>
      </c>
      <c r="AB88" s="250" t="str">
        <f>IFERROR(IF(VLOOKUP(CONCATENATE($A88,"_",AB$1),SP_ACQ_Lib[],MATCH(AB$2,SP_ACQ_Lib[#Headers],0),FALSE)=0,"",VLOOKUP(CONCATENATE($A88,"_",AB$1),SP_ACQ_Lib[],MATCH(AB$2,SP_ACQ_Lib[#Headers],0),FALSE)),"")</f>
        <v/>
      </c>
      <c r="AC88" s="250" t="str">
        <f>IFERROR(IF(VLOOKUP(CONCATENATE($A88,"_",AC$1),SP_ACQ_Lib[],MATCH(AC$2,SP_ACQ_Lib[#Headers],0),FALSE)=0,"",VLOOKUP(CONCATENATE($A88,"_",AC$1),SP_ACQ_Lib[],MATCH(AC$2,SP_ACQ_Lib[#Headers],0),FALSE)),"")</f>
        <v/>
      </c>
      <c r="AD88" s="229">
        <f>IFERROR(VLOOKUP($A88,SP_AcqTract_DB[],MATCH(AD$2,SP_AcqTract_DB[#Headers],0),FALSE),"")</f>
        <v>0</v>
      </c>
      <c r="AE88" s="250" t="str">
        <f>IFERROR(IF(VLOOKUP(CONCATENATE($A88,"_",AE$1),SP_ACQ_Lib[],MATCH(AE$2,SP_ACQ_Lib[#Headers],0),FALSE)=0,"",VLOOKUP(CONCATENATE($A88,"_",AE$1),SP_ACQ_Lib[],MATCH(AE$2,SP_ACQ_Lib[#Headers],0),FALSE)),"")</f>
        <v/>
      </c>
      <c r="AF88" s="250" t="str">
        <f>IFERROR(IF(VLOOKUP(CONCATENATE($A88,"_",AF$1),SP_ACQ_Lib[],MATCH(AF$2,SP_ACQ_Lib[#Headers],0),FALSE)=0,"",VLOOKUP(CONCATENATE($A88,"_",AF$1),SP_ACQ_Lib[],MATCH(AF$2,SP_ACQ_Lib[#Headers],0),FALSE)),"")</f>
        <v/>
      </c>
      <c r="AG88" s="250" t="str">
        <f>IFERROR(IF(VLOOKUP(CONCATENATE($A88,"_",AG$1),SP_ACQ_Lib[],MATCH(AG$2,SP_ACQ_Lib[#Headers],0),FALSE)=0,"",VLOOKUP(CONCATENATE($A88,"_",AG$1),SP_ACQ_Lib[],MATCH(AG$2,SP_ACQ_Lib[#Headers],0),FALSE)),"")</f>
        <v/>
      </c>
      <c r="AH88" s="250" t="str">
        <f>IFERROR(IF(VLOOKUP(CONCATENATE($A88,"_",AH$1),SP_ACQ_Lib[],MATCH(AH$2,SP_ACQ_Lib[#Headers],0),FALSE)=0,"",VLOOKUP(CONCATENATE($A88,"_",AH$1),SP_ACQ_Lib[],MATCH(AH$2,SP_ACQ_Lib[#Headers],0),FALSE)),"")</f>
        <v/>
      </c>
      <c r="AI88" s="249">
        <f>IFERROR(IF(VLOOKUP(CONCATENATE($A88,"_",AI$1),SP_ACQ_Lib[],MATCH(AI$2,SP_ACQ_Lib[#Headers],0),FALSE)=0,"",VLOOKUP(CONCATENATE($A88,"_",AI$1),SP_ACQ_Lib[],MATCH(AI$2,SP_ACQ_Lib[#Headers],0),FALSE)),"")</f>
        <v>43984</v>
      </c>
      <c r="AJ88" s="249" t="str">
        <f>IFERROR(IF(VLOOKUP(CONCATENATE($A88,"_",AJ$1),SP_ACQ_Lib[],MATCH(AJ$2,SP_ACQ_Lib[#Headers],0),FALSE)=0,"",VLOOKUP(CONCATENATE($A88,"_",AJ$1),SP_ACQ_Lib[],MATCH(AJ$2,SP_ACQ_Lib[#Headers],0),FALSE)),"")</f>
        <v/>
      </c>
      <c r="AK88" s="249" t="str">
        <f>IFERROR(IF(VLOOKUP(CONCATENATE($A88,"_",AK$1),SP_ACQ_Lib[],MATCH(AK$2,SP_ACQ_Lib[#Headers],0),FALSE)=0,"",VLOOKUP(CONCATENATE($A88,"_",AK$1),SP_ACQ_Lib[],MATCH(AK$2,SP_ACQ_Lib[#Headers],0),FALSE)),"")</f>
        <v/>
      </c>
      <c r="AL88" s="249">
        <f>IFERROR(VLOOKUP($A88,SP_AcqTract_DB[],MATCH(AL$2,SP_AcqTract_DB[#Headers],0),FALSE),"")</f>
        <v>0</v>
      </c>
      <c r="AM88" s="227">
        <f>IFERROR(VLOOKUP($A88,SP_AcqTract_DB[],MATCH(AM$2,SP_AcqTract_DB[#Headers],0),FALSE),"")</f>
        <v>0</v>
      </c>
      <c r="AN88" s="227">
        <f>IFERROR(VLOOKUP($A88,SP_AcqTract_DB[],MATCH(AN$2,SP_AcqTract_DB[#Headers],0),FALSE),"")</f>
        <v>0</v>
      </c>
      <c r="AO88" s="228">
        <f>IFERROR(VLOOKUP($A88,SP_AcqTract_DB[],MATCH(AO$2,SP_AcqTract_DB[#Headers],0),FALSE),"")</f>
        <v>0</v>
      </c>
      <c r="AP88" s="210">
        <f>IFERROR(VLOOKUP($A88,SP_AcqTract_DB[],MATCH(AP$2,SP_AcqTract_DB[#Headers],0),FALSE),"")</f>
        <v>0</v>
      </c>
      <c r="AQ88" s="252" t="str">
        <f>IFERROR(IF(VLOOKUP(CONCATENATE($A88,"_",AQ$1),SP_ACQ_Lib[],MATCH(AQ$2,SP_ACQ_Lib[#Headers],0),FALSE)=0,"",VLOOKUP(CONCATENATE($A88,"_",AQ$1),SP_ACQ_Lib[],MATCH(AQ$2,SP_ACQ_Lib[#Headers],0),FALSE)),"")</f>
        <v/>
      </c>
      <c r="AR88" s="250" t="str">
        <f>IFERROR(IF(VLOOKUP(CONCATENATE($A88,"_",AR$1),SP_ACQ_Lib[],MATCH(AR$2,SP_ACQ_Lib[#Headers],0),FALSE)=0,"",VLOOKUP(CONCATENATE($A88,"_",AR$1),SP_ACQ_Lib[],MATCH(AR$2,SP_ACQ_Lib[#Headers],0),FALSE)),"")</f>
        <v/>
      </c>
      <c r="AS88" s="249" t="str">
        <f>IFERROR(IF(VLOOKUP(CONCATENATE($A88,"_",AS$1),SP_ACQ_Lib[],MATCH(AS$2,SP_ACQ_Lib[#Headers],0),FALSE)=0,"",VLOOKUP(CONCATENATE($A88,"_",AS$1),SP_ACQ_Lib[],MATCH(AS$2,SP_ACQ_Lib[#Headers],0),FALSE)),"")</f>
        <v/>
      </c>
      <c r="AT88" s="251" t="str">
        <f>IFERROR(IF(VLOOKUP(CONCATENATE($A88,"_",AT$1),SP_ACQ_Lib[],MATCH(AT$2,SP_ACQ_Lib[#Headers],0),FALSE)=0,"",VLOOKUP(CONCATENATE($A88,"_",AT$1),SP_ACQ_Lib[],MATCH(AT$2,SP_ACQ_Lib[#Headers],0),FALSE)),"")</f>
        <v/>
      </c>
      <c r="AU88" s="251" t="str">
        <f>IFERROR(IF(VLOOKUP(CONCATENATE($A88,"_",AU$1),SP_ACQ_Lib[],MATCH(AU$2,SP_ACQ_Lib[#Headers],0),FALSE)=0,"",VLOOKUP(CONCATENATE($A88,"_",AU$1),SP_ACQ_Lib[],MATCH(AU$2,SP_ACQ_Lib[#Headers],0),FALSE)),"")</f>
        <v/>
      </c>
      <c r="AV88" s="225" t="str">
        <f>IFERROR(IF(VLOOKUP(CONCATENATE($A88,"_",AV$1),SP_ACQ_Lib[],MATCH(AV$2,SP_ACQ_Lib[#Headers],0),FALSE)=0,"",VLOOKUP(CONCATENATE($A88,"_",AV$1),SP_ACQ_Lib[],MATCH(AV$2,SP_ACQ_Lib[#Headers],0),FALSE)),"")</f>
        <v/>
      </c>
      <c r="AW88" s="251" t="str">
        <f>IFERROR(IF(VLOOKUP(CONCATENATE($A88,"_",AW$1),SP_ACQ_Lib[],MATCH(AW$2,SP_ACQ_Lib[#Headers],0),FALSE)=0,"",VLOOKUP(CONCATENATE($A88,"_",AW$1),SP_ACQ_Lib[],MATCH(AW$2,SP_ACQ_Lib[#Headers],0),FALSE)),"")</f>
        <v/>
      </c>
      <c r="AX88" s="251" t="str">
        <f>IFERROR(IF(VLOOKUP(CONCATENATE($A88,"_",AX$1),SP_ACQ_Lib[],MATCH(AX$2,SP_ACQ_Lib[#Headers],0),FALSE)=0,"",VLOOKUP(CONCATENATE($A88,"_",AX$1),SP_ACQ_Lib[],MATCH(AX$2,SP_ACQ_Lib[#Headers],0),FALSE)),"")</f>
        <v/>
      </c>
      <c r="AY88" s="251" t="str">
        <f>IFERROR(IF(VLOOKUP(CONCATENATE($A88,"_",AY$1),SP_ACQ_Lib[],MATCH(AY$2,SP_ACQ_Lib[#Headers],0),FALSE)=0,"",VLOOKUP(CONCATENATE($A88,"_",AY$1),SP_ACQ_Lib[],MATCH(AY$2,SP_ACQ_Lib[#Headers],0),FALSE)),"")</f>
        <v/>
      </c>
      <c r="AZ88" s="251" t="str">
        <f>IFERROR(IF(VLOOKUP(CONCATENATE($A88,"_",AZ$1),SP_ACQ_Lib[],MATCH(AZ$2,SP_ACQ_Lib[#Headers],0),FALSE)=0,"",VLOOKUP(CONCATENATE($A88,"_",AZ$1),SP_ACQ_Lib[],MATCH(AZ$2,SP_ACQ_Lib[#Headers],0),FALSE)),"")</f>
        <v/>
      </c>
      <c r="BA88" s="251" t="str">
        <f>IFERROR(IF(VLOOKUP(CONCATENATE($A88,"_",BA$1),SP_ACQ_Lib[],MATCH(BA$2,SP_ACQ_Lib[#Headers],0),FALSE)=0,"",VLOOKUP(CONCATENATE($A88,"_",BA$1),SP_ACQ_Lib[],MATCH(BA$2,SP_ACQ_Lib[#Headers],0),FALSE)),"")</f>
        <v/>
      </c>
      <c r="BB88" s="224">
        <f>IFERROR(VLOOKUP(CONCATENATE($A88,"_",BB$1),SP_ACQ_Lib[],MATCH(BB$2,SP_ACQ_Lib[#Headers],0),FALSE),0)</f>
        <v>0</v>
      </c>
      <c r="BC88" s="231">
        <f>IFERROR(VLOOKUP($A88,SP_AcqTract_DB[],MATCH(BC$2,SP_AcqTract_DB[#Headers],0),FALSE),"")</f>
        <v>0</v>
      </c>
      <c r="BD88" s="231">
        <f>IFERROR(VLOOKUP($A88,SP_AcqTract_DB[],MATCH(BD$2,SP_AcqTract_DB[#Headers],0),FALSE),"")</f>
        <v>0</v>
      </c>
      <c r="BE88" s="249" t="str">
        <f>IFERROR(IF(VLOOKUP(CONCATENATE($A88,"_",BE$1),SP_ACQ_Lib[],MATCH(BE$2,SP_ACQ_Lib[#Headers],0),FALSE)=0,"",VLOOKUP(CONCATENATE($A88,"_",BE$1),SP_ACQ_Lib[],MATCH(BE$2,SP_ACQ_Lib[#Headers],0),FALSE)),"")</f>
        <v/>
      </c>
      <c r="BF88" s="249" t="str">
        <f>IFERROR(IF(VLOOKUP(CONCATENATE($A88,"_",BF$1),SP_ACQ_Lib[],MATCH(BF$2,SP_ACQ_Lib[#Headers],0),FALSE)=0,"",VLOOKUP(CONCATENATE($A88,"_",BF$1),SP_ACQ_Lib[],MATCH(BF$2,SP_ACQ_Lib[#Headers],0),FALSE)),"")</f>
        <v/>
      </c>
      <c r="BG88" s="249" t="str">
        <f>IFERROR(IF(VLOOKUP(CONCATENATE($A88,"_",BG$1),SP_ACQ_Lib[],MATCH(BG$2,SP_ACQ_Lib[#Headers],0),FALSE)=0,"",VLOOKUP(CONCATENATE($A88,"_",BG$1),SP_ACQ_Lib[],MATCH(BG$2,SP_ACQ_Lib[#Headers],0),FALSE)),"")</f>
        <v/>
      </c>
      <c r="BH88" s="249" t="str">
        <f>IFERROR(IF(VLOOKUP(CONCATENATE($A88,"_",BH$1),SP_ACQ_Lib[],MATCH(BH$2,SP_ACQ_Lib[#Headers],0),FALSE)=0,"",VLOOKUP(CONCATENATE($A88,"_",BH$1),SP_ACQ_Lib[],MATCH(BH$2,SP_ACQ_Lib[#Headers],0),FALSE)),"")</f>
        <v/>
      </c>
      <c r="BI88" s="249" t="str">
        <f>IFERROR(IF(VLOOKUP(CONCATENATE($A88,"_",BI$1),SP_ACQ_Lib[],MATCH(BI$2,SP_ACQ_Lib[#Headers],0),FALSE)=0,"",VLOOKUP(CONCATENATE($A88,"_",BI$1),SP_ACQ_Lib[],MATCH(BI$2,SP_ACQ_Lib[#Headers],0),FALSE)),"")</f>
        <v/>
      </c>
      <c r="BJ88" s="249" t="str">
        <f>IFERROR(IF(VLOOKUP(CONCATENATE($A88,"_",BJ$1),SP_ACQ_Lib[],MATCH(BJ$2,SP_ACQ_Lib[#Headers],0),FALSE)=0,"",VLOOKUP(CONCATENATE($A88,"_",BJ$1),SP_ACQ_Lib[],MATCH(BJ$2,SP_ACQ_Lib[#Headers],0),FALSE)),"")</f>
        <v/>
      </c>
      <c r="BK88" s="250" t="str">
        <f>IFERROR(IF(VLOOKUP(CONCATENATE($A88,"_",BK$1),SP_ACQ_Lib[],MATCH(BK$2,SP_ACQ_Lib[#Headers],0),FALSE)=0,"",VLOOKUP(CONCATENATE($A88,"_",BK$1),SP_ACQ_Lib[],MATCH(BK$2,SP_ACQ_Lib[#Headers],0),FALSE)),"")</f>
        <v/>
      </c>
      <c r="BL88" s="249" t="str">
        <f>IFERROR(IF(VLOOKUP(CONCATENATE($A88,"_",BL$1),SP_ACQ_Lib[],MATCH(BL$2,SP_ACQ_Lib[#Headers],0),FALSE)=0,"",VLOOKUP(CONCATENATE($A88,"_",BL$1),SP_ACQ_Lib[],MATCH(BL$2,SP_ACQ_Lib[#Headers],0),FALSE)),"")</f>
        <v/>
      </c>
      <c r="BM88" s="249" t="str">
        <f>IFERROR(IF(VLOOKUP(CONCATENATE($A88,"_",BM$1),SP_ACQ_Lib[],MATCH(BM$2,SP_ACQ_Lib[#Headers],0),FALSE)=0,"",VLOOKUP(CONCATENATE($A88,"_",BM$1),SP_ACQ_Lib[],MATCH(BM$2,SP_ACQ_Lib[#Headers],0),FALSE)),"")</f>
        <v/>
      </c>
      <c r="BN88" s="249" t="str">
        <f>IFERROR(IF(VLOOKUP(CONCATENATE($A88,"_",BN$1),SP_ACQ_Lib[],MATCH(BN$2,SP_ACQ_Lib[#Headers],0),FALSE)=0,"",VLOOKUP(CONCATENATE($A88,"_",BN$1),SP_ACQ_Lib[],MATCH(BN$2,SP_ACQ_Lib[#Headers],0),FALSE)),"")</f>
        <v/>
      </c>
    </row>
    <row r="89" spans="1:66" s="226" customFormat="1" ht="15.75" x14ac:dyDescent="0.2">
      <c r="A89" s="192" t="s">
        <v>5297</v>
      </c>
      <c r="B89" s="227" t="str">
        <f>IFERROR(VLOOKUP($A89,SP_AcqTract_DB[],MATCH(B$2,SP_AcqTract_DB[#Headers],0),FALSE),"")</f>
        <v>R026941</v>
      </c>
      <c r="C89" s="228" t="str">
        <f>IFERROR(VLOOKUP($A89,SP_AcqTract_DB[],MATCH(C$2,SP_AcqTract_DB[#Headers],0),FALSE),"")</f>
        <v>PH2</v>
      </c>
      <c r="D89" s="208" t="str">
        <f>IFERROR(VLOOKUP($A89,SP_AcqTract_DB[],MATCH(D$2,SP_AcqTract_DB[#Headers],0),FALSE),"")</f>
        <v>Active</v>
      </c>
      <c r="E89" s="208">
        <f>IFERROR(VLOOKUP($A89,SP_AcqTract_DB[],MATCH(E$2,SP_AcqTract_DB[#Headers],0),FALSE),"")</f>
        <v>0</v>
      </c>
      <c r="F89" s="227">
        <f>IFERROR(VLOOKUP($A89,SP_AcqTract_DB[],MATCH(F$2,SP_AcqTract_DB[#Headers],0),FALSE),"")</f>
        <v>0</v>
      </c>
      <c r="G89" s="227" t="str">
        <f>IFERROR(VLOOKUP($A89,SP_AcqTract_DB[],MATCH(G$2,SP_AcqTract_DB[#Headers],0),FALSE),"")</f>
        <v>Melissa DeLeon</v>
      </c>
      <c r="H89" s="250">
        <f>IFERROR(IF(VLOOKUP(CONCATENATE($A89,"_",H$1),SP_ACQ_Lib[],MATCH(H$2,SP_ACQ_Lib[#Headers],0),FALSE)=0,"",VLOOKUP(CONCATENATE($A89,"_",H$1),SP_ACQ_Lib[],MATCH(H$2,SP_ACQ_Lib[#Headers],0),FALSE)),"")</f>
        <v>44011.920277777775</v>
      </c>
      <c r="I89" s="227" t="str">
        <f>IFERROR(VLOOKUP($A89,SP_AcqTract_DB[],MATCH(I$2,SP_AcqTract_DB[#Headers],0),FALSE),"")</f>
        <v>Popp Jake M</v>
      </c>
      <c r="J89" s="227">
        <f>IFERROR(VLOOKUP($A89,SP_AcqTract_DB[],MATCH(J$2,SP_AcqTract_DB[#Headers],0),FALSE),"")</f>
        <v>0</v>
      </c>
      <c r="K89" s="227">
        <f>IFERROR(VLOOKUP($A89,SP_AcqTract_DB[],MATCH(K$2,SP_AcqTract_DB[#Headers],0),FALSE),"")</f>
        <v>0</v>
      </c>
      <c r="L89" s="227">
        <f>IFERROR(VLOOKUP($A89,SP_AcqTract_DB[],MATCH(L$2,SP_AcqTract_DB[#Headers],0),FALSE),"")</f>
        <v>0</v>
      </c>
      <c r="M89" s="208">
        <f>IFERROR(VLOOKUP($A89,SP_AcqTract_DB[],MATCH(M$2,SP_AcqTract_DB[#Headers],0),FALSE),"")</f>
        <v>0</v>
      </c>
      <c r="N89" s="227" t="str">
        <f>IFERROR(VLOOKUP($A89,SP_AcqTract_DB[],MATCH(N$2,SP_AcqTract_DB[#Headers],0),FALSE),"")</f>
        <v>3898 CR 135</v>
      </c>
      <c r="O89" s="220">
        <f>IFERROR(VLOOKUP($A89,SP_AcqTract_DB[],MATCH(O$2,SP_AcqTract_DB[#Headers],0),FALSE),"")</f>
        <v>0</v>
      </c>
      <c r="P89" s="220">
        <f>IFERROR(VLOOKUP($A89,SP_AcqTract_DB[],MATCH(P$2,SP_AcqTract_DB[#Headers],0),FALSE),"")</f>
        <v>0</v>
      </c>
      <c r="Q89" s="208">
        <f>IFERROR(VLOOKUP($A89,SP_AcqTract_DB[],MATCH(Q$2,SP_AcqTract_DB[#Headers],0),FALSE),"")</f>
        <v>0</v>
      </c>
      <c r="R89" s="250" t="str">
        <f>IFERROR(IF(VLOOKUP(CONCATENATE($A89,"_",R$1),SP_ACQ_Lib[],MATCH(R$2,SP_ACQ_Lib[#Headers],0),FALSE)=0,"",VLOOKUP(CONCATENATE($A89,"_",R$1),SP_ACQ_Lib[],MATCH(R$2,SP_ACQ_Lib[#Headers],0),FALSE)),"")</f>
        <v/>
      </c>
      <c r="S89" s="253" t="str">
        <f>IFERROR(IF(VLOOKUP(CONCATENATE($A89,"_",S$1),SP_ACQ_Lib[],MATCH(S$2,SP_ACQ_Lib[#Headers],0),FALSE)=0,"",VLOOKUP(CONCATENATE($A89,"_",S$1),SP_ACQ_Lib[],MATCH(S$2,SP_ACQ_Lib[#Headers],0),FALSE)),"")</f>
        <v/>
      </c>
      <c r="T89" s="205">
        <f>IFERROR(VLOOKUP(CONCATENATE($A89,"_",T$1),SP_ACQ_Lib[],MATCH(T$2,SP_ACQ_Lib[#Headers],0),FALSE),0)</f>
        <v>0</v>
      </c>
      <c r="U89" s="250" t="str">
        <f>IFERROR(IF(VLOOKUP(CONCATENATE($A89,"_",U$1),SP_ACQ_Lib[],MATCH(U$2,SP_ACQ_Lib[#Headers],0),FALSE)=0,"",VLOOKUP(CONCATENATE($A89,"_",U$1),SP_ACQ_Lib[],MATCH(U$2,SP_ACQ_Lib[#Headers],0),FALSE)),"")</f>
        <v/>
      </c>
      <c r="V89" s="205" t="str">
        <f>IFERROR(VLOOKUP(CONCATENATE($A89,"_",V$1),SP_ACQ_Lib[],MATCH(V$2,SP_ACQ_Lib[#Headers],0),FALSE),0)</f>
        <v>Accepted</v>
      </c>
      <c r="W89" s="209">
        <f>IFERROR(VLOOKUP(CONCATENATE($A89,"_",W$1),SP_ACQ_Lib[],MATCH(W$2,SP_ACQ_Lib[#Headers],0),FALSE),0)</f>
        <v>0</v>
      </c>
      <c r="X89" s="250">
        <f>IFERROR(VLOOKUP($A89,SP_AcqTract_DB[],MATCH(X$2,SP_AcqTract_DB[#Headers],0),FALSE),"")</f>
        <v>0</v>
      </c>
      <c r="Y89" s="237">
        <f>IFERROR(VLOOKUP($A89,SP_AcqTract_DB[],MATCH(Y$2,SP_AcqTract_DB[#Headers],0),FALSE),"")</f>
        <v>0</v>
      </c>
      <c r="Z89" s="229">
        <f>IFERROR(VLOOKUP($A89,SP_AcqTract_DB[],MATCH(Z$2,SP_AcqTract_DB[#Headers],0),FALSE),"")</f>
        <v>0</v>
      </c>
      <c r="AA89" s="229">
        <f>IFERROR(VLOOKUP($A89,SP_AcqTract_DB[],MATCH(AA$2,SP_AcqTract_DB[#Headers],0),FALSE),"")</f>
        <v>0</v>
      </c>
      <c r="AB89" s="250" t="str">
        <f>IFERROR(IF(VLOOKUP(CONCATENATE($A89,"_",AB$1),SP_ACQ_Lib[],MATCH(AB$2,SP_ACQ_Lib[#Headers],0),FALSE)=0,"",VLOOKUP(CONCATENATE($A89,"_",AB$1),SP_ACQ_Lib[],MATCH(AB$2,SP_ACQ_Lib[#Headers],0),FALSE)),"")</f>
        <v/>
      </c>
      <c r="AC89" s="250" t="str">
        <f>IFERROR(IF(VLOOKUP(CONCATENATE($A89,"_",AC$1),SP_ACQ_Lib[],MATCH(AC$2,SP_ACQ_Lib[#Headers],0),FALSE)=0,"",VLOOKUP(CONCATENATE($A89,"_",AC$1),SP_ACQ_Lib[],MATCH(AC$2,SP_ACQ_Lib[#Headers],0),FALSE)),"")</f>
        <v/>
      </c>
      <c r="AD89" s="229">
        <f>IFERROR(VLOOKUP($A89,SP_AcqTract_DB[],MATCH(AD$2,SP_AcqTract_DB[#Headers],0),FALSE),"")</f>
        <v>0</v>
      </c>
      <c r="AE89" s="250" t="str">
        <f>IFERROR(IF(VLOOKUP(CONCATENATE($A89,"_",AE$1),SP_ACQ_Lib[],MATCH(AE$2,SP_ACQ_Lib[#Headers],0),FALSE)=0,"",VLOOKUP(CONCATENATE($A89,"_",AE$1),SP_ACQ_Lib[],MATCH(AE$2,SP_ACQ_Lib[#Headers],0),FALSE)),"")</f>
        <v/>
      </c>
      <c r="AF89" s="250" t="str">
        <f>IFERROR(IF(VLOOKUP(CONCATENATE($A89,"_",AF$1),SP_ACQ_Lib[],MATCH(AF$2,SP_ACQ_Lib[#Headers],0),FALSE)=0,"",VLOOKUP(CONCATENATE($A89,"_",AF$1),SP_ACQ_Lib[],MATCH(AF$2,SP_ACQ_Lib[#Headers],0),FALSE)),"")</f>
        <v/>
      </c>
      <c r="AG89" s="250" t="str">
        <f>IFERROR(IF(VLOOKUP(CONCATENATE($A89,"_",AG$1),SP_ACQ_Lib[],MATCH(AG$2,SP_ACQ_Lib[#Headers],0),FALSE)=0,"",VLOOKUP(CONCATENATE($A89,"_",AG$1),SP_ACQ_Lib[],MATCH(AG$2,SP_ACQ_Lib[#Headers],0),FALSE)),"")</f>
        <v/>
      </c>
      <c r="AH89" s="250" t="str">
        <f>IFERROR(IF(VLOOKUP(CONCATENATE($A89,"_",AH$1),SP_ACQ_Lib[],MATCH(AH$2,SP_ACQ_Lib[#Headers],0),FALSE)=0,"",VLOOKUP(CONCATENATE($A89,"_",AH$1),SP_ACQ_Lib[],MATCH(AH$2,SP_ACQ_Lib[#Headers],0),FALSE)),"")</f>
        <v/>
      </c>
      <c r="AI89" s="249">
        <f>IFERROR(IF(VLOOKUP(CONCATENATE($A89,"_",AI$1),SP_ACQ_Lib[],MATCH(AI$2,SP_ACQ_Lib[#Headers],0),FALSE)=0,"",VLOOKUP(CONCATENATE($A89,"_",AI$1),SP_ACQ_Lib[],MATCH(AI$2,SP_ACQ_Lib[#Headers],0),FALSE)),"")</f>
        <v>43984</v>
      </c>
      <c r="AJ89" s="249" t="str">
        <f>IFERROR(IF(VLOOKUP(CONCATENATE($A89,"_",AJ$1),SP_ACQ_Lib[],MATCH(AJ$2,SP_ACQ_Lib[#Headers],0),FALSE)=0,"",VLOOKUP(CONCATENATE($A89,"_",AJ$1),SP_ACQ_Lib[],MATCH(AJ$2,SP_ACQ_Lib[#Headers],0),FALSE)),"")</f>
        <v/>
      </c>
      <c r="AK89" s="249" t="str">
        <f>IFERROR(IF(VLOOKUP(CONCATENATE($A89,"_",AK$1),SP_ACQ_Lib[],MATCH(AK$2,SP_ACQ_Lib[#Headers],0),FALSE)=0,"",VLOOKUP(CONCATENATE($A89,"_",AK$1),SP_ACQ_Lib[],MATCH(AK$2,SP_ACQ_Lib[#Headers],0),FALSE)),"")</f>
        <v/>
      </c>
      <c r="AL89" s="249">
        <f>IFERROR(VLOOKUP($A89,SP_AcqTract_DB[],MATCH(AL$2,SP_AcqTract_DB[#Headers],0),FALSE),"")</f>
        <v>0</v>
      </c>
      <c r="AM89" s="227">
        <f>IFERROR(VLOOKUP($A89,SP_AcqTract_DB[],MATCH(AM$2,SP_AcqTract_DB[#Headers],0),FALSE),"")</f>
        <v>0</v>
      </c>
      <c r="AN89" s="227">
        <f>IFERROR(VLOOKUP($A89,SP_AcqTract_DB[],MATCH(AN$2,SP_AcqTract_DB[#Headers],0),FALSE),"")</f>
        <v>0</v>
      </c>
      <c r="AO89" s="228">
        <f>IFERROR(VLOOKUP($A89,SP_AcqTract_DB[],MATCH(AO$2,SP_AcqTract_DB[#Headers],0),FALSE),"")</f>
        <v>0</v>
      </c>
      <c r="AP89" s="210">
        <f>IFERROR(VLOOKUP($A89,SP_AcqTract_DB[],MATCH(AP$2,SP_AcqTract_DB[#Headers],0),FALSE),"")</f>
        <v>0</v>
      </c>
      <c r="AQ89" s="252" t="str">
        <f>IFERROR(IF(VLOOKUP(CONCATENATE($A89,"_",AQ$1),SP_ACQ_Lib[],MATCH(AQ$2,SP_ACQ_Lib[#Headers],0),FALSE)=0,"",VLOOKUP(CONCATENATE($A89,"_",AQ$1),SP_ACQ_Lib[],MATCH(AQ$2,SP_ACQ_Lib[#Headers],0),FALSE)),"")</f>
        <v/>
      </c>
      <c r="AR89" s="250" t="str">
        <f>IFERROR(IF(VLOOKUP(CONCATENATE($A89,"_",AR$1),SP_ACQ_Lib[],MATCH(AR$2,SP_ACQ_Lib[#Headers],0),FALSE)=0,"",VLOOKUP(CONCATENATE($A89,"_",AR$1),SP_ACQ_Lib[],MATCH(AR$2,SP_ACQ_Lib[#Headers],0),FALSE)),"")</f>
        <v/>
      </c>
      <c r="AS89" s="249" t="str">
        <f>IFERROR(IF(VLOOKUP(CONCATENATE($A89,"_",AS$1),SP_ACQ_Lib[],MATCH(AS$2,SP_ACQ_Lib[#Headers],0),FALSE)=0,"",VLOOKUP(CONCATENATE($A89,"_",AS$1),SP_ACQ_Lib[],MATCH(AS$2,SP_ACQ_Lib[#Headers],0),FALSE)),"")</f>
        <v/>
      </c>
      <c r="AT89" s="251" t="str">
        <f>IFERROR(IF(VLOOKUP(CONCATENATE($A89,"_",AT$1),SP_ACQ_Lib[],MATCH(AT$2,SP_ACQ_Lib[#Headers],0),FALSE)=0,"",VLOOKUP(CONCATENATE($A89,"_",AT$1),SP_ACQ_Lib[],MATCH(AT$2,SP_ACQ_Lib[#Headers],0),FALSE)),"")</f>
        <v/>
      </c>
      <c r="AU89" s="251" t="str">
        <f>IFERROR(IF(VLOOKUP(CONCATENATE($A89,"_",AU$1),SP_ACQ_Lib[],MATCH(AU$2,SP_ACQ_Lib[#Headers],0),FALSE)=0,"",VLOOKUP(CONCATENATE($A89,"_",AU$1),SP_ACQ_Lib[],MATCH(AU$2,SP_ACQ_Lib[#Headers],0),FALSE)),"")</f>
        <v/>
      </c>
      <c r="AV89" s="225" t="str">
        <f>IFERROR(IF(VLOOKUP(CONCATENATE($A89,"_",AV$1),SP_ACQ_Lib[],MATCH(AV$2,SP_ACQ_Lib[#Headers],0),FALSE)=0,"",VLOOKUP(CONCATENATE($A89,"_",AV$1),SP_ACQ_Lib[],MATCH(AV$2,SP_ACQ_Lib[#Headers],0),FALSE)),"")</f>
        <v/>
      </c>
      <c r="AW89" s="251" t="str">
        <f>IFERROR(IF(VLOOKUP(CONCATENATE($A89,"_",AW$1),SP_ACQ_Lib[],MATCH(AW$2,SP_ACQ_Lib[#Headers],0),FALSE)=0,"",VLOOKUP(CONCATENATE($A89,"_",AW$1),SP_ACQ_Lib[],MATCH(AW$2,SP_ACQ_Lib[#Headers],0),FALSE)),"")</f>
        <v/>
      </c>
      <c r="AX89" s="251" t="str">
        <f>IFERROR(IF(VLOOKUP(CONCATENATE($A89,"_",AX$1),SP_ACQ_Lib[],MATCH(AX$2,SP_ACQ_Lib[#Headers],0),FALSE)=0,"",VLOOKUP(CONCATENATE($A89,"_",AX$1),SP_ACQ_Lib[],MATCH(AX$2,SP_ACQ_Lib[#Headers],0),FALSE)),"")</f>
        <v/>
      </c>
      <c r="AY89" s="251" t="str">
        <f>IFERROR(IF(VLOOKUP(CONCATENATE($A89,"_",AY$1),SP_ACQ_Lib[],MATCH(AY$2,SP_ACQ_Lib[#Headers],0),FALSE)=0,"",VLOOKUP(CONCATENATE($A89,"_",AY$1),SP_ACQ_Lib[],MATCH(AY$2,SP_ACQ_Lib[#Headers],0),FALSE)),"")</f>
        <v/>
      </c>
      <c r="AZ89" s="251" t="str">
        <f>IFERROR(IF(VLOOKUP(CONCATENATE($A89,"_",AZ$1),SP_ACQ_Lib[],MATCH(AZ$2,SP_ACQ_Lib[#Headers],0),FALSE)=0,"",VLOOKUP(CONCATENATE($A89,"_",AZ$1),SP_ACQ_Lib[],MATCH(AZ$2,SP_ACQ_Lib[#Headers],0),FALSE)),"")</f>
        <v/>
      </c>
      <c r="BA89" s="251" t="str">
        <f>IFERROR(IF(VLOOKUP(CONCATENATE($A89,"_",BA$1),SP_ACQ_Lib[],MATCH(BA$2,SP_ACQ_Lib[#Headers],0),FALSE)=0,"",VLOOKUP(CONCATENATE($A89,"_",BA$1),SP_ACQ_Lib[],MATCH(BA$2,SP_ACQ_Lib[#Headers],0),FALSE)),"")</f>
        <v/>
      </c>
      <c r="BB89" s="224">
        <f>IFERROR(VLOOKUP(CONCATENATE($A89,"_",BB$1),SP_ACQ_Lib[],MATCH(BB$2,SP_ACQ_Lib[#Headers],0),FALSE),0)</f>
        <v>0</v>
      </c>
      <c r="BC89" s="231">
        <f>IFERROR(VLOOKUP($A89,SP_AcqTract_DB[],MATCH(BC$2,SP_AcqTract_DB[#Headers],0),FALSE),"")</f>
        <v>0</v>
      </c>
      <c r="BD89" s="231">
        <f>IFERROR(VLOOKUP($A89,SP_AcqTract_DB[],MATCH(BD$2,SP_AcqTract_DB[#Headers],0),FALSE),"")</f>
        <v>0</v>
      </c>
      <c r="BE89" s="249" t="str">
        <f>IFERROR(IF(VLOOKUP(CONCATENATE($A89,"_",BE$1),SP_ACQ_Lib[],MATCH(BE$2,SP_ACQ_Lib[#Headers],0),FALSE)=0,"",VLOOKUP(CONCATENATE($A89,"_",BE$1),SP_ACQ_Lib[],MATCH(BE$2,SP_ACQ_Lib[#Headers],0),FALSE)),"")</f>
        <v/>
      </c>
      <c r="BF89" s="249" t="str">
        <f>IFERROR(IF(VLOOKUP(CONCATENATE($A89,"_",BF$1),SP_ACQ_Lib[],MATCH(BF$2,SP_ACQ_Lib[#Headers],0),FALSE)=0,"",VLOOKUP(CONCATENATE($A89,"_",BF$1),SP_ACQ_Lib[],MATCH(BF$2,SP_ACQ_Lib[#Headers],0),FALSE)),"")</f>
        <v/>
      </c>
      <c r="BG89" s="249" t="str">
        <f>IFERROR(IF(VLOOKUP(CONCATENATE($A89,"_",BG$1),SP_ACQ_Lib[],MATCH(BG$2,SP_ACQ_Lib[#Headers],0),FALSE)=0,"",VLOOKUP(CONCATENATE($A89,"_",BG$1),SP_ACQ_Lib[],MATCH(BG$2,SP_ACQ_Lib[#Headers],0),FALSE)),"")</f>
        <v/>
      </c>
      <c r="BH89" s="249" t="str">
        <f>IFERROR(IF(VLOOKUP(CONCATENATE($A89,"_",BH$1),SP_ACQ_Lib[],MATCH(BH$2,SP_ACQ_Lib[#Headers],0),FALSE)=0,"",VLOOKUP(CONCATENATE($A89,"_",BH$1),SP_ACQ_Lib[],MATCH(BH$2,SP_ACQ_Lib[#Headers],0),FALSE)),"")</f>
        <v/>
      </c>
      <c r="BI89" s="249" t="str">
        <f>IFERROR(IF(VLOOKUP(CONCATENATE($A89,"_",BI$1),SP_ACQ_Lib[],MATCH(BI$2,SP_ACQ_Lib[#Headers],0),FALSE)=0,"",VLOOKUP(CONCATENATE($A89,"_",BI$1),SP_ACQ_Lib[],MATCH(BI$2,SP_ACQ_Lib[#Headers],0),FALSE)),"")</f>
        <v/>
      </c>
      <c r="BJ89" s="249" t="str">
        <f>IFERROR(IF(VLOOKUP(CONCATENATE($A89,"_",BJ$1),SP_ACQ_Lib[],MATCH(BJ$2,SP_ACQ_Lib[#Headers],0),FALSE)=0,"",VLOOKUP(CONCATENATE($A89,"_",BJ$1),SP_ACQ_Lib[],MATCH(BJ$2,SP_ACQ_Lib[#Headers],0),FALSE)),"")</f>
        <v/>
      </c>
      <c r="BK89" s="250" t="str">
        <f>IFERROR(IF(VLOOKUP(CONCATENATE($A89,"_",BK$1),SP_ACQ_Lib[],MATCH(BK$2,SP_ACQ_Lib[#Headers],0),FALSE)=0,"",VLOOKUP(CONCATENATE($A89,"_",BK$1),SP_ACQ_Lib[],MATCH(BK$2,SP_ACQ_Lib[#Headers],0),FALSE)),"")</f>
        <v/>
      </c>
      <c r="BL89" s="249" t="str">
        <f>IFERROR(IF(VLOOKUP(CONCATENATE($A89,"_",BL$1),SP_ACQ_Lib[],MATCH(BL$2,SP_ACQ_Lib[#Headers],0),FALSE)=0,"",VLOOKUP(CONCATENATE($A89,"_",BL$1),SP_ACQ_Lib[],MATCH(BL$2,SP_ACQ_Lib[#Headers],0),FALSE)),"")</f>
        <v/>
      </c>
      <c r="BM89" s="249" t="str">
        <f>IFERROR(IF(VLOOKUP(CONCATENATE($A89,"_",BM$1),SP_ACQ_Lib[],MATCH(BM$2,SP_ACQ_Lib[#Headers],0),FALSE)=0,"",VLOOKUP(CONCATENATE($A89,"_",BM$1),SP_ACQ_Lib[],MATCH(BM$2,SP_ACQ_Lib[#Headers],0),FALSE)),"")</f>
        <v/>
      </c>
      <c r="BN89" s="249" t="str">
        <f>IFERROR(IF(VLOOKUP(CONCATENATE($A89,"_",BN$1),SP_ACQ_Lib[],MATCH(BN$2,SP_ACQ_Lib[#Headers],0),FALSE)=0,"",VLOOKUP(CONCATENATE($A89,"_",BN$1),SP_ACQ_Lib[],MATCH(BN$2,SP_ACQ_Lib[#Headers],0),FALSE)),"")</f>
        <v/>
      </c>
    </row>
    <row r="90" spans="1:66" s="226" customFormat="1" ht="15.75" x14ac:dyDescent="0.2">
      <c r="A90" s="192" t="s">
        <v>5299</v>
      </c>
      <c r="B90" s="227" t="str">
        <f>IFERROR(VLOOKUP($A90,SP_AcqTract_DB[],MATCH(B$2,SP_AcqTract_DB[#Headers],0),FALSE),"")</f>
        <v>R026942</v>
      </c>
      <c r="C90" s="228" t="str">
        <f>IFERROR(VLOOKUP($A90,SP_AcqTract_DB[],MATCH(C$2,SP_AcqTract_DB[#Headers],0),FALSE),"")</f>
        <v>PH2</v>
      </c>
      <c r="D90" s="208" t="str">
        <f>IFERROR(VLOOKUP($A90,SP_AcqTract_DB[],MATCH(D$2,SP_AcqTract_DB[#Headers],0),FALSE),"")</f>
        <v>Active</v>
      </c>
      <c r="E90" s="208">
        <f>IFERROR(VLOOKUP($A90,SP_AcqTract_DB[],MATCH(E$2,SP_AcqTract_DB[#Headers],0),FALSE),"")</f>
        <v>0</v>
      </c>
      <c r="F90" s="227">
        <f>IFERROR(VLOOKUP($A90,SP_AcqTract_DB[],MATCH(F$2,SP_AcqTract_DB[#Headers],0),FALSE),"")</f>
        <v>0</v>
      </c>
      <c r="G90" s="227" t="str">
        <f>IFERROR(VLOOKUP($A90,SP_AcqTract_DB[],MATCH(G$2,SP_AcqTract_DB[#Headers],0),FALSE),"")</f>
        <v>Elizabeth Taylor</v>
      </c>
      <c r="H90" s="250">
        <f>IFERROR(IF(VLOOKUP(CONCATENATE($A90,"_",H$1),SP_ACQ_Lib[],MATCH(H$2,SP_ACQ_Lib[#Headers],0),FALSE)=0,"",VLOOKUP(CONCATENATE($A90,"_",H$1),SP_ACQ_Lib[],MATCH(H$2,SP_ACQ_Lib[#Headers],0),FALSE)),"")</f>
        <v>44021.424155092594</v>
      </c>
      <c r="I90" s="227" t="str">
        <f>IFERROR(VLOOKUP($A90,SP_AcqTract_DB[],MATCH(I$2,SP_AcqTract_DB[#Headers],0),FALSE),"")</f>
        <v>Lopez Daimus</v>
      </c>
      <c r="J90" s="227">
        <f>IFERROR(VLOOKUP($A90,SP_AcqTract_DB[],MATCH(J$2,SP_AcqTract_DB[#Headers],0),FALSE),"")</f>
        <v>0</v>
      </c>
      <c r="K90" s="227">
        <f>IFERROR(VLOOKUP($A90,SP_AcqTract_DB[],MATCH(K$2,SP_AcqTract_DB[#Headers],0),FALSE),"")</f>
        <v>0</v>
      </c>
      <c r="L90" s="227">
        <f>IFERROR(VLOOKUP($A90,SP_AcqTract_DB[],MATCH(L$2,SP_AcqTract_DB[#Headers],0),FALSE),"")</f>
        <v>0</v>
      </c>
      <c r="M90" s="208">
        <f>IFERROR(VLOOKUP($A90,SP_AcqTract_DB[],MATCH(M$2,SP_AcqTract_DB[#Headers],0),FALSE),"")</f>
        <v>0</v>
      </c>
      <c r="N90" s="227" t="str">
        <f>IFERROR(VLOOKUP($A90,SP_AcqTract_DB[],MATCH(N$2,SP_AcqTract_DB[#Headers],0),FALSE),"")</f>
        <v>378 CR 150</v>
      </c>
      <c r="O90" s="220">
        <f>IFERROR(VLOOKUP($A90,SP_AcqTract_DB[],MATCH(O$2,SP_AcqTract_DB[#Headers],0),FALSE),"")</f>
        <v>0</v>
      </c>
      <c r="P90" s="220">
        <f>IFERROR(VLOOKUP($A90,SP_AcqTract_DB[],MATCH(P$2,SP_AcqTract_DB[#Headers],0),FALSE),"")</f>
        <v>0</v>
      </c>
      <c r="Q90" s="208">
        <f>IFERROR(VLOOKUP($A90,SP_AcqTract_DB[],MATCH(Q$2,SP_AcqTract_DB[#Headers],0),FALSE),"")</f>
        <v>0</v>
      </c>
      <c r="R90" s="250" t="str">
        <f>IFERROR(IF(VLOOKUP(CONCATENATE($A90,"_",R$1),SP_ACQ_Lib[],MATCH(R$2,SP_ACQ_Lib[#Headers],0),FALSE)=0,"",VLOOKUP(CONCATENATE($A90,"_",R$1),SP_ACQ_Lib[],MATCH(R$2,SP_ACQ_Lib[#Headers],0),FALSE)),"")</f>
        <v/>
      </c>
      <c r="S90" s="253" t="str">
        <f>IFERROR(IF(VLOOKUP(CONCATENATE($A90,"_",S$1),SP_ACQ_Lib[],MATCH(S$2,SP_ACQ_Lib[#Headers],0),FALSE)=0,"",VLOOKUP(CONCATENATE($A90,"_",S$1),SP_ACQ_Lib[],MATCH(S$2,SP_ACQ_Lib[#Headers],0),FALSE)),"")</f>
        <v/>
      </c>
      <c r="T90" s="205">
        <f>IFERROR(VLOOKUP(CONCATENATE($A90,"_",T$1),SP_ACQ_Lib[],MATCH(T$2,SP_ACQ_Lib[#Headers],0),FALSE),0)</f>
        <v>0</v>
      </c>
      <c r="U90" s="250" t="str">
        <f>IFERROR(IF(VLOOKUP(CONCATENATE($A90,"_",U$1),SP_ACQ_Lib[],MATCH(U$2,SP_ACQ_Lib[#Headers],0),FALSE)=0,"",VLOOKUP(CONCATENATE($A90,"_",U$1),SP_ACQ_Lib[],MATCH(U$2,SP_ACQ_Lib[#Headers],0),FALSE)),"")</f>
        <v/>
      </c>
      <c r="V90" s="205" t="str">
        <f>IFERROR(VLOOKUP(CONCATENATE($A90,"_",V$1),SP_ACQ_Lib[],MATCH(V$2,SP_ACQ_Lib[#Headers],0),FALSE),0)</f>
        <v>Accepted</v>
      </c>
      <c r="W90" s="209">
        <f>IFERROR(VLOOKUP(CONCATENATE($A90,"_",W$1),SP_ACQ_Lib[],MATCH(W$2,SP_ACQ_Lib[#Headers],0),FALSE),0)</f>
        <v>0</v>
      </c>
      <c r="X90" s="250">
        <f>IFERROR(VLOOKUP($A90,SP_AcqTract_DB[],MATCH(X$2,SP_AcqTract_DB[#Headers],0),FALSE),"")</f>
        <v>0</v>
      </c>
      <c r="Y90" s="237">
        <f>IFERROR(VLOOKUP($A90,SP_AcqTract_DB[],MATCH(Y$2,SP_AcqTract_DB[#Headers],0),FALSE),"")</f>
        <v>0</v>
      </c>
      <c r="Z90" s="229">
        <f>IFERROR(VLOOKUP($A90,SP_AcqTract_DB[],MATCH(Z$2,SP_AcqTract_DB[#Headers],0),FALSE),"")</f>
        <v>0</v>
      </c>
      <c r="AA90" s="229">
        <f>IFERROR(VLOOKUP($A90,SP_AcqTract_DB[],MATCH(AA$2,SP_AcqTract_DB[#Headers],0),FALSE),"")</f>
        <v>0</v>
      </c>
      <c r="AB90" s="250" t="str">
        <f>IFERROR(IF(VLOOKUP(CONCATENATE($A90,"_",AB$1),SP_ACQ_Lib[],MATCH(AB$2,SP_ACQ_Lib[#Headers],0),FALSE)=0,"",VLOOKUP(CONCATENATE($A90,"_",AB$1),SP_ACQ_Lib[],MATCH(AB$2,SP_ACQ_Lib[#Headers],0),FALSE)),"")</f>
        <v/>
      </c>
      <c r="AC90" s="250" t="str">
        <f>IFERROR(IF(VLOOKUP(CONCATENATE($A90,"_",AC$1),SP_ACQ_Lib[],MATCH(AC$2,SP_ACQ_Lib[#Headers],0),FALSE)=0,"",VLOOKUP(CONCATENATE($A90,"_",AC$1),SP_ACQ_Lib[],MATCH(AC$2,SP_ACQ_Lib[#Headers],0),FALSE)),"")</f>
        <v/>
      </c>
      <c r="AD90" s="229">
        <f>IFERROR(VLOOKUP($A90,SP_AcqTract_DB[],MATCH(AD$2,SP_AcqTract_DB[#Headers],0),FALSE),"")</f>
        <v>0</v>
      </c>
      <c r="AE90" s="250" t="str">
        <f>IFERROR(IF(VLOOKUP(CONCATENATE($A90,"_",AE$1),SP_ACQ_Lib[],MATCH(AE$2,SP_ACQ_Lib[#Headers],0),FALSE)=0,"",VLOOKUP(CONCATENATE($A90,"_",AE$1),SP_ACQ_Lib[],MATCH(AE$2,SP_ACQ_Lib[#Headers],0),FALSE)),"")</f>
        <v/>
      </c>
      <c r="AF90" s="250" t="str">
        <f>IFERROR(IF(VLOOKUP(CONCATENATE($A90,"_",AF$1),SP_ACQ_Lib[],MATCH(AF$2,SP_ACQ_Lib[#Headers],0),FALSE)=0,"",VLOOKUP(CONCATENATE($A90,"_",AF$1),SP_ACQ_Lib[],MATCH(AF$2,SP_ACQ_Lib[#Headers],0),FALSE)),"")</f>
        <v/>
      </c>
      <c r="AG90" s="250" t="str">
        <f>IFERROR(IF(VLOOKUP(CONCATENATE($A90,"_",AG$1),SP_ACQ_Lib[],MATCH(AG$2,SP_ACQ_Lib[#Headers],0),FALSE)=0,"",VLOOKUP(CONCATENATE($A90,"_",AG$1),SP_ACQ_Lib[],MATCH(AG$2,SP_ACQ_Lib[#Headers],0),FALSE)),"")</f>
        <v/>
      </c>
      <c r="AH90" s="250" t="str">
        <f>IFERROR(IF(VLOOKUP(CONCATENATE($A90,"_",AH$1),SP_ACQ_Lib[],MATCH(AH$2,SP_ACQ_Lib[#Headers],0),FALSE)=0,"",VLOOKUP(CONCATENATE($A90,"_",AH$1),SP_ACQ_Lib[],MATCH(AH$2,SP_ACQ_Lib[#Headers],0),FALSE)),"")</f>
        <v/>
      </c>
      <c r="AI90" s="249">
        <f>IFERROR(IF(VLOOKUP(CONCATENATE($A90,"_",AI$1),SP_ACQ_Lib[],MATCH(AI$2,SP_ACQ_Lib[#Headers],0),FALSE)=0,"",VLOOKUP(CONCATENATE($A90,"_",AI$1),SP_ACQ_Lib[],MATCH(AI$2,SP_ACQ_Lib[#Headers],0),FALSE)),"")</f>
        <v>43984</v>
      </c>
      <c r="AJ90" s="249" t="str">
        <f>IFERROR(IF(VLOOKUP(CONCATENATE($A90,"_",AJ$1),SP_ACQ_Lib[],MATCH(AJ$2,SP_ACQ_Lib[#Headers],0),FALSE)=0,"",VLOOKUP(CONCATENATE($A90,"_",AJ$1),SP_ACQ_Lib[],MATCH(AJ$2,SP_ACQ_Lib[#Headers],0),FALSE)),"")</f>
        <v/>
      </c>
      <c r="AK90" s="249" t="str">
        <f>IFERROR(IF(VLOOKUP(CONCATENATE($A90,"_",AK$1),SP_ACQ_Lib[],MATCH(AK$2,SP_ACQ_Lib[#Headers],0),FALSE)=0,"",VLOOKUP(CONCATENATE($A90,"_",AK$1),SP_ACQ_Lib[],MATCH(AK$2,SP_ACQ_Lib[#Headers],0),FALSE)),"")</f>
        <v/>
      </c>
      <c r="AL90" s="249">
        <f>IFERROR(VLOOKUP($A90,SP_AcqTract_DB[],MATCH(AL$2,SP_AcqTract_DB[#Headers],0),FALSE),"")</f>
        <v>0</v>
      </c>
      <c r="AM90" s="227">
        <f>IFERROR(VLOOKUP($A90,SP_AcqTract_DB[],MATCH(AM$2,SP_AcqTract_DB[#Headers],0),FALSE),"")</f>
        <v>0</v>
      </c>
      <c r="AN90" s="227">
        <f>IFERROR(VLOOKUP($A90,SP_AcqTract_DB[],MATCH(AN$2,SP_AcqTract_DB[#Headers],0),FALSE),"")</f>
        <v>0</v>
      </c>
      <c r="AO90" s="228">
        <f>IFERROR(VLOOKUP($A90,SP_AcqTract_DB[],MATCH(AO$2,SP_AcqTract_DB[#Headers],0),FALSE),"")</f>
        <v>0</v>
      </c>
      <c r="AP90" s="210">
        <f>IFERROR(VLOOKUP($A90,SP_AcqTract_DB[],MATCH(AP$2,SP_AcqTract_DB[#Headers],0),FALSE),"")</f>
        <v>0</v>
      </c>
      <c r="AQ90" s="252" t="str">
        <f>IFERROR(IF(VLOOKUP(CONCATENATE($A90,"_",AQ$1),SP_ACQ_Lib[],MATCH(AQ$2,SP_ACQ_Lib[#Headers],0),FALSE)=0,"",VLOOKUP(CONCATENATE($A90,"_",AQ$1),SP_ACQ_Lib[],MATCH(AQ$2,SP_ACQ_Lib[#Headers],0),FALSE)),"")</f>
        <v/>
      </c>
      <c r="AR90" s="250" t="str">
        <f>IFERROR(IF(VLOOKUP(CONCATENATE($A90,"_",AR$1),SP_ACQ_Lib[],MATCH(AR$2,SP_ACQ_Lib[#Headers],0),FALSE)=0,"",VLOOKUP(CONCATENATE($A90,"_",AR$1),SP_ACQ_Lib[],MATCH(AR$2,SP_ACQ_Lib[#Headers],0),FALSE)),"")</f>
        <v/>
      </c>
      <c r="AS90" s="249" t="str">
        <f>IFERROR(IF(VLOOKUP(CONCATENATE($A90,"_",AS$1),SP_ACQ_Lib[],MATCH(AS$2,SP_ACQ_Lib[#Headers],0),FALSE)=0,"",VLOOKUP(CONCATENATE($A90,"_",AS$1),SP_ACQ_Lib[],MATCH(AS$2,SP_ACQ_Lib[#Headers],0),FALSE)),"")</f>
        <v/>
      </c>
      <c r="AT90" s="251" t="str">
        <f>IFERROR(IF(VLOOKUP(CONCATENATE($A90,"_",AT$1),SP_ACQ_Lib[],MATCH(AT$2,SP_ACQ_Lib[#Headers],0),FALSE)=0,"",VLOOKUP(CONCATENATE($A90,"_",AT$1),SP_ACQ_Lib[],MATCH(AT$2,SP_ACQ_Lib[#Headers],0),FALSE)),"")</f>
        <v/>
      </c>
      <c r="AU90" s="251" t="str">
        <f>IFERROR(IF(VLOOKUP(CONCATENATE($A90,"_",AU$1),SP_ACQ_Lib[],MATCH(AU$2,SP_ACQ_Lib[#Headers],0),FALSE)=0,"",VLOOKUP(CONCATENATE($A90,"_",AU$1),SP_ACQ_Lib[],MATCH(AU$2,SP_ACQ_Lib[#Headers],0),FALSE)),"")</f>
        <v/>
      </c>
      <c r="AV90" s="225" t="str">
        <f>IFERROR(IF(VLOOKUP(CONCATENATE($A90,"_",AV$1),SP_ACQ_Lib[],MATCH(AV$2,SP_ACQ_Lib[#Headers],0),FALSE)=0,"",VLOOKUP(CONCATENATE($A90,"_",AV$1),SP_ACQ_Lib[],MATCH(AV$2,SP_ACQ_Lib[#Headers],0),FALSE)),"")</f>
        <v/>
      </c>
      <c r="AW90" s="251" t="str">
        <f>IFERROR(IF(VLOOKUP(CONCATENATE($A90,"_",AW$1),SP_ACQ_Lib[],MATCH(AW$2,SP_ACQ_Lib[#Headers],0),FALSE)=0,"",VLOOKUP(CONCATENATE($A90,"_",AW$1),SP_ACQ_Lib[],MATCH(AW$2,SP_ACQ_Lib[#Headers],0),FALSE)),"")</f>
        <v/>
      </c>
      <c r="AX90" s="251" t="str">
        <f>IFERROR(IF(VLOOKUP(CONCATENATE($A90,"_",AX$1),SP_ACQ_Lib[],MATCH(AX$2,SP_ACQ_Lib[#Headers],0),FALSE)=0,"",VLOOKUP(CONCATENATE($A90,"_",AX$1),SP_ACQ_Lib[],MATCH(AX$2,SP_ACQ_Lib[#Headers],0),FALSE)),"")</f>
        <v/>
      </c>
      <c r="AY90" s="251" t="str">
        <f>IFERROR(IF(VLOOKUP(CONCATENATE($A90,"_",AY$1),SP_ACQ_Lib[],MATCH(AY$2,SP_ACQ_Lib[#Headers],0),FALSE)=0,"",VLOOKUP(CONCATENATE($A90,"_",AY$1),SP_ACQ_Lib[],MATCH(AY$2,SP_ACQ_Lib[#Headers],0),FALSE)),"")</f>
        <v/>
      </c>
      <c r="AZ90" s="251" t="str">
        <f>IFERROR(IF(VLOOKUP(CONCATENATE($A90,"_",AZ$1),SP_ACQ_Lib[],MATCH(AZ$2,SP_ACQ_Lib[#Headers],0),FALSE)=0,"",VLOOKUP(CONCATENATE($A90,"_",AZ$1),SP_ACQ_Lib[],MATCH(AZ$2,SP_ACQ_Lib[#Headers],0),FALSE)),"")</f>
        <v/>
      </c>
      <c r="BA90" s="251" t="str">
        <f>IFERROR(IF(VLOOKUP(CONCATENATE($A90,"_",BA$1),SP_ACQ_Lib[],MATCH(BA$2,SP_ACQ_Lib[#Headers],0),FALSE)=0,"",VLOOKUP(CONCATENATE($A90,"_",BA$1),SP_ACQ_Lib[],MATCH(BA$2,SP_ACQ_Lib[#Headers],0),FALSE)),"")</f>
        <v/>
      </c>
      <c r="BB90" s="224">
        <f>IFERROR(VLOOKUP(CONCATENATE($A90,"_",BB$1),SP_ACQ_Lib[],MATCH(BB$2,SP_ACQ_Lib[#Headers],0),FALSE),0)</f>
        <v>0</v>
      </c>
      <c r="BC90" s="231">
        <f>IFERROR(VLOOKUP($A90,SP_AcqTract_DB[],MATCH(BC$2,SP_AcqTract_DB[#Headers],0),FALSE),"")</f>
        <v>0</v>
      </c>
      <c r="BD90" s="231">
        <f>IFERROR(VLOOKUP($A90,SP_AcqTract_DB[],MATCH(BD$2,SP_AcqTract_DB[#Headers],0),FALSE),"")</f>
        <v>0</v>
      </c>
      <c r="BE90" s="249" t="str">
        <f>IFERROR(IF(VLOOKUP(CONCATENATE($A90,"_",BE$1),SP_ACQ_Lib[],MATCH(BE$2,SP_ACQ_Lib[#Headers],0),FALSE)=0,"",VLOOKUP(CONCATENATE($A90,"_",BE$1),SP_ACQ_Lib[],MATCH(BE$2,SP_ACQ_Lib[#Headers],0),FALSE)),"")</f>
        <v/>
      </c>
      <c r="BF90" s="249" t="str">
        <f>IFERROR(IF(VLOOKUP(CONCATENATE($A90,"_",BF$1),SP_ACQ_Lib[],MATCH(BF$2,SP_ACQ_Lib[#Headers],0),FALSE)=0,"",VLOOKUP(CONCATENATE($A90,"_",BF$1),SP_ACQ_Lib[],MATCH(BF$2,SP_ACQ_Lib[#Headers],0),FALSE)),"")</f>
        <v/>
      </c>
      <c r="BG90" s="249" t="str">
        <f>IFERROR(IF(VLOOKUP(CONCATENATE($A90,"_",BG$1),SP_ACQ_Lib[],MATCH(BG$2,SP_ACQ_Lib[#Headers],0),FALSE)=0,"",VLOOKUP(CONCATENATE($A90,"_",BG$1),SP_ACQ_Lib[],MATCH(BG$2,SP_ACQ_Lib[#Headers],0),FALSE)),"")</f>
        <v/>
      </c>
      <c r="BH90" s="249" t="str">
        <f>IFERROR(IF(VLOOKUP(CONCATENATE($A90,"_",BH$1),SP_ACQ_Lib[],MATCH(BH$2,SP_ACQ_Lib[#Headers],0),FALSE)=0,"",VLOOKUP(CONCATENATE($A90,"_",BH$1),SP_ACQ_Lib[],MATCH(BH$2,SP_ACQ_Lib[#Headers],0),FALSE)),"")</f>
        <v/>
      </c>
      <c r="BI90" s="249" t="str">
        <f>IFERROR(IF(VLOOKUP(CONCATENATE($A90,"_",BI$1),SP_ACQ_Lib[],MATCH(BI$2,SP_ACQ_Lib[#Headers],0),FALSE)=0,"",VLOOKUP(CONCATENATE($A90,"_",BI$1),SP_ACQ_Lib[],MATCH(BI$2,SP_ACQ_Lib[#Headers],0),FALSE)),"")</f>
        <v/>
      </c>
      <c r="BJ90" s="249" t="str">
        <f>IFERROR(IF(VLOOKUP(CONCATENATE($A90,"_",BJ$1),SP_ACQ_Lib[],MATCH(BJ$2,SP_ACQ_Lib[#Headers],0),FALSE)=0,"",VLOOKUP(CONCATENATE($A90,"_",BJ$1),SP_ACQ_Lib[],MATCH(BJ$2,SP_ACQ_Lib[#Headers],0),FALSE)),"")</f>
        <v/>
      </c>
      <c r="BK90" s="250" t="str">
        <f>IFERROR(IF(VLOOKUP(CONCATENATE($A90,"_",BK$1),SP_ACQ_Lib[],MATCH(BK$2,SP_ACQ_Lib[#Headers],0),FALSE)=0,"",VLOOKUP(CONCATENATE($A90,"_",BK$1),SP_ACQ_Lib[],MATCH(BK$2,SP_ACQ_Lib[#Headers],0),FALSE)),"")</f>
        <v/>
      </c>
      <c r="BL90" s="249" t="str">
        <f>IFERROR(IF(VLOOKUP(CONCATENATE($A90,"_",BL$1),SP_ACQ_Lib[],MATCH(BL$2,SP_ACQ_Lib[#Headers],0),FALSE)=0,"",VLOOKUP(CONCATENATE($A90,"_",BL$1),SP_ACQ_Lib[],MATCH(BL$2,SP_ACQ_Lib[#Headers],0),FALSE)),"")</f>
        <v/>
      </c>
      <c r="BM90" s="249" t="str">
        <f>IFERROR(IF(VLOOKUP(CONCATENATE($A90,"_",BM$1),SP_ACQ_Lib[],MATCH(BM$2,SP_ACQ_Lib[#Headers],0),FALSE)=0,"",VLOOKUP(CONCATENATE($A90,"_",BM$1),SP_ACQ_Lib[],MATCH(BM$2,SP_ACQ_Lib[#Headers],0),FALSE)),"")</f>
        <v/>
      </c>
      <c r="BN90" s="249" t="str">
        <f>IFERROR(IF(VLOOKUP(CONCATENATE($A90,"_",BN$1),SP_ACQ_Lib[],MATCH(BN$2,SP_ACQ_Lib[#Headers],0),FALSE)=0,"",VLOOKUP(CONCATENATE($A90,"_",BN$1),SP_ACQ_Lib[],MATCH(BN$2,SP_ACQ_Lib[#Headers],0),FALSE)),"")</f>
        <v/>
      </c>
    </row>
    <row r="91" spans="1:66" s="226" customFormat="1" ht="15.75" x14ac:dyDescent="0.2">
      <c r="A91" s="192" t="s">
        <v>5301</v>
      </c>
      <c r="B91" s="227" t="str">
        <f>IFERROR(VLOOKUP($A91,SP_AcqTract_DB[],MATCH(B$2,SP_AcqTract_DB[#Headers],0),FALSE),"")</f>
        <v>R026943</v>
      </c>
      <c r="C91" s="228" t="str">
        <f>IFERROR(VLOOKUP($A91,SP_AcqTract_DB[],MATCH(C$2,SP_AcqTract_DB[#Headers],0),FALSE),"")</f>
        <v>PH2</v>
      </c>
      <c r="D91" s="208" t="str">
        <f>IFERROR(VLOOKUP($A91,SP_AcqTract_DB[],MATCH(D$2,SP_AcqTract_DB[#Headers],0),FALSE),"")</f>
        <v>Active</v>
      </c>
      <c r="E91" s="208">
        <f>IFERROR(VLOOKUP($A91,SP_AcqTract_DB[],MATCH(E$2,SP_AcqTract_DB[#Headers],0),FALSE),"")</f>
        <v>0</v>
      </c>
      <c r="F91" s="227">
        <f>IFERROR(VLOOKUP($A91,SP_AcqTract_DB[],MATCH(F$2,SP_AcqTract_DB[#Headers],0),FALSE),"")</f>
        <v>0</v>
      </c>
      <c r="G91" s="227" t="str">
        <f>IFERROR(VLOOKUP($A91,SP_AcqTract_DB[],MATCH(G$2,SP_AcqTract_DB[#Headers],0),FALSE),"")</f>
        <v>Melissa DeLeon</v>
      </c>
      <c r="H91" s="250">
        <f>IFERROR(IF(VLOOKUP(CONCATENATE($A91,"_",H$1),SP_ACQ_Lib[],MATCH(H$2,SP_ACQ_Lib[#Headers],0),FALSE)=0,"",VLOOKUP(CONCATENATE($A91,"_",H$1),SP_ACQ_Lib[],MATCH(H$2,SP_ACQ_Lib[#Headers],0),FALSE)),"")</f>
        <v>44011.922488425924</v>
      </c>
      <c r="I91" s="227" t="str">
        <f>IFERROR(VLOOKUP($A91,SP_AcqTract_DB[],MATCH(I$2,SP_AcqTract_DB[#Headers],0),FALSE),"")</f>
        <v>Lewis Forrest W &amp; Julia W</v>
      </c>
      <c r="J91" s="227">
        <f>IFERROR(VLOOKUP($A91,SP_AcqTract_DB[],MATCH(J$2,SP_AcqTract_DB[#Headers],0),FALSE),"")</f>
        <v>0</v>
      </c>
      <c r="K91" s="227">
        <f>IFERROR(VLOOKUP($A91,SP_AcqTract_DB[],MATCH(K$2,SP_AcqTract_DB[#Headers],0),FALSE),"")</f>
        <v>0</v>
      </c>
      <c r="L91" s="227">
        <f>IFERROR(VLOOKUP($A91,SP_AcqTract_DB[],MATCH(L$2,SP_AcqTract_DB[#Headers],0),FALSE),"")</f>
        <v>0</v>
      </c>
      <c r="M91" s="208">
        <f>IFERROR(VLOOKUP($A91,SP_AcqTract_DB[],MATCH(M$2,SP_AcqTract_DB[#Headers],0),FALSE),"")</f>
        <v>0</v>
      </c>
      <c r="N91" s="227" t="str">
        <f>IFERROR(VLOOKUP($A91,SP_AcqTract_DB[],MATCH(N$2,SP_AcqTract_DB[#Headers],0),FALSE),"")</f>
        <v>468 CR 150</v>
      </c>
      <c r="O91" s="220">
        <f>IFERROR(VLOOKUP($A91,SP_AcqTract_DB[],MATCH(O$2,SP_AcqTract_DB[#Headers],0),FALSE),"")</f>
        <v>0</v>
      </c>
      <c r="P91" s="220">
        <f>IFERROR(VLOOKUP($A91,SP_AcqTract_DB[],MATCH(P$2,SP_AcqTract_DB[#Headers],0),FALSE),"")</f>
        <v>0</v>
      </c>
      <c r="Q91" s="208">
        <f>IFERROR(VLOOKUP($A91,SP_AcqTract_DB[],MATCH(Q$2,SP_AcqTract_DB[#Headers],0),FALSE),"")</f>
        <v>0</v>
      </c>
      <c r="R91" s="250" t="str">
        <f>IFERROR(IF(VLOOKUP(CONCATENATE($A91,"_",R$1),SP_ACQ_Lib[],MATCH(R$2,SP_ACQ_Lib[#Headers],0),FALSE)=0,"",VLOOKUP(CONCATENATE($A91,"_",R$1),SP_ACQ_Lib[],MATCH(R$2,SP_ACQ_Lib[#Headers],0),FALSE)),"")</f>
        <v/>
      </c>
      <c r="S91" s="253" t="str">
        <f>IFERROR(IF(VLOOKUP(CONCATENATE($A91,"_",S$1),SP_ACQ_Lib[],MATCH(S$2,SP_ACQ_Lib[#Headers],0),FALSE)=0,"",VLOOKUP(CONCATENATE($A91,"_",S$1),SP_ACQ_Lib[],MATCH(S$2,SP_ACQ_Lib[#Headers],0),FALSE)),"")</f>
        <v/>
      </c>
      <c r="T91" s="205">
        <f>IFERROR(VLOOKUP(CONCATENATE($A91,"_",T$1),SP_ACQ_Lib[],MATCH(T$2,SP_ACQ_Lib[#Headers],0),FALSE),0)</f>
        <v>0</v>
      </c>
      <c r="U91" s="250" t="str">
        <f>IFERROR(IF(VLOOKUP(CONCATENATE($A91,"_",U$1),SP_ACQ_Lib[],MATCH(U$2,SP_ACQ_Lib[#Headers],0),FALSE)=0,"",VLOOKUP(CONCATENATE($A91,"_",U$1),SP_ACQ_Lib[],MATCH(U$2,SP_ACQ_Lib[#Headers],0),FALSE)),"")</f>
        <v/>
      </c>
      <c r="V91" s="205" t="str">
        <f>IFERROR(VLOOKUP(CONCATENATE($A91,"_",V$1),SP_ACQ_Lib[],MATCH(V$2,SP_ACQ_Lib[#Headers],0),FALSE),0)</f>
        <v>Accepted</v>
      </c>
      <c r="W91" s="209">
        <f>IFERROR(VLOOKUP(CONCATENATE($A91,"_",W$1),SP_ACQ_Lib[],MATCH(W$2,SP_ACQ_Lib[#Headers],0),FALSE),0)</f>
        <v>0</v>
      </c>
      <c r="X91" s="250">
        <f>IFERROR(VLOOKUP($A91,SP_AcqTract_DB[],MATCH(X$2,SP_AcqTract_DB[#Headers],0),FALSE),"")</f>
        <v>0</v>
      </c>
      <c r="Y91" s="237">
        <f>IFERROR(VLOOKUP($A91,SP_AcqTract_DB[],MATCH(Y$2,SP_AcqTract_DB[#Headers],0),FALSE),"")</f>
        <v>0</v>
      </c>
      <c r="Z91" s="229">
        <f>IFERROR(VLOOKUP($A91,SP_AcqTract_DB[],MATCH(Z$2,SP_AcqTract_DB[#Headers],0),FALSE),"")</f>
        <v>0</v>
      </c>
      <c r="AA91" s="229">
        <f>IFERROR(VLOOKUP($A91,SP_AcqTract_DB[],MATCH(AA$2,SP_AcqTract_DB[#Headers],0),FALSE),"")</f>
        <v>0</v>
      </c>
      <c r="AB91" s="250" t="str">
        <f>IFERROR(IF(VLOOKUP(CONCATENATE($A91,"_",AB$1),SP_ACQ_Lib[],MATCH(AB$2,SP_ACQ_Lib[#Headers],0),FALSE)=0,"",VLOOKUP(CONCATENATE($A91,"_",AB$1),SP_ACQ_Lib[],MATCH(AB$2,SP_ACQ_Lib[#Headers],0),FALSE)),"")</f>
        <v/>
      </c>
      <c r="AC91" s="250" t="str">
        <f>IFERROR(IF(VLOOKUP(CONCATENATE($A91,"_",AC$1),SP_ACQ_Lib[],MATCH(AC$2,SP_ACQ_Lib[#Headers],0),FALSE)=0,"",VLOOKUP(CONCATENATE($A91,"_",AC$1),SP_ACQ_Lib[],MATCH(AC$2,SP_ACQ_Lib[#Headers],0),FALSE)),"")</f>
        <v/>
      </c>
      <c r="AD91" s="229">
        <f>IFERROR(VLOOKUP($A91,SP_AcqTract_DB[],MATCH(AD$2,SP_AcqTract_DB[#Headers],0),FALSE),"")</f>
        <v>0</v>
      </c>
      <c r="AE91" s="250" t="str">
        <f>IFERROR(IF(VLOOKUP(CONCATENATE($A91,"_",AE$1),SP_ACQ_Lib[],MATCH(AE$2,SP_ACQ_Lib[#Headers],0),FALSE)=0,"",VLOOKUP(CONCATENATE($A91,"_",AE$1),SP_ACQ_Lib[],MATCH(AE$2,SP_ACQ_Lib[#Headers],0),FALSE)),"")</f>
        <v/>
      </c>
      <c r="AF91" s="250" t="str">
        <f>IFERROR(IF(VLOOKUP(CONCATENATE($A91,"_",AF$1),SP_ACQ_Lib[],MATCH(AF$2,SP_ACQ_Lib[#Headers],0),FALSE)=0,"",VLOOKUP(CONCATENATE($A91,"_",AF$1),SP_ACQ_Lib[],MATCH(AF$2,SP_ACQ_Lib[#Headers],0),FALSE)),"")</f>
        <v/>
      </c>
      <c r="AG91" s="250" t="str">
        <f>IFERROR(IF(VLOOKUP(CONCATENATE($A91,"_",AG$1),SP_ACQ_Lib[],MATCH(AG$2,SP_ACQ_Lib[#Headers],0),FALSE)=0,"",VLOOKUP(CONCATENATE($A91,"_",AG$1),SP_ACQ_Lib[],MATCH(AG$2,SP_ACQ_Lib[#Headers],0),FALSE)),"")</f>
        <v/>
      </c>
      <c r="AH91" s="250" t="str">
        <f>IFERROR(IF(VLOOKUP(CONCATENATE($A91,"_",AH$1),SP_ACQ_Lib[],MATCH(AH$2,SP_ACQ_Lib[#Headers],0),FALSE)=0,"",VLOOKUP(CONCATENATE($A91,"_",AH$1),SP_ACQ_Lib[],MATCH(AH$2,SP_ACQ_Lib[#Headers],0),FALSE)),"")</f>
        <v/>
      </c>
      <c r="AI91" s="249">
        <f>IFERROR(IF(VLOOKUP(CONCATENATE($A91,"_",AI$1),SP_ACQ_Lib[],MATCH(AI$2,SP_ACQ_Lib[#Headers],0),FALSE)=0,"",VLOOKUP(CONCATENATE($A91,"_",AI$1),SP_ACQ_Lib[],MATCH(AI$2,SP_ACQ_Lib[#Headers],0),FALSE)),"")</f>
        <v>43984</v>
      </c>
      <c r="AJ91" s="249">
        <f>IFERROR(IF(VLOOKUP(CONCATENATE($A91,"_",AJ$1),SP_ACQ_Lib[],MATCH(AJ$2,SP_ACQ_Lib[#Headers],0),FALSE)=0,"",VLOOKUP(CONCATENATE($A91,"_",AJ$1),SP_ACQ_Lib[],MATCH(AJ$2,SP_ACQ_Lib[#Headers],0),FALSE)),"")</f>
        <v>43994</v>
      </c>
      <c r="AK91" s="249">
        <f>IFERROR(IF(VLOOKUP(CONCATENATE($A91,"_",AK$1),SP_ACQ_Lib[],MATCH(AK$2,SP_ACQ_Lib[#Headers],0),FALSE)=0,"",VLOOKUP(CONCATENATE($A91,"_",AK$1),SP_ACQ_Lib[],MATCH(AK$2,SP_ACQ_Lib[#Headers],0),FALSE)),"")</f>
        <v>44177</v>
      </c>
      <c r="AL91" s="249">
        <f>IFERROR(VLOOKUP($A91,SP_AcqTract_DB[],MATCH(AL$2,SP_AcqTract_DB[#Headers],0),FALSE),"")</f>
        <v>0</v>
      </c>
      <c r="AM91" s="227">
        <f>IFERROR(VLOOKUP($A91,SP_AcqTract_DB[],MATCH(AM$2,SP_AcqTract_DB[#Headers],0),FALSE),"")</f>
        <v>0</v>
      </c>
      <c r="AN91" s="227">
        <f>IFERROR(VLOOKUP($A91,SP_AcqTract_DB[],MATCH(AN$2,SP_AcqTract_DB[#Headers],0),FALSE),"")</f>
        <v>0</v>
      </c>
      <c r="AO91" s="228">
        <f>IFERROR(VLOOKUP($A91,SP_AcqTract_DB[],MATCH(AO$2,SP_AcqTract_DB[#Headers],0),FALSE),"")</f>
        <v>0</v>
      </c>
      <c r="AP91" s="210">
        <f>IFERROR(VLOOKUP($A91,SP_AcqTract_DB[],MATCH(AP$2,SP_AcqTract_DB[#Headers],0),FALSE),"")</f>
        <v>0</v>
      </c>
      <c r="AQ91" s="252" t="str">
        <f>IFERROR(IF(VLOOKUP(CONCATENATE($A91,"_",AQ$1),SP_ACQ_Lib[],MATCH(AQ$2,SP_ACQ_Lib[#Headers],0),FALSE)=0,"",VLOOKUP(CONCATENATE($A91,"_",AQ$1),SP_ACQ_Lib[],MATCH(AQ$2,SP_ACQ_Lib[#Headers],0),FALSE)),"")</f>
        <v/>
      </c>
      <c r="AR91" s="250" t="str">
        <f>IFERROR(IF(VLOOKUP(CONCATENATE($A91,"_",AR$1),SP_ACQ_Lib[],MATCH(AR$2,SP_ACQ_Lib[#Headers],0),FALSE)=0,"",VLOOKUP(CONCATENATE($A91,"_",AR$1),SP_ACQ_Lib[],MATCH(AR$2,SP_ACQ_Lib[#Headers],0),FALSE)),"")</f>
        <v/>
      </c>
      <c r="AS91" s="249" t="str">
        <f>IFERROR(IF(VLOOKUP(CONCATENATE($A91,"_",AS$1),SP_ACQ_Lib[],MATCH(AS$2,SP_ACQ_Lib[#Headers],0),FALSE)=0,"",VLOOKUP(CONCATENATE($A91,"_",AS$1),SP_ACQ_Lib[],MATCH(AS$2,SP_ACQ_Lib[#Headers],0),FALSE)),"")</f>
        <v/>
      </c>
      <c r="AT91" s="251" t="str">
        <f>IFERROR(IF(VLOOKUP(CONCATENATE($A91,"_",AT$1),SP_ACQ_Lib[],MATCH(AT$2,SP_ACQ_Lib[#Headers],0),FALSE)=0,"",VLOOKUP(CONCATENATE($A91,"_",AT$1),SP_ACQ_Lib[],MATCH(AT$2,SP_ACQ_Lib[#Headers],0),FALSE)),"")</f>
        <v/>
      </c>
      <c r="AU91" s="251" t="str">
        <f>IFERROR(IF(VLOOKUP(CONCATENATE($A91,"_",AU$1),SP_ACQ_Lib[],MATCH(AU$2,SP_ACQ_Lib[#Headers],0),FALSE)=0,"",VLOOKUP(CONCATENATE($A91,"_",AU$1),SP_ACQ_Lib[],MATCH(AU$2,SP_ACQ_Lib[#Headers],0),FALSE)),"")</f>
        <v/>
      </c>
      <c r="AV91" s="225" t="str">
        <f>IFERROR(IF(VLOOKUP(CONCATENATE($A91,"_",AV$1),SP_ACQ_Lib[],MATCH(AV$2,SP_ACQ_Lib[#Headers],0),FALSE)=0,"",VLOOKUP(CONCATENATE($A91,"_",AV$1),SP_ACQ_Lib[],MATCH(AV$2,SP_ACQ_Lib[#Headers],0),FALSE)),"")</f>
        <v/>
      </c>
      <c r="AW91" s="251" t="str">
        <f>IFERROR(IF(VLOOKUP(CONCATENATE($A91,"_",AW$1),SP_ACQ_Lib[],MATCH(AW$2,SP_ACQ_Lib[#Headers],0),FALSE)=0,"",VLOOKUP(CONCATENATE($A91,"_",AW$1),SP_ACQ_Lib[],MATCH(AW$2,SP_ACQ_Lib[#Headers],0),FALSE)),"")</f>
        <v/>
      </c>
      <c r="AX91" s="251" t="str">
        <f>IFERROR(IF(VLOOKUP(CONCATENATE($A91,"_",AX$1),SP_ACQ_Lib[],MATCH(AX$2,SP_ACQ_Lib[#Headers],0),FALSE)=0,"",VLOOKUP(CONCATENATE($A91,"_",AX$1),SP_ACQ_Lib[],MATCH(AX$2,SP_ACQ_Lib[#Headers],0),FALSE)),"")</f>
        <v/>
      </c>
      <c r="AY91" s="251" t="str">
        <f>IFERROR(IF(VLOOKUP(CONCATENATE($A91,"_",AY$1),SP_ACQ_Lib[],MATCH(AY$2,SP_ACQ_Lib[#Headers],0),FALSE)=0,"",VLOOKUP(CONCATENATE($A91,"_",AY$1),SP_ACQ_Lib[],MATCH(AY$2,SP_ACQ_Lib[#Headers],0),FALSE)),"")</f>
        <v/>
      </c>
      <c r="AZ91" s="251" t="str">
        <f>IFERROR(IF(VLOOKUP(CONCATENATE($A91,"_",AZ$1),SP_ACQ_Lib[],MATCH(AZ$2,SP_ACQ_Lib[#Headers],0),FALSE)=0,"",VLOOKUP(CONCATENATE($A91,"_",AZ$1),SP_ACQ_Lib[],MATCH(AZ$2,SP_ACQ_Lib[#Headers],0),FALSE)),"")</f>
        <v/>
      </c>
      <c r="BA91" s="251" t="str">
        <f>IFERROR(IF(VLOOKUP(CONCATENATE($A91,"_",BA$1),SP_ACQ_Lib[],MATCH(BA$2,SP_ACQ_Lib[#Headers],0),FALSE)=0,"",VLOOKUP(CONCATENATE($A91,"_",BA$1),SP_ACQ_Lib[],MATCH(BA$2,SP_ACQ_Lib[#Headers],0),FALSE)),"")</f>
        <v/>
      </c>
      <c r="BB91" s="224">
        <f>IFERROR(VLOOKUP(CONCATENATE($A91,"_",BB$1),SP_ACQ_Lib[],MATCH(BB$2,SP_ACQ_Lib[#Headers],0),FALSE),0)</f>
        <v>0</v>
      </c>
      <c r="BC91" s="231">
        <f>IFERROR(VLOOKUP($A91,SP_AcqTract_DB[],MATCH(BC$2,SP_AcqTract_DB[#Headers],0),FALSE),"")</f>
        <v>0</v>
      </c>
      <c r="BD91" s="231">
        <f>IFERROR(VLOOKUP($A91,SP_AcqTract_DB[],MATCH(BD$2,SP_AcqTract_DB[#Headers],0),FALSE),"")</f>
        <v>0</v>
      </c>
      <c r="BE91" s="249" t="str">
        <f>IFERROR(IF(VLOOKUP(CONCATENATE($A91,"_",BE$1),SP_ACQ_Lib[],MATCH(BE$2,SP_ACQ_Lib[#Headers],0),FALSE)=0,"",VLOOKUP(CONCATENATE($A91,"_",BE$1),SP_ACQ_Lib[],MATCH(BE$2,SP_ACQ_Lib[#Headers],0),FALSE)),"")</f>
        <v/>
      </c>
      <c r="BF91" s="249" t="str">
        <f>IFERROR(IF(VLOOKUP(CONCATENATE($A91,"_",BF$1),SP_ACQ_Lib[],MATCH(BF$2,SP_ACQ_Lib[#Headers],0),FALSE)=0,"",VLOOKUP(CONCATENATE($A91,"_",BF$1),SP_ACQ_Lib[],MATCH(BF$2,SP_ACQ_Lib[#Headers],0),FALSE)),"")</f>
        <v/>
      </c>
      <c r="BG91" s="249" t="str">
        <f>IFERROR(IF(VLOOKUP(CONCATENATE($A91,"_",BG$1),SP_ACQ_Lib[],MATCH(BG$2,SP_ACQ_Lib[#Headers],0),FALSE)=0,"",VLOOKUP(CONCATENATE($A91,"_",BG$1),SP_ACQ_Lib[],MATCH(BG$2,SP_ACQ_Lib[#Headers],0),FALSE)),"")</f>
        <v/>
      </c>
      <c r="BH91" s="249" t="str">
        <f>IFERROR(IF(VLOOKUP(CONCATENATE($A91,"_",BH$1),SP_ACQ_Lib[],MATCH(BH$2,SP_ACQ_Lib[#Headers],0),FALSE)=0,"",VLOOKUP(CONCATENATE($A91,"_",BH$1),SP_ACQ_Lib[],MATCH(BH$2,SP_ACQ_Lib[#Headers],0),FALSE)),"")</f>
        <v/>
      </c>
      <c r="BI91" s="249" t="str">
        <f>IFERROR(IF(VLOOKUP(CONCATENATE($A91,"_",BI$1),SP_ACQ_Lib[],MATCH(BI$2,SP_ACQ_Lib[#Headers],0),FALSE)=0,"",VLOOKUP(CONCATENATE($A91,"_",BI$1),SP_ACQ_Lib[],MATCH(BI$2,SP_ACQ_Lib[#Headers],0),FALSE)),"")</f>
        <v/>
      </c>
      <c r="BJ91" s="249" t="str">
        <f>IFERROR(IF(VLOOKUP(CONCATENATE($A91,"_",BJ$1),SP_ACQ_Lib[],MATCH(BJ$2,SP_ACQ_Lib[#Headers],0),FALSE)=0,"",VLOOKUP(CONCATENATE($A91,"_",BJ$1),SP_ACQ_Lib[],MATCH(BJ$2,SP_ACQ_Lib[#Headers],0),FALSE)),"")</f>
        <v/>
      </c>
      <c r="BK91" s="250" t="str">
        <f>IFERROR(IF(VLOOKUP(CONCATENATE($A91,"_",BK$1),SP_ACQ_Lib[],MATCH(BK$2,SP_ACQ_Lib[#Headers],0),FALSE)=0,"",VLOOKUP(CONCATENATE($A91,"_",BK$1),SP_ACQ_Lib[],MATCH(BK$2,SP_ACQ_Lib[#Headers],0),FALSE)),"")</f>
        <v/>
      </c>
      <c r="BL91" s="249" t="str">
        <f>IFERROR(IF(VLOOKUP(CONCATENATE($A91,"_",BL$1),SP_ACQ_Lib[],MATCH(BL$2,SP_ACQ_Lib[#Headers],0),FALSE)=0,"",VLOOKUP(CONCATENATE($A91,"_",BL$1),SP_ACQ_Lib[],MATCH(BL$2,SP_ACQ_Lib[#Headers],0),FALSE)),"")</f>
        <v/>
      </c>
      <c r="BM91" s="249" t="str">
        <f>IFERROR(IF(VLOOKUP(CONCATENATE($A91,"_",BM$1),SP_ACQ_Lib[],MATCH(BM$2,SP_ACQ_Lib[#Headers],0),FALSE)=0,"",VLOOKUP(CONCATENATE($A91,"_",BM$1),SP_ACQ_Lib[],MATCH(BM$2,SP_ACQ_Lib[#Headers],0),FALSE)),"")</f>
        <v/>
      </c>
      <c r="BN91" s="249" t="str">
        <f>IFERROR(IF(VLOOKUP(CONCATENATE($A91,"_",BN$1),SP_ACQ_Lib[],MATCH(BN$2,SP_ACQ_Lib[#Headers],0),FALSE)=0,"",VLOOKUP(CONCATENATE($A91,"_",BN$1),SP_ACQ_Lib[],MATCH(BN$2,SP_ACQ_Lib[#Headers],0),FALSE)),"")</f>
        <v/>
      </c>
    </row>
    <row r="92" spans="1:66" s="226" customFormat="1" ht="15.75" x14ac:dyDescent="0.2">
      <c r="A92" s="192" t="s">
        <v>5303</v>
      </c>
      <c r="B92" s="227" t="str">
        <f>IFERROR(VLOOKUP($A92,SP_AcqTract_DB[],MATCH(B$2,SP_AcqTract_DB[#Headers],0),FALSE),"")</f>
        <v>R026948</v>
      </c>
      <c r="C92" s="228" t="str">
        <f>IFERROR(VLOOKUP($A92,SP_AcqTract_DB[],MATCH(C$2,SP_AcqTract_DB[#Headers],0),FALSE),"")</f>
        <v>PH2</v>
      </c>
      <c r="D92" s="208" t="str">
        <f>IFERROR(VLOOKUP($A92,SP_AcqTract_DB[],MATCH(D$2,SP_AcqTract_DB[#Headers],0),FALSE),"")</f>
        <v>Active</v>
      </c>
      <c r="E92" s="208">
        <f>IFERROR(VLOOKUP($A92,SP_AcqTract_DB[],MATCH(E$2,SP_AcqTract_DB[#Headers],0),FALSE),"")</f>
        <v>0</v>
      </c>
      <c r="F92" s="227">
        <f>IFERROR(VLOOKUP($A92,SP_AcqTract_DB[],MATCH(F$2,SP_AcqTract_DB[#Headers],0),FALSE),"")</f>
        <v>0</v>
      </c>
      <c r="G92" s="227" t="str">
        <f>IFERROR(VLOOKUP($A92,SP_AcqTract_DB[],MATCH(G$2,SP_AcqTract_DB[#Headers],0),FALSE),"")</f>
        <v>Elizabeth Taylor</v>
      </c>
      <c r="H92" s="250">
        <f>IFERROR(IF(VLOOKUP(CONCATENATE($A92,"_",H$1),SP_ACQ_Lib[],MATCH(H$2,SP_ACQ_Lib[#Headers],0),FALSE)=0,"",VLOOKUP(CONCATENATE($A92,"_",H$1),SP_ACQ_Lib[],MATCH(H$2,SP_ACQ_Lib[#Headers],0),FALSE)),"")</f>
        <v>44019.6562962963</v>
      </c>
      <c r="I92" s="227" t="str">
        <f>IFERROR(VLOOKUP($A92,SP_AcqTract_DB[],MATCH(I$2,SP_AcqTract_DB[#Headers],0),FALSE),"")</f>
        <v>Horelica Tilford G</v>
      </c>
      <c r="J92" s="227">
        <f>IFERROR(VLOOKUP($A92,SP_AcqTract_DB[],MATCH(J$2,SP_AcqTract_DB[#Headers],0),FALSE),"")</f>
        <v>0</v>
      </c>
      <c r="K92" s="227">
        <f>IFERROR(VLOOKUP($A92,SP_AcqTract_DB[],MATCH(K$2,SP_AcqTract_DB[#Headers],0),FALSE),"")</f>
        <v>0</v>
      </c>
      <c r="L92" s="227">
        <f>IFERROR(VLOOKUP($A92,SP_AcqTract_DB[],MATCH(L$2,SP_AcqTract_DB[#Headers],0),FALSE),"")</f>
        <v>0</v>
      </c>
      <c r="M92" s="208">
        <f>IFERROR(VLOOKUP($A92,SP_AcqTract_DB[],MATCH(M$2,SP_AcqTract_DB[#Headers],0),FALSE),"")</f>
        <v>0</v>
      </c>
      <c r="N92" s="227" t="str">
        <f>IFERROR(VLOOKUP($A92,SP_AcqTract_DB[],MATCH(N$2,SP_AcqTract_DB[#Headers],0),FALSE),"")</f>
        <v>520 MOERS LN</v>
      </c>
      <c r="O92" s="220">
        <f>IFERROR(VLOOKUP($A92,SP_AcqTract_DB[],MATCH(O$2,SP_AcqTract_DB[#Headers],0),FALSE),"")</f>
        <v>0</v>
      </c>
      <c r="P92" s="220">
        <f>IFERROR(VLOOKUP($A92,SP_AcqTract_DB[],MATCH(P$2,SP_AcqTract_DB[#Headers],0),FALSE),"")</f>
        <v>0</v>
      </c>
      <c r="Q92" s="208">
        <f>IFERROR(VLOOKUP($A92,SP_AcqTract_DB[],MATCH(Q$2,SP_AcqTract_DB[#Headers],0),FALSE),"")</f>
        <v>0</v>
      </c>
      <c r="R92" s="250" t="str">
        <f>IFERROR(IF(VLOOKUP(CONCATENATE($A92,"_",R$1),SP_ACQ_Lib[],MATCH(R$2,SP_ACQ_Lib[#Headers],0),FALSE)=0,"",VLOOKUP(CONCATENATE($A92,"_",R$1),SP_ACQ_Lib[],MATCH(R$2,SP_ACQ_Lib[#Headers],0),FALSE)),"")</f>
        <v/>
      </c>
      <c r="S92" s="253" t="str">
        <f>IFERROR(IF(VLOOKUP(CONCATENATE($A92,"_",S$1),SP_ACQ_Lib[],MATCH(S$2,SP_ACQ_Lib[#Headers],0),FALSE)=0,"",VLOOKUP(CONCATENATE($A92,"_",S$1),SP_ACQ_Lib[],MATCH(S$2,SP_ACQ_Lib[#Headers],0),FALSE)),"")</f>
        <v/>
      </c>
      <c r="T92" s="205">
        <f>IFERROR(VLOOKUP(CONCATENATE($A92,"_",T$1),SP_ACQ_Lib[],MATCH(T$2,SP_ACQ_Lib[#Headers],0),FALSE),0)</f>
        <v>0</v>
      </c>
      <c r="U92" s="250" t="str">
        <f>IFERROR(IF(VLOOKUP(CONCATENATE($A92,"_",U$1),SP_ACQ_Lib[],MATCH(U$2,SP_ACQ_Lib[#Headers],0),FALSE)=0,"",VLOOKUP(CONCATENATE($A92,"_",U$1),SP_ACQ_Lib[],MATCH(U$2,SP_ACQ_Lib[#Headers],0),FALSE)),"")</f>
        <v/>
      </c>
      <c r="V92" s="205" t="str">
        <f>IFERROR(VLOOKUP(CONCATENATE($A92,"_",V$1),SP_ACQ_Lib[],MATCH(V$2,SP_ACQ_Lib[#Headers],0),FALSE),0)</f>
        <v>Accepted</v>
      </c>
      <c r="W92" s="209">
        <f>IFERROR(VLOOKUP(CONCATENATE($A92,"_",W$1),SP_ACQ_Lib[],MATCH(W$2,SP_ACQ_Lib[#Headers],0),FALSE),0)</f>
        <v>0</v>
      </c>
      <c r="X92" s="250">
        <f>IFERROR(VLOOKUP($A92,SP_AcqTract_DB[],MATCH(X$2,SP_AcqTract_DB[#Headers],0),FALSE),"")</f>
        <v>0</v>
      </c>
      <c r="Y92" s="237">
        <f>IFERROR(VLOOKUP($A92,SP_AcqTract_DB[],MATCH(Y$2,SP_AcqTract_DB[#Headers],0),FALSE),"")</f>
        <v>0</v>
      </c>
      <c r="Z92" s="229">
        <f>IFERROR(VLOOKUP($A92,SP_AcqTract_DB[],MATCH(Z$2,SP_AcqTract_DB[#Headers],0),FALSE),"")</f>
        <v>0</v>
      </c>
      <c r="AA92" s="229">
        <f>IFERROR(VLOOKUP($A92,SP_AcqTract_DB[],MATCH(AA$2,SP_AcqTract_DB[#Headers],0),FALSE),"")</f>
        <v>0</v>
      </c>
      <c r="AB92" s="250" t="str">
        <f>IFERROR(IF(VLOOKUP(CONCATENATE($A92,"_",AB$1),SP_ACQ_Lib[],MATCH(AB$2,SP_ACQ_Lib[#Headers],0),FALSE)=0,"",VLOOKUP(CONCATENATE($A92,"_",AB$1),SP_ACQ_Lib[],MATCH(AB$2,SP_ACQ_Lib[#Headers],0),FALSE)),"")</f>
        <v/>
      </c>
      <c r="AC92" s="250" t="str">
        <f>IFERROR(IF(VLOOKUP(CONCATENATE($A92,"_",AC$1),SP_ACQ_Lib[],MATCH(AC$2,SP_ACQ_Lib[#Headers],0),FALSE)=0,"",VLOOKUP(CONCATENATE($A92,"_",AC$1),SP_ACQ_Lib[],MATCH(AC$2,SP_ACQ_Lib[#Headers],0),FALSE)),"")</f>
        <v/>
      </c>
      <c r="AD92" s="229">
        <f>IFERROR(VLOOKUP($A92,SP_AcqTract_DB[],MATCH(AD$2,SP_AcqTract_DB[#Headers],0),FALSE),"")</f>
        <v>0</v>
      </c>
      <c r="AE92" s="250" t="str">
        <f>IFERROR(IF(VLOOKUP(CONCATENATE($A92,"_",AE$1),SP_ACQ_Lib[],MATCH(AE$2,SP_ACQ_Lib[#Headers],0),FALSE)=0,"",VLOOKUP(CONCATENATE($A92,"_",AE$1),SP_ACQ_Lib[],MATCH(AE$2,SP_ACQ_Lib[#Headers],0),FALSE)),"")</f>
        <v/>
      </c>
      <c r="AF92" s="250" t="str">
        <f>IFERROR(IF(VLOOKUP(CONCATENATE($A92,"_",AF$1),SP_ACQ_Lib[],MATCH(AF$2,SP_ACQ_Lib[#Headers],0),FALSE)=0,"",VLOOKUP(CONCATENATE($A92,"_",AF$1),SP_ACQ_Lib[],MATCH(AF$2,SP_ACQ_Lib[#Headers],0),FALSE)),"")</f>
        <v/>
      </c>
      <c r="AG92" s="250" t="str">
        <f>IFERROR(IF(VLOOKUP(CONCATENATE($A92,"_",AG$1),SP_ACQ_Lib[],MATCH(AG$2,SP_ACQ_Lib[#Headers],0),FALSE)=0,"",VLOOKUP(CONCATENATE($A92,"_",AG$1),SP_ACQ_Lib[],MATCH(AG$2,SP_ACQ_Lib[#Headers],0),FALSE)),"")</f>
        <v/>
      </c>
      <c r="AH92" s="250" t="str">
        <f>IFERROR(IF(VLOOKUP(CONCATENATE($A92,"_",AH$1),SP_ACQ_Lib[],MATCH(AH$2,SP_ACQ_Lib[#Headers],0),FALSE)=0,"",VLOOKUP(CONCATENATE($A92,"_",AH$1),SP_ACQ_Lib[],MATCH(AH$2,SP_ACQ_Lib[#Headers],0),FALSE)),"")</f>
        <v/>
      </c>
      <c r="AI92" s="249">
        <f>IFERROR(IF(VLOOKUP(CONCATENATE($A92,"_",AI$1),SP_ACQ_Lib[],MATCH(AI$2,SP_ACQ_Lib[#Headers],0),FALSE)=0,"",VLOOKUP(CONCATENATE($A92,"_",AI$1),SP_ACQ_Lib[],MATCH(AI$2,SP_ACQ_Lib[#Headers],0),FALSE)),"")</f>
        <v>43985</v>
      </c>
      <c r="AJ92" s="249" t="str">
        <f>IFERROR(IF(VLOOKUP(CONCATENATE($A92,"_",AJ$1),SP_ACQ_Lib[],MATCH(AJ$2,SP_ACQ_Lib[#Headers],0),FALSE)=0,"",VLOOKUP(CONCATENATE($A92,"_",AJ$1),SP_ACQ_Lib[],MATCH(AJ$2,SP_ACQ_Lib[#Headers],0),FALSE)),"")</f>
        <v/>
      </c>
      <c r="AK92" s="249" t="str">
        <f>IFERROR(IF(VLOOKUP(CONCATENATE($A92,"_",AK$1),SP_ACQ_Lib[],MATCH(AK$2,SP_ACQ_Lib[#Headers],0),FALSE)=0,"",VLOOKUP(CONCATENATE($A92,"_",AK$1),SP_ACQ_Lib[],MATCH(AK$2,SP_ACQ_Lib[#Headers],0),FALSE)),"")</f>
        <v/>
      </c>
      <c r="AL92" s="249">
        <f>IFERROR(VLOOKUP($A92,SP_AcqTract_DB[],MATCH(AL$2,SP_AcqTract_DB[#Headers],0),FALSE),"")</f>
        <v>0</v>
      </c>
      <c r="AM92" s="227">
        <f>IFERROR(VLOOKUP($A92,SP_AcqTract_DB[],MATCH(AM$2,SP_AcqTract_DB[#Headers],0),FALSE),"")</f>
        <v>0</v>
      </c>
      <c r="AN92" s="227">
        <f>IFERROR(VLOOKUP($A92,SP_AcqTract_DB[],MATCH(AN$2,SP_AcqTract_DB[#Headers],0),FALSE),"")</f>
        <v>0</v>
      </c>
      <c r="AO92" s="228">
        <f>IFERROR(VLOOKUP($A92,SP_AcqTract_DB[],MATCH(AO$2,SP_AcqTract_DB[#Headers],0),FALSE),"")</f>
        <v>0</v>
      </c>
      <c r="AP92" s="210">
        <f>IFERROR(VLOOKUP($A92,SP_AcqTract_DB[],MATCH(AP$2,SP_AcqTract_DB[#Headers],0),FALSE),"")</f>
        <v>0</v>
      </c>
      <c r="AQ92" s="252" t="str">
        <f>IFERROR(IF(VLOOKUP(CONCATENATE($A92,"_",AQ$1),SP_ACQ_Lib[],MATCH(AQ$2,SP_ACQ_Lib[#Headers],0),FALSE)=0,"",VLOOKUP(CONCATENATE($A92,"_",AQ$1),SP_ACQ_Lib[],MATCH(AQ$2,SP_ACQ_Lib[#Headers],0),FALSE)),"")</f>
        <v/>
      </c>
      <c r="AR92" s="250" t="str">
        <f>IFERROR(IF(VLOOKUP(CONCATENATE($A92,"_",AR$1),SP_ACQ_Lib[],MATCH(AR$2,SP_ACQ_Lib[#Headers],0),FALSE)=0,"",VLOOKUP(CONCATENATE($A92,"_",AR$1),SP_ACQ_Lib[],MATCH(AR$2,SP_ACQ_Lib[#Headers],0),FALSE)),"")</f>
        <v/>
      </c>
      <c r="AS92" s="249" t="str">
        <f>IFERROR(IF(VLOOKUP(CONCATENATE($A92,"_",AS$1),SP_ACQ_Lib[],MATCH(AS$2,SP_ACQ_Lib[#Headers],0),FALSE)=0,"",VLOOKUP(CONCATENATE($A92,"_",AS$1),SP_ACQ_Lib[],MATCH(AS$2,SP_ACQ_Lib[#Headers],0),FALSE)),"")</f>
        <v/>
      </c>
      <c r="AT92" s="251" t="str">
        <f>IFERROR(IF(VLOOKUP(CONCATENATE($A92,"_",AT$1),SP_ACQ_Lib[],MATCH(AT$2,SP_ACQ_Lib[#Headers],0),FALSE)=0,"",VLOOKUP(CONCATENATE($A92,"_",AT$1),SP_ACQ_Lib[],MATCH(AT$2,SP_ACQ_Lib[#Headers],0),FALSE)),"")</f>
        <v/>
      </c>
      <c r="AU92" s="251" t="str">
        <f>IFERROR(IF(VLOOKUP(CONCATENATE($A92,"_",AU$1),SP_ACQ_Lib[],MATCH(AU$2,SP_ACQ_Lib[#Headers],0),FALSE)=0,"",VLOOKUP(CONCATENATE($A92,"_",AU$1),SP_ACQ_Lib[],MATCH(AU$2,SP_ACQ_Lib[#Headers],0),FALSE)),"")</f>
        <v/>
      </c>
      <c r="AV92" s="225" t="str">
        <f>IFERROR(IF(VLOOKUP(CONCATENATE($A92,"_",AV$1),SP_ACQ_Lib[],MATCH(AV$2,SP_ACQ_Lib[#Headers],0),FALSE)=0,"",VLOOKUP(CONCATENATE($A92,"_",AV$1),SP_ACQ_Lib[],MATCH(AV$2,SP_ACQ_Lib[#Headers],0),FALSE)),"")</f>
        <v/>
      </c>
      <c r="AW92" s="251" t="str">
        <f>IFERROR(IF(VLOOKUP(CONCATENATE($A92,"_",AW$1),SP_ACQ_Lib[],MATCH(AW$2,SP_ACQ_Lib[#Headers],0),FALSE)=0,"",VLOOKUP(CONCATENATE($A92,"_",AW$1),SP_ACQ_Lib[],MATCH(AW$2,SP_ACQ_Lib[#Headers],0),FALSE)),"")</f>
        <v/>
      </c>
      <c r="AX92" s="251" t="str">
        <f>IFERROR(IF(VLOOKUP(CONCATENATE($A92,"_",AX$1),SP_ACQ_Lib[],MATCH(AX$2,SP_ACQ_Lib[#Headers],0),FALSE)=0,"",VLOOKUP(CONCATENATE($A92,"_",AX$1),SP_ACQ_Lib[],MATCH(AX$2,SP_ACQ_Lib[#Headers],0),FALSE)),"")</f>
        <v/>
      </c>
      <c r="AY92" s="251" t="str">
        <f>IFERROR(IF(VLOOKUP(CONCATENATE($A92,"_",AY$1),SP_ACQ_Lib[],MATCH(AY$2,SP_ACQ_Lib[#Headers],0),FALSE)=0,"",VLOOKUP(CONCATENATE($A92,"_",AY$1),SP_ACQ_Lib[],MATCH(AY$2,SP_ACQ_Lib[#Headers],0),FALSE)),"")</f>
        <v/>
      </c>
      <c r="AZ92" s="251" t="str">
        <f>IFERROR(IF(VLOOKUP(CONCATENATE($A92,"_",AZ$1),SP_ACQ_Lib[],MATCH(AZ$2,SP_ACQ_Lib[#Headers],0),FALSE)=0,"",VLOOKUP(CONCATENATE($A92,"_",AZ$1),SP_ACQ_Lib[],MATCH(AZ$2,SP_ACQ_Lib[#Headers],0),FALSE)),"")</f>
        <v/>
      </c>
      <c r="BA92" s="251" t="str">
        <f>IFERROR(IF(VLOOKUP(CONCATENATE($A92,"_",BA$1),SP_ACQ_Lib[],MATCH(BA$2,SP_ACQ_Lib[#Headers],0),FALSE)=0,"",VLOOKUP(CONCATENATE($A92,"_",BA$1),SP_ACQ_Lib[],MATCH(BA$2,SP_ACQ_Lib[#Headers],0),FALSE)),"")</f>
        <v/>
      </c>
      <c r="BB92" s="224">
        <f>IFERROR(VLOOKUP(CONCATENATE($A92,"_",BB$1),SP_ACQ_Lib[],MATCH(BB$2,SP_ACQ_Lib[#Headers],0),FALSE),0)</f>
        <v>0</v>
      </c>
      <c r="BC92" s="231">
        <f>IFERROR(VLOOKUP($A92,SP_AcqTract_DB[],MATCH(BC$2,SP_AcqTract_DB[#Headers],0),FALSE),"")</f>
        <v>0</v>
      </c>
      <c r="BD92" s="231">
        <f>IFERROR(VLOOKUP($A92,SP_AcqTract_DB[],MATCH(BD$2,SP_AcqTract_DB[#Headers],0),FALSE),"")</f>
        <v>0</v>
      </c>
      <c r="BE92" s="249" t="str">
        <f>IFERROR(IF(VLOOKUP(CONCATENATE($A92,"_",BE$1),SP_ACQ_Lib[],MATCH(BE$2,SP_ACQ_Lib[#Headers],0),FALSE)=0,"",VLOOKUP(CONCATENATE($A92,"_",BE$1),SP_ACQ_Lib[],MATCH(BE$2,SP_ACQ_Lib[#Headers],0),FALSE)),"")</f>
        <v/>
      </c>
      <c r="BF92" s="249" t="str">
        <f>IFERROR(IF(VLOOKUP(CONCATENATE($A92,"_",BF$1),SP_ACQ_Lib[],MATCH(BF$2,SP_ACQ_Lib[#Headers],0),FALSE)=0,"",VLOOKUP(CONCATENATE($A92,"_",BF$1),SP_ACQ_Lib[],MATCH(BF$2,SP_ACQ_Lib[#Headers],0),FALSE)),"")</f>
        <v/>
      </c>
      <c r="BG92" s="249" t="str">
        <f>IFERROR(IF(VLOOKUP(CONCATENATE($A92,"_",BG$1),SP_ACQ_Lib[],MATCH(BG$2,SP_ACQ_Lib[#Headers],0),FALSE)=0,"",VLOOKUP(CONCATENATE($A92,"_",BG$1),SP_ACQ_Lib[],MATCH(BG$2,SP_ACQ_Lib[#Headers],0),FALSE)),"")</f>
        <v/>
      </c>
      <c r="BH92" s="249" t="str">
        <f>IFERROR(IF(VLOOKUP(CONCATENATE($A92,"_",BH$1),SP_ACQ_Lib[],MATCH(BH$2,SP_ACQ_Lib[#Headers],0),FALSE)=0,"",VLOOKUP(CONCATENATE($A92,"_",BH$1),SP_ACQ_Lib[],MATCH(BH$2,SP_ACQ_Lib[#Headers],0),FALSE)),"")</f>
        <v/>
      </c>
      <c r="BI92" s="249" t="str">
        <f>IFERROR(IF(VLOOKUP(CONCATENATE($A92,"_",BI$1),SP_ACQ_Lib[],MATCH(BI$2,SP_ACQ_Lib[#Headers],0),FALSE)=0,"",VLOOKUP(CONCATENATE($A92,"_",BI$1),SP_ACQ_Lib[],MATCH(BI$2,SP_ACQ_Lib[#Headers],0),FALSE)),"")</f>
        <v/>
      </c>
      <c r="BJ92" s="249" t="str">
        <f>IFERROR(IF(VLOOKUP(CONCATENATE($A92,"_",BJ$1),SP_ACQ_Lib[],MATCH(BJ$2,SP_ACQ_Lib[#Headers],0),FALSE)=0,"",VLOOKUP(CONCATENATE($A92,"_",BJ$1),SP_ACQ_Lib[],MATCH(BJ$2,SP_ACQ_Lib[#Headers],0),FALSE)),"")</f>
        <v/>
      </c>
      <c r="BK92" s="250" t="str">
        <f>IFERROR(IF(VLOOKUP(CONCATENATE($A92,"_",BK$1),SP_ACQ_Lib[],MATCH(BK$2,SP_ACQ_Lib[#Headers],0),FALSE)=0,"",VLOOKUP(CONCATENATE($A92,"_",BK$1),SP_ACQ_Lib[],MATCH(BK$2,SP_ACQ_Lib[#Headers],0),FALSE)),"")</f>
        <v/>
      </c>
      <c r="BL92" s="249" t="str">
        <f>IFERROR(IF(VLOOKUP(CONCATENATE($A92,"_",BL$1),SP_ACQ_Lib[],MATCH(BL$2,SP_ACQ_Lib[#Headers],0),FALSE)=0,"",VLOOKUP(CONCATENATE($A92,"_",BL$1),SP_ACQ_Lib[],MATCH(BL$2,SP_ACQ_Lib[#Headers],0),FALSE)),"")</f>
        <v/>
      </c>
      <c r="BM92" s="249" t="str">
        <f>IFERROR(IF(VLOOKUP(CONCATENATE($A92,"_",BM$1),SP_ACQ_Lib[],MATCH(BM$2,SP_ACQ_Lib[#Headers],0),FALSE)=0,"",VLOOKUP(CONCATENATE($A92,"_",BM$1),SP_ACQ_Lib[],MATCH(BM$2,SP_ACQ_Lib[#Headers],0),FALSE)),"")</f>
        <v/>
      </c>
      <c r="BN92" s="249" t="str">
        <f>IFERROR(IF(VLOOKUP(CONCATENATE($A92,"_",BN$1),SP_ACQ_Lib[],MATCH(BN$2,SP_ACQ_Lib[#Headers],0),FALSE)=0,"",VLOOKUP(CONCATENATE($A92,"_",BN$1),SP_ACQ_Lib[],MATCH(BN$2,SP_ACQ_Lib[#Headers],0),FALSE)),"")</f>
        <v/>
      </c>
    </row>
    <row r="93" spans="1:66" s="226" customFormat="1" ht="15.75" x14ac:dyDescent="0.2">
      <c r="A93" s="192" t="s">
        <v>5305</v>
      </c>
      <c r="B93" s="227" t="str">
        <f>IFERROR(VLOOKUP($A93,SP_AcqTract_DB[],MATCH(B$2,SP_AcqTract_DB[#Headers],0),FALSE),"")</f>
        <v>R026951</v>
      </c>
      <c r="C93" s="228" t="str">
        <f>IFERROR(VLOOKUP($A93,SP_AcqTract_DB[],MATCH(C$2,SP_AcqTract_DB[#Headers],0),FALSE),"")</f>
        <v>PH2</v>
      </c>
      <c r="D93" s="208" t="str">
        <f>IFERROR(VLOOKUP($A93,SP_AcqTract_DB[],MATCH(D$2,SP_AcqTract_DB[#Headers],0),FALSE),"")</f>
        <v>Active</v>
      </c>
      <c r="E93" s="208">
        <f>IFERROR(VLOOKUP($A93,SP_AcqTract_DB[],MATCH(E$2,SP_AcqTract_DB[#Headers],0),FALSE),"")</f>
        <v>0</v>
      </c>
      <c r="F93" s="227">
        <f>IFERROR(VLOOKUP($A93,SP_AcqTract_DB[],MATCH(F$2,SP_AcqTract_DB[#Headers],0),FALSE),"")</f>
        <v>0</v>
      </c>
      <c r="G93" s="227" t="str">
        <f>IFERROR(VLOOKUP($A93,SP_AcqTract_DB[],MATCH(G$2,SP_AcqTract_DB[#Headers],0),FALSE),"")</f>
        <v>Melissa DeLeon</v>
      </c>
      <c r="H93" s="250">
        <f>IFERROR(IF(VLOOKUP(CONCATENATE($A93,"_",H$1),SP_ACQ_Lib[],MATCH(H$2,SP_ACQ_Lib[#Headers],0),FALSE)=0,"",VLOOKUP(CONCATENATE($A93,"_",H$1),SP_ACQ_Lib[],MATCH(H$2,SP_ACQ_Lib[#Headers],0),FALSE)),"")</f>
        <v>44011.941319444442</v>
      </c>
      <c r="I93" s="227" t="str">
        <f>IFERROR(VLOOKUP($A93,SP_AcqTract_DB[],MATCH(I$2,SP_AcqTract_DB[#Headers],0),FALSE),"")</f>
        <v>Porter Trey And Sarah</v>
      </c>
      <c r="J93" s="227">
        <f>IFERROR(VLOOKUP($A93,SP_AcqTract_DB[],MATCH(J$2,SP_AcqTract_DB[#Headers],0),FALSE),"")</f>
        <v>0</v>
      </c>
      <c r="K93" s="227">
        <f>IFERROR(VLOOKUP($A93,SP_AcqTract_DB[],MATCH(K$2,SP_AcqTract_DB[#Headers],0),FALSE),"")</f>
        <v>0</v>
      </c>
      <c r="L93" s="227">
        <f>IFERROR(VLOOKUP($A93,SP_AcqTract_DB[],MATCH(L$2,SP_AcqTract_DB[#Headers],0),FALSE),"")</f>
        <v>0</v>
      </c>
      <c r="M93" s="208">
        <f>IFERROR(VLOOKUP($A93,SP_AcqTract_DB[],MATCH(M$2,SP_AcqTract_DB[#Headers],0),FALSE),"")</f>
        <v>0</v>
      </c>
      <c r="N93" s="227" t="str">
        <f>IFERROR(VLOOKUP($A93,SP_AcqTract_DB[],MATCH(N$2,SP_AcqTract_DB[#Headers],0),FALSE),"")</f>
        <v>3920 LEE LN</v>
      </c>
      <c r="O93" s="220">
        <f>IFERROR(VLOOKUP($A93,SP_AcqTract_DB[],MATCH(O$2,SP_AcqTract_DB[#Headers],0),FALSE),"")</f>
        <v>0</v>
      </c>
      <c r="P93" s="220">
        <f>IFERROR(VLOOKUP($A93,SP_AcqTract_DB[],MATCH(P$2,SP_AcqTract_DB[#Headers],0),FALSE),"")</f>
        <v>0</v>
      </c>
      <c r="Q93" s="208">
        <f>IFERROR(VLOOKUP($A93,SP_AcqTract_DB[],MATCH(Q$2,SP_AcqTract_DB[#Headers],0),FALSE),"")</f>
        <v>0</v>
      </c>
      <c r="R93" s="250" t="str">
        <f>IFERROR(IF(VLOOKUP(CONCATENATE($A93,"_",R$1),SP_ACQ_Lib[],MATCH(R$2,SP_ACQ_Lib[#Headers],0),FALSE)=0,"",VLOOKUP(CONCATENATE($A93,"_",R$1),SP_ACQ_Lib[],MATCH(R$2,SP_ACQ_Lib[#Headers],0),FALSE)),"")</f>
        <v/>
      </c>
      <c r="S93" s="253" t="str">
        <f>IFERROR(IF(VLOOKUP(CONCATENATE($A93,"_",S$1),SP_ACQ_Lib[],MATCH(S$2,SP_ACQ_Lib[#Headers],0),FALSE)=0,"",VLOOKUP(CONCATENATE($A93,"_",S$1),SP_ACQ_Lib[],MATCH(S$2,SP_ACQ_Lib[#Headers],0),FALSE)),"")</f>
        <v/>
      </c>
      <c r="T93" s="205">
        <f>IFERROR(VLOOKUP(CONCATENATE($A93,"_",T$1),SP_ACQ_Lib[],MATCH(T$2,SP_ACQ_Lib[#Headers],0),FALSE),0)</f>
        <v>0</v>
      </c>
      <c r="U93" s="250" t="str">
        <f>IFERROR(IF(VLOOKUP(CONCATENATE($A93,"_",U$1),SP_ACQ_Lib[],MATCH(U$2,SP_ACQ_Lib[#Headers],0),FALSE)=0,"",VLOOKUP(CONCATENATE($A93,"_",U$1),SP_ACQ_Lib[],MATCH(U$2,SP_ACQ_Lib[#Headers],0),FALSE)),"")</f>
        <v/>
      </c>
      <c r="V93" s="205" t="str">
        <f>IFERROR(VLOOKUP(CONCATENATE($A93,"_",V$1),SP_ACQ_Lib[],MATCH(V$2,SP_ACQ_Lib[#Headers],0),FALSE),0)</f>
        <v>Accepted</v>
      </c>
      <c r="W93" s="209">
        <f>IFERROR(VLOOKUP(CONCATENATE($A93,"_",W$1),SP_ACQ_Lib[],MATCH(W$2,SP_ACQ_Lib[#Headers],0),FALSE),0)</f>
        <v>0</v>
      </c>
      <c r="X93" s="250">
        <f>IFERROR(VLOOKUP($A93,SP_AcqTract_DB[],MATCH(X$2,SP_AcqTract_DB[#Headers],0),FALSE),"")</f>
        <v>0</v>
      </c>
      <c r="Y93" s="237">
        <f>IFERROR(VLOOKUP($A93,SP_AcqTract_DB[],MATCH(Y$2,SP_AcqTract_DB[#Headers],0),FALSE),"")</f>
        <v>0</v>
      </c>
      <c r="Z93" s="229">
        <f>IFERROR(VLOOKUP($A93,SP_AcqTract_DB[],MATCH(Z$2,SP_AcqTract_DB[#Headers],0),FALSE),"")</f>
        <v>0</v>
      </c>
      <c r="AA93" s="229">
        <f>IFERROR(VLOOKUP($A93,SP_AcqTract_DB[],MATCH(AA$2,SP_AcqTract_DB[#Headers],0),FALSE),"")</f>
        <v>0</v>
      </c>
      <c r="AB93" s="250" t="str">
        <f>IFERROR(IF(VLOOKUP(CONCATENATE($A93,"_",AB$1),SP_ACQ_Lib[],MATCH(AB$2,SP_ACQ_Lib[#Headers],0),FALSE)=0,"",VLOOKUP(CONCATENATE($A93,"_",AB$1),SP_ACQ_Lib[],MATCH(AB$2,SP_ACQ_Lib[#Headers],0),FALSE)),"")</f>
        <v/>
      </c>
      <c r="AC93" s="250" t="str">
        <f>IFERROR(IF(VLOOKUP(CONCATENATE($A93,"_",AC$1),SP_ACQ_Lib[],MATCH(AC$2,SP_ACQ_Lib[#Headers],0),FALSE)=0,"",VLOOKUP(CONCATENATE($A93,"_",AC$1),SP_ACQ_Lib[],MATCH(AC$2,SP_ACQ_Lib[#Headers],0),FALSE)),"")</f>
        <v/>
      </c>
      <c r="AD93" s="229">
        <f>IFERROR(VLOOKUP($A93,SP_AcqTract_DB[],MATCH(AD$2,SP_AcqTract_DB[#Headers],0),FALSE),"")</f>
        <v>0</v>
      </c>
      <c r="AE93" s="250" t="str">
        <f>IFERROR(IF(VLOOKUP(CONCATENATE($A93,"_",AE$1),SP_ACQ_Lib[],MATCH(AE$2,SP_ACQ_Lib[#Headers],0),FALSE)=0,"",VLOOKUP(CONCATENATE($A93,"_",AE$1),SP_ACQ_Lib[],MATCH(AE$2,SP_ACQ_Lib[#Headers],0),FALSE)),"")</f>
        <v/>
      </c>
      <c r="AF93" s="250" t="str">
        <f>IFERROR(IF(VLOOKUP(CONCATENATE($A93,"_",AF$1),SP_ACQ_Lib[],MATCH(AF$2,SP_ACQ_Lib[#Headers],0),FALSE)=0,"",VLOOKUP(CONCATENATE($A93,"_",AF$1),SP_ACQ_Lib[],MATCH(AF$2,SP_ACQ_Lib[#Headers],0),FALSE)),"")</f>
        <v/>
      </c>
      <c r="AG93" s="250" t="str">
        <f>IFERROR(IF(VLOOKUP(CONCATENATE($A93,"_",AG$1),SP_ACQ_Lib[],MATCH(AG$2,SP_ACQ_Lib[#Headers],0),FALSE)=0,"",VLOOKUP(CONCATENATE($A93,"_",AG$1),SP_ACQ_Lib[],MATCH(AG$2,SP_ACQ_Lib[#Headers],0),FALSE)),"")</f>
        <v/>
      </c>
      <c r="AH93" s="250" t="str">
        <f>IFERROR(IF(VLOOKUP(CONCATENATE($A93,"_",AH$1),SP_ACQ_Lib[],MATCH(AH$2,SP_ACQ_Lib[#Headers],0),FALSE)=0,"",VLOOKUP(CONCATENATE($A93,"_",AH$1),SP_ACQ_Lib[],MATCH(AH$2,SP_ACQ_Lib[#Headers],0),FALSE)),"")</f>
        <v/>
      </c>
      <c r="AI93" s="249">
        <f>IFERROR(IF(VLOOKUP(CONCATENATE($A93,"_",AI$1),SP_ACQ_Lib[],MATCH(AI$2,SP_ACQ_Lib[#Headers],0),FALSE)=0,"",VLOOKUP(CONCATENATE($A93,"_",AI$1),SP_ACQ_Lib[],MATCH(AI$2,SP_ACQ_Lib[#Headers],0),FALSE)),"")</f>
        <v>43985</v>
      </c>
      <c r="AJ93" s="249" t="str">
        <f>IFERROR(IF(VLOOKUP(CONCATENATE($A93,"_",AJ$1),SP_ACQ_Lib[],MATCH(AJ$2,SP_ACQ_Lib[#Headers],0),FALSE)=0,"",VLOOKUP(CONCATENATE($A93,"_",AJ$1),SP_ACQ_Lib[],MATCH(AJ$2,SP_ACQ_Lib[#Headers],0),FALSE)),"")</f>
        <v/>
      </c>
      <c r="AK93" s="249" t="str">
        <f>IFERROR(IF(VLOOKUP(CONCATENATE($A93,"_",AK$1),SP_ACQ_Lib[],MATCH(AK$2,SP_ACQ_Lib[#Headers],0),FALSE)=0,"",VLOOKUP(CONCATENATE($A93,"_",AK$1),SP_ACQ_Lib[],MATCH(AK$2,SP_ACQ_Lib[#Headers],0),FALSE)),"")</f>
        <v/>
      </c>
      <c r="AL93" s="249">
        <f>IFERROR(VLOOKUP($A93,SP_AcqTract_DB[],MATCH(AL$2,SP_AcqTract_DB[#Headers],0),FALSE),"")</f>
        <v>0</v>
      </c>
      <c r="AM93" s="227">
        <f>IFERROR(VLOOKUP($A93,SP_AcqTract_DB[],MATCH(AM$2,SP_AcqTract_DB[#Headers],0),FALSE),"")</f>
        <v>0</v>
      </c>
      <c r="AN93" s="227">
        <f>IFERROR(VLOOKUP($A93,SP_AcqTract_DB[],MATCH(AN$2,SP_AcqTract_DB[#Headers],0),FALSE),"")</f>
        <v>0</v>
      </c>
      <c r="AO93" s="228">
        <f>IFERROR(VLOOKUP($A93,SP_AcqTract_DB[],MATCH(AO$2,SP_AcqTract_DB[#Headers],0),FALSE),"")</f>
        <v>0</v>
      </c>
      <c r="AP93" s="210">
        <f>IFERROR(VLOOKUP($A93,SP_AcqTract_DB[],MATCH(AP$2,SP_AcqTract_DB[#Headers],0),FALSE),"")</f>
        <v>0</v>
      </c>
      <c r="AQ93" s="252" t="str">
        <f>IFERROR(IF(VLOOKUP(CONCATENATE($A93,"_",AQ$1),SP_ACQ_Lib[],MATCH(AQ$2,SP_ACQ_Lib[#Headers],0),FALSE)=0,"",VLOOKUP(CONCATENATE($A93,"_",AQ$1),SP_ACQ_Lib[],MATCH(AQ$2,SP_ACQ_Lib[#Headers],0),FALSE)),"")</f>
        <v/>
      </c>
      <c r="AR93" s="250" t="str">
        <f>IFERROR(IF(VLOOKUP(CONCATENATE($A93,"_",AR$1),SP_ACQ_Lib[],MATCH(AR$2,SP_ACQ_Lib[#Headers],0),FALSE)=0,"",VLOOKUP(CONCATENATE($A93,"_",AR$1),SP_ACQ_Lib[],MATCH(AR$2,SP_ACQ_Lib[#Headers],0),FALSE)),"")</f>
        <v/>
      </c>
      <c r="AS93" s="249" t="str">
        <f>IFERROR(IF(VLOOKUP(CONCATENATE($A93,"_",AS$1),SP_ACQ_Lib[],MATCH(AS$2,SP_ACQ_Lib[#Headers],0),FALSE)=0,"",VLOOKUP(CONCATENATE($A93,"_",AS$1),SP_ACQ_Lib[],MATCH(AS$2,SP_ACQ_Lib[#Headers],0),FALSE)),"")</f>
        <v/>
      </c>
      <c r="AT93" s="251" t="str">
        <f>IFERROR(IF(VLOOKUP(CONCATENATE($A93,"_",AT$1),SP_ACQ_Lib[],MATCH(AT$2,SP_ACQ_Lib[#Headers],0),FALSE)=0,"",VLOOKUP(CONCATENATE($A93,"_",AT$1),SP_ACQ_Lib[],MATCH(AT$2,SP_ACQ_Lib[#Headers],0),FALSE)),"")</f>
        <v/>
      </c>
      <c r="AU93" s="251" t="str">
        <f>IFERROR(IF(VLOOKUP(CONCATENATE($A93,"_",AU$1),SP_ACQ_Lib[],MATCH(AU$2,SP_ACQ_Lib[#Headers],0),FALSE)=0,"",VLOOKUP(CONCATENATE($A93,"_",AU$1),SP_ACQ_Lib[],MATCH(AU$2,SP_ACQ_Lib[#Headers],0),FALSE)),"")</f>
        <v/>
      </c>
      <c r="AV93" s="225" t="str">
        <f>IFERROR(IF(VLOOKUP(CONCATENATE($A93,"_",AV$1),SP_ACQ_Lib[],MATCH(AV$2,SP_ACQ_Lib[#Headers],0),FALSE)=0,"",VLOOKUP(CONCATENATE($A93,"_",AV$1),SP_ACQ_Lib[],MATCH(AV$2,SP_ACQ_Lib[#Headers],0),FALSE)),"")</f>
        <v/>
      </c>
      <c r="AW93" s="251" t="str">
        <f>IFERROR(IF(VLOOKUP(CONCATENATE($A93,"_",AW$1),SP_ACQ_Lib[],MATCH(AW$2,SP_ACQ_Lib[#Headers],0),FALSE)=0,"",VLOOKUP(CONCATENATE($A93,"_",AW$1),SP_ACQ_Lib[],MATCH(AW$2,SP_ACQ_Lib[#Headers],0),FALSE)),"")</f>
        <v/>
      </c>
      <c r="AX93" s="251" t="str">
        <f>IFERROR(IF(VLOOKUP(CONCATENATE($A93,"_",AX$1),SP_ACQ_Lib[],MATCH(AX$2,SP_ACQ_Lib[#Headers],0),FALSE)=0,"",VLOOKUP(CONCATENATE($A93,"_",AX$1),SP_ACQ_Lib[],MATCH(AX$2,SP_ACQ_Lib[#Headers],0),FALSE)),"")</f>
        <v/>
      </c>
      <c r="AY93" s="251" t="str">
        <f>IFERROR(IF(VLOOKUP(CONCATENATE($A93,"_",AY$1),SP_ACQ_Lib[],MATCH(AY$2,SP_ACQ_Lib[#Headers],0),FALSE)=0,"",VLOOKUP(CONCATENATE($A93,"_",AY$1),SP_ACQ_Lib[],MATCH(AY$2,SP_ACQ_Lib[#Headers],0),FALSE)),"")</f>
        <v/>
      </c>
      <c r="AZ93" s="251" t="str">
        <f>IFERROR(IF(VLOOKUP(CONCATENATE($A93,"_",AZ$1),SP_ACQ_Lib[],MATCH(AZ$2,SP_ACQ_Lib[#Headers],0),FALSE)=0,"",VLOOKUP(CONCATENATE($A93,"_",AZ$1),SP_ACQ_Lib[],MATCH(AZ$2,SP_ACQ_Lib[#Headers],0),FALSE)),"")</f>
        <v/>
      </c>
      <c r="BA93" s="251" t="str">
        <f>IFERROR(IF(VLOOKUP(CONCATENATE($A93,"_",BA$1),SP_ACQ_Lib[],MATCH(BA$2,SP_ACQ_Lib[#Headers],0),FALSE)=0,"",VLOOKUP(CONCATENATE($A93,"_",BA$1),SP_ACQ_Lib[],MATCH(BA$2,SP_ACQ_Lib[#Headers],0),FALSE)),"")</f>
        <v/>
      </c>
      <c r="BB93" s="224">
        <f>IFERROR(VLOOKUP(CONCATENATE($A93,"_",BB$1),SP_ACQ_Lib[],MATCH(BB$2,SP_ACQ_Lib[#Headers],0),FALSE),0)</f>
        <v>0</v>
      </c>
      <c r="BC93" s="231">
        <f>IFERROR(VLOOKUP($A93,SP_AcqTract_DB[],MATCH(BC$2,SP_AcqTract_DB[#Headers],0),FALSE),"")</f>
        <v>0</v>
      </c>
      <c r="BD93" s="231">
        <f>IFERROR(VLOOKUP($A93,SP_AcqTract_DB[],MATCH(BD$2,SP_AcqTract_DB[#Headers],0),FALSE),"")</f>
        <v>0</v>
      </c>
      <c r="BE93" s="249" t="str">
        <f>IFERROR(IF(VLOOKUP(CONCATENATE($A93,"_",BE$1),SP_ACQ_Lib[],MATCH(BE$2,SP_ACQ_Lib[#Headers],0),FALSE)=0,"",VLOOKUP(CONCATENATE($A93,"_",BE$1),SP_ACQ_Lib[],MATCH(BE$2,SP_ACQ_Lib[#Headers],0),FALSE)),"")</f>
        <v/>
      </c>
      <c r="BF93" s="249" t="str">
        <f>IFERROR(IF(VLOOKUP(CONCATENATE($A93,"_",BF$1),SP_ACQ_Lib[],MATCH(BF$2,SP_ACQ_Lib[#Headers],0),FALSE)=0,"",VLOOKUP(CONCATENATE($A93,"_",BF$1),SP_ACQ_Lib[],MATCH(BF$2,SP_ACQ_Lib[#Headers],0),FALSE)),"")</f>
        <v/>
      </c>
      <c r="BG93" s="249" t="str">
        <f>IFERROR(IF(VLOOKUP(CONCATENATE($A93,"_",BG$1),SP_ACQ_Lib[],MATCH(BG$2,SP_ACQ_Lib[#Headers],0),FALSE)=0,"",VLOOKUP(CONCATENATE($A93,"_",BG$1),SP_ACQ_Lib[],MATCH(BG$2,SP_ACQ_Lib[#Headers],0),FALSE)),"")</f>
        <v/>
      </c>
      <c r="BH93" s="249" t="str">
        <f>IFERROR(IF(VLOOKUP(CONCATENATE($A93,"_",BH$1),SP_ACQ_Lib[],MATCH(BH$2,SP_ACQ_Lib[#Headers],0),FALSE)=0,"",VLOOKUP(CONCATENATE($A93,"_",BH$1),SP_ACQ_Lib[],MATCH(BH$2,SP_ACQ_Lib[#Headers],0),FALSE)),"")</f>
        <v/>
      </c>
      <c r="BI93" s="249" t="str">
        <f>IFERROR(IF(VLOOKUP(CONCATENATE($A93,"_",BI$1),SP_ACQ_Lib[],MATCH(BI$2,SP_ACQ_Lib[#Headers],0),FALSE)=0,"",VLOOKUP(CONCATENATE($A93,"_",BI$1),SP_ACQ_Lib[],MATCH(BI$2,SP_ACQ_Lib[#Headers],0),FALSE)),"")</f>
        <v/>
      </c>
      <c r="BJ93" s="249" t="str">
        <f>IFERROR(IF(VLOOKUP(CONCATENATE($A93,"_",BJ$1),SP_ACQ_Lib[],MATCH(BJ$2,SP_ACQ_Lib[#Headers],0),FALSE)=0,"",VLOOKUP(CONCATENATE($A93,"_",BJ$1),SP_ACQ_Lib[],MATCH(BJ$2,SP_ACQ_Lib[#Headers],0),FALSE)),"")</f>
        <v/>
      </c>
      <c r="BK93" s="250" t="str">
        <f>IFERROR(IF(VLOOKUP(CONCATENATE($A93,"_",BK$1),SP_ACQ_Lib[],MATCH(BK$2,SP_ACQ_Lib[#Headers],0),FALSE)=0,"",VLOOKUP(CONCATENATE($A93,"_",BK$1),SP_ACQ_Lib[],MATCH(BK$2,SP_ACQ_Lib[#Headers],0),FALSE)),"")</f>
        <v/>
      </c>
      <c r="BL93" s="249" t="str">
        <f>IFERROR(IF(VLOOKUP(CONCATENATE($A93,"_",BL$1),SP_ACQ_Lib[],MATCH(BL$2,SP_ACQ_Lib[#Headers],0),FALSE)=0,"",VLOOKUP(CONCATENATE($A93,"_",BL$1),SP_ACQ_Lib[],MATCH(BL$2,SP_ACQ_Lib[#Headers],0),FALSE)),"")</f>
        <v/>
      </c>
      <c r="BM93" s="249" t="str">
        <f>IFERROR(IF(VLOOKUP(CONCATENATE($A93,"_",BM$1),SP_ACQ_Lib[],MATCH(BM$2,SP_ACQ_Lib[#Headers],0),FALSE)=0,"",VLOOKUP(CONCATENATE($A93,"_",BM$1),SP_ACQ_Lib[],MATCH(BM$2,SP_ACQ_Lib[#Headers],0),FALSE)),"")</f>
        <v/>
      </c>
      <c r="BN93" s="249" t="str">
        <f>IFERROR(IF(VLOOKUP(CONCATENATE($A93,"_",BN$1),SP_ACQ_Lib[],MATCH(BN$2,SP_ACQ_Lib[#Headers],0),FALSE)=0,"",VLOOKUP(CONCATENATE($A93,"_",BN$1),SP_ACQ_Lib[],MATCH(BN$2,SP_ACQ_Lib[#Headers],0),FALSE)),"")</f>
        <v/>
      </c>
    </row>
    <row r="94" spans="1:66" s="226" customFormat="1" ht="15.75" x14ac:dyDescent="0.2">
      <c r="A94" s="192" t="s">
        <v>5307</v>
      </c>
      <c r="B94" s="227" t="str">
        <f>IFERROR(VLOOKUP($A94,SP_AcqTract_DB[],MATCH(B$2,SP_AcqTract_DB[#Headers],0),FALSE),"")</f>
        <v>R026953</v>
      </c>
      <c r="C94" s="228" t="str">
        <f>IFERROR(VLOOKUP($A94,SP_AcqTract_DB[],MATCH(C$2,SP_AcqTract_DB[#Headers],0),FALSE),"")</f>
        <v>PH2</v>
      </c>
      <c r="D94" s="208" t="str">
        <f>IFERROR(VLOOKUP($A94,SP_AcqTract_DB[],MATCH(D$2,SP_AcqTract_DB[#Headers],0),FALSE),"")</f>
        <v>Active</v>
      </c>
      <c r="E94" s="208">
        <f>IFERROR(VLOOKUP($A94,SP_AcqTract_DB[],MATCH(E$2,SP_AcqTract_DB[#Headers],0),FALSE),"")</f>
        <v>0</v>
      </c>
      <c r="F94" s="227">
        <f>IFERROR(VLOOKUP($A94,SP_AcqTract_DB[],MATCH(F$2,SP_AcqTract_DB[#Headers],0),FALSE),"")</f>
        <v>0</v>
      </c>
      <c r="G94" s="227" t="str">
        <f>IFERROR(VLOOKUP($A94,SP_AcqTract_DB[],MATCH(G$2,SP_AcqTract_DB[#Headers],0),FALSE),"")</f>
        <v>Melissa DeLeon</v>
      </c>
      <c r="H94" s="250">
        <f>IFERROR(IF(VLOOKUP(CONCATENATE($A94,"_",H$1),SP_ACQ_Lib[],MATCH(H$2,SP_ACQ_Lib[#Headers],0),FALSE)=0,"",VLOOKUP(CONCATENATE($A94,"_",H$1),SP_ACQ_Lib[],MATCH(H$2,SP_ACQ_Lib[#Headers],0),FALSE)),"")</f>
        <v>44000.912893518522</v>
      </c>
      <c r="I94" s="227" t="str">
        <f>IFERROR(VLOOKUP($A94,SP_AcqTract_DB[],MATCH(I$2,SP_AcqTract_DB[#Headers],0),FALSE),"")</f>
        <v>Zahradnik Robert J &amp; Wf</v>
      </c>
      <c r="J94" s="227">
        <f>IFERROR(VLOOKUP($A94,SP_AcqTract_DB[],MATCH(J$2,SP_AcqTract_DB[#Headers],0),FALSE),"")</f>
        <v>0</v>
      </c>
      <c r="K94" s="227">
        <f>IFERROR(VLOOKUP($A94,SP_AcqTract_DB[],MATCH(K$2,SP_AcqTract_DB[#Headers],0),FALSE),"")</f>
        <v>0</v>
      </c>
      <c r="L94" s="227">
        <f>IFERROR(VLOOKUP($A94,SP_AcqTract_DB[],MATCH(L$2,SP_AcqTract_DB[#Headers],0),FALSE),"")</f>
        <v>0</v>
      </c>
      <c r="M94" s="208">
        <f>IFERROR(VLOOKUP($A94,SP_AcqTract_DB[],MATCH(M$2,SP_AcqTract_DB[#Headers],0),FALSE),"")</f>
        <v>0</v>
      </c>
      <c r="N94" s="227" t="str">
        <f>IFERROR(VLOOKUP($A94,SP_AcqTract_DB[],MATCH(N$2,SP_AcqTract_DB[#Headers],0),FALSE),"")</f>
        <v>0 LEE LN</v>
      </c>
      <c r="O94" s="220">
        <f>IFERROR(VLOOKUP($A94,SP_AcqTract_DB[],MATCH(O$2,SP_AcqTract_DB[#Headers],0),FALSE),"")</f>
        <v>0</v>
      </c>
      <c r="P94" s="220">
        <f>IFERROR(VLOOKUP($A94,SP_AcqTract_DB[],MATCH(P$2,SP_AcqTract_DB[#Headers],0),FALSE),"")</f>
        <v>0</v>
      </c>
      <c r="Q94" s="208">
        <f>IFERROR(VLOOKUP($A94,SP_AcqTract_DB[],MATCH(Q$2,SP_AcqTract_DB[#Headers],0),FALSE),"")</f>
        <v>0</v>
      </c>
      <c r="R94" s="250" t="str">
        <f>IFERROR(IF(VLOOKUP(CONCATENATE($A94,"_",R$1),SP_ACQ_Lib[],MATCH(R$2,SP_ACQ_Lib[#Headers],0),FALSE)=0,"",VLOOKUP(CONCATENATE($A94,"_",R$1),SP_ACQ_Lib[],MATCH(R$2,SP_ACQ_Lib[#Headers],0),FALSE)),"")</f>
        <v/>
      </c>
      <c r="S94" s="253" t="str">
        <f>IFERROR(IF(VLOOKUP(CONCATENATE($A94,"_",S$1),SP_ACQ_Lib[],MATCH(S$2,SP_ACQ_Lib[#Headers],0),FALSE)=0,"",VLOOKUP(CONCATENATE($A94,"_",S$1),SP_ACQ_Lib[],MATCH(S$2,SP_ACQ_Lib[#Headers],0),FALSE)),"")</f>
        <v/>
      </c>
      <c r="T94" s="205">
        <f>IFERROR(VLOOKUP(CONCATENATE($A94,"_",T$1),SP_ACQ_Lib[],MATCH(T$2,SP_ACQ_Lib[#Headers],0),FALSE),0)</f>
        <v>0</v>
      </c>
      <c r="U94" s="250" t="str">
        <f>IFERROR(IF(VLOOKUP(CONCATENATE($A94,"_",U$1),SP_ACQ_Lib[],MATCH(U$2,SP_ACQ_Lib[#Headers],0),FALSE)=0,"",VLOOKUP(CONCATENATE($A94,"_",U$1),SP_ACQ_Lib[],MATCH(U$2,SP_ACQ_Lib[#Headers],0),FALSE)),"")</f>
        <v/>
      </c>
      <c r="V94" s="205" t="str">
        <f>IFERROR(VLOOKUP(CONCATENATE($A94,"_",V$1),SP_ACQ_Lib[],MATCH(V$2,SP_ACQ_Lib[#Headers],0),FALSE),0)</f>
        <v>Accepted</v>
      </c>
      <c r="W94" s="209">
        <f>IFERROR(VLOOKUP(CONCATENATE($A94,"_",W$1),SP_ACQ_Lib[],MATCH(W$2,SP_ACQ_Lib[#Headers],0),FALSE),0)</f>
        <v>0</v>
      </c>
      <c r="X94" s="250">
        <f>IFERROR(VLOOKUP($A94,SP_AcqTract_DB[],MATCH(X$2,SP_AcqTract_DB[#Headers],0),FALSE),"")</f>
        <v>0</v>
      </c>
      <c r="Y94" s="237">
        <f>IFERROR(VLOOKUP($A94,SP_AcqTract_DB[],MATCH(Y$2,SP_AcqTract_DB[#Headers],0),FALSE),"")</f>
        <v>0</v>
      </c>
      <c r="Z94" s="229">
        <f>IFERROR(VLOOKUP($A94,SP_AcqTract_DB[],MATCH(Z$2,SP_AcqTract_DB[#Headers],0),FALSE),"")</f>
        <v>0</v>
      </c>
      <c r="AA94" s="229">
        <f>IFERROR(VLOOKUP($A94,SP_AcqTract_DB[],MATCH(AA$2,SP_AcqTract_DB[#Headers],0),FALSE),"")</f>
        <v>0</v>
      </c>
      <c r="AB94" s="250" t="str">
        <f>IFERROR(IF(VLOOKUP(CONCATENATE($A94,"_",AB$1),SP_ACQ_Lib[],MATCH(AB$2,SP_ACQ_Lib[#Headers],0),FALSE)=0,"",VLOOKUP(CONCATENATE($A94,"_",AB$1),SP_ACQ_Lib[],MATCH(AB$2,SP_ACQ_Lib[#Headers],0),FALSE)),"")</f>
        <v/>
      </c>
      <c r="AC94" s="250" t="str">
        <f>IFERROR(IF(VLOOKUP(CONCATENATE($A94,"_",AC$1),SP_ACQ_Lib[],MATCH(AC$2,SP_ACQ_Lib[#Headers],0),FALSE)=0,"",VLOOKUP(CONCATENATE($A94,"_",AC$1),SP_ACQ_Lib[],MATCH(AC$2,SP_ACQ_Lib[#Headers],0),FALSE)),"")</f>
        <v/>
      </c>
      <c r="AD94" s="229">
        <f>IFERROR(VLOOKUP($A94,SP_AcqTract_DB[],MATCH(AD$2,SP_AcqTract_DB[#Headers],0),FALSE),"")</f>
        <v>0</v>
      </c>
      <c r="AE94" s="250" t="str">
        <f>IFERROR(IF(VLOOKUP(CONCATENATE($A94,"_",AE$1),SP_ACQ_Lib[],MATCH(AE$2,SP_ACQ_Lib[#Headers],0),FALSE)=0,"",VLOOKUP(CONCATENATE($A94,"_",AE$1),SP_ACQ_Lib[],MATCH(AE$2,SP_ACQ_Lib[#Headers],0),FALSE)),"")</f>
        <v/>
      </c>
      <c r="AF94" s="250" t="str">
        <f>IFERROR(IF(VLOOKUP(CONCATENATE($A94,"_",AF$1),SP_ACQ_Lib[],MATCH(AF$2,SP_ACQ_Lib[#Headers],0),FALSE)=0,"",VLOOKUP(CONCATENATE($A94,"_",AF$1),SP_ACQ_Lib[],MATCH(AF$2,SP_ACQ_Lib[#Headers],0),FALSE)),"")</f>
        <v/>
      </c>
      <c r="AG94" s="250" t="str">
        <f>IFERROR(IF(VLOOKUP(CONCATENATE($A94,"_",AG$1),SP_ACQ_Lib[],MATCH(AG$2,SP_ACQ_Lib[#Headers],0),FALSE)=0,"",VLOOKUP(CONCATENATE($A94,"_",AG$1),SP_ACQ_Lib[],MATCH(AG$2,SP_ACQ_Lib[#Headers],0),FALSE)),"")</f>
        <v/>
      </c>
      <c r="AH94" s="250" t="str">
        <f>IFERROR(IF(VLOOKUP(CONCATENATE($A94,"_",AH$1),SP_ACQ_Lib[],MATCH(AH$2,SP_ACQ_Lib[#Headers],0),FALSE)=0,"",VLOOKUP(CONCATENATE($A94,"_",AH$1),SP_ACQ_Lib[],MATCH(AH$2,SP_ACQ_Lib[#Headers],0),FALSE)),"")</f>
        <v/>
      </c>
      <c r="AI94" s="249">
        <f>IFERROR(IF(VLOOKUP(CONCATENATE($A94,"_",AI$1),SP_ACQ_Lib[],MATCH(AI$2,SP_ACQ_Lib[#Headers],0),FALSE)=0,"",VLOOKUP(CONCATENATE($A94,"_",AI$1),SP_ACQ_Lib[],MATCH(AI$2,SP_ACQ_Lib[#Headers],0),FALSE)),"")</f>
        <v>43985</v>
      </c>
      <c r="AJ94" s="249">
        <f>IFERROR(IF(VLOOKUP(CONCATENATE($A94,"_",AJ$1),SP_ACQ_Lib[],MATCH(AJ$2,SP_ACQ_Lib[#Headers],0),FALSE)=0,"",VLOOKUP(CONCATENATE($A94,"_",AJ$1),SP_ACQ_Lib[],MATCH(AJ$2,SP_ACQ_Lib[#Headers],0),FALSE)),"")</f>
        <v>43994</v>
      </c>
      <c r="AK94" s="249">
        <f>IFERROR(IF(VLOOKUP(CONCATENATE($A94,"_",AK$1),SP_ACQ_Lib[],MATCH(AK$2,SP_ACQ_Lib[#Headers],0),FALSE)=0,"",VLOOKUP(CONCATENATE($A94,"_",AK$1),SP_ACQ_Lib[],MATCH(AK$2,SP_ACQ_Lib[#Headers],0),FALSE)),"")</f>
        <v>44177</v>
      </c>
      <c r="AL94" s="249">
        <f>IFERROR(VLOOKUP($A94,SP_AcqTract_DB[],MATCH(AL$2,SP_AcqTract_DB[#Headers],0),FALSE),"")</f>
        <v>0</v>
      </c>
      <c r="AM94" s="227">
        <f>IFERROR(VLOOKUP($A94,SP_AcqTract_DB[],MATCH(AM$2,SP_AcqTract_DB[#Headers],0),FALSE),"")</f>
        <v>0</v>
      </c>
      <c r="AN94" s="227">
        <f>IFERROR(VLOOKUP($A94,SP_AcqTract_DB[],MATCH(AN$2,SP_AcqTract_DB[#Headers],0),FALSE),"")</f>
        <v>0</v>
      </c>
      <c r="AO94" s="228">
        <f>IFERROR(VLOOKUP($A94,SP_AcqTract_DB[],MATCH(AO$2,SP_AcqTract_DB[#Headers],0),FALSE),"")</f>
        <v>0</v>
      </c>
      <c r="AP94" s="210">
        <f>IFERROR(VLOOKUP($A94,SP_AcqTract_DB[],MATCH(AP$2,SP_AcqTract_DB[#Headers],0),FALSE),"")</f>
        <v>0</v>
      </c>
      <c r="AQ94" s="252" t="str">
        <f>IFERROR(IF(VLOOKUP(CONCATENATE($A94,"_",AQ$1),SP_ACQ_Lib[],MATCH(AQ$2,SP_ACQ_Lib[#Headers],0),FALSE)=0,"",VLOOKUP(CONCATENATE($A94,"_",AQ$1),SP_ACQ_Lib[],MATCH(AQ$2,SP_ACQ_Lib[#Headers],0),FALSE)),"")</f>
        <v/>
      </c>
      <c r="AR94" s="250" t="str">
        <f>IFERROR(IF(VLOOKUP(CONCATENATE($A94,"_",AR$1),SP_ACQ_Lib[],MATCH(AR$2,SP_ACQ_Lib[#Headers],0),FALSE)=0,"",VLOOKUP(CONCATENATE($A94,"_",AR$1),SP_ACQ_Lib[],MATCH(AR$2,SP_ACQ_Lib[#Headers],0),FALSE)),"")</f>
        <v/>
      </c>
      <c r="AS94" s="249" t="str">
        <f>IFERROR(IF(VLOOKUP(CONCATENATE($A94,"_",AS$1),SP_ACQ_Lib[],MATCH(AS$2,SP_ACQ_Lib[#Headers],0),FALSE)=0,"",VLOOKUP(CONCATENATE($A94,"_",AS$1),SP_ACQ_Lib[],MATCH(AS$2,SP_ACQ_Lib[#Headers],0),FALSE)),"")</f>
        <v/>
      </c>
      <c r="AT94" s="251" t="str">
        <f>IFERROR(IF(VLOOKUP(CONCATENATE($A94,"_",AT$1),SP_ACQ_Lib[],MATCH(AT$2,SP_ACQ_Lib[#Headers],0),FALSE)=0,"",VLOOKUP(CONCATENATE($A94,"_",AT$1),SP_ACQ_Lib[],MATCH(AT$2,SP_ACQ_Lib[#Headers],0),FALSE)),"")</f>
        <v/>
      </c>
      <c r="AU94" s="251" t="str">
        <f>IFERROR(IF(VLOOKUP(CONCATENATE($A94,"_",AU$1),SP_ACQ_Lib[],MATCH(AU$2,SP_ACQ_Lib[#Headers],0),FALSE)=0,"",VLOOKUP(CONCATENATE($A94,"_",AU$1),SP_ACQ_Lib[],MATCH(AU$2,SP_ACQ_Lib[#Headers],0),FALSE)),"")</f>
        <v/>
      </c>
      <c r="AV94" s="225" t="str">
        <f>IFERROR(IF(VLOOKUP(CONCATENATE($A94,"_",AV$1),SP_ACQ_Lib[],MATCH(AV$2,SP_ACQ_Lib[#Headers],0),FALSE)=0,"",VLOOKUP(CONCATENATE($A94,"_",AV$1),SP_ACQ_Lib[],MATCH(AV$2,SP_ACQ_Lib[#Headers],0),FALSE)),"")</f>
        <v/>
      </c>
      <c r="AW94" s="251" t="str">
        <f>IFERROR(IF(VLOOKUP(CONCATENATE($A94,"_",AW$1),SP_ACQ_Lib[],MATCH(AW$2,SP_ACQ_Lib[#Headers],0),FALSE)=0,"",VLOOKUP(CONCATENATE($A94,"_",AW$1),SP_ACQ_Lib[],MATCH(AW$2,SP_ACQ_Lib[#Headers],0),FALSE)),"")</f>
        <v/>
      </c>
      <c r="AX94" s="251" t="str">
        <f>IFERROR(IF(VLOOKUP(CONCATENATE($A94,"_",AX$1),SP_ACQ_Lib[],MATCH(AX$2,SP_ACQ_Lib[#Headers],0),FALSE)=0,"",VLOOKUP(CONCATENATE($A94,"_",AX$1),SP_ACQ_Lib[],MATCH(AX$2,SP_ACQ_Lib[#Headers],0),FALSE)),"")</f>
        <v/>
      </c>
      <c r="AY94" s="251" t="str">
        <f>IFERROR(IF(VLOOKUP(CONCATENATE($A94,"_",AY$1),SP_ACQ_Lib[],MATCH(AY$2,SP_ACQ_Lib[#Headers],0),FALSE)=0,"",VLOOKUP(CONCATENATE($A94,"_",AY$1),SP_ACQ_Lib[],MATCH(AY$2,SP_ACQ_Lib[#Headers],0),FALSE)),"")</f>
        <v/>
      </c>
      <c r="AZ94" s="251" t="str">
        <f>IFERROR(IF(VLOOKUP(CONCATENATE($A94,"_",AZ$1),SP_ACQ_Lib[],MATCH(AZ$2,SP_ACQ_Lib[#Headers],0),FALSE)=0,"",VLOOKUP(CONCATENATE($A94,"_",AZ$1),SP_ACQ_Lib[],MATCH(AZ$2,SP_ACQ_Lib[#Headers],0),FALSE)),"")</f>
        <v/>
      </c>
      <c r="BA94" s="251" t="str">
        <f>IFERROR(IF(VLOOKUP(CONCATENATE($A94,"_",BA$1),SP_ACQ_Lib[],MATCH(BA$2,SP_ACQ_Lib[#Headers],0),FALSE)=0,"",VLOOKUP(CONCATENATE($A94,"_",BA$1),SP_ACQ_Lib[],MATCH(BA$2,SP_ACQ_Lib[#Headers],0),FALSE)),"")</f>
        <v/>
      </c>
      <c r="BB94" s="224">
        <f>IFERROR(VLOOKUP(CONCATENATE($A94,"_",BB$1),SP_ACQ_Lib[],MATCH(BB$2,SP_ACQ_Lib[#Headers],0),FALSE),0)</f>
        <v>0</v>
      </c>
      <c r="BC94" s="231">
        <f>IFERROR(VLOOKUP($A94,SP_AcqTract_DB[],MATCH(BC$2,SP_AcqTract_DB[#Headers],0),FALSE),"")</f>
        <v>0</v>
      </c>
      <c r="BD94" s="231">
        <f>IFERROR(VLOOKUP($A94,SP_AcqTract_DB[],MATCH(BD$2,SP_AcqTract_DB[#Headers],0),FALSE),"")</f>
        <v>0</v>
      </c>
      <c r="BE94" s="249" t="str">
        <f>IFERROR(IF(VLOOKUP(CONCATENATE($A94,"_",BE$1),SP_ACQ_Lib[],MATCH(BE$2,SP_ACQ_Lib[#Headers],0),FALSE)=0,"",VLOOKUP(CONCATENATE($A94,"_",BE$1),SP_ACQ_Lib[],MATCH(BE$2,SP_ACQ_Lib[#Headers],0),FALSE)),"")</f>
        <v/>
      </c>
      <c r="BF94" s="249" t="str">
        <f>IFERROR(IF(VLOOKUP(CONCATENATE($A94,"_",BF$1),SP_ACQ_Lib[],MATCH(BF$2,SP_ACQ_Lib[#Headers],0),FALSE)=0,"",VLOOKUP(CONCATENATE($A94,"_",BF$1),SP_ACQ_Lib[],MATCH(BF$2,SP_ACQ_Lib[#Headers],0),FALSE)),"")</f>
        <v/>
      </c>
      <c r="BG94" s="249" t="str">
        <f>IFERROR(IF(VLOOKUP(CONCATENATE($A94,"_",BG$1),SP_ACQ_Lib[],MATCH(BG$2,SP_ACQ_Lib[#Headers],0),FALSE)=0,"",VLOOKUP(CONCATENATE($A94,"_",BG$1),SP_ACQ_Lib[],MATCH(BG$2,SP_ACQ_Lib[#Headers],0),FALSE)),"")</f>
        <v/>
      </c>
      <c r="BH94" s="249" t="str">
        <f>IFERROR(IF(VLOOKUP(CONCATENATE($A94,"_",BH$1),SP_ACQ_Lib[],MATCH(BH$2,SP_ACQ_Lib[#Headers],0),FALSE)=0,"",VLOOKUP(CONCATENATE($A94,"_",BH$1),SP_ACQ_Lib[],MATCH(BH$2,SP_ACQ_Lib[#Headers],0),FALSE)),"")</f>
        <v/>
      </c>
      <c r="BI94" s="249" t="str">
        <f>IFERROR(IF(VLOOKUP(CONCATENATE($A94,"_",BI$1),SP_ACQ_Lib[],MATCH(BI$2,SP_ACQ_Lib[#Headers],0),FALSE)=0,"",VLOOKUP(CONCATENATE($A94,"_",BI$1),SP_ACQ_Lib[],MATCH(BI$2,SP_ACQ_Lib[#Headers],0),FALSE)),"")</f>
        <v/>
      </c>
      <c r="BJ94" s="249" t="str">
        <f>IFERROR(IF(VLOOKUP(CONCATENATE($A94,"_",BJ$1),SP_ACQ_Lib[],MATCH(BJ$2,SP_ACQ_Lib[#Headers],0),FALSE)=0,"",VLOOKUP(CONCATENATE($A94,"_",BJ$1),SP_ACQ_Lib[],MATCH(BJ$2,SP_ACQ_Lib[#Headers],0),FALSE)),"")</f>
        <v/>
      </c>
      <c r="BK94" s="250" t="str">
        <f>IFERROR(IF(VLOOKUP(CONCATENATE($A94,"_",BK$1),SP_ACQ_Lib[],MATCH(BK$2,SP_ACQ_Lib[#Headers],0),FALSE)=0,"",VLOOKUP(CONCATENATE($A94,"_",BK$1),SP_ACQ_Lib[],MATCH(BK$2,SP_ACQ_Lib[#Headers],0),FALSE)),"")</f>
        <v/>
      </c>
      <c r="BL94" s="249" t="str">
        <f>IFERROR(IF(VLOOKUP(CONCATENATE($A94,"_",BL$1),SP_ACQ_Lib[],MATCH(BL$2,SP_ACQ_Lib[#Headers],0),FALSE)=0,"",VLOOKUP(CONCATENATE($A94,"_",BL$1),SP_ACQ_Lib[],MATCH(BL$2,SP_ACQ_Lib[#Headers],0),FALSE)),"")</f>
        <v/>
      </c>
      <c r="BM94" s="249" t="str">
        <f>IFERROR(IF(VLOOKUP(CONCATENATE($A94,"_",BM$1),SP_ACQ_Lib[],MATCH(BM$2,SP_ACQ_Lib[#Headers],0),FALSE)=0,"",VLOOKUP(CONCATENATE($A94,"_",BM$1),SP_ACQ_Lib[],MATCH(BM$2,SP_ACQ_Lib[#Headers],0),FALSE)),"")</f>
        <v/>
      </c>
      <c r="BN94" s="249" t="str">
        <f>IFERROR(IF(VLOOKUP(CONCATENATE($A94,"_",BN$1),SP_ACQ_Lib[],MATCH(BN$2,SP_ACQ_Lib[#Headers],0),FALSE)=0,"",VLOOKUP(CONCATENATE($A94,"_",BN$1),SP_ACQ_Lib[],MATCH(BN$2,SP_ACQ_Lib[#Headers],0),FALSE)),"")</f>
        <v/>
      </c>
    </row>
    <row r="95" spans="1:66" s="226" customFormat="1" ht="25.5" x14ac:dyDescent="0.2">
      <c r="A95" s="192" t="s">
        <v>5309</v>
      </c>
      <c r="B95" s="227" t="str">
        <f>IFERROR(VLOOKUP($A95,SP_AcqTract_DB[],MATCH(B$2,SP_AcqTract_DB[#Headers],0),FALSE),"")</f>
        <v>R026954</v>
      </c>
      <c r="C95" s="228" t="str">
        <f>IFERROR(VLOOKUP($A95,SP_AcqTract_DB[],MATCH(C$2,SP_AcqTract_DB[#Headers],0),FALSE),"")</f>
        <v>PH2</v>
      </c>
      <c r="D95" s="208" t="str">
        <f>IFERROR(VLOOKUP($A95,SP_AcqTract_DB[],MATCH(D$2,SP_AcqTract_DB[#Headers],0),FALSE),"")</f>
        <v>Active</v>
      </c>
      <c r="E95" s="208">
        <f>IFERROR(VLOOKUP($A95,SP_AcqTract_DB[],MATCH(E$2,SP_AcqTract_DB[#Headers],0),FALSE),"")</f>
        <v>0</v>
      </c>
      <c r="F95" s="227">
        <f>IFERROR(VLOOKUP($A95,SP_AcqTract_DB[],MATCH(F$2,SP_AcqTract_DB[#Headers],0),FALSE),"")</f>
        <v>0</v>
      </c>
      <c r="G95" s="227" t="str">
        <f>IFERROR(VLOOKUP($A95,SP_AcqTract_DB[],MATCH(G$2,SP_AcqTract_DB[#Headers],0),FALSE),"")</f>
        <v>Elizabeth Taylor</v>
      </c>
      <c r="H95" s="250">
        <f>IFERROR(IF(VLOOKUP(CONCATENATE($A95,"_",H$1),SP_ACQ_Lib[],MATCH(H$2,SP_ACQ_Lib[#Headers],0),FALSE)=0,"",VLOOKUP(CONCATENATE($A95,"_",H$1),SP_ACQ_Lib[],MATCH(H$2,SP_ACQ_Lib[#Headers],0),FALSE)),"")</f>
        <v>44018.394803240742</v>
      </c>
      <c r="I95" s="227" t="str">
        <f>IFERROR(VLOOKUP($A95,SP_AcqTract_DB[],MATCH(I$2,SP_AcqTract_DB[#Headers],0),FALSE),"")</f>
        <v>Kolodziejcyk Joseph D &amp; Kevin M Exec</v>
      </c>
      <c r="J95" s="227">
        <f>IFERROR(VLOOKUP($A95,SP_AcqTract_DB[],MATCH(J$2,SP_AcqTract_DB[#Headers],0),FALSE),"")</f>
        <v>0</v>
      </c>
      <c r="K95" s="227">
        <f>IFERROR(VLOOKUP($A95,SP_AcqTract_DB[],MATCH(K$2,SP_AcqTract_DB[#Headers],0),FALSE),"")</f>
        <v>0</v>
      </c>
      <c r="L95" s="227">
        <f>IFERROR(VLOOKUP($A95,SP_AcqTract_DB[],MATCH(L$2,SP_AcqTract_DB[#Headers],0),FALSE),"")</f>
        <v>0</v>
      </c>
      <c r="M95" s="208">
        <f>IFERROR(VLOOKUP($A95,SP_AcqTract_DB[],MATCH(M$2,SP_AcqTract_DB[#Headers],0),FALSE),"")</f>
        <v>0</v>
      </c>
      <c r="N95" s="227" t="str">
        <f>IFERROR(VLOOKUP($A95,SP_AcqTract_DB[],MATCH(N$2,SP_AcqTract_DB[#Headers],0),FALSE),"")</f>
        <v>314 CR 150</v>
      </c>
      <c r="O95" s="220">
        <f>IFERROR(VLOOKUP($A95,SP_AcqTract_DB[],MATCH(O$2,SP_AcqTract_DB[#Headers],0),FALSE),"")</f>
        <v>0</v>
      </c>
      <c r="P95" s="220">
        <f>IFERROR(VLOOKUP($A95,SP_AcqTract_DB[],MATCH(P$2,SP_AcqTract_DB[#Headers],0),FALSE),"")</f>
        <v>0</v>
      </c>
      <c r="Q95" s="208">
        <f>IFERROR(VLOOKUP($A95,SP_AcqTract_DB[],MATCH(Q$2,SP_AcqTract_DB[#Headers],0),FALSE),"")</f>
        <v>0</v>
      </c>
      <c r="R95" s="250" t="str">
        <f>IFERROR(IF(VLOOKUP(CONCATENATE($A95,"_",R$1),SP_ACQ_Lib[],MATCH(R$2,SP_ACQ_Lib[#Headers],0),FALSE)=0,"",VLOOKUP(CONCATENATE($A95,"_",R$1),SP_ACQ_Lib[],MATCH(R$2,SP_ACQ_Lib[#Headers],0),FALSE)),"")</f>
        <v/>
      </c>
      <c r="S95" s="253" t="str">
        <f>IFERROR(IF(VLOOKUP(CONCATENATE($A95,"_",S$1),SP_ACQ_Lib[],MATCH(S$2,SP_ACQ_Lib[#Headers],0),FALSE)=0,"",VLOOKUP(CONCATENATE($A95,"_",S$1),SP_ACQ_Lib[],MATCH(S$2,SP_ACQ_Lib[#Headers],0),FALSE)),"")</f>
        <v/>
      </c>
      <c r="T95" s="205">
        <f>IFERROR(VLOOKUP(CONCATENATE($A95,"_",T$1),SP_ACQ_Lib[],MATCH(T$2,SP_ACQ_Lib[#Headers],0),FALSE),0)</f>
        <v>0</v>
      </c>
      <c r="U95" s="250" t="str">
        <f>IFERROR(IF(VLOOKUP(CONCATENATE($A95,"_",U$1),SP_ACQ_Lib[],MATCH(U$2,SP_ACQ_Lib[#Headers],0),FALSE)=0,"",VLOOKUP(CONCATENATE($A95,"_",U$1),SP_ACQ_Lib[],MATCH(U$2,SP_ACQ_Lib[#Headers],0),FALSE)),"")</f>
        <v/>
      </c>
      <c r="V95" s="205" t="str">
        <f>IFERROR(VLOOKUP(CONCATENATE($A95,"_",V$1),SP_ACQ_Lib[],MATCH(V$2,SP_ACQ_Lib[#Headers],0),FALSE),0)</f>
        <v>Accepted</v>
      </c>
      <c r="W95" s="209">
        <f>IFERROR(VLOOKUP(CONCATENATE($A95,"_",W$1),SP_ACQ_Lib[],MATCH(W$2,SP_ACQ_Lib[#Headers],0),FALSE),0)</f>
        <v>0</v>
      </c>
      <c r="X95" s="250">
        <f>IFERROR(VLOOKUP($A95,SP_AcqTract_DB[],MATCH(X$2,SP_AcqTract_DB[#Headers],0),FALSE),"")</f>
        <v>0</v>
      </c>
      <c r="Y95" s="237">
        <f>IFERROR(VLOOKUP($A95,SP_AcqTract_DB[],MATCH(Y$2,SP_AcqTract_DB[#Headers],0),FALSE),"")</f>
        <v>0</v>
      </c>
      <c r="Z95" s="229">
        <f>IFERROR(VLOOKUP($A95,SP_AcqTract_DB[],MATCH(Z$2,SP_AcqTract_DB[#Headers],0),FALSE),"")</f>
        <v>0</v>
      </c>
      <c r="AA95" s="229">
        <f>IFERROR(VLOOKUP($A95,SP_AcqTract_DB[],MATCH(AA$2,SP_AcqTract_DB[#Headers],0),FALSE),"")</f>
        <v>0</v>
      </c>
      <c r="AB95" s="250" t="str">
        <f>IFERROR(IF(VLOOKUP(CONCATENATE($A95,"_",AB$1),SP_ACQ_Lib[],MATCH(AB$2,SP_ACQ_Lib[#Headers],0),FALSE)=0,"",VLOOKUP(CONCATENATE($A95,"_",AB$1),SP_ACQ_Lib[],MATCH(AB$2,SP_ACQ_Lib[#Headers],0),FALSE)),"")</f>
        <v/>
      </c>
      <c r="AC95" s="250" t="str">
        <f>IFERROR(IF(VLOOKUP(CONCATENATE($A95,"_",AC$1),SP_ACQ_Lib[],MATCH(AC$2,SP_ACQ_Lib[#Headers],0),FALSE)=0,"",VLOOKUP(CONCATENATE($A95,"_",AC$1),SP_ACQ_Lib[],MATCH(AC$2,SP_ACQ_Lib[#Headers],0),FALSE)),"")</f>
        <v/>
      </c>
      <c r="AD95" s="229">
        <f>IFERROR(VLOOKUP($A95,SP_AcqTract_DB[],MATCH(AD$2,SP_AcqTract_DB[#Headers],0),FALSE),"")</f>
        <v>0</v>
      </c>
      <c r="AE95" s="250" t="str">
        <f>IFERROR(IF(VLOOKUP(CONCATENATE($A95,"_",AE$1),SP_ACQ_Lib[],MATCH(AE$2,SP_ACQ_Lib[#Headers],0),FALSE)=0,"",VLOOKUP(CONCATENATE($A95,"_",AE$1),SP_ACQ_Lib[],MATCH(AE$2,SP_ACQ_Lib[#Headers],0),FALSE)),"")</f>
        <v/>
      </c>
      <c r="AF95" s="250" t="str">
        <f>IFERROR(IF(VLOOKUP(CONCATENATE($A95,"_",AF$1),SP_ACQ_Lib[],MATCH(AF$2,SP_ACQ_Lib[#Headers],0),FALSE)=0,"",VLOOKUP(CONCATENATE($A95,"_",AF$1),SP_ACQ_Lib[],MATCH(AF$2,SP_ACQ_Lib[#Headers],0),FALSE)),"")</f>
        <v/>
      </c>
      <c r="AG95" s="250" t="str">
        <f>IFERROR(IF(VLOOKUP(CONCATENATE($A95,"_",AG$1),SP_ACQ_Lib[],MATCH(AG$2,SP_ACQ_Lib[#Headers],0),FALSE)=0,"",VLOOKUP(CONCATENATE($A95,"_",AG$1),SP_ACQ_Lib[],MATCH(AG$2,SP_ACQ_Lib[#Headers],0),FALSE)),"")</f>
        <v/>
      </c>
      <c r="AH95" s="250" t="str">
        <f>IFERROR(IF(VLOOKUP(CONCATENATE($A95,"_",AH$1),SP_ACQ_Lib[],MATCH(AH$2,SP_ACQ_Lib[#Headers],0),FALSE)=0,"",VLOOKUP(CONCATENATE($A95,"_",AH$1),SP_ACQ_Lib[],MATCH(AH$2,SP_ACQ_Lib[#Headers],0),FALSE)),"")</f>
        <v/>
      </c>
      <c r="AI95" s="249">
        <f>IFERROR(IF(VLOOKUP(CONCATENATE($A95,"_",AI$1),SP_ACQ_Lib[],MATCH(AI$2,SP_ACQ_Lib[#Headers],0),FALSE)=0,"",VLOOKUP(CONCATENATE($A95,"_",AI$1),SP_ACQ_Lib[],MATCH(AI$2,SP_ACQ_Lib[#Headers],0),FALSE)),"")</f>
        <v>43985</v>
      </c>
      <c r="AJ95" s="249">
        <f>IFERROR(IF(VLOOKUP(CONCATENATE($A95,"_",AJ$1),SP_ACQ_Lib[],MATCH(AJ$2,SP_ACQ_Lib[#Headers],0),FALSE)=0,"",VLOOKUP(CONCATENATE($A95,"_",AJ$1),SP_ACQ_Lib[],MATCH(AJ$2,SP_ACQ_Lib[#Headers],0),FALSE)),"")</f>
        <v>44017</v>
      </c>
      <c r="AK95" s="249" t="str">
        <f>IFERROR(IF(VLOOKUP(CONCATENATE($A95,"_",AK$1),SP_ACQ_Lib[],MATCH(AK$2,SP_ACQ_Lib[#Headers],0),FALSE)=0,"",VLOOKUP(CONCATENATE($A95,"_",AK$1),SP_ACQ_Lib[],MATCH(AK$2,SP_ACQ_Lib[#Headers],0),FALSE)),"")</f>
        <v/>
      </c>
      <c r="AL95" s="249">
        <f>IFERROR(VLOOKUP($A95,SP_AcqTract_DB[],MATCH(AL$2,SP_AcqTract_DB[#Headers],0),FALSE),"")</f>
        <v>0</v>
      </c>
      <c r="AM95" s="227">
        <f>IFERROR(VLOOKUP($A95,SP_AcqTract_DB[],MATCH(AM$2,SP_AcqTract_DB[#Headers],0),FALSE),"")</f>
        <v>0</v>
      </c>
      <c r="AN95" s="227">
        <f>IFERROR(VLOOKUP($A95,SP_AcqTract_DB[],MATCH(AN$2,SP_AcqTract_DB[#Headers],0),FALSE),"")</f>
        <v>0</v>
      </c>
      <c r="AO95" s="228">
        <f>IFERROR(VLOOKUP($A95,SP_AcqTract_DB[],MATCH(AO$2,SP_AcqTract_DB[#Headers],0),FALSE),"")</f>
        <v>0</v>
      </c>
      <c r="AP95" s="210">
        <f>IFERROR(VLOOKUP($A95,SP_AcqTract_DB[],MATCH(AP$2,SP_AcqTract_DB[#Headers],0),FALSE),"")</f>
        <v>0</v>
      </c>
      <c r="AQ95" s="252" t="str">
        <f>IFERROR(IF(VLOOKUP(CONCATENATE($A95,"_",AQ$1),SP_ACQ_Lib[],MATCH(AQ$2,SP_ACQ_Lib[#Headers],0),FALSE)=0,"",VLOOKUP(CONCATENATE($A95,"_",AQ$1),SP_ACQ_Lib[],MATCH(AQ$2,SP_ACQ_Lib[#Headers],0),FALSE)),"")</f>
        <v/>
      </c>
      <c r="AR95" s="250" t="str">
        <f>IFERROR(IF(VLOOKUP(CONCATENATE($A95,"_",AR$1),SP_ACQ_Lib[],MATCH(AR$2,SP_ACQ_Lib[#Headers],0),FALSE)=0,"",VLOOKUP(CONCATENATE($A95,"_",AR$1),SP_ACQ_Lib[],MATCH(AR$2,SP_ACQ_Lib[#Headers],0),FALSE)),"")</f>
        <v/>
      </c>
      <c r="AS95" s="249" t="str">
        <f>IFERROR(IF(VLOOKUP(CONCATENATE($A95,"_",AS$1),SP_ACQ_Lib[],MATCH(AS$2,SP_ACQ_Lib[#Headers],0),FALSE)=0,"",VLOOKUP(CONCATENATE($A95,"_",AS$1),SP_ACQ_Lib[],MATCH(AS$2,SP_ACQ_Lib[#Headers],0),FALSE)),"")</f>
        <v/>
      </c>
      <c r="AT95" s="251" t="str">
        <f>IFERROR(IF(VLOOKUP(CONCATENATE($A95,"_",AT$1),SP_ACQ_Lib[],MATCH(AT$2,SP_ACQ_Lib[#Headers],0),FALSE)=0,"",VLOOKUP(CONCATENATE($A95,"_",AT$1),SP_ACQ_Lib[],MATCH(AT$2,SP_ACQ_Lib[#Headers],0),FALSE)),"")</f>
        <v/>
      </c>
      <c r="AU95" s="251" t="str">
        <f>IFERROR(IF(VLOOKUP(CONCATENATE($A95,"_",AU$1),SP_ACQ_Lib[],MATCH(AU$2,SP_ACQ_Lib[#Headers],0),FALSE)=0,"",VLOOKUP(CONCATENATE($A95,"_",AU$1),SP_ACQ_Lib[],MATCH(AU$2,SP_ACQ_Lib[#Headers],0),FALSE)),"")</f>
        <v/>
      </c>
      <c r="AV95" s="225" t="str">
        <f>IFERROR(IF(VLOOKUP(CONCATENATE($A95,"_",AV$1),SP_ACQ_Lib[],MATCH(AV$2,SP_ACQ_Lib[#Headers],0),FALSE)=0,"",VLOOKUP(CONCATENATE($A95,"_",AV$1),SP_ACQ_Lib[],MATCH(AV$2,SP_ACQ_Lib[#Headers],0),FALSE)),"")</f>
        <v/>
      </c>
      <c r="AW95" s="251" t="str">
        <f>IFERROR(IF(VLOOKUP(CONCATENATE($A95,"_",AW$1),SP_ACQ_Lib[],MATCH(AW$2,SP_ACQ_Lib[#Headers],0),FALSE)=0,"",VLOOKUP(CONCATENATE($A95,"_",AW$1),SP_ACQ_Lib[],MATCH(AW$2,SP_ACQ_Lib[#Headers],0),FALSE)),"")</f>
        <v/>
      </c>
      <c r="AX95" s="251" t="str">
        <f>IFERROR(IF(VLOOKUP(CONCATENATE($A95,"_",AX$1),SP_ACQ_Lib[],MATCH(AX$2,SP_ACQ_Lib[#Headers],0),FALSE)=0,"",VLOOKUP(CONCATENATE($A95,"_",AX$1),SP_ACQ_Lib[],MATCH(AX$2,SP_ACQ_Lib[#Headers],0),FALSE)),"")</f>
        <v/>
      </c>
      <c r="AY95" s="251" t="str">
        <f>IFERROR(IF(VLOOKUP(CONCATENATE($A95,"_",AY$1),SP_ACQ_Lib[],MATCH(AY$2,SP_ACQ_Lib[#Headers],0),FALSE)=0,"",VLOOKUP(CONCATENATE($A95,"_",AY$1),SP_ACQ_Lib[],MATCH(AY$2,SP_ACQ_Lib[#Headers],0),FALSE)),"")</f>
        <v/>
      </c>
      <c r="AZ95" s="251" t="str">
        <f>IFERROR(IF(VLOOKUP(CONCATENATE($A95,"_",AZ$1),SP_ACQ_Lib[],MATCH(AZ$2,SP_ACQ_Lib[#Headers],0),FALSE)=0,"",VLOOKUP(CONCATENATE($A95,"_",AZ$1),SP_ACQ_Lib[],MATCH(AZ$2,SP_ACQ_Lib[#Headers],0),FALSE)),"")</f>
        <v/>
      </c>
      <c r="BA95" s="251" t="str">
        <f>IFERROR(IF(VLOOKUP(CONCATENATE($A95,"_",BA$1),SP_ACQ_Lib[],MATCH(BA$2,SP_ACQ_Lib[#Headers],0),FALSE)=0,"",VLOOKUP(CONCATENATE($A95,"_",BA$1),SP_ACQ_Lib[],MATCH(BA$2,SP_ACQ_Lib[#Headers],0),FALSE)),"")</f>
        <v/>
      </c>
      <c r="BB95" s="224">
        <f>IFERROR(VLOOKUP(CONCATENATE($A95,"_",BB$1),SP_ACQ_Lib[],MATCH(BB$2,SP_ACQ_Lib[#Headers],0),FALSE),0)</f>
        <v>0</v>
      </c>
      <c r="BC95" s="231">
        <f>IFERROR(VLOOKUP($A95,SP_AcqTract_DB[],MATCH(BC$2,SP_AcqTract_DB[#Headers],0),FALSE),"")</f>
        <v>0</v>
      </c>
      <c r="BD95" s="231">
        <f>IFERROR(VLOOKUP($A95,SP_AcqTract_DB[],MATCH(BD$2,SP_AcqTract_DB[#Headers],0),FALSE),"")</f>
        <v>0</v>
      </c>
      <c r="BE95" s="249" t="str">
        <f>IFERROR(IF(VLOOKUP(CONCATENATE($A95,"_",BE$1),SP_ACQ_Lib[],MATCH(BE$2,SP_ACQ_Lib[#Headers],0),FALSE)=0,"",VLOOKUP(CONCATENATE($A95,"_",BE$1),SP_ACQ_Lib[],MATCH(BE$2,SP_ACQ_Lib[#Headers],0),FALSE)),"")</f>
        <v/>
      </c>
      <c r="BF95" s="249" t="str">
        <f>IFERROR(IF(VLOOKUP(CONCATENATE($A95,"_",BF$1),SP_ACQ_Lib[],MATCH(BF$2,SP_ACQ_Lib[#Headers],0),FALSE)=0,"",VLOOKUP(CONCATENATE($A95,"_",BF$1),SP_ACQ_Lib[],MATCH(BF$2,SP_ACQ_Lib[#Headers],0),FALSE)),"")</f>
        <v/>
      </c>
      <c r="BG95" s="249" t="str">
        <f>IFERROR(IF(VLOOKUP(CONCATENATE($A95,"_",BG$1),SP_ACQ_Lib[],MATCH(BG$2,SP_ACQ_Lib[#Headers],0),FALSE)=0,"",VLOOKUP(CONCATENATE($A95,"_",BG$1),SP_ACQ_Lib[],MATCH(BG$2,SP_ACQ_Lib[#Headers],0),FALSE)),"")</f>
        <v/>
      </c>
      <c r="BH95" s="249" t="str">
        <f>IFERROR(IF(VLOOKUP(CONCATENATE($A95,"_",BH$1),SP_ACQ_Lib[],MATCH(BH$2,SP_ACQ_Lib[#Headers],0),FALSE)=0,"",VLOOKUP(CONCATENATE($A95,"_",BH$1),SP_ACQ_Lib[],MATCH(BH$2,SP_ACQ_Lib[#Headers],0),FALSE)),"")</f>
        <v/>
      </c>
      <c r="BI95" s="249" t="str">
        <f>IFERROR(IF(VLOOKUP(CONCATENATE($A95,"_",BI$1),SP_ACQ_Lib[],MATCH(BI$2,SP_ACQ_Lib[#Headers],0),FALSE)=0,"",VLOOKUP(CONCATENATE($A95,"_",BI$1),SP_ACQ_Lib[],MATCH(BI$2,SP_ACQ_Lib[#Headers],0),FALSE)),"")</f>
        <v/>
      </c>
      <c r="BJ95" s="249" t="str">
        <f>IFERROR(IF(VLOOKUP(CONCATENATE($A95,"_",BJ$1),SP_ACQ_Lib[],MATCH(BJ$2,SP_ACQ_Lib[#Headers],0),FALSE)=0,"",VLOOKUP(CONCATENATE($A95,"_",BJ$1),SP_ACQ_Lib[],MATCH(BJ$2,SP_ACQ_Lib[#Headers],0),FALSE)),"")</f>
        <v/>
      </c>
      <c r="BK95" s="250" t="str">
        <f>IFERROR(IF(VLOOKUP(CONCATENATE($A95,"_",BK$1),SP_ACQ_Lib[],MATCH(BK$2,SP_ACQ_Lib[#Headers],0),FALSE)=0,"",VLOOKUP(CONCATENATE($A95,"_",BK$1),SP_ACQ_Lib[],MATCH(BK$2,SP_ACQ_Lib[#Headers],0),FALSE)),"")</f>
        <v/>
      </c>
      <c r="BL95" s="249" t="str">
        <f>IFERROR(IF(VLOOKUP(CONCATENATE($A95,"_",BL$1),SP_ACQ_Lib[],MATCH(BL$2,SP_ACQ_Lib[#Headers],0),FALSE)=0,"",VLOOKUP(CONCATENATE($A95,"_",BL$1),SP_ACQ_Lib[],MATCH(BL$2,SP_ACQ_Lib[#Headers],0),FALSE)),"")</f>
        <v/>
      </c>
      <c r="BM95" s="249" t="str">
        <f>IFERROR(IF(VLOOKUP(CONCATENATE($A95,"_",BM$1),SP_ACQ_Lib[],MATCH(BM$2,SP_ACQ_Lib[#Headers],0),FALSE)=0,"",VLOOKUP(CONCATENATE($A95,"_",BM$1),SP_ACQ_Lib[],MATCH(BM$2,SP_ACQ_Lib[#Headers],0),FALSE)),"")</f>
        <v/>
      </c>
      <c r="BN95" s="249" t="str">
        <f>IFERROR(IF(VLOOKUP(CONCATENATE($A95,"_",BN$1),SP_ACQ_Lib[],MATCH(BN$2,SP_ACQ_Lib[#Headers],0),FALSE)=0,"",VLOOKUP(CONCATENATE($A95,"_",BN$1),SP_ACQ_Lib[],MATCH(BN$2,SP_ACQ_Lib[#Headers],0),FALSE)),"")</f>
        <v/>
      </c>
    </row>
    <row r="96" spans="1:66" s="226" customFormat="1" ht="15.75" x14ac:dyDescent="0.2">
      <c r="A96" s="192" t="s">
        <v>5311</v>
      </c>
      <c r="B96" s="227" t="str">
        <f>IFERROR(VLOOKUP($A96,SP_AcqTract_DB[],MATCH(B$2,SP_AcqTract_DB[#Headers],0),FALSE),"")</f>
        <v>R026956</v>
      </c>
      <c r="C96" s="228" t="str">
        <f>IFERROR(VLOOKUP($A96,SP_AcqTract_DB[],MATCH(C$2,SP_AcqTract_DB[#Headers],0),FALSE),"")</f>
        <v>PH2</v>
      </c>
      <c r="D96" s="208" t="str">
        <f>IFERROR(VLOOKUP($A96,SP_AcqTract_DB[],MATCH(D$2,SP_AcqTract_DB[#Headers],0),FALSE),"")</f>
        <v>Active</v>
      </c>
      <c r="E96" s="208">
        <f>IFERROR(VLOOKUP($A96,SP_AcqTract_DB[],MATCH(E$2,SP_AcqTract_DB[#Headers],0),FALSE),"")</f>
        <v>0</v>
      </c>
      <c r="F96" s="227">
        <f>IFERROR(VLOOKUP($A96,SP_AcqTract_DB[],MATCH(F$2,SP_AcqTract_DB[#Headers],0),FALSE),"")</f>
        <v>0</v>
      </c>
      <c r="G96" s="227" t="str">
        <f>IFERROR(VLOOKUP($A96,SP_AcqTract_DB[],MATCH(G$2,SP_AcqTract_DB[#Headers],0),FALSE),"")</f>
        <v>Melissa DeLeon</v>
      </c>
      <c r="H96" s="250">
        <f>IFERROR(IF(VLOOKUP(CONCATENATE($A96,"_",H$1),SP_ACQ_Lib[],MATCH(H$2,SP_ACQ_Lib[#Headers],0),FALSE)=0,"",VLOOKUP(CONCATENATE($A96,"_",H$1),SP_ACQ_Lib[],MATCH(H$2,SP_ACQ_Lib[#Headers],0),FALSE)),"")</f>
        <v>44000.909641203703</v>
      </c>
      <c r="I96" s="227" t="str">
        <f>IFERROR(VLOOKUP($A96,SP_AcqTract_DB[],MATCH(I$2,SP_AcqTract_DB[#Headers],0),FALSE),"")</f>
        <v>Zahradnik Robert J &amp; Mary J</v>
      </c>
      <c r="J96" s="227">
        <f>IFERROR(VLOOKUP($A96,SP_AcqTract_DB[],MATCH(J$2,SP_AcqTract_DB[#Headers],0),FALSE),"")</f>
        <v>0</v>
      </c>
      <c r="K96" s="227">
        <f>IFERROR(VLOOKUP($A96,SP_AcqTract_DB[],MATCH(K$2,SP_AcqTract_DB[#Headers],0),FALSE),"")</f>
        <v>0</v>
      </c>
      <c r="L96" s="227">
        <f>IFERROR(VLOOKUP($A96,SP_AcqTract_DB[],MATCH(L$2,SP_AcqTract_DB[#Headers],0),FALSE),"")</f>
        <v>0</v>
      </c>
      <c r="M96" s="208">
        <f>IFERROR(VLOOKUP($A96,SP_AcqTract_DB[],MATCH(M$2,SP_AcqTract_DB[#Headers],0),FALSE),"")</f>
        <v>0</v>
      </c>
      <c r="N96" s="227" t="str">
        <f>IFERROR(VLOOKUP($A96,SP_AcqTract_DB[],MATCH(N$2,SP_AcqTract_DB[#Headers],0),FALSE),"")</f>
        <v>3822 CR 135</v>
      </c>
      <c r="O96" s="220">
        <f>IFERROR(VLOOKUP($A96,SP_AcqTract_DB[],MATCH(O$2,SP_AcqTract_DB[#Headers],0),FALSE),"")</f>
        <v>0</v>
      </c>
      <c r="P96" s="220">
        <f>IFERROR(VLOOKUP($A96,SP_AcqTract_DB[],MATCH(P$2,SP_AcqTract_DB[#Headers],0),FALSE),"")</f>
        <v>0</v>
      </c>
      <c r="Q96" s="208">
        <f>IFERROR(VLOOKUP($A96,SP_AcqTract_DB[],MATCH(Q$2,SP_AcqTract_DB[#Headers],0),FALSE),"")</f>
        <v>0</v>
      </c>
      <c r="R96" s="250" t="str">
        <f>IFERROR(IF(VLOOKUP(CONCATENATE($A96,"_",R$1),SP_ACQ_Lib[],MATCH(R$2,SP_ACQ_Lib[#Headers],0),FALSE)=0,"",VLOOKUP(CONCATENATE($A96,"_",R$1),SP_ACQ_Lib[],MATCH(R$2,SP_ACQ_Lib[#Headers],0),FALSE)),"")</f>
        <v/>
      </c>
      <c r="S96" s="253" t="str">
        <f>IFERROR(IF(VLOOKUP(CONCATENATE($A96,"_",S$1),SP_ACQ_Lib[],MATCH(S$2,SP_ACQ_Lib[#Headers],0),FALSE)=0,"",VLOOKUP(CONCATENATE($A96,"_",S$1),SP_ACQ_Lib[],MATCH(S$2,SP_ACQ_Lib[#Headers],0),FALSE)),"")</f>
        <v/>
      </c>
      <c r="T96" s="205">
        <f>IFERROR(VLOOKUP(CONCATENATE($A96,"_",T$1),SP_ACQ_Lib[],MATCH(T$2,SP_ACQ_Lib[#Headers],0),FALSE),0)</f>
        <v>0</v>
      </c>
      <c r="U96" s="250" t="str">
        <f>IFERROR(IF(VLOOKUP(CONCATENATE($A96,"_",U$1),SP_ACQ_Lib[],MATCH(U$2,SP_ACQ_Lib[#Headers],0),FALSE)=0,"",VLOOKUP(CONCATENATE($A96,"_",U$1),SP_ACQ_Lib[],MATCH(U$2,SP_ACQ_Lib[#Headers],0),FALSE)),"")</f>
        <v/>
      </c>
      <c r="V96" s="205" t="str">
        <f>IFERROR(VLOOKUP(CONCATENATE($A96,"_",V$1),SP_ACQ_Lib[],MATCH(V$2,SP_ACQ_Lib[#Headers],0),FALSE),0)</f>
        <v>Accepted</v>
      </c>
      <c r="W96" s="209">
        <f>IFERROR(VLOOKUP(CONCATENATE($A96,"_",W$1),SP_ACQ_Lib[],MATCH(W$2,SP_ACQ_Lib[#Headers],0),FALSE),0)</f>
        <v>0</v>
      </c>
      <c r="X96" s="250">
        <f>IFERROR(VLOOKUP($A96,SP_AcqTract_DB[],MATCH(X$2,SP_AcqTract_DB[#Headers],0),FALSE),"")</f>
        <v>0</v>
      </c>
      <c r="Y96" s="237">
        <f>IFERROR(VLOOKUP($A96,SP_AcqTract_DB[],MATCH(Y$2,SP_AcqTract_DB[#Headers],0),FALSE),"")</f>
        <v>0</v>
      </c>
      <c r="Z96" s="229">
        <f>IFERROR(VLOOKUP($A96,SP_AcqTract_DB[],MATCH(Z$2,SP_AcqTract_DB[#Headers],0),FALSE),"")</f>
        <v>0</v>
      </c>
      <c r="AA96" s="229">
        <f>IFERROR(VLOOKUP($A96,SP_AcqTract_DB[],MATCH(AA$2,SP_AcqTract_DB[#Headers],0),FALSE),"")</f>
        <v>0</v>
      </c>
      <c r="AB96" s="250" t="str">
        <f>IFERROR(IF(VLOOKUP(CONCATENATE($A96,"_",AB$1),SP_ACQ_Lib[],MATCH(AB$2,SP_ACQ_Lib[#Headers],0),FALSE)=0,"",VLOOKUP(CONCATENATE($A96,"_",AB$1),SP_ACQ_Lib[],MATCH(AB$2,SP_ACQ_Lib[#Headers],0),FALSE)),"")</f>
        <v/>
      </c>
      <c r="AC96" s="250" t="str">
        <f>IFERROR(IF(VLOOKUP(CONCATENATE($A96,"_",AC$1),SP_ACQ_Lib[],MATCH(AC$2,SP_ACQ_Lib[#Headers],0),FALSE)=0,"",VLOOKUP(CONCATENATE($A96,"_",AC$1),SP_ACQ_Lib[],MATCH(AC$2,SP_ACQ_Lib[#Headers],0),FALSE)),"")</f>
        <v/>
      </c>
      <c r="AD96" s="229">
        <f>IFERROR(VLOOKUP($A96,SP_AcqTract_DB[],MATCH(AD$2,SP_AcqTract_DB[#Headers],0),FALSE),"")</f>
        <v>0</v>
      </c>
      <c r="AE96" s="250" t="str">
        <f>IFERROR(IF(VLOOKUP(CONCATENATE($A96,"_",AE$1),SP_ACQ_Lib[],MATCH(AE$2,SP_ACQ_Lib[#Headers],0),FALSE)=0,"",VLOOKUP(CONCATENATE($A96,"_",AE$1),SP_ACQ_Lib[],MATCH(AE$2,SP_ACQ_Lib[#Headers],0),FALSE)),"")</f>
        <v/>
      </c>
      <c r="AF96" s="250" t="str">
        <f>IFERROR(IF(VLOOKUP(CONCATENATE($A96,"_",AF$1),SP_ACQ_Lib[],MATCH(AF$2,SP_ACQ_Lib[#Headers],0),FALSE)=0,"",VLOOKUP(CONCATENATE($A96,"_",AF$1),SP_ACQ_Lib[],MATCH(AF$2,SP_ACQ_Lib[#Headers],0),FALSE)),"")</f>
        <v/>
      </c>
      <c r="AG96" s="250" t="str">
        <f>IFERROR(IF(VLOOKUP(CONCATENATE($A96,"_",AG$1),SP_ACQ_Lib[],MATCH(AG$2,SP_ACQ_Lib[#Headers],0),FALSE)=0,"",VLOOKUP(CONCATENATE($A96,"_",AG$1),SP_ACQ_Lib[],MATCH(AG$2,SP_ACQ_Lib[#Headers],0),FALSE)),"")</f>
        <v/>
      </c>
      <c r="AH96" s="250" t="str">
        <f>IFERROR(IF(VLOOKUP(CONCATENATE($A96,"_",AH$1),SP_ACQ_Lib[],MATCH(AH$2,SP_ACQ_Lib[#Headers],0),FALSE)=0,"",VLOOKUP(CONCATENATE($A96,"_",AH$1),SP_ACQ_Lib[],MATCH(AH$2,SP_ACQ_Lib[#Headers],0),FALSE)),"")</f>
        <v/>
      </c>
      <c r="AI96" s="249">
        <f>IFERROR(IF(VLOOKUP(CONCATENATE($A96,"_",AI$1),SP_ACQ_Lib[],MATCH(AI$2,SP_ACQ_Lib[#Headers],0),FALSE)=0,"",VLOOKUP(CONCATENATE($A96,"_",AI$1),SP_ACQ_Lib[],MATCH(AI$2,SP_ACQ_Lib[#Headers],0),FALSE)),"")</f>
        <v>43985</v>
      </c>
      <c r="AJ96" s="249">
        <f>IFERROR(IF(VLOOKUP(CONCATENATE($A96,"_",AJ$1),SP_ACQ_Lib[],MATCH(AJ$2,SP_ACQ_Lib[#Headers],0),FALSE)=0,"",VLOOKUP(CONCATENATE($A96,"_",AJ$1),SP_ACQ_Lib[],MATCH(AJ$2,SP_ACQ_Lib[#Headers],0),FALSE)),"")</f>
        <v>43994</v>
      </c>
      <c r="AK96" s="249">
        <f>IFERROR(IF(VLOOKUP(CONCATENATE($A96,"_",AK$1),SP_ACQ_Lib[],MATCH(AK$2,SP_ACQ_Lib[#Headers],0),FALSE)=0,"",VLOOKUP(CONCATENATE($A96,"_",AK$1),SP_ACQ_Lib[],MATCH(AK$2,SP_ACQ_Lib[#Headers],0),FALSE)),"")</f>
        <v>44177</v>
      </c>
      <c r="AL96" s="249">
        <f>IFERROR(VLOOKUP($A96,SP_AcqTract_DB[],MATCH(AL$2,SP_AcqTract_DB[#Headers],0),FALSE),"")</f>
        <v>0</v>
      </c>
      <c r="AM96" s="227">
        <f>IFERROR(VLOOKUP($A96,SP_AcqTract_DB[],MATCH(AM$2,SP_AcqTract_DB[#Headers],0),FALSE),"")</f>
        <v>0</v>
      </c>
      <c r="AN96" s="227">
        <f>IFERROR(VLOOKUP($A96,SP_AcqTract_DB[],MATCH(AN$2,SP_AcqTract_DB[#Headers],0),FALSE),"")</f>
        <v>0</v>
      </c>
      <c r="AO96" s="228">
        <f>IFERROR(VLOOKUP($A96,SP_AcqTract_DB[],MATCH(AO$2,SP_AcqTract_DB[#Headers],0),FALSE),"")</f>
        <v>0</v>
      </c>
      <c r="AP96" s="210">
        <f>IFERROR(VLOOKUP($A96,SP_AcqTract_DB[],MATCH(AP$2,SP_AcqTract_DB[#Headers],0),FALSE),"")</f>
        <v>0</v>
      </c>
      <c r="AQ96" s="252" t="str">
        <f>IFERROR(IF(VLOOKUP(CONCATENATE($A96,"_",AQ$1),SP_ACQ_Lib[],MATCH(AQ$2,SP_ACQ_Lib[#Headers],0),FALSE)=0,"",VLOOKUP(CONCATENATE($A96,"_",AQ$1),SP_ACQ_Lib[],MATCH(AQ$2,SP_ACQ_Lib[#Headers],0),FALSE)),"")</f>
        <v/>
      </c>
      <c r="AR96" s="250" t="str">
        <f>IFERROR(IF(VLOOKUP(CONCATENATE($A96,"_",AR$1),SP_ACQ_Lib[],MATCH(AR$2,SP_ACQ_Lib[#Headers],0),FALSE)=0,"",VLOOKUP(CONCATENATE($A96,"_",AR$1),SP_ACQ_Lib[],MATCH(AR$2,SP_ACQ_Lib[#Headers],0),FALSE)),"")</f>
        <v/>
      </c>
      <c r="AS96" s="249" t="str">
        <f>IFERROR(IF(VLOOKUP(CONCATENATE($A96,"_",AS$1),SP_ACQ_Lib[],MATCH(AS$2,SP_ACQ_Lib[#Headers],0),FALSE)=0,"",VLOOKUP(CONCATENATE($A96,"_",AS$1),SP_ACQ_Lib[],MATCH(AS$2,SP_ACQ_Lib[#Headers],0),FALSE)),"")</f>
        <v/>
      </c>
      <c r="AT96" s="251" t="str">
        <f>IFERROR(IF(VLOOKUP(CONCATENATE($A96,"_",AT$1),SP_ACQ_Lib[],MATCH(AT$2,SP_ACQ_Lib[#Headers],0),FALSE)=0,"",VLOOKUP(CONCATENATE($A96,"_",AT$1),SP_ACQ_Lib[],MATCH(AT$2,SP_ACQ_Lib[#Headers],0),FALSE)),"")</f>
        <v/>
      </c>
      <c r="AU96" s="251" t="str">
        <f>IFERROR(IF(VLOOKUP(CONCATENATE($A96,"_",AU$1),SP_ACQ_Lib[],MATCH(AU$2,SP_ACQ_Lib[#Headers],0),FALSE)=0,"",VLOOKUP(CONCATENATE($A96,"_",AU$1),SP_ACQ_Lib[],MATCH(AU$2,SP_ACQ_Lib[#Headers],0),FALSE)),"")</f>
        <v/>
      </c>
      <c r="AV96" s="225" t="str">
        <f>IFERROR(IF(VLOOKUP(CONCATENATE($A96,"_",AV$1),SP_ACQ_Lib[],MATCH(AV$2,SP_ACQ_Lib[#Headers],0),FALSE)=0,"",VLOOKUP(CONCATENATE($A96,"_",AV$1),SP_ACQ_Lib[],MATCH(AV$2,SP_ACQ_Lib[#Headers],0),FALSE)),"")</f>
        <v/>
      </c>
      <c r="AW96" s="251" t="str">
        <f>IFERROR(IF(VLOOKUP(CONCATENATE($A96,"_",AW$1),SP_ACQ_Lib[],MATCH(AW$2,SP_ACQ_Lib[#Headers],0),FALSE)=0,"",VLOOKUP(CONCATENATE($A96,"_",AW$1),SP_ACQ_Lib[],MATCH(AW$2,SP_ACQ_Lib[#Headers],0),FALSE)),"")</f>
        <v/>
      </c>
      <c r="AX96" s="251" t="str">
        <f>IFERROR(IF(VLOOKUP(CONCATENATE($A96,"_",AX$1),SP_ACQ_Lib[],MATCH(AX$2,SP_ACQ_Lib[#Headers],0),FALSE)=0,"",VLOOKUP(CONCATENATE($A96,"_",AX$1),SP_ACQ_Lib[],MATCH(AX$2,SP_ACQ_Lib[#Headers],0),FALSE)),"")</f>
        <v/>
      </c>
      <c r="AY96" s="251" t="str">
        <f>IFERROR(IF(VLOOKUP(CONCATENATE($A96,"_",AY$1),SP_ACQ_Lib[],MATCH(AY$2,SP_ACQ_Lib[#Headers],0),FALSE)=0,"",VLOOKUP(CONCATENATE($A96,"_",AY$1),SP_ACQ_Lib[],MATCH(AY$2,SP_ACQ_Lib[#Headers],0),FALSE)),"")</f>
        <v/>
      </c>
      <c r="AZ96" s="251" t="str">
        <f>IFERROR(IF(VLOOKUP(CONCATENATE($A96,"_",AZ$1),SP_ACQ_Lib[],MATCH(AZ$2,SP_ACQ_Lib[#Headers],0),FALSE)=0,"",VLOOKUP(CONCATENATE($A96,"_",AZ$1),SP_ACQ_Lib[],MATCH(AZ$2,SP_ACQ_Lib[#Headers],0),FALSE)),"")</f>
        <v/>
      </c>
      <c r="BA96" s="251" t="str">
        <f>IFERROR(IF(VLOOKUP(CONCATENATE($A96,"_",BA$1),SP_ACQ_Lib[],MATCH(BA$2,SP_ACQ_Lib[#Headers],0),FALSE)=0,"",VLOOKUP(CONCATENATE($A96,"_",BA$1),SP_ACQ_Lib[],MATCH(BA$2,SP_ACQ_Lib[#Headers],0),FALSE)),"")</f>
        <v/>
      </c>
      <c r="BB96" s="224">
        <f>IFERROR(VLOOKUP(CONCATENATE($A96,"_",BB$1),SP_ACQ_Lib[],MATCH(BB$2,SP_ACQ_Lib[#Headers],0),FALSE),0)</f>
        <v>0</v>
      </c>
      <c r="BC96" s="231">
        <f>IFERROR(VLOOKUP($A96,SP_AcqTract_DB[],MATCH(BC$2,SP_AcqTract_DB[#Headers],0),FALSE),"")</f>
        <v>0</v>
      </c>
      <c r="BD96" s="231">
        <f>IFERROR(VLOOKUP($A96,SP_AcqTract_DB[],MATCH(BD$2,SP_AcqTract_DB[#Headers],0),FALSE),"")</f>
        <v>0</v>
      </c>
      <c r="BE96" s="249" t="str">
        <f>IFERROR(IF(VLOOKUP(CONCATENATE($A96,"_",BE$1),SP_ACQ_Lib[],MATCH(BE$2,SP_ACQ_Lib[#Headers],0),FALSE)=0,"",VLOOKUP(CONCATENATE($A96,"_",BE$1),SP_ACQ_Lib[],MATCH(BE$2,SP_ACQ_Lib[#Headers],0),FALSE)),"")</f>
        <v/>
      </c>
      <c r="BF96" s="249" t="str">
        <f>IFERROR(IF(VLOOKUP(CONCATENATE($A96,"_",BF$1),SP_ACQ_Lib[],MATCH(BF$2,SP_ACQ_Lib[#Headers],0),FALSE)=0,"",VLOOKUP(CONCATENATE($A96,"_",BF$1),SP_ACQ_Lib[],MATCH(BF$2,SP_ACQ_Lib[#Headers],0),FALSE)),"")</f>
        <v/>
      </c>
      <c r="BG96" s="249" t="str">
        <f>IFERROR(IF(VLOOKUP(CONCATENATE($A96,"_",BG$1),SP_ACQ_Lib[],MATCH(BG$2,SP_ACQ_Lib[#Headers],0),FALSE)=0,"",VLOOKUP(CONCATENATE($A96,"_",BG$1),SP_ACQ_Lib[],MATCH(BG$2,SP_ACQ_Lib[#Headers],0),FALSE)),"")</f>
        <v/>
      </c>
      <c r="BH96" s="249" t="str">
        <f>IFERROR(IF(VLOOKUP(CONCATENATE($A96,"_",BH$1),SP_ACQ_Lib[],MATCH(BH$2,SP_ACQ_Lib[#Headers],0),FALSE)=0,"",VLOOKUP(CONCATENATE($A96,"_",BH$1),SP_ACQ_Lib[],MATCH(BH$2,SP_ACQ_Lib[#Headers],0),FALSE)),"")</f>
        <v/>
      </c>
      <c r="BI96" s="249" t="str">
        <f>IFERROR(IF(VLOOKUP(CONCATENATE($A96,"_",BI$1),SP_ACQ_Lib[],MATCH(BI$2,SP_ACQ_Lib[#Headers],0),FALSE)=0,"",VLOOKUP(CONCATENATE($A96,"_",BI$1),SP_ACQ_Lib[],MATCH(BI$2,SP_ACQ_Lib[#Headers],0),FALSE)),"")</f>
        <v/>
      </c>
      <c r="BJ96" s="249" t="str">
        <f>IFERROR(IF(VLOOKUP(CONCATENATE($A96,"_",BJ$1),SP_ACQ_Lib[],MATCH(BJ$2,SP_ACQ_Lib[#Headers],0),FALSE)=0,"",VLOOKUP(CONCATENATE($A96,"_",BJ$1),SP_ACQ_Lib[],MATCH(BJ$2,SP_ACQ_Lib[#Headers],0),FALSE)),"")</f>
        <v/>
      </c>
      <c r="BK96" s="250" t="str">
        <f>IFERROR(IF(VLOOKUP(CONCATENATE($A96,"_",BK$1),SP_ACQ_Lib[],MATCH(BK$2,SP_ACQ_Lib[#Headers],0),FALSE)=0,"",VLOOKUP(CONCATENATE($A96,"_",BK$1),SP_ACQ_Lib[],MATCH(BK$2,SP_ACQ_Lib[#Headers],0),FALSE)),"")</f>
        <v/>
      </c>
      <c r="BL96" s="249" t="str">
        <f>IFERROR(IF(VLOOKUP(CONCATENATE($A96,"_",BL$1),SP_ACQ_Lib[],MATCH(BL$2,SP_ACQ_Lib[#Headers],0),FALSE)=0,"",VLOOKUP(CONCATENATE($A96,"_",BL$1),SP_ACQ_Lib[],MATCH(BL$2,SP_ACQ_Lib[#Headers],0),FALSE)),"")</f>
        <v/>
      </c>
      <c r="BM96" s="249" t="str">
        <f>IFERROR(IF(VLOOKUP(CONCATENATE($A96,"_",BM$1),SP_ACQ_Lib[],MATCH(BM$2,SP_ACQ_Lib[#Headers],0),FALSE)=0,"",VLOOKUP(CONCATENATE($A96,"_",BM$1),SP_ACQ_Lib[],MATCH(BM$2,SP_ACQ_Lib[#Headers],0),FALSE)),"")</f>
        <v/>
      </c>
      <c r="BN96" s="249" t="str">
        <f>IFERROR(IF(VLOOKUP(CONCATENATE($A96,"_",BN$1),SP_ACQ_Lib[],MATCH(BN$2,SP_ACQ_Lib[#Headers],0),FALSE)=0,"",VLOOKUP(CONCATENATE($A96,"_",BN$1),SP_ACQ_Lib[],MATCH(BN$2,SP_ACQ_Lib[#Headers],0),FALSE)),"")</f>
        <v/>
      </c>
    </row>
    <row r="97" spans="1:66" s="226" customFormat="1" ht="15.75" x14ac:dyDescent="0.2">
      <c r="A97" s="192" t="s">
        <v>5313</v>
      </c>
      <c r="B97" s="227" t="str">
        <f>IFERROR(VLOOKUP($A97,SP_AcqTract_DB[],MATCH(B$2,SP_AcqTract_DB[#Headers],0),FALSE),"")</f>
        <v>R026957</v>
      </c>
      <c r="C97" s="228" t="str">
        <f>IFERROR(VLOOKUP($A97,SP_AcqTract_DB[],MATCH(C$2,SP_AcqTract_DB[#Headers],0),FALSE),"")</f>
        <v>PH2</v>
      </c>
      <c r="D97" s="208" t="str">
        <f>IFERROR(VLOOKUP($A97,SP_AcqTract_DB[],MATCH(D$2,SP_AcqTract_DB[#Headers],0),FALSE),"")</f>
        <v>Active</v>
      </c>
      <c r="E97" s="208">
        <f>IFERROR(VLOOKUP($A97,SP_AcqTract_DB[],MATCH(E$2,SP_AcqTract_DB[#Headers],0),FALSE),"")</f>
        <v>0</v>
      </c>
      <c r="F97" s="227">
        <f>IFERROR(VLOOKUP($A97,SP_AcqTract_DB[],MATCH(F$2,SP_AcqTract_DB[#Headers],0),FALSE),"")</f>
        <v>0</v>
      </c>
      <c r="G97" s="227">
        <f>IFERROR(VLOOKUP($A97,SP_AcqTract_DB[],MATCH(G$2,SP_AcqTract_DB[#Headers],0),FALSE),"")</f>
        <v>0</v>
      </c>
      <c r="H97" s="250">
        <f>IFERROR(IF(VLOOKUP(CONCATENATE($A97,"_",H$1),SP_ACQ_Lib[],MATCH(H$2,SP_ACQ_Lib[#Headers],0),FALSE)=0,"",VLOOKUP(CONCATENATE($A97,"_",H$1),SP_ACQ_Lib[],MATCH(H$2,SP_ACQ_Lib[#Headers],0),FALSE)),"")</f>
        <v>43978.565358796295</v>
      </c>
      <c r="I97" s="227" t="str">
        <f>IFERROR(VLOOKUP($A97,SP_AcqTract_DB[],MATCH(I$2,SP_AcqTract_DB[#Headers],0),FALSE),"")</f>
        <v>Miller Melissa &amp; Gilbert Gary</v>
      </c>
      <c r="J97" s="227">
        <f>IFERROR(VLOOKUP($A97,SP_AcqTract_DB[],MATCH(J$2,SP_AcqTract_DB[#Headers],0),FALSE),"")</f>
        <v>0</v>
      </c>
      <c r="K97" s="227">
        <f>IFERROR(VLOOKUP($A97,SP_AcqTract_DB[],MATCH(K$2,SP_AcqTract_DB[#Headers],0),FALSE),"")</f>
        <v>0</v>
      </c>
      <c r="L97" s="227">
        <f>IFERROR(VLOOKUP($A97,SP_AcqTract_DB[],MATCH(L$2,SP_AcqTract_DB[#Headers],0),FALSE),"")</f>
        <v>0</v>
      </c>
      <c r="M97" s="208">
        <f>IFERROR(VLOOKUP($A97,SP_AcqTract_DB[],MATCH(M$2,SP_AcqTract_DB[#Headers],0),FALSE),"")</f>
        <v>0</v>
      </c>
      <c r="N97" s="227" t="str">
        <f>IFERROR(VLOOKUP($A97,SP_AcqTract_DB[],MATCH(N$2,SP_AcqTract_DB[#Headers],0),FALSE),"")</f>
        <v>0 JUNIOR COLLEGE BLVD</v>
      </c>
      <c r="O97" s="220">
        <f>IFERROR(VLOOKUP($A97,SP_AcqTract_DB[],MATCH(O$2,SP_AcqTract_DB[#Headers],0),FALSE),"")</f>
        <v>0</v>
      </c>
      <c r="P97" s="220">
        <f>IFERROR(VLOOKUP($A97,SP_AcqTract_DB[],MATCH(P$2,SP_AcqTract_DB[#Headers],0),FALSE),"")</f>
        <v>0</v>
      </c>
      <c r="Q97" s="208">
        <f>IFERROR(VLOOKUP($A97,SP_AcqTract_DB[],MATCH(Q$2,SP_AcqTract_DB[#Headers],0),FALSE),"")</f>
        <v>0</v>
      </c>
      <c r="R97" s="250" t="str">
        <f>IFERROR(IF(VLOOKUP(CONCATENATE($A97,"_",R$1),SP_ACQ_Lib[],MATCH(R$2,SP_ACQ_Lib[#Headers],0),FALSE)=0,"",VLOOKUP(CONCATENATE($A97,"_",R$1),SP_ACQ_Lib[],MATCH(R$2,SP_ACQ_Lib[#Headers],0),FALSE)),"")</f>
        <v/>
      </c>
      <c r="S97" s="253" t="str">
        <f>IFERROR(IF(VLOOKUP(CONCATENATE($A97,"_",S$1),SP_ACQ_Lib[],MATCH(S$2,SP_ACQ_Lib[#Headers],0),FALSE)=0,"",VLOOKUP(CONCATENATE($A97,"_",S$1),SP_ACQ_Lib[],MATCH(S$2,SP_ACQ_Lib[#Headers],0),FALSE)),"")</f>
        <v/>
      </c>
      <c r="T97" s="205">
        <f>IFERROR(VLOOKUP(CONCATENATE($A97,"_",T$1),SP_ACQ_Lib[],MATCH(T$2,SP_ACQ_Lib[#Headers],0),FALSE),0)</f>
        <v>0</v>
      </c>
      <c r="U97" s="250" t="str">
        <f>IFERROR(IF(VLOOKUP(CONCATENATE($A97,"_",U$1),SP_ACQ_Lib[],MATCH(U$2,SP_ACQ_Lib[#Headers],0),FALSE)=0,"",VLOOKUP(CONCATENATE($A97,"_",U$1),SP_ACQ_Lib[],MATCH(U$2,SP_ACQ_Lib[#Headers],0),FALSE)),"")</f>
        <v/>
      </c>
      <c r="V97" s="205" t="str">
        <f>IFERROR(VLOOKUP(CONCATENATE($A97,"_",V$1),SP_ACQ_Lib[],MATCH(V$2,SP_ACQ_Lib[#Headers],0),FALSE),0)</f>
        <v>Accepted</v>
      </c>
      <c r="W97" s="209">
        <f>IFERROR(VLOOKUP(CONCATENATE($A97,"_",W$1),SP_ACQ_Lib[],MATCH(W$2,SP_ACQ_Lib[#Headers],0),FALSE),0)</f>
        <v>0</v>
      </c>
      <c r="X97" s="250">
        <f>IFERROR(VLOOKUP($A97,SP_AcqTract_DB[],MATCH(X$2,SP_AcqTract_DB[#Headers],0),FALSE),"")</f>
        <v>0</v>
      </c>
      <c r="Y97" s="237">
        <f>IFERROR(VLOOKUP($A97,SP_AcqTract_DB[],MATCH(Y$2,SP_AcqTract_DB[#Headers],0),FALSE),"")</f>
        <v>0</v>
      </c>
      <c r="Z97" s="229">
        <f>IFERROR(VLOOKUP($A97,SP_AcqTract_DB[],MATCH(Z$2,SP_AcqTract_DB[#Headers],0),FALSE),"")</f>
        <v>0</v>
      </c>
      <c r="AA97" s="229">
        <f>IFERROR(VLOOKUP($A97,SP_AcqTract_DB[],MATCH(AA$2,SP_AcqTract_DB[#Headers],0),FALSE),"")</f>
        <v>0</v>
      </c>
      <c r="AB97" s="250" t="str">
        <f>IFERROR(IF(VLOOKUP(CONCATENATE($A97,"_",AB$1),SP_ACQ_Lib[],MATCH(AB$2,SP_ACQ_Lib[#Headers],0),FALSE)=0,"",VLOOKUP(CONCATENATE($A97,"_",AB$1),SP_ACQ_Lib[],MATCH(AB$2,SP_ACQ_Lib[#Headers],0),FALSE)),"")</f>
        <v/>
      </c>
      <c r="AC97" s="250" t="str">
        <f>IFERROR(IF(VLOOKUP(CONCATENATE($A97,"_",AC$1),SP_ACQ_Lib[],MATCH(AC$2,SP_ACQ_Lib[#Headers],0),FALSE)=0,"",VLOOKUP(CONCATENATE($A97,"_",AC$1),SP_ACQ_Lib[],MATCH(AC$2,SP_ACQ_Lib[#Headers],0),FALSE)),"")</f>
        <v/>
      </c>
      <c r="AD97" s="229">
        <f>IFERROR(VLOOKUP($A97,SP_AcqTract_DB[],MATCH(AD$2,SP_AcqTract_DB[#Headers],0),FALSE),"")</f>
        <v>0</v>
      </c>
      <c r="AE97" s="250" t="str">
        <f>IFERROR(IF(VLOOKUP(CONCATENATE($A97,"_",AE$1),SP_ACQ_Lib[],MATCH(AE$2,SP_ACQ_Lib[#Headers],0),FALSE)=0,"",VLOOKUP(CONCATENATE($A97,"_",AE$1),SP_ACQ_Lib[],MATCH(AE$2,SP_ACQ_Lib[#Headers],0),FALSE)),"")</f>
        <v/>
      </c>
      <c r="AF97" s="250" t="str">
        <f>IFERROR(IF(VLOOKUP(CONCATENATE($A97,"_",AF$1),SP_ACQ_Lib[],MATCH(AF$2,SP_ACQ_Lib[#Headers],0),FALSE)=0,"",VLOOKUP(CONCATENATE($A97,"_",AF$1),SP_ACQ_Lib[],MATCH(AF$2,SP_ACQ_Lib[#Headers],0),FALSE)),"")</f>
        <v/>
      </c>
      <c r="AG97" s="250" t="str">
        <f>IFERROR(IF(VLOOKUP(CONCATENATE($A97,"_",AG$1),SP_ACQ_Lib[],MATCH(AG$2,SP_ACQ_Lib[#Headers],0),FALSE)=0,"",VLOOKUP(CONCATENATE($A97,"_",AG$1),SP_ACQ_Lib[],MATCH(AG$2,SP_ACQ_Lib[#Headers],0),FALSE)),"")</f>
        <v/>
      </c>
      <c r="AH97" s="250" t="str">
        <f>IFERROR(IF(VLOOKUP(CONCATENATE($A97,"_",AH$1),SP_ACQ_Lib[],MATCH(AH$2,SP_ACQ_Lib[#Headers],0),FALSE)=0,"",VLOOKUP(CONCATENATE($A97,"_",AH$1),SP_ACQ_Lib[],MATCH(AH$2,SP_ACQ_Lib[#Headers],0),FALSE)),"")</f>
        <v/>
      </c>
      <c r="AI97" s="249" t="str">
        <f>IFERROR(IF(VLOOKUP(CONCATENATE($A97,"_",AI$1),SP_ACQ_Lib[],MATCH(AI$2,SP_ACQ_Lib[#Headers],0),FALSE)=0,"",VLOOKUP(CONCATENATE($A97,"_",AI$1),SP_ACQ_Lib[],MATCH(AI$2,SP_ACQ_Lib[#Headers],0),FALSE)),"")</f>
        <v/>
      </c>
      <c r="AJ97" s="249" t="str">
        <f>IFERROR(IF(VLOOKUP(CONCATENATE($A97,"_",AJ$1),SP_ACQ_Lib[],MATCH(AJ$2,SP_ACQ_Lib[#Headers],0),FALSE)=0,"",VLOOKUP(CONCATENATE($A97,"_",AJ$1),SP_ACQ_Lib[],MATCH(AJ$2,SP_ACQ_Lib[#Headers],0),FALSE)),"")</f>
        <v/>
      </c>
      <c r="AK97" s="249" t="str">
        <f>IFERROR(IF(VLOOKUP(CONCATENATE($A97,"_",AK$1),SP_ACQ_Lib[],MATCH(AK$2,SP_ACQ_Lib[#Headers],0),FALSE)=0,"",VLOOKUP(CONCATENATE($A97,"_",AK$1),SP_ACQ_Lib[],MATCH(AK$2,SP_ACQ_Lib[#Headers],0),FALSE)),"")</f>
        <v/>
      </c>
      <c r="AL97" s="249">
        <f>IFERROR(VLOOKUP($A97,SP_AcqTract_DB[],MATCH(AL$2,SP_AcqTract_DB[#Headers],0),FALSE),"")</f>
        <v>0</v>
      </c>
      <c r="AM97" s="227">
        <f>IFERROR(VLOOKUP($A97,SP_AcqTract_DB[],MATCH(AM$2,SP_AcqTract_DB[#Headers],0),FALSE),"")</f>
        <v>0</v>
      </c>
      <c r="AN97" s="227">
        <f>IFERROR(VLOOKUP($A97,SP_AcqTract_DB[],MATCH(AN$2,SP_AcqTract_DB[#Headers],0),FALSE),"")</f>
        <v>0</v>
      </c>
      <c r="AO97" s="228">
        <f>IFERROR(VLOOKUP($A97,SP_AcqTract_DB[],MATCH(AO$2,SP_AcqTract_DB[#Headers],0),FALSE),"")</f>
        <v>0</v>
      </c>
      <c r="AP97" s="210">
        <f>IFERROR(VLOOKUP($A97,SP_AcqTract_DB[],MATCH(AP$2,SP_AcqTract_DB[#Headers],0),FALSE),"")</f>
        <v>0</v>
      </c>
      <c r="AQ97" s="252" t="str">
        <f>IFERROR(IF(VLOOKUP(CONCATENATE($A97,"_",AQ$1),SP_ACQ_Lib[],MATCH(AQ$2,SP_ACQ_Lib[#Headers],0),FALSE)=0,"",VLOOKUP(CONCATENATE($A97,"_",AQ$1),SP_ACQ_Lib[],MATCH(AQ$2,SP_ACQ_Lib[#Headers],0),FALSE)),"")</f>
        <v/>
      </c>
      <c r="AR97" s="250" t="str">
        <f>IFERROR(IF(VLOOKUP(CONCATENATE($A97,"_",AR$1),SP_ACQ_Lib[],MATCH(AR$2,SP_ACQ_Lib[#Headers],0),FALSE)=0,"",VLOOKUP(CONCATENATE($A97,"_",AR$1),SP_ACQ_Lib[],MATCH(AR$2,SP_ACQ_Lib[#Headers],0),FALSE)),"")</f>
        <v/>
      </c>
      <c r="AS97" s="249" t="str">
        <f>IFERROR(IF(VLOOKUP(CONCATENATE($A97,"_",AS$1),SP_ACQ_Lib[],MATCH(AS$2,SP_ACQ_Lib[#Headers],0),FALSE)=0,"",VLOOKUP(CONCATENATE($A97,"_",AS$1),SP_ACQ_Lib[],MATCH(AS$2,SP_ACQ_Lib[#Headers],0),FALSE)),"")</f>
        <v/>
      </c>
      <c r="AT97" s="251" t="str">
        <f>IFERROR(IF(VLOOKUP(CONCATENATE($A97,"_",AT$1),SP_ACQ_Lib[],MATCH(AT$2,SP_ACQ_Lib[#Headers],0),FALSE)=0,"",VLOOKUP(CONCATENATE($A97,"_",AT$1),SP_ACQ_Lib[],MATCH(AT$2,SP_ACQ_Lib[#Headers],0),FALSE)),"")</f>
        <v/>
      </c>
      <c r="AU97" s="251" t="str">
        <f>IFERROR(IF(VLOOKUP(CONCATENATE($A97,"_",AU$1),SP_ACQ_Lib[],MATCH(AU$2,SP_ACQ_Lib[#Headers],0),FALSE)=0,"",VLOOKUP(CONCATENATE($A97,"_",AU$1),SP_ACQ_Lib[],MATCH(AU$2,SP_ACQ_Lib[#Headers],0),FALSE)),"")</f>
        <v/>
      </c>
      <c r="AV97" s="225" t="str">
        <f>IFERROR(IF(VLOOKUP(CONCATENATE($A97,"_",AV$1),SP_ACQ_Lib[],MATCH(AV$2,SP_ACQ_Lib[#Headers],0),FALSE)=0,"",VLOOKUP(CONCATENATE($A97,"_",AV$1),SP_ACQ_Lib[],MATCH(AV$2,SP_ACQ_Lib[#Headers],0),FALSE)),"")</f>
        <v/>
      </c>
      <c r="AW97" s="251" t="str">
        <f>IFERROR(IF(VLOOKUP(CONCATENATE($A97,"_",AW$1),SP_ACQ_Lib[],MATCH(AW$2,SP_ACQ_Lib[#Headers],0),FALSE)=0,"",VLOOKUP(CONCATENATE($A97,"_",AW$1),SP_ACQ_Lib[],MATCH(AW$2,SP_ACQ_Lib[#Headers],0),FALSE)),"")</f>
        <v/>
      </c>
      <c r="AX97" s="251" t="str">
        <f>IFERROR(IF(VLOOKUP(CONCATENATE($A97,"_",AX$1),SP_ACQ_Lib[],MATCH(AX$2,SP_ACQ_Lib[#Headers],0),FALSE)=0,"",VLOOKUP(CONCATENATE($A97,"_",AX$1),SP_ACQ_Lib[],MATCH(AX$2,SP_ACQ_Lib[#Headers],0),FALSE)),"")</f>
        <v/>
      </c>
      <c r="AY97" s="251" t="str">
        <f>IFERROR(IF(VLOOKUP(CONCATENATE($A97,"_",AY$1),SP_ACQ_Lib[],MATCH(AY$2,SP_ACQ_Lib[#Headers],0),FALSE)=0,"",VLOOKUP(CONCATENATE($A97,"_",AY$1),SP_ACQ_Lib[],MATCH(AY$2,SP_ACQ_Lib[#Headers],0),FALSE)),"")</f>
        <v/>
      </c>
      <c r="AZ97" s="251" t="str">
        <f>IFERROR(IF(VLOOKUP(CONCATENATE($A97,"_",AZ$1),SP_ACQ_Lib[],MATCH(AZ$2,SP_ACQ_Lib[#Headers],0),FALSE)=0,"",VLOOKUP(CONCATENATE($A97,"_",AZ$1),SP_ACQ_Lib[],MATCH(AZ$2,SP_ACQ_Lib[#Headers],0),FALSE)),"")</f>
        <v/>
      </c>
      <c r="BA97" s="251" t="str">
        <f>IFERROR(IF(VLOOKUP(CONCATENATE($A97,"_",BA$1),SP_ACQ_Lib[],MATCH(BA$2,SP_ACQ_Lib[#Headers],0),FALSE)=0,"",VLOOKUP(CONCATENATE($A97,"_",BA$1),SP_ACQ_Lib[],MATCH(BA$2,SP_ACQ_Lib[#Headers],0),FALSE)),"")</f>
        <v/>
      </c>
      <c r="BB97" s="224">
        <f>IFERROR(VLOOKUP(CONCATENATE($A97,"_",BB$1),SP_ACQ_Lib[],MATCH(BB$2,SP_ACQ_Lib[#Headers],0),FALSE),0)</f>
        <v>0</v>
      </c>
      <c r="BC97" s="231">
        <f>IFERROR(VLOOKUP($A97,SP_AcqTract_DB[],MATCH(BC$2,SP_AcqTract_DB[#Headers],0),FALSE),"")</f>
        <v>0</v>
      </c>
      <c r="BD97" s="231">
        <f>IFERROR(VLOOKUP($A97,SP_AcqTract_DB[],MATCH(BD$2,SP_AcqTract_DB[#Headers],0),FALSE),"")</f>
        <v>0</v>
      </c>
      <c r="BE97" s="249" t="str">
        <f>IFERROR(IF(VLOOKUP(CONCATENATE($A97,"_",BE$1),SP_ACQ_Lib[],MATCH(BE$2,SP_ACQ_Lib[#Headers],0),FALSE)=0,"",VLOOKUP(CONCATENATE($A97,"_",BE$1),SP_ACQ_Lib[],MATCH(BE$2,SP_ACQ_Lib[#Headers],0),FALSE)),"")</f>
        <v/>
      </c>
      <c r="BF97" s="249" t="str">
        <f>IFERROR(IF(VLOOKUP(CONCATENATE($A97,"_",BF$1),SP_ACQ_Lib[],MATCH(BF$2,SP_ACQ_Lib[#Headers],0),FALSE)=0,"",VLOOKUP(CONCATENATE($A97,"_",BF$1),SP_ACQ_Lib[],MATCH(BF$2,SP_ACQ_Lib[#Headers],0),FALSE)),"")</f>
        <v/>
      </c>
      <c r="BG97" s="249" t="str">
        <f>IFERROR(IF(VLOOKUP(CONCATENATE($A97,"_",BG$1),SP_ACQ_Lib[],MATCH(BG$2,SP_ACQ_Lib[#Headers],0),FALSE)=0,"",VLOOKUP(CONCATENATE($A97,"_",BG$1),SP_ACQ_Lib[],MATCH(BG$2,SP_ACQ_Lib[#Headers],0),FALSE)),"")</f>
        <v/>
      </c>
      <c r="BH97" s="249" t="str">
        <f>IFERROR(IF(VLOOKUP(CONCATENATE($A97,"_",BH$1),SP_ACQ_Lib[],MATCH(BH$2,SP_ACQ_Lib[#Headers],0),FALSE)=0,"",VLOOKUP(CONCATENATE($A97,"_",BH$1),SP_ACQ_Lib[],MATCH(BH$2,SP_ACQ_Lib[#Headers],0),FALSE)),"")</f>
        <v/>
      </c>
      <c r="BI97" s="249" t="str">
        <f>IFERROR(IF(VLOOKUP(CONCATENATE($A97,"_",BI$1),SP_ACQ_Lib[],MATCH(BI$2,SP_ACQ_Lib[#Headers],0),FALSE)=0,"",VLOOKUP(CONCATENATE($A97,"_",BI$1),SP_ACQ_Lib[],MATCH(BI$2,SP_ACQ_Lib[#Headers],0),FALSE)),"")</f>
        <v/>
      </c>
      <c r="BJ97" s="249" t="str">
        <f>IFERROR(IF(VLOOKUP(CONCATENATE($A97,"_",BJ$1),SP_ACQ_Lib[],MATCH(BJ$2,SP_ACQ_Lib[#Headers],0),FALSE)=0,"",VLOOKUP(CONCATENATE($A97,"_",BJ$1),SP_ACQ_Lib[],MATCH(BJ$2,SP_ACQ_Lib[#Headers],0),FALSE)),"")</f>
        <v/>
      </c>
      <c r="BK97" s="250" t="str">
        <f>IFERROR(IF(VLOOKUP(CONCATENATE($A97,"_",BK$1),SP_ACQ_Lib[],MATCH(BK$2,SP_ACQ_Lib[#Headers],0),FALSE)=0,"",VLOOKUP(CONCATENATE($A97,"_",BK$1),SP_ACQ_Lib[],MATCH(BK$2,SP_ACQ_Lib[#Headers],0),FALSE)),"")</f>
        <v/>
      </c>
      <c r="BL97" s="249" t="str">
        <f>IFERROR(IF(VLOOKUP(CONCATENATE($A97,"_",BL$1),SP_ACQ_Lib[],MATCH(BL$2,SP_ACQ_Lib[#Headers],0),FALSE)=0,"",VLOOKUP(CONCATENATE($A97,"_",BL$1),SP_ACQ_Lib[],MATCH(BL$2,SP_ACQ_Lib[#Headers],0),FALSE)),"")</f>
        <v/>
      </c>
      <c r="BM97" s="249" t="str">
        <f>IFERROR(IF(VLOOKUP(CONCATENATE($A97,"_",BM$1),SP_ACQ_Lib[],MATCH(BM$2,SP_ACQ_Lib[#Headers],0),FALSE)=0,"",VLOOKUP(CONCATENATE($A97,"_",BM$1),SP_ACQ_Lib[],MATCH(BM$2,SP_ACQ_Lib[#Headers],0),FALSE)),"")</f>
        <v/>
      </c>
      <c r="BN97" s="249" t="str">
        <f>IFERROR(IF(VLOOKUP(CONCATENATE($A97,"_",BN$1),SP_ACQ_Lib[],MATCH(BN$2,SP_ACQ_Lib[#Headers],0),FALSE)=0,"",VLOOKUP(CONCATENATE($A97,"_",BN$1),SP_ACQ_Lib[],MATCH(BN$2,SP_ACQ_Lib[#Headers],0),FALSE)),"")</f>
        <v/>
      </c>
    </row>
    <row r="98" spans="1:66" s="226" customFormat="1" ht="25.5" x14ac:dyDescent="0.2">
      <c r="A98" s="192" t="s">
        <v>5315</v>
      </c>
      <c r="B98" s="227" t="str">
        <f>IFERROR(VLOOKUP($A98,SP_AcqTract_DB[],MATCH(B$2,SP_AcqTract_DB[#Headers],0),FALSE),"")</f>
        <v>R026965</v>
      </c>
      <c r="C98" s="227" t="str">
        <f>IFERROR(VLOOKUP($A98,SP_AcqTract_DB[],MATCH(C$2,SP_AcqTract_DB[#Headers],0),FALSE),"")</f>
        <v>PH2</v>
      </c>
      <c r="D98" s="227" t="str">
        <f>IFERROR(VLOOKUP($A98,SP_AcqTract_DB[],MATCH(D$2,SP_AcqTract_DB[#Headers],0),FALSE),"")</f>
        <v>Active</v>
      </c>
      <c r="E98" s="227">
        <f>IFERROR(VLOOKUP($A98,SP_AcqTract_DB[],MATCH(E$2,SP_AcqTract_DB[#Headers],0),FALSE),"")</f>
        <v>0</v>
      </c>
      <c r="F98" s="227">
        <f>IFERROR(VLOOKUP($A98,SP_AcqTract_DB[],MATCH(F$2,SP_AcqTract_DB[#Headers],0),FALSE),"")</f>
        <v>0</v>
      </c>
      <c r="G98" s="227" t="str">
        <f>IFERROR(VLOOKUP($A98,SP_AcqTract_DB[],MATCH(G$2,SP_AcqTract_DB[#Headers],0),FALSE),"")</f>
        <v>Elizabeth Taylor</v>
      </c>
      <c r="H98" s="227">
        <f>IFERROR(VLOOKUP($A98,SP_AcqTract_DB[],MATCH(H$2,SP_AcqTract_DB[#Headers],0),FALSE),"")</f>
        <v>44008.317361111112</v>
      </c>
      <c r="I98" s="227" t="str">
        <f>IFERROR(VLOOKUP($A98,SP_AcqTract_DB[],MATCH(I$2,SP_AcqTract_DB[#Headers],0),FALSE),"")</f>
        <v>Maxey Johnnie Est Etal %Maxey James</v>
      </c>
      <c r="J98" s="227">
        <f>IFERROR(VLOOKUP($A98,SP_AcqTract_DB[],MATCH(J$2,SP_AcqTract_DB[#Headers],0),FALSE),"")</f>
        <v>0</v>
      </c>
      <c r="K98" s="227">
        <f>IFERROR(VLOOKUP($A98,SP_AcqTract_DB[],MATCH(K$2,SP_AcqTract_DB[#Headers],0),FALSE),"")</f>
        <v>0</v>
      </c>
      <c r="L98" s="227">
        <f>IFERROR(VLOOKUP($A98,SP_AcqTract_DB[],MATCH(L$2,SP_AcqTract_DB[#Headers],0),FALSE),"")</f>
        <v>0</v>
      </c>
      <c r="M98" s="227">
        <f>IFERROR(VLOOKUP($A98,SP_AcqTract_DB[],MATCH(M$2,SP_AcqTract_DB[#Headers],0),FALSE),"")</f>
        <v>0</v>
      </c>
      <c r="N98" s="227" t="str">
        <f>IFERROR(VLOOKUP($A98,SP_AcqTract_DB[],MATCH(N$2,SP_AcqTract_DB[#Headers],0),FALSE),"")</f>
        <v>0  JUNIOR COLLEGE BLVD</v>
      </c>
      <c r="O98" s="227">
        <f>IFERROR(VLOOKUP($A98,SP_AcqTract_DB[],MATCH(O$2,SP_AcqTract_DB[#Headers],0),FALSE),"")</f>
        <v>0</v>
      </c>
      <c r="P98" s="227">
        <f>IFERROR(VLOOKUP($A98,SP_AcqTract_DB[],MATCH(P$2,SP_AcqTract_DB[#Headers],0),FALSE),"")</f>
        <v>0</v>
      </c>
      <c r="Q98" s="227">
        <f>IFERROR(VLOOKUP($A98,SP_AcqTract_DB[],MATCH(Q$2,SP_AcqTract_DB[#Headers],0),FALSE),"")</f>
        <v>0</v>
      </c>
      <c r="R98" s="227" t="str">
        <f>IFERROR(VLOOKUP($A98,SP_AcqTract_DB[],MATCH(R$2,SP_AcqTract_DB[#Headers],0),FALSE),"")</f>
        <v/>
      </c>
      <c r="S98" s="227" t="str">
        <f>IFERROR(VLOOKUP($A98,SP_AcqTract_DB[],MATCH(S$2,SP_AcqTract_DB[#Headers],0),FALSE),"")</f>
        <v/>
      </c>
      <c r="T98" s="227" t="str">
        <f>IFERROR(VLOOKUP($A98,SP_AcqTract_DB[],MATCH(T$2,SP_AcqTract_DB[#Headers],0),FALSE),"")</f>
        <v/>
      </c>
      <c r="U98" s="227" t="str">
        <f>IFERROR(VLOOKUP($A98,SP_AcqTract_DB[],MATCH(U$2,SP_AcqTract_DB[#Headers],0),FALSE),"")</f>
        <v/>
      </c>
      <c r="V98" s="227" t="str">
        <f>IFERROR(VLOOKUP($A98,SP_AcqTract_DB[],MATCH(V$2,SP_AcqTract_DB[#Headers],0),FALSE),"")</f>
        <v/>
      </c>
      <c r="W98" s="227" t="str">
        <f>IFERROR(VLOOKUP($A98,SP_AcqTract_DB[],MATCH(W$2,SP_AcqTract_DB[#Headers],0),FALSE),"")</f>
        <v/>
      </c>
      <c r="X98" s="227">
        <f>IFERROR(VLOOKUP($A98,SP_AcqTract_DB[],MATCH(X$2,SP_AcqTract_DB[#Headers],0),FALSE),"")</f>
        <v>0</v>
      </c>
      <c r="Y98" s="227">
        <f>IFERROR(VLOOKUP($A98,SP_AcqTract_DB[],MATCH(Y$2,SP_AcqTract_DB[#Headers],0),FALSE),"")</f>
        <v>0</v>
      </c>
      <c r="Z98" s="227">
        <f>IFERROR(VLOOKUP($A98,SP_AcqTract_DB[],MATCH(Z$2,SP_AcqTract_DB[#Headers],0),FALSE),"")</f>
        <v>0</v>
      </c>
      <c r="AA98" s="227">
        <f>IFERROR(VLOOKUP($A98,SP_AcqTract_DB[],MATCH(AA$2,SP_AcqTract_DB[#Headers],0),FALSE),"")</f>
        <v>0</v>
      </c>
      <c r="AB98" s="227" t="str">
        <f>IFERROR(VLOOKUP($A98,SP_AcqTract_DB[],MATCH(AB$2,SP_AcqTract_DB[#Headers],0),FALSE),"")</f>
        <v/>
      </c>
      <c r="AC98" s="227" t="str">
        <f>IFERROR(VLOOKUP($A98,SP_AcqTract_DB[],MATCH(AC$2,SP_AcqTract_DB[#Headers],0),FALSE),"")</f>
        <v/>
      </c>
      <c r="AD98" s="227">
        <f>IFERROR(VLOOKUP($A98,SP_AcqTract_DB[],MATCH(AD$2,SP_AcqTract_DB[#Headers],0),FALSE),"")</f>
        <v>0</v>
      </c>
      <c r="AE98" s="227" t="str">
        <f>IFERROR(VLOOKUP($A98,SP_AcqTract_DB[],MATCH(AE$2,SP_AcqTract_DB[#Headers],0),FALSE),"")</f>
        <v/>
      </c>
      <c r="AF98" s="227" t="str">
        <f>IFERROR(VLOOKUP($A98,SP_AcqTract_DB[],MATCH(AF$2,SP_AcqTract_DB[#Headers],0),FALSE),"")</f>
        <v/>
      </c>
      <c r="AG98" s="227" t="str">
        <f>IFERROR(VLOOKUP($A98,SP_AcqTract_DB[],MATCH(AG$2,SP_AcqTract_DB[#Headers],0),FALSE),"")</f>
        <v/>
      </c>
      <c r="AH98" s="227" t="str">
        <f>IFERROR(VLOOKUP($A98,SP_AcqTract_DB[],MATCH(AH$2,SP_AcqTract_DB[#Headers],0),FALSE),"")</f>
        <v/>
      </c>
      <c r="AI98" s="227" t="str">
        <f>IFERROR(VLOOKUP($A98,SP_AcqTract_DB[],MATCH(AI$2,SP_AcqTract_DB[#Headers],0),FALSE),"")</f>
        <v/>
      </c>
      <c r="AJ98" s="227" t="str">
        <f>IFERROR(VLOOKUP($A98,SP_AcqTract_DB[],MATCH(AJ$2,SP_AcqTract_DB[#Headers],0),FALSE),"")</f>
        <v/>
      </c>
      <c r="AK98" s="227" t="str">
        <f>IFERROR(VLOOKUP($A98,SP_AcqTract_DB[],MATCH(AK$2,SP_AcqTract_DB[#Headers],0),FALSE),"")</f>
        <v/>
      </c>
      <c r="AL98" s="227">
        <f>IFERROR(VLOOKUP($A98,SP_AcqTract_DB[],MATCH(AL$2,SP_AcqTract_DB[#Headers],0),FALSE),"")</f>
        <v>0</v>
      </c>
      <c r="AM98" s="227">
        <f>IFERROR(VLOOKUP($A98,SP_AcqTract_DB[],MATCH(AM$2,SP_AcqTract_DB[#Headers],0),FALSE),"")</f>
        <v>0</v>
      </c>
      <c r="AN98" s="227">
        <f>IFERROR(VLOOKUP($A98,SP_AcqTract_DB[],MATCH(AN$2,SP_AcqTract_DB[#Headers],0),FALSE),"")</f>
        <v>0</v>
      </c>
      <c r="AO98" s="227">
        <f>IFERROR(VLOOKUP($A98,SP_AcqTract_DB[],MATCH(AO$2,SP_AcqTract_DB[#Headers],0),FALSE),"")</f>
        <v>0</v>
      </c>
      <c r="AP98" s="227">
        <f>IFERROR(VLOOKUP($A98,SP_AcqTract_DB[],MATCH(AP$2,SP_AcqTract_DB[#Headers],0),FALSE),"")</f>
        <v>0</v>
      </c>
      <c r="AQ98" s="227" t="str">
        <f>IFERROR(VLOOKUP($A98,SP_AcqTract_DB[],MATCH(AQ$2,SP_AcqTract_DB[#Headers],0),FALSE),"")</f>
        <v/>
      </c>
      <c r="AR98" s="227" t="str">
        <f>IFERROR(VLOOKUP($A98,SP_AcqTract_DB[],MATCH(AR$2,SP_AcqTract_DB[#Headers],0),FALSE),"")</f>
        <v/>
      </c>
      <c r="AS98" s="227" t="str">
        <f>IFERROR(VLOOKUP($A98,SP_AcqTract_DB[],MATCH(AS$2,SP_AcqTract_DB[#Headers],0),FALSE),"")</f>
        <v/>
      </c>
      <c r="AT98" s="227" t="str">
        <f>IFERROR(VLOOKUP($A98,SP_AcqTract_DB[],MATCH(AT$2,SP_AcqTract_DB[#Headers],0),FALSE),"")</f>
        <v/>
      </c>
      <c r="AU98" s="227" t="str">
        <f>IFERROR(VLOOKUP($A98,SP_AcqTract_DB[],MATCH(AU$2,SP_AcqTract_DB[#Headers],0),FALSE),"")</f>
        <v/>
      </c>
      <c r="AV98" s="227" t="str">
        <f>IFERROR(VLOOKUP($A98,SP_AcqTract_DB[],MATCH(AV$2,SP_AcqTract_DB[#Headers],0),FALSE),"")</f>
        <v/>
      </c>
      <c r="AW98" s="227" t="str">
        <f>IFERROR(VLOOKUP($A98,SP_AcqTract_DB[],MATCH(AW$2,SP_AcqTract_DB[#Headers],0),FALSE),"")</f>
        <v/>
      </c>
      <c r="AX98" s="227" t="str">
        <f>IFERROR(VLOOKUP($A98,SP_AcqTract_DB[],MATCH(AX$2,SP_AcqTract_DB[#Headers],0),FALSE),"")</f>
        <v/>
      </c>
      <c r="AY98" s="227" t="str">
        <f>IFERROR(VLOOKUP($A98,SP_AcqTract_DB[],MATCH(AY$2,SP_AcqTract_DB[#Headers],0),FALSE),"")</f>
        <v/>
      </c>
      <c r="AZ98" s="227" t="str">
        <f>IFERROR(VLOOKUP($A98,SP_AcqTract_DB[],MATCH(AZ$2,SP_AcqTract_DB[#Headers],0),FALSE),"")</f>
        <v/>
      </c>
      <c r="BA98" s="227" t="str">
        <f>IFERROR(VLOOKUP($A98,SP_AcqTract_DB[],MATCH(BA$2,SP_AcqTract_DB[#Headers],0),FALSE),"")</f>
        <v/>
      </c>
      <c r="BB98" s="227" t="str">
        <f>IFERROR(VLOOKUP($A98,SP_AcqTract_DB[],MATCH(BB$2,SP_AcqTract_DB[#Headers],0),FALSE),"")</f>
        <v/>
      </c>
      <c r="BC98" s="227">
        <f>IFERROR(VLOOKUP($A98,SP_AcqTract_DB[],MATCH(BC$2,SP_AcqTract_DB[#Headers],0),FALSE),"")</f>
        <v>0</v>
      </c>
      <c r="BD98" s="227">
        <f>IFERROR(VLOOKUP($A98,SP_AcqTract_DB[],MATCH(BD$2,SP_AcqTract_DB[#Headers],0),FALSE),"")</f>
        <v>0</v>
      </c>
      <c r="BE98" s="227" t="str">
        <f>IFERROR(VLOOKUP($A98,SP_AcqTract_DB[],MATCH(BE$2,SP_AcqTract_DB[#Headers],0),FALSE),"")</f>
        <v/>
      </c>
      <c r="BF98" s="227" t="str">
        <f>IFERROR(VLOOKUP($A98,SP_AcqTract_DB[],MATCH(BF$2,SP_AcqTract_DB[#Headers],0),FALSE),"")</f>
        <v/>
      </c>
      <c r="BG98" s="249" t="str">
        <f>IFERROR(IF(VLOOKUP(CONCATENATE($A98,"_",BG$1),SP_ACQ_Lib[],MATCH(BG$2,SP_ACQ_Lib[#Headers],0),FALSE)=0,"",VLOOKUP(CONCATENATE($A98,"_",BG$1),SP_ACQ_Lib[],MATCH(BG$2,SP_ACQ_Lib[#Headers],0),FALSE)),"")</f>
        <v/>
      </c>
      <c r="BH98" s="249" t="str">
        <f>IFERROR(IF(VLOOKUP(CONCATENATE($A98,"_",BH$1),SP_ACQ_Lib[],MATCH(BH$2,SP_ACQ_Lib[#Headers],0),FALSE)=0,"",VLOOKUP(CONCATENATE($A98,"_",BH$1),SP_ACQ_Lib[],MATCH(BH$2,SP_ACQ_Lib[#Headers],0),FALSE)),"")</f>
        <v/>
      </c>
      <c r="BI98" s="249" t="str">
        <f>IFERROR(IF(VLOOKUP(CONCATENATE($A98,"_",BI$1),SP_ACQ_Lib[],MATCH(BI$2,SP_ACQ_Lib[#Headers],0),FALSE)=0,"",VLOOKUP(CONCATENATE($A98,"_",BI$1),SP_ACQ_Lib[],MATCH(BI$2,SP_ACQ_Lib[#Headers],0),FALSE)),"")</f>
        <v/>
      </c>
      <c r="BJ98" s="227" t="str">
        <f>IFERROR(VLOOKUP($A98,SP_AcqTract_DB[],MATCH(BJ$2,SP_AcqTract_DB[#Headers],0),FALSE),"")</f>
        <v/>
      </c>
      <c r="BK98" s="227" t="str">
        <f>IFERROR(VLOOKUP($A98,SP_AcqTract_DB[],MATCH(BK$2,SP_AcqTract_DB[#Headers],0),FALSE),"")</f>
        <v/>
      </c>
      <c r="BL98" s="227" t="str">
        <f>IFERROR(VLOOKUP($A98,SP_AcqTract_DB[],MATCH(BL$2,SP_AcqTract_DB[#Headers],0),FALSE),"")</f>
        <v/>
      </c>
      <c r="BM98" s="227" t="str">
        <f>IFERROR(VLOOKUP($A98,SP_AcqTract_DB[],MATCH(BM$2,SP_AcqTract_DB[#Headers],0),FALSE),"")</f>
        <v/>
      </c>
      <c r="BN98" s="227" t="str">
        <f>IFERROR(VLOOKUP($A98,SP_AcqTract_DB[],MATCH(BN$2,SP_AcqTract_DB[#Headers],0),FALSE),"")</f>
        <v/>
      </c>
    </row>
    <row r="99" spans="1:66" s="226" customFormat="1" ht="15.75" x14ac:dyDescent="0.2">
      <c r="A99" s="192" t="s">
        <v>6484</v>
      </c>
      <c r="B99" s="227" t="str">
        <f>IFERROR(VLOOKUP($A99,SP_AcqTract_DB[],MATCH(B$2,SP_AcqTract_DB[#Headers],0),FALSE),"")</f>
        <v>R026968</v>
      </c>
      <c r="C99" s="227" t="str">
        <f>IFERROR(VLOOKUP($A99,SP_AcqTract_DB[],MATCH(C$2,SP_AcqTract_DB[#Headers],0),FALSE),"")</f>
        <v>PH2</v>
      </c>
      <c r="D99" s="227" t="str">
        <f>IFERROR(VLOOKUP($A99,SP_AcqTract_DB[],MATCH(D$2,SP_AcqTract_DB[#Headers],0),FALSE),"")</f>
        <v>Active</v>
      </c>
      <c r="E99" s="227">
        <f>IFERROR(VLOOKUP($A99,SP_AcqTract_DB[],MATCH(E$2,SP_AcqTract_DB[#Headers],0),FALSE),"")</f>
        <v>0</v>
      </c>
      <c r="F99" s="227">
        <f>IFERROR(VLOOKUP($A99,SP_AcqTract_DB[],MATCH(F$2,SP_AcqTract_DB[#Headers],0),FALSE),"")</f>
        <v>0</v>
      </c>
      <c r="G99" s="227">
        <f>IFERROR(VLOOKUP($A99,SP_AcqTract_DB[],MATCH(G$2,SP_AcqTract_DB[#Headers],0),FALSE),"")</f>
        <v>0</v>
      </c>
      <c r="H99" s="227">
        <f>IFERROR(VLOOKUP($A99,SP_AcqTract_DB[],MATCH(H$2,SP_AcqTract_DB[#Headers],0),FALSE),"")</f>
        <v>44020.495104166665</v>
      </c>
      <c r="I99" s="227">
        <f>IFERROR(VLOOKUP($A99,SP_AcqTract_DB[],MATCH(I$2,SP_AcqTract_DB[#Headers],0),FALSE),"")</f>
        <v>0</v>
      </c>
      <c r="J99" s="227">
        <f>IFERROR(VLOOKUP($A99,SP_AcqTract_DB[],MATCH(J$2,SP_AcqTract_DB[#Headers],0),FALSE),"")</f>
        <v>0</v>
      </c>
      <c r="K99" s="227">
        <f>IFERROR(VLOOKUP($A99,SP_AcqTract_DB[],MATCH(K$2,SP_AcqTract_DB[#Headers],0),FALSE),"")</f>
        <v>0</v>
      </c>
      <c r="L99" s="227">
        <f>IFERROR(VLOOKUP($A99,SP_AcqTract_DB[],MATCH(L$2,SP_AcqTract_DB[#Headers],0),FALSE),"")</f>
        <v>0</v>
      </c>
      <c r="M99" s="227">
        <f>IFERROR(VLOOKUP($A99,SP_AcqTract_DB[],MATCH(M$2,SP_AcqTract_DB[#Headers],0),FALSE),"")</f>
        <v>0</v>
      </c>
      <c r="N99" s="227">
        <f>IFERROR(VLOOKUP($A99,SP_AcqTract_DB[],MATCH(N$2,SP_AcqTract_DB[#Headers],0),FALSE),"")</f>
        <v>0</v>
      </c>
      <c r="O99" s="227">
        <f>IFERROR(VLOOKUP($A99,SP_AcqTract_DB[],MATCH(O$2,SP_AcqTract_DB[#Headers],0),FALSE),"")</f>
        <v>0</v>
      </c>
      <c r="P99" s="227">
        <f>IFERROR(VLOOKUP($A99,SP_AcqTract_DB[],MATCH(P$2,SP_AcqTract_DB[#Headers],0),FALSE),"")</f>
        <v>0</v>
      </c>
      <c r="Q99" s="227">
        <f>IFERROR(VLOOKUP($A99,SP_AcqTract_DB[],MATCH(Q$2,SP_AcqTract_DB[#Headers],0),FALSE),"")</f>
        <v>0</v>
      </c>
      <c r="R99" s="227" t="str">
        <f>IFERROR(VLOOKUP($A99,SP_AcqTract_DB[],MATCH(R$2,SP_AcqTract_DB[#Headers],0),FALSE),"")</f>
        <v/>
      </c>
      <c r="S99" s="227" t="str">
        <f>IFERROR(VLOOKUP($A99,SP_AcqTract_DB[],MATCH(S$2,SP_AcqTract_DB[#Headers],0),FALSE),"")</f>
        <v/>
      </c>
      <c r="T99" s="227" t="str">
        <f>IFERROR(VLOOKUP($A99,SP_AcqTract_DB[],MATCH(T$2,SP_AcqTract_DB[#Headers],0),FALSE),"")</f>
        <v/>
      </c>
      <c r="U99" s="227" t="str">
        <f>IFERROR(VLOOKUP($A99,SP_AcqTract_DB[],MATCH(U$2,SP_AcqTract_DB[#Headers],0),FALSE),"")</f>
        <v/>
      </c>
      <c r="V99" s="227" t="str">
        <f>IFERROR(VLOOKUP($A99,SP_AcqTract_DB[],MATCH(V$2,SP_AcqTract_DB[#Headers],0),FALSE),"")</f>
        <v/>
      </c>
      <c r="W99" s="227" t="str">
        <f>IFERROR(VLOOKUP($A99,SP_AcqTract_DB[],MATCH(W$2,SP_AcqTract_DB[#Headers],0),FALSE),"")</f>
        <v/>
      </c>
      <c r="X99" s="227">
        <f>IFERROR(VLOOKUP($A99,SP_AcqTract_DB[],MATCH(X$2,SP_AcqTract_DB[#Headers],0),FALSE),"")</f>
        <v>0</v>
      </c>
      <c r="Y99" s="227">
        <f>IFERROR(VLOOKUP($A99,SP_AcqTract_DB[],MATCH(Y$2,SP_AcqTract_DB[#Headers],0),FALSE),"")</f>
        <v>0</v>
      </c>
      <c r="Z99" s="227">
        <f>IFERROR(VLOOKUP($A99,SP_AcqTract_DB[],MATCH(Z$2,SP_AcqTract_DB[#Headers],0),FALSE),"")</f>
        <v>0</v>
      </c>
      <c r="AA99" s="227">
        <f>IFERROR(VLOOKUP($A99,SP_AcqTract_DB[],MATCH(AA$2,SP_AcqTract_DB[#Headers],0),FALSE),"")</f>
        <v>0</v>
      </c>
      <c r="AB99" s="227" t="str">
        <f>IFERROR(VLOOKUP($A99,SP_AcqTract_DB[],MATCH(AB$2,SP_AcqTract_DB[#Headers],0),FALSE),"")</f>
        <v/>
      </c>
      <c r="AC99" s="227" t="str">
        <f>IFERROR(VLOOKUP($A99,SP_AcqTract_DB[],MATCH(AC$2,SP_AcqTract_DB[#Headers],0),FALSE),"")</f>
        <v/>
      </c>
      <c r="AD99" s="227">
        <f>IFERROR(VLOOKUP($A99,SP_AcqTract_DB[],MATCH(AD$2,SP_AcqTract_DB[#Headers],0),FALSE),"")</f>
        <v>0</v>
      </c>
      <c r="AE99" s="227" t="str">
        <f>IFERROR(VLOOKUP($A99,SP_AcqTract_DB[],MATCH(AE$2,SP_AcqTract_DB[#Headers],0),FALSE),"")</f>
        <v/>
      </c>
      <c r="AF99" s="227" t="str">
        <f>IFERROR(VLOOKUP($A99,SP_AcqTract_DB[],MATCH(AF$2,SP_AcqTract_DB[#Headers],0),FALSE),"")</f>
        <v/>
      </c>
      <c r="AG99" s="227" t="str">
        <f>IFERROR(VLOOKUP($A99,SP_AcqTract_DB[],MATCH(AG$2,SP_AcqTract_DB[#Headers],0),FALSE),"")</f>
        <v/>
      </c>
      <c r="AH99" s="227" t="str">
        <f>IFERROR(VLOOKUP($A99,SP_AcqTract_DB[],MATCH(AH$2,SP_AcqTract_DB[#Headers],0),FALSE),"")</f>
        <v/>
      </c>
      <c r="AI99" s="227" t="str">
        <f>IFERROR(VLOOKUP($A99,SP_AcqTract_DB[],MATCH(AI$2,SP_AcqTract_DB[#Headers],0),FALSE),"")</f>
        <v/>
      </c>
      <c r="AJ99" s="227" t="str">
        <f>IFERROR(VLOOKUP($A99,SP_AcqTract_DB[],MATCH(AJ$2,SP_AcqTract_DB[#Headers],0),FALSE),"")</f>
        <v/>
      </c>
      <c r="AK99" s="227" t="str">
        <f>IFERROR(VLOOKUP($A99,SP_AcqTract_DB[],MATCH(AK$2,SP_AcqTract_DB[#Headers],0),FALSE),"")</f>
        <v/>
      </c>
      <c r="AL99" s="227">
        <f>IFERROR(VLOOKUP($A99,SP_AcqTract_DB[],MATCH(AL$2,SP_AcqTract_DB[#Headers],0),FALSE),"")</f>
        <v>0</v>
      </c>
      <c r="AM99" s="227">
        <f>IFERROR(VLOOKUP($A99,SP_AcqTract_DB[],MATCH(AM$2,SP_AcqTract_DB[#Headers],0),FALSE),"")</f>
        <v>0</v>
      </c>
      <c r="AN99" s="227">
        <f>IFERROR(VLOOKUP($A99,SP_AcqTract_DB[],MATCH(AN$2,SP_AcqTract_DB[#Headers],0),FALSE),"")</f>
        <v>0</v>
      </c>
      <c r="AO99" s="227">
        <f>IFERROR(VLOOKUP($A99,SP_AcqTract_DB[],MATCH(AO$2,SP_AcqTract_DB[#Headers],0),FALSE),"")</f>
        <v>0</v>
      </c>
      <c r="AP99" s="227">
        <f>IFERROR(VLOOKUP($A99,SP_AcqTract_DB[],MATCH(AP$2,SP_AcqTract_DB[#Headers],0),FALSE),"")</f>
        <v>0</v>
      </c>
      <c r="AQ99" s="227" t="str">
        <f>IFERROR(VLOOKUP($A99,SP_AcqTract_DB[],MATCH(AQ$2,SP_AcqTract_DB[#Headers],0),FALSE),"")</f>
        <v/>
      </c>
      <c r="AR99" s="227" t="str">
        <f>IFERROR(VLOOKUP($A99,SP_AcqTract_DB[],MATCH(AR$2,SP_AcqTract_DB[#Headers],0),FALSE),"")</f>
        <v/>
      </c>
      <c r="AS99" s="227" t="str">
        <f>IFERROR(VLOOKUP($A99,SP_AcqTract_DB[],MATCH(AS$2,SP_AcqTract_DB[#Headers],0),FALSE),"")</f>
        <v/>
      </c>
      <c r="AT99" s="227" t="str">
        <f>IFERROR(VLOOKUP($A99,SP_AcqTract_DB[],MATCH(AT$2,SP_AcqTract_DB[#Headers],0),FALSE),"")</f>
        <v/>
      </c>
      <c r="AU99" s="227" t="str">
        <f>IFERROR(VLOOKUP($A99,SP_AcqTract_DB[],MATCH(AU$2,SP_AcqTract_DB[#Headers],0),FALSE),"")</f>
        <v/>
      </c>
      <c r="AV99" s="227" t="str">
        <f>IFERROR(VLOOKUP($A99,SP_AcqTract_DB[],MATCH(AV$2,SP_AcqTract_DB[#Headers],0),FALSE),"")</f>
        <v/>
      </c>
      <c r="AW99" s="227" t="str">
        <f>IFERROR(VLOOKUP($A99,SP_AcqTract_DB[],MATCH(AW$2,SP_AcqTract_DB[#Headers],0),FALSE),"")</f>
        <v/>
      </c>
      <c r="AX99" s="227" t="str">
        <f>IFERROR(VLOOKUP($A99,SP_AcqTract_DB[],MATCH(AX$2,SP_AcqTract_DB[#Headers],0),FALSE),"")</f>
        <v/>
      </c>
      <c r="AY99" s="227" t="str">
        <f>IFERROR(VLOOKUP($A99,SP_AcqTract_DB[],MATCH(AY$2,SP_AcqTract_DB[#Headers],0),FALSE),"")</f>
        <v/>
      </c>
      <c r="AZ99" s="227" t="str">
        <f>IFERROR(VLOOKUP($A99,SP_AcqTract_DB[],MATCH(AZ$2,SP_AcqTract_DB[#Headers],0),FALSE),"")</f>
        <v/>
      </c>
      <c r="BA99" s="227" t="str">
        <f>IFERROR(VLOOKUP($A99,SP_AcqTract_DB[],MATCH(BA$2,SP_AcqTract_DB[#Headers],0),FALSE),"")</f>
        <v/>
      </c>
      <c r="BB99" s="227" t="str">
        <f>IFERROR(VLOOKUP($A99,SP_AcqTract_DB[],MATCH(BB$2,SP_AcqTract_DB[#Headers],0),FALSE),"")</f>
        <v/>
      </c>
      <c r="BC99" s="227">
        <f>IFERROR(VLOOKUP($A99,SP_AcqTract_DB[],MATCH(BC$2,SP_AcqTract_DB[#Headers],0),FALSE),"")</f>
        <v>0</v>
      </c>
      <c r="BD99" s="227">
        <f>IFERROR(VLOOKUP($A99,SP_AcqTract_DB[],MATCH(BD$2,SP_AcqTract_DB[#Headers],0),FALSE),"")</f>
        <v>0</v>
      </c>
      <c r="BE99" s="227" t="str">
        <f>IFERROR(VLOOKUP($A99,SP_AcqTract_DB[],MATCH(BE$2,SP_AcqTract_DB[#Headers],0),FALSE),"")</f>
        <v/>
      </c>
      <c r="BF99" s="227" t="str">
        <f>IFERROR(VLOOKUP($A99,SP_AcqTract_DB[],MATCH(BF$2,SP_AcqTract_DB[#Headers],0),FALSE),"")</f>
        <v/>
      </c>
      <c r="BG99" s="249" t="str">
        <f>IFERROR(IF(VLOOKUP(CONCATENATE($A99,"_",BG$1),SP_ACQ_Lib[],MATCH(BG$2,SP_ACQ_Lib[#Headers],0),FALSE)=0,"",VLOOKUP(CONCATENATE($A99,"_",BG$1),SP_ACQ_Lib[],MATCH(BG$2,SP_ACQ_Lib[#Headers],0),FALSE)),"")</f>
        <v/>
      </c>
      <c r="BH99" s="249" t="str">
        <f>IFERROR(IF(VLOOKUP(CONCATENATE($A99,"_",BH$1),SP_ACQ_Lib[],MATCH(BH$2,SP_ACQ_Lib[#Headers],0),FALSE)=0,"",VLOOKUP(CONCATENATE($A99,"_",BH$1),SP_ACQ_Lib[],MATCH(BH$2,SP_ACQ_Lib[#Headers],0),FALSE)),"")</f>
        <v/>
      </c>
      <c r="BI99" s="249" t="str">
        <f>IFERROR(IF(VLOOKUP(CONCATENATE($A99,"_",BI$1),SP_ACQ_Lib[],MATCH(BI$2,SP_ACQ_Lib[#Headers],0),FALSE)=0,"",VLOOKUP(CONCATENATE($A99,"_",BI$1),SP_ACQ_Lib[],MATCH(BI$2,SP_ACQ_Lib[#Headers],0),FALSE)),"")</f>
        <v/>
      </c>
      <c r="BJ99" s="227" t="str">
        <f>IFERROR(VLOOKUP($A99,SP_AcqTract_DB[],MATCH(BJ$2,SP_AcqTract_DB[#Headers],0),FALSE),"")</f>
        <v/>
      </c>
      <c r="BK99" s="227" t="str">
        <f>IFERROR(VLOOKUP($A99,SP_AcqTract_DB[],MATCH(BK$2,SP_AcqTract_DB[#Headers],0),FALSE),"")</f>
        <v/>
      </c>
      <c r="BL99" s="227" t="str">
        <f>IFERROR(VLOOKUP($A99,SP_AcqTract_DB[],MATCH(BL$2,SP_AcqTract_DB[#Headers],0),FALSE),"")</f>
        <v/>
      </c>
      <c r="BM99" s="227" t="str">
        <f>IFERROR(VLOOKUP($A99,SP_AcqTract_DB[],MATCH(BM$2,SP_AcqTract_DB[#Headers],0),FALSE),"")</f>
        <v/>
      </c>
      <c r="BN99" s="227" t="str">
        <f>IFERROR(VLOOKUP($A99,SP_AcqTract_DB[],MATCH(BN$2,SP_AcqTract_DB[#Headers],0),FALSE),"")</f>
        <v/>
      </c>
    </row>
    <row r="100" spans="1:66" s="226" customFormat="1" ht="15.75" x14ac:dyDescent="0.2">
      <c r="A100" s="192" t="s">
        <v>5317</v>
      </c>
      <c r="B100" s="227" t="str">
        <f>IFERROR(VLOOKUP($A100,SP_AcqTract_DB[],MATCH(B$2,SP_AcqTract_DB[#Headers],0),FALSE),"")</f>
        <v>R027013</v>
      </c>
      <c r="C100" s="228" t="str">
        <f>IFERROR(VLOOKUP($A100,SP_AcqTract_DB[],MATCH(C$2,SP_AcqTract_DB[#Headers],0),FALSE),"")</f>
        <v>PH2</v>
      </c>
      <c r="D100" s="208" t="str">
        <f>IFERROR(VLOOKUP($A100,SP_AcqTract_DB[],MATCH(D$2,SP_AcqTract_DB[#Headers],0),FALSE),"")</f>
        <v>Active</v>
      </c>
      <c r="E100" s="208">
        <f>IFERROR(VLOOKUP($A100,SP_AcqTract_DB[],MATCH(E$2,SP_AcqTract_DB[#Headers],0),FALSE),"")</f>
        <v>0</v>
      </c>
      <c r="F100" s="227">
        <f>IFERROR(VLOOKUP($A100,SP_AcqTract_DB[],MATCH(F$2,SP_AcqTract_DB[#Headers],0),FALSE),"")</f>
        <v>0</v>
      </c>
      <c r="G100" s="227" t="str">
        <f>IFERROR(VLOOKUP($A100,SP_AcqTract_DB[],MATCH(G$2,SP_AcqTract_DB[#Headers],0),FALSE),"")</f>
        <v>Darlene Snow</v>
      </c>
      <c r="H100" s="250">
        <f>IFERROR(IF(VLOOKUP(CONCATENATE($A100,"_",H$1),SP_ACQ_Lib[],MATCH(H$2,SP_ACQ_Lib[#Headers],0),FALSE)=0,"",VLOOKUP(CONCATENATE($A100,"_",H$1),SP_ACQ_Lib[],MATCH(H$2,SP_ACQ_Lib[#Headers],0),FALSE)),"")</f>
        <v>43998.675428240742</v>
      </c>
      <c r="I100" s="227" t="str">
        <f>IFERROR(VLOOKUP($A100,SP_AcqTract_DB[],MATCH(I$2,SP_AcqTract_DB[#Headers],0),FALSE),"")</f>
        <v>Horelica William G</v>
      </c>
      <c r="J100" s="227">
        <f>IFERROR(VLOOKUP($A100,SP_AcqTract_DB[],MATCH(J$2,SP_AcqTract_DB[#Headers],0),FALSE),"")</f>
        <v>0</v>
      </c>
      <c r="K100" s="227">
        <f>IFERROR(VLOOKUP($A100,SP_AcqTract_DB[],MATCH(K$2,SP_AcqTract_DB[#Headers],0),FALSE),"")</f>
        <v>0</v>
      </c>
      <c r="L100" s="227">
        <f>IFERROR(VLOOKUP($A100,SP_AcqTract_DB[],MATCH(L$2,SP_AcqTract_DB[#Headers],0),FALSE),"")</f>
        <v>0</v>
      </c>
      <c r="M100" s="208">
        <f>IFERROR(VLOOKUP($A100,SP_AcqTract_DB[],MATCH(M$2,SP_AcqTract_DB[#Headers],0),FALSE),"")</f>
        <v>0</v>
      </c>
      <c r="N100" s="227" t="str">
        <f>IFERROR(VLOOKUP($A100,SP_AcqTract_DB[],MATCH(N$2,SP_AcqTract_DB[#Headers],0),FALSE),"")</f>
        <v>307 CR 150</v>
      </c>
      <c r="O100" s="220">
        <f>IFERROR(VLOOKUP($A100,SP_AcqTract_DB[],MATCH(O$2,SP_AcqTract_DB[#Headers],0),FALSE),"")</f>
        <v>0</v>
      </c>
      <c r="P100" s="220">
        <f>IFERROR(VLOOKUP($A100,SP_AcqTract_DB[],MATCH(P$2,SP_AcqTract_DB[#Headers],0),FALSE),"")</f>
        <v>0</v>
      </c>
      <c r="Q100" s="208">
        <f>IFERROR(VLOOKUP($A100,SP_AcqTract_DB[],MATCH(Q$2,SP_AcqTract_DB[#Headers],0),FALSE),"")</f>
        <v>0</v>
      </c>
      <c r="R100" s="250" t="str">
        <f>IFERROR(IF(VLOOKUP(CONCATENATE($A100,"_",R$1),SP_ACQ_Lib[],MATCH(R$2,SP_ACQ_Lib[#Headers],0),FALSE)=0,"",VLOOKUP(CONCATENATE($A100,"_",R$1),SP_ACQ_Lib[],MATCH(R$2,SP_ACQ_Lib[#Headers],0),FALSE)),"")</f>
        <v/>
      </c>
      <c r="S100" s="253" t="str">
        <f>IFERROR(IF(VLOOKUP(CONCATENATE($A100,"_",S$1),SP_ACQ_Lib[],MATCH(S$2,SP_ACQ_Lib[#Headers],0),FALSE)=0,"",VLOOKUP(CONCATENATE($A100,"_",S$1),SP_ACQ_Lib[],MATCH(S$2,SP_ACQ_Lib[#Headers],0),FALSE)),"")</f>
        <v/>
      </c>
      <c r="T100" s="205">
        <f>IFERROR(VLOOKUP(CONCATENATE($A100,"_",T$1),SP_ACQ_Lib[],MATCH(T$2,SP_ACQ_Lib[#Headers],0),FALSE),0)</f>
        <v>0</v>
      </c>
      <c r="U100" s="250" t="str">
        <f>IFERROR(IF(VLOOKUP(CONCATENATE($A100,"_",U$1),SP_ACQ_Lib[],MATCH(U$2,SP_ACQ_Lib[#Headers],0),FALSE)=0,"",VLOOKUP(CONCATENATE($A100,"_",U$1),SP_ACQ_Lib[],MATCH(U$2,SP_ACQ_Lib[#Headers],0),FALSE)),"")</f>
        <v/>
      </c>
      <c r="V100" s="205" t="str">
        <f>IFERROR(VLOOKUP(CONCATENATE($A100,"_",V$1),SP_ACQ_Lib[],MATCH(V$2,SP_ACQ_Lib[#Headers],0),FALSE),0)</f>
        <v>Accepted</v>
      </c>
      <c r="W100" s="209">
        <f>IFERROR(VLOOKUP(CONCATENATE($A100,"_",W$1),SP_ACQ_Lib[],MATCH(W$2,SP_ACQ_Lib[#Headers],0),FALSE),0)</f>
        <v>0</v>
      </c>
      <c r="X100" s="250">
        <f>IFERROR(VLOOKUP($A100,SP_AcqTract_DB[],MATCH(X$2,SP_AcqTract_DB[#Headers],0),FALSE),"")</f>
        <v>0</v>
      </c>
      <c r="Y100" s="237">
        <f>IFERROR(VLOOKUP($A100,SP_AcqTract_DB[],MATCH(Y$2,SP_AcqTract_DB[#Headers],0),FALSE),"")</f>
        <v>0</v>
      </c>
      <c r="Z100" s="229">
        <f>IFERROR(VLOOKUP($A100,SP_AcqTract_DB[],MATCH(Z$2,SP_AcqTract_DB[#Headers],0),FALSE),"")</f>
        <v>0</v>
      </c>
      <c r="AA100" s="229">
        <f>IFERROR(VLOOKUP($A100,SP_AcqTract_DB[],MATCH(AA$2,SP_AcqTract_DB[#Headers],0),FALSE),"")</f>
        <v>0</v>
      </c>
      <c r="AB100" s="250" t="str">
        <f>IFERROR(IF(VLOOKUP(CONCATENATE($A100,"_",AB$1),SP_ACQ_Lib[],MATCH(AB$2,SP_ACQ_Lib[#Headers],0),FALSE)=0,"",VLOOKUP(CONCATENATE($A100,"_",AB$1),SP_ACQ_Lib[],MATCH(AB$2,SP_ACQ_Lib[#Headers],0),FALSE)),"")</f>
        <v/>
      </c>
      <c r="AC100" s="250" t="str">
        <f>IFERROR(IF(VLOOKUP(CONCATENATE($A100,"_",AC$1),SP_ACQ_Lib[],MATCH(AC$2,SP_ACQ_Lib[#Headers],0),FALSE)=0,"",VLOOKUP(CONCATENATE($A100,"_",AC$1),SP_ACQ_Lib[],MATCH(AC$2,SP_ACQ_Lib[#Headers],0),FALSE)),"")</f>
        <v/>
      </c>
      <c r="AD100" s="229">
        <f>IFERROR(VLOOKUP($A100,SP_AcqTract_DB[],MATCH(AD$2,SP_AcqTract_DB[#Headers],0),FALSE),"")</f>
        <v>0</v>
      </c>
      <c r="AE100" s="250" t="str">
        <f>IFERROR(IF(VLOOKUP(CONCATENATE($A100,"_",AE$1),SP_ACQ_Lib[],MATCH(AE$2,SP_ACQ_Lib[#Headers],0),FALSE)=0,"",VLOOKUP(CONCATENATE($A100,"_",AE$1),SP_ACQ_Lib[],MATCH(AE$2,SP_ACQ_Lib[#Headers],0),FALSE)),"")</f>
        <v/>
      </c>
      <c r="AF100" s="250" t="str">
        <f>IFERROR(IF(VLOOKUP(CONCATENATE($A100,"_",AF$1),SP_ACQ_Lib[],MATCH(AF$2,SP_ACQ_Lib[#Headers],0),FALSE)=0,"",VLOOKUP(CONCATENATE($A100,"_",AF$1),SP_ACQ_Lib[],MATCH(AF$2,SP_ACQ_Lib[#Headers],0),FALSE)),"")</f>
        <v/>
      </c>
      <c r="AG100" s="250" t="str">
        <f>IFERROR(IF(VLOOKUP(CONCATENATE($A100,"_",AG$1),SP_ACQ_Lib[],MATCH(AG$2,SP_ACQ_Lib[#Headers],0),FALSE)=0,"",VLOOKUP(CONCATENATE($A100,"_",AG$1),SP_ACQ_Lib[],MATCH(AG$2,SP_ACQ_Lib[#Headers],0),FALSE)),"")</f>
        <v/>
      </c>
      <c r="AH100" s="250" t="str">
        <f>IFERROR(IF(VLOOKUP(CONCATENATE($A100,"_",AH$1),SP_ACQ_Lib[],MATCH(AH$2,SP_ACQ_Lib[#Headers],0),FALSE)=0,"",VLOOKUP(CONCATENATE($A100,"_",AH$1),SP_ACQ_Lib[],MATCH(AH$2,SP_ACQ_Lib[#Headers],0),FALSE)),"")</f>
        <v/>
      </c>
      <c r="AI100" s="249">
        <f>IFERROR(IF(VLOOKUP(CONCATENATE($A100,"_",AI$1),SP_ACQ_Lib[],MATCH(AI$2,SP_ACQ_Lib[#Headers],0),FALSE)=0,"",VLOOKUP(CONCATENATE($A100,"_",AI$1),SP_ACQ_Lib[],MATCH(AI$2,SP_ACQ_Lib[#Headers],0),FALSE)),"")</f>
        <v>43985</v>
      </c>
      <c r="AJ100" s="249">
        <f>IFERROR(IF(VLOOKUP(CONCATENATE($A100,"_",AJ$1),SP_ACQ_Lib[],MATCH(AJ$2,SP_ACQ_Lib[#Headers],0),FALSE)=0,"",VLOOKUP(CONCATENATE($A100,"_",AJ$1),SP_ACQ_Lib[],MATCH(AJ$2,SP_ACQ_Lib[#Headers],0),FALSE)),"")</f>
        <v>43990</v>
      </c>
      <c r="AK100" s="249">
        <f>IFERROR(IF(VLOOKUP(CONCATENATE($A100,"_",AK$1),SP_ACQ_Lib[],MATCH(AK$2,SP_ACQ_Lib[#Headers],0),FALSE)=0,"",VLOOKUP(CONCATENATE($A100,"_",AK$1),SP_ACQ_Lib[],MATCH(AK$2,SP_ACQ_Lib[#Headers],0),FALSE)),"")</f>
        <v>44173</v>
      </c>
      <c r="AL100" s="249">
        <f>IFERROR(VLOOKUP($A100,SP_AcqTract_DB[],MATCH(AL$2,SP_AcqTract_DB[#Headers],0),FALSE),"")</f>
        <v>0</v>
      </c>
      <c r="AM100" s="227">
        <f>IFERROR(VLOOKUP($A100,SP_AcqTract_DB[],MATCH(AM$2,SP_AcqTract_DB[#Headers],0),FALSE),"")</f>
        <v>0</v>
      </c>
      <c r="AN100" s="227">
        <f>IFERROR(VLOOKUP($A100,SP_AcqTract_DB[],MATCH(AN$2,SP_AcqTract_DB[#Headers],0),FALSE),"")</f>
        <v>0</v>
      </c>
      <c r="AO100" s="228">
        <f>IFERROR(VLOOKUP($A100,SP_AcqTract_DB[],MATCH(AO$2,SP_AcqTract_DB[#Headers],0),FALSE),"")</f>
        <v>0</v>
      </c>
      <c r="AP100" s="210">
        <f>IFERROR(VLOOKUP($A100,SP_AcqTract_DB[],MATCH(AP$2,SP_AcqTract_DB[#Headers],0),FALSE),"")</f>
        <v>0</v>
      </c>
      <c r="AQ100" s="252" t="str">
        <f>IFERROR(IF(VLOOKUP(CONCATENATE($A100,"_",AQ$1),SP_ACQ_Lib[],MATCH(AQ$2,SP_ACQ_Lib[#Headers],0),FALSE)=0,"",VLOOKUP(CONCATENATE($A100,"_",AQ$1),SP_ACQ_Lib[],MATCH(AQ$2,SP_ACQ_Lib[#Headers],0),FALSE)),"")</f>
        <v/>
      </c>
      <c r="AR100" s="250" t="str">
        <f>IFERROR(IF(VLOOKUP(CONCATENATE($A100,"_",AR$1),SP_ACQ_Lib[],MATCH(AR$2,SP_ACQ_Lib[#Headers],0),FALSE)=0,"",VLOOKUP(CONCATENATE($A100,"_",AR$1),SP_ACQ_Lib[],MATCH(AR$2,SP_ACQ_Lib[#Headers],0),FALSE)),"")</f>
        <v/>
      </c>
      <c r="AS100" s="249" t="str">
        <f>IFERROR(IF(VLOOKUP(CONCATENATE($A100,"_",AS$1),SP_ACQ_Lib[],MATCH(AS$2,SP_ACQ_Lib[#Headers],0),FALSE)=0,"",VLOOKUP(CONCATENATE($A100,"_",AS$1),SP_ACQ_Lib[],MATCH(AS$2,SP_ACQ_Lib[#Headers],0),FALSE)),"")</f>
        <v/>
      </c>
      <c r="AT100" s="251" t="str">
        <f>IFERROR(IF(VLOOKUP(CONCATENATE($A100,"_",AT$1),SP_ACQ_Lib[],MATCH(AT$2,SP_ACQ_Lib[#Headers],0),FALSE)=0,"",VLOOKUP(CONCATENATE($A100,"_",AT$1),SP_ACQ_Lib[],MATCH(AT$2,SP_ACQ_Lib[#Headers],0),FALSE)),"")</f>
        <v/>
      </c>
      <c r="AU100" s="251" t="str">
        <f>IFERROR(IF(VLOOKUP(CONCATENATE($A100,"_",AU$1),SP_ACQ_Lib[],MATCH(AU$2,SP_ACQ_Lib[#Headers],0),FALSE)=0,"",VLOOKUP(CONCATENATE($A100,"_",AU$1),SP_ACQ_Lib[],MATCH(AU$2,SP_ACQ_Lib[#Headers],0),FALSE)),"")</f>
        <v/>
      </c>
      <c r="AV100" s="225" t="str">
        <f>IFERROR(IF(VLOOKUP(CONCATENATE($A100,"_",AV$1),SP_ACQ_Lib[],MATCH(AV$2,SP_ACQ_Lib[#Headers],0),FALSE)=0,"",VLOOKUP(CONCATENATE($A100,"_",AV$1),SP_ACQ_Lib[],MATCH(AV$2,SP_ACQ_Lib[#Headers],0),FALSE)),"")</f>
        <v/>
      </c>
      <c r="AW100" s="251" t="str">
        <f>IFERROR(IF(VLOOKUP(CONCATENATE($A100,"_",AW$1),SP_ACQ_Lib[],MATCH(AW$2,SP_ACQ_Lib[#Headers],0),FALSE)=0,"",VLOOKUP(CONCATENATE($A100,"_",AW$1),SP_ACQ_Lib[],MATCH(AW$2,SP_ACQ_Lib[#Headers],0),FALSE)),"")</f>
        <v/>
      </c>
      <c r="AX100" s="251" t="str">
        <f>IFERROR(IF(VLOOKUP(CONCATENATE($A100,"_",AX$1),SP_ACQ_Lib[],MATCH(AX$2,SP_ACQ_Lib[#Headers],0),FALSE)=0,"",VLOOKUP(CONCATENATE($A100,"_",AX$1),SP_ACQ_Lib[],MATCH(AX$2,SP_ACQ_Lib[#Headers],0),FALSE)),"")</f>
        <v/>
      </c>
      <c r="AY100" s="251" t="str">
        <f>IFERROR(IF(VLOOKUP(CONCATENATE($A100,"_",AY$1),SP_ACQ_Lib[],MATCH(AY$2,SP_ACQ_Lib[#Headers],0),FALSE)=0,"",VLOOKUP(CONCATENATE($A100,"_",AY$1),SP_ACQ_Lib[],MATCH(AY$2,SP_ACQ_Lib[#Headers],0),FALSE)),"")</f>
        <v/>
      </c>
      <c r="AZ100" s="251" t="str">
        <f>IFERROR(IF(VLOOKUP(CONCATENATE($A100,"_",AZ$1),SP_ACQ_Lib[],MATCH(AZ$2,SP_ACQ_Lib[#Headers],0),FALSE)=0,"",VLOOKUP(CONCATENATE($A100,"_",AZ$1),SP_ACQ_Lib[],MATCH(AZ$2,SP_ACQ_Lib[#Headers],0),FALSE)),"")</f>
        <v/>
      </c>
      <c r="BA100" s="251" t="str">
        <f>IFERROR(IF(VLOOKUP(CONCATENATE($A100,"_",BA$1),SP_ACQ_Lib[],MATCH(BA$2,SP_ACQ_Lib[#Headers],0),FALSE)=0,"",VLOOKUP(CONCATENATE($A100,"_",BA$1),SP_ACQ_Lib[],MATCH(BA$2,SP_ACQ_Lib[#Headers],0),FALSE)),"")</f>
        <v/>
      </c>
      <c r="BB100" s="224">
        <f>IFERROR(VLOOKUP(CONCATENATE($A100,"_",BB$1),SP_ACQ_Lib[],MATCH(BB$2,SP_ACQ_Lib[#Headers],0),FALSE),0)</f>
        <v>0</v>
      </c>
      <c r="BC100" s="231">
        <f>IFERROR(VLOOKUP($A100,SP_AcqTract_DB[],MATCH(BC$2,SP_AcqTract_DB[#Headers],0),FALSE),"")</f>
        <v>0</v>
      </c>
      <c r="BD100" s="231">
        <f>IFERROR(VLOOKUP($A100,SP_AcqTract_DB[],MATCH(BD$2,SP_AcqTract_DB[#Headers],0),FALSE),"")</f>
        <v>0</v>
      </c>
      <c r="BE100" s="249" t="str">
        <f>IFERROR(IF(VLOOKUP(CONCATENATE($A100,"_",BE$1),SP_ACQ_Lib[],MATCH(BE$2,SP_ACQ_Lib[#Headers],0),FALSE)=0,"",VLOOKUP(CONCATENATE($A100,"_",BE$1),SP_ACQ_Lib[],MATCH(BE$2,SP_ACQ_Lib[#Headers],0),FALSE)),"")</f>
        <v/>
      </c>
      <c r="BF100" s="249" t="str">
        <f>IFERROR(IF(VLOOKUP(CONCATENATE($A100,"_",BF$1),SP_ACQ_Lib[],MATCH(BF$2,SP_ACQ_Lib[#Headers],0),FALSE)=0,"",VLOOKUP(CONCATENATE($A100,"_",BF$1),SP_ACQ_Lib[],MATCH(BF$2,SP_ACQ_Lib[#Headers],0),FALSE)),"")</f>
        <v/>
      </c>
      <c r="BG100" s="249" t="str">
        <f>IFERROR(IF(VLOOKUP(CONCATENATE($A100,"_",BG$1),SP_ACQ_Lib[],MATCH(BG$2,SP_ACQ_Lib[#Headers],0),FALSE)=0,"",VLOOKUP(CONCATENATE($A100,"_",BG$1),SP_ACQ_Lib[],MATCH(BG$2,SP_ACQ_Lib[#Headers],0),FALSE)),"")</f>
        <v/>
      </c>
      <c r="BH100" s="249" t="str">
        <f>IFERROR(IF(VLOOKUP(CONCATENATE($A100,"_",BH$1),SP_ACQ_Lib[],MATCH(BH$2,SP_ACQ_Lib[#Headers],0),FALSE)=0,"",VLOOKUP(CONCATENATE($A100,"_",BH$1),SP_ACQ_Lib[],MATCH(BH$2,SP_ACQ_Lib[#Headers],0),FALSE)),"")</f>
        <v/>
      </c>
      <c r="BI100" s="249" t="str">
        <f>IFERROR(IF(VLOOKUP(CONCATENATE($A100,"_",BI$1),SP_ACQ_Lib[],MATCH(BI$2,SP_ACQ_Lib[#Headers],0),FALSE)=0,"",VLOOKUP(CONCATENATE($A100,"_",BI$1),SP_ACQ_Lib[],MATCH(BI$2,SP_ACQ_Lib[#Headers],0),FALSE)),"")</f>
        <v/>
      </c>
      <c r="BJ100" s="249" t="str">
        <f>IFERROR(IF(VLOOKUP(CONCATENATE($A100,"_",BJ$1),SP_ACQ_Lib[],MATCH(BJ$2,SP_ACQ_Lib[#Headers],0),FALSE)=0,"",VLOOKUP(CONCATENATE($A100,"_",BJ$1),SP_ACQ_Lib[],MATCH(BJ$2,SP_ACQ_Lib[#Headers],0),FALSE)),"")</f>
        <v/>
      </c>
      <c r="BK100" s="250" t="str">
        <f>IFERROR(IF(VLOOKUP(CONCATENATE($A100,"_",BK$1),SP_ACQ_Lib[],MATCH(BK$2,SP_ACQ_Lib[#Headers],0),FALSE)=0,"",VLOOKUP(CONCATENATE($A100,"_",BK$1),SP_ACQ_Lib[],MATCH(BK$2,SP_ACQ_Lib[#Headers],0),FALSE)),"")</f>
        <v/>
      </c>
      <c r="BL100" s="249" t="str">
        <f>IFERROR(IF(VLOOKUP(CONCATENATE($A100,"_",BL$1),SP_ACQ_Lib[],MATCH(BL$2,SP_ACQ_Lib[#Headers],0),FALSE)=0,"",VLOOKUP(CONCATENATE($A100,"_",BL$1),SP_ACQ_Lib[],MATCH(BL$2,SP_ACQ_Lib[#Headers],0),FALSE)),"")</f>
        <v/>
      </c>
      <c r="BM100" s="249" t="str">
        <f>IFERROR(IF(VLOOKUP(CONCATENATE($A100,"_",BM$1),SP_ACQ_Lib[],MATCH(BM$2,SP_ACQ_Lib[#Headers],0),FALSE)=0,"",VLOOKUP(CONCATENATE($A100,"_",BM$1),SP_ACQ_Lib[],MATCH(BM$2,SP_ACQ_Lib[#Headers],0),FALSE)),"")</f>
        <v/>
      </c>
      <c r="BN100" s="249" t="str">
        <f>IFERROR(IF(VLOOKUP(CONCATENATE($A100,"_",BN$1),SP_ACQ_Lib[],MATCH(BN$2,SP_ACQ_Lib[#Headers],0),FALSE)=0,"",VLOOKUP(CONCATENATE($A100,"_",BN$1),SP_ACQ_Lib[],MATCH(BN$2,SP_ACQ_Lib[#Headers],0),FALSE)),"")</f>
        <v/>
      </c>
    </row>
    <row r="101" spans="1:66" s="226" customFormat="1" ht="15.75" x14ac:dyDescent="0.2">
      <c r="A101" s="192" t="s">
        <v>5255</v>
      </c>
      <c r="B101" s="227" t="str">
        <f>IFERROR(VLOOKUP($A101,SP_AcqTract_DB[],MATCH(B$2,SP_AcqTract_DB[#Headers],0),FALSE),"")</f>
        <v>R027668</v>
      </c>
      <c r="C101" s="228" t="str">
        <f>IFERROR(VLOOKUP($A101,SP_AcqTract_DB[],MATCH(C$2,SP_AcqTract_DB[#Headers],0),FALSE),"")</f>
        <v>PH2</v>
      </c>
      <c r="D101" s="208" t="str">
        <f>IFERROR(VLOOKUP($A101,SP_AcqTract_DB[],MATCH(D$2,SP_AcqTract_DB[#Headers],0),FALSE),"")</f>
        <v>Active</v>
      </c>
      <c r="E101" s="208">
        <f>IFERROR(VLOOKUP($A101,SP_AcqTract_DB[],MATCH(E$2,SP_AcqTract_DB[#Headers],0),FALSE),"")</f>
        <v>0</v>
      </c>
      <c r="F101" s="227">
        <f>IFERROR(VLOOKUP($A101,SP_AcqTract_DB[],MATCH(F$2,SP_AcqTract_DB[#Headers],0),FALSE),"")</f>
        <v>0</v>
      </c>
      <c r="G101" s="227">
        <f>IFERROR(VLOOKUP($A101,SP_AcqTract_DB[],MATCH(G$2,SP_AcqTract_DB[#Headers],0),FALSE),"")</f>
        <v>0</v>
      </c>
      <c r="H101" s="250">
        <f>IFERROR(IF(VLOOKUP(CONCATENATE($A101,"_",H$1),SP_ACQ_Lib[],MATCH(H$2,SP_ACQ_Lib[#Headers],0),FALSE)=0,"",VLOOKUP(CONCATENATE($A101,"_",H$1),SP_ACQ_Lib[],MATCH(H$2,SP_ACQ_Lib[#Headers],0),FALSE)),"")</f>
        <v>43978.546261574076</v>
      </c>
      <c r="I101" s="227" t="str">
        <f>IFERROR(VLOOKUP($A101,SP_AcqTract_DB[],MATCH(I$2,SP_AcqTract_DB[#Headers],0),FALSE),"")</f>
        <v>Clinton D. Koehler</v>
      </c>
      <c r="J101" s="227">
        <f>IFERROR(VLOOKUP($A101,SP_AcqTract_DB[],MATCH(J$2,SP_AcqTract_DB[#Headers],0),FALSE),"")</f>
        <v>0</v>
      </c>
      <c r="K101" s="227">
        <f>IFERROR(VLOOKUP($A101,SP_AcqTract_DB[],MATCH(K$2,SP_AcqTract_DB[#Headers],0),FALSE),"")</f>
        <v>0</v>
      </c>
      <c r="L101" s="227">
        <f>IFERROR(VLOOKUP($A101,SP_AcqTract_DB[],MATCH(L$2,SP_AcqTract_DB[#Headers],0),FALSE),"")</f>
        <v>0</v>
      </c>
      <c r="M101" s="208">
        <f>IFERROR(VLOOKUP($A101,SP_AcqTract_DB[],MATCH(M$2,SP_AcqTract_DB[#Headers],0),FALSE),"")</f>
        <v>0</v>
      </c>
      <c r="N101" s="227" t="str">
        <f>IFERROR(VLOOKUP($A101,SP_AcqTract_DB[],MATCH(N$2,SP_AcqTract_DB[#Headers],0),FALSE),"")</f>
        <v>664 CR 241</v>
      </c>
      <c r="O101" s="220">
        <f>IFERROR(VLOOKUP($A101,SP_AcqTract_DB[],MATCH(O$2,SP_AcqTract_DB[#Headers],0),FALSE),"")</f>
        <v>0</v>
      </c>
      <c r="P101" s="220">
        <f>IFERROR(VLOOKUP($A101,SP_AcqTract_DB[],MATCH(P$2,SP_AcqTract_DB[#Headers],0),FALSE),"")</f>
        <v>0</v>
      </c>
      <c r="Q101" s="208">
        <f>IFERROR(VLOOKUP($A101,SP_AcqTract_DB[],MATCH(Q$2,SP_AcqTract_DB[#Headers],0),FALSE),"")</f>
        <v>0</v>
      </c>
      <c r="R101" s="250" t="str">
        <f>IFERROR(IF(VLOOKUP(CONCATENATE($A101,"_",R$1),SP_ACQ_Lib[],MATCH(R$2,SP_ACQ_Lib[#Headers],0),FALSE)=0,"",VLOOKUP(CONCATENATE($A101,"_",R$1),SP_ACQ_Lib[],MATCH(R$2,SP_ACQ_Lib[#Headers],0),FALSE)),"")</f>
        <v/>
      </c>
      <c r="S101" s="253" t="str">
        <f>IFERROR(IF(VLOOKUP(CONCATENATE($A101,"_",S$1),SP_ACQ_Lib[],MATCH(S$2,SP_ACQ_Lib[#Headers],0),FALSE)=0,"",VLOOKUP(CONCATENATE($A101,"_",S$1),SP_ACQ_Lib[],MATCH(S$2,SP_ACQ_Lib[#Headers],0),FALSE)),"")</f>
        <v/>
      </c>
      <c r="T101" s="205">
        <f>IFERROR(VLOOKUP(CONCATENATE($A101,"_",T$1),SP_ACQ_Lib[],MATCH(T$2,SP_ACQ_Lib[#Headers],0),FALSE),0)</f>
        <v>0</v>
      </c>
      <c r="U101" s="250" t="str">
        <f>IFERROR(IF(VLOOKUP(CONCATENATE($A101,"_",U$1),SP_ACQ_Lib[],MATCH(U$2,SP_ACQ_Lib[#Headers],0),FALSE)=0,"",VLOOKUP(CONCATENATE($A101,"_",U$1),SP_ACQ_Lib[],MATCH(U$2,SP_ACQ_Lib[#Headers],0),FALSE)),"")</f>
        <v/>
      </c>
      <c r="V101" s="205" t="str">
        <f>IFERROR(VLOOKUP(CONCATENATE($A101,"_",V$1),SP_ACQ_Lib[],MATCH(V$2,SP_ACQ_Lib[#Headers],0),FALSE),0)</f>
        <v>Accepted</v>
      </c>
      <c r="W101" s="209">
        <f>IFERROR(VLOOKUP(CONCATENATE($A101,"_",W$1),SP_ACQ_Lib[],MATCH(W$2,SP_ACQ_Lib[#Headers],0),FALSE),0)</f>
        <v>0</v>
      </c>
      <c r="X101" s="250">
        <f>IFERROR(VLOOKUP($A101,SP_AcqTract_DB[],MATCH(X$2,SP_AcqTract_DB[#Headers],0),FALSE),"")</f>
        <v>0</v>
      </c>
      <c r="Y101" s="237">
        <f>IFERROR(VLOOKUP($A101,SP_AcqTract_DB[],MATCH(Y$2,SP_AcqTract_DB[#Headers],0),FALSE),"")</f>
        <v>0</v>
      </c>
      <c r="Z101" s="229">
        <f>IFERROR(VLOOKUP($A101,SP_AcqTract_DB[],MATCH(Z$2,SP_AcqTract_DB[#Headers],0),FALSE),"")</f>
        <v>0</v>
      </c>
      <c r="AA101" s="229">
        <f>IFERROR(VLOOKUP($A101,SP_AcqTract_DB[],MATCH(AA$2,SP_AcqTract_DB[#Headers],0),FALSE),"")</f>
        <v>0</v>
      </c>
      <c r="AB101" s="250" t="str">
        <f>IFERROR(IF(VLOOKUP(CONCATENATE($A101,"_",AB$1),SP_ACQ_Lib[],MATCH(AB$2,SP_ACQ_Lib[#Headers],0),FALSE)=0,"",VLOOKUP(CONCATENATE($A101,"_",AB$1),SP_ACQ_Lib[],MATCH(AB$2,SP_ACQ_Lib[#Headers],0),FALSE)),"")</f>
        <v/>
      </c>
      <c r="AC101" s="250" t="str">
        <f>IFERROR(IF(VLOOKUP(CONCATENATE($A101,"_",AC$1),SP_ACQ_Lib[],MATCH(AC$2,SP_ACQ_Lib[#Headers],0),FALSE)=0,"",VLOOKUP(CONCATENATE($A101,"_",AC$1),SP_ACQ_Lib[],MATCH(AC$2,SP_ACQ_Lib[#Headers],0),FALSE)),"")</f>
        <v/>
      </c>
      <c r="AD101" s="229">
        <f>IFERROR(VLOOKUP($A101,SP_AcqTract_DB[],MATCH(AD$2,SP_AcqTract_DB[#Headers],0),FALSE),"")</f>
        <v>0</v>
      </c>
      <c r="AE101" s="250" t="str">
        <f>IFERROR(IF(VLOOKUP(CONCATENATE($A101,"_",AE$1),SP_ACQ_Lib[],MATCH(AE$2,SP_ACQ_Lib[#Headers],0),FALSE)=0,"",VLOOKUP(CONCATENATE($A101,"_",AE$1),SP_ACQ_Lib[],MATCH(AE$2,SP_ACQ_Lib[#Headers],0),FALSE)),"")</f>
        <v/>
      </c>
      <c r="AF101" s="250" t="str">
        <f>IFERROR(IF(VLOOKUP(CONCATENATE($A101,"_",AF$1),SP_ACQ_Lib[],MATCH(AF$2,SP_ACQ_Lib[#Headers],0),FALSE)=0,"",VLOOKUP(CONCATENATE($A101,"_",AF$1),SP_ACQ_Lib[],MATCH(AF$2,SP_ACQ_Lib[#Headers],0),FALSE)),"")</f>
        <v/>
      </c>
      <c r="AG101" s="250" t="str">
        <f>IFERROR(IF(VLOOKUP(CONCATENATE($A101,"_",AG$1),SP_ACQ_Lib[],MATCH(AG$2,SP_ACQ_Lib[#Headers],0),FALSE)=0,"",VLOOKUP(CONCATENATE($A101,"_",AG$1),SP_ACQ_Lib[],MATCH(AG$2,SP_ACQ_Lib[#Headers],0),FALSE)),"")</f>
        <v/>
      </c>
      <c r="AH101" s="250" t="str">
        <f>IFERROR(IF(VLOOKUP(CONCATENATE($A101,"_",AH$1),SP_ACQ_Lib[],MATCH(AH$2,SP_ACQ_Lib[#Headers],0),FALSE)=0,"",VLOOKUP(CONCATENATE($A101,"_",AH$1),SP_ACQ_Lib[],MATCH(AH$2,SP_ACQ_Lib[#Headers],0),FALSE)),"")</f>
        <v/>
      </c>
      <c r="AI101" s="249" t="str">
        <f>IFERROR(IF(VLOOKUP(CONCATENATE($A101,"_",AI$1),SP_ACQ_Lib[],MATCH(AI$2,SP_ACQ_Lib[#Headers],0),FALSE)=0,"",VLOOKUP(CONCATENATE($A101,"_",AI$1),SP_ACQ_Lib[],MATCH(AI$2,SP_ACQ_Lib[#Headers],0),FALSE)),"")</f>
        <v/>
      </c>
      <c r="AJ101" s="249" t="str">
        <f>IFERROR(IF(VLOOKUP(CONCATENATE($A101,"_",AJ$1),SP_ACQ_Lib[],MATCH(AJ$2,SP_ACQ_Lib[#Headers],0),FALSE)=0,"",VLOOKUP(CONCATENATE($A101,"_",AJ$1),SP_ACQ_Lib[],MATCH(AJ$2,SP_ACQ_Lib[#Headers],0),FALSE)),"")</f>
        <v/>
      </c>
      <c r="AK101" s="249" t="str">
        <f>IFERROR(IF(VLOOKUP(CONCATENATE($A101,"_",AK$1),SP_ACQ_Lib[],MATCH(AK$2,SP_ACQ_Lib[#Headers],0),FALSE)=0,"",VLOOKUP(CONCATENATE($A101,"_",AK$1),SP_ACQ_Lib[],MATCH(AK$2,SP_ACQ_Lib[#Headers],0),FALSE)),"")</f>
        <v/>
      </c>
      <c r="AL101" s="249">
        <f>IFERROR(VLOOKUP($A101,SP_AcqTract_DB[],MATCH(AL$2,SP_AcqTract_DB[#Headers],0),FALSE),"")</f>
        <v>0</v>
      </c>
      <c r="AM101" s="227">
        <f>IFERROR(VLOOKUP($A101,SP_AcqTract_DB[],MATCH(AM$2,SP_AcqTract_DB[#Headers],0),FALSE),"")</f>
        <v>0</v>
      </c>
      <c r="AN101" s="227">
        <f>IFERROR(VLOOKUP($A101,SP_AcqTract_DB[],MATCH(AN$2,SP_AcqTract_DB[#Headers],0),FALSE),"")</f>
        <v>0</v>
      </c>
      <c r="AO101" s="228">
        <f>IFERROR(VLOOKUP($A101,SP_AcqTract_DB[],MATCH(AO$2,SP_AcqTract_DB[#Headers],0),FALSE),"")</f>
        <v>0</v>
      </c>
      <c r="AP101" s="210">
        <f>IFERROR(VLOOKUP($A101,SP_AcqTract_DB[],MATCH(AP$2,SP_AcqTract_DB[#Headers],0),FALSE),"")</f>
        <v>0</v>
      </c>
      <c r="AQ101" s="252" t="str">
        <f>IFERROR(IF(VLOOKUP(CONCATENATE($A101,"_",AQ$1),SP_ACQ_Lib[],MATCH(AQ$2,SP_ACQ_Lib[#Headers],0),FALSE)=0,"",VLOOKUP(CONCATENATE($A101,"_",AQ$1),SP_ACQ_Lib[],MATCH(AQ$2,SP_ACQ_Lib[#Headers],0),FALSE)),"")</f>
        <v/>
      </c>
      <c r="AR101" s="250" t="str">
        <f>IFERROR(IF(VLOOKUP(CONCATENATE($A101,"_",AR$1),SP_ACQ_Lib[],MATCH(AR$2,SP_ACQ_Lib[#Headers],0),FALSE)=0,"",VLOOKUP(CONCATENATE($A101,"_",AR$1),SP_ACQ_Lib[],MATCH(AR$2,SP_ACQ_Lib[#Headers],0),FALSE)),"")</f>
        <v/>
      </c>
      <c r="AS101" s="249" t="str">
        <f>IFERROR(IF(VLOOKUP(CONCATENATE($A101,"_",AS$1),SP_ACQ_Lib[],MATCH(AS$2,SP_ACQ_Lib[#Headers],0),FALSE)=0,"",VLOOKUP(CONCATENATE($A101,"_",AS$1),SP_ACQ_Lib[],MATCH(AS$2,SP_ACQ_Lib[#Headers],0),FALSE)),"")</f>
        <v/>
      </c>
      <c r="AT101" s="251" t="str">
        <f>IFERROR(IF(VLOOKUP(CONCATENATE($A101,"_",AT$1),SP_ACQ_Lib[],MATCH(AT$2,SP_ACQ_Lib[#Headers],0),FALSE)=0,"",VLOOKUP(CONCATENATE($A101,"_",AT$1),SP_ACQ_Lib[],MATCH(AT$2,SP_ACQ_Lib[#Headers],0),FALSE)),"")</f>
        <v/>
      </c>
      <c r="AU101" s="251" t="str">
        <f>IFERROR(IF(VLOOKUP(CONCATENATE($A101,"_",AU$1),SP_ACQ_Lib[],MATCH(AU$2,SP_ACQ_Lib[#Headers],0),FALSE)=0,"",VLOOKUP(CONCATENATE($A101,"_",AU$1),SP_ACQ_Lib[],MATCH(AU$2,SP_ACQ_Lib[#Headers],0),FALSE)),"")</f>
        <v/>
      </c>
      <c r="AV101" s="225" t="str">
        <f>IFERROR(IF(VLOOKUP(CONCATENATE($A101,"_",AV$1),SP_ACQ_Lib[],MATCH(AV$2,SP_ACQ_Lib[#Headers],0),FALSE)=0,"",VLOOKUP(CONCATENATE($A101,"_",AV$1),SP_ACQ_Lib[],MATCH(AV$2,SP_ACQ_Lib[#Headers],0),FALSE)),"")</f>
        <v/>
      </c>
      <c r="AW101" s="251" t="str">
        <f>IFERROR(IF(VLOOKUP(CONCATENATE($A101,"_",AW$1),SP_ACQ_Lib[],MATCH(AW$2,SP_ACQ_Lib[#Headers],0),FALSE)=0,"",VLOOKUP(CONCATENATE($A101,"_",AW$1),SP_ACQ_Lib[],MATCH(AW$2,SP_ACQ_Lib[#Headers],0),FALSE)),"")</f>
        <v/>
      </c>
      <c r="AX101" s="251" t="str">
        <f>IFERROR(IF(VLOOKUP(CONCATENATE($A101,"_",AX$1),SP_ACQ_Lib[],MATCH(AX$2,SP_ACQ_Lib[#Headers],0),FALSE)=0,"",VLOOKUP(CONCATENATE($A101,"_",AX$1),SP_ACQ_Lib[],MATCH(AX$2,SP_ACQ_Lib[#Headers],0),FALSE)),"")</f>
        <v/>
      </c>
      <c r="AY101" s="251" t="str">
        <f>IFERROR(IF(VLOOKUP(CONCATENATE($A101,"_",AY$1),SP_ACQ_Lib[],MATCH(AY$2,SP_ACQ_Lib[#Headers],0),FALSE)=0,"",VLOOKUP(CONCATENATE($A101,"_",AY$1),SP_ACQ_Lib[],MATCH(AY$2,SP_ACQ_Lib[#Headers],0),FALSE)),"")</f>
        <v/>
      </c>
      <c r="AZ101" s="251" t="str">
        <f>IFERROR(IF(VLOOKUP(CONCATENATE($A101,"_",AZ$1),SP_ACQ_Lib[],MATCH(AZ$2,SP_ACQ_Lib[#Headers],0),FALSE)=0,"",VLOOKUP(CONCATENATE($A101,"_",AZ$1),SP_ACQ_Lib[],MATCH(AZ$2,SP_ACQ_Lib[#Headers],0),FALSE)),"")</f>
        <v/>
      </c>
      <c r="BA101" s="251" t="str">
        <f>IFERROR(IF(VLOOKUP(CONCATENATE($A101,"_",BA$1),SP_ACQ_Lib[],MATCH(BA$2,SP_ACQ_Lib[#Headers],0),FALSE)=0,"",VLOOKUP(CONCATENATE($A101,"_",BA$1),SP_ACQ_Lib[],MATCH(BA$2,SP_ACQ_Lib[#Headers],0),FALSE)),"")</f>
        <v/>
      </c>
      <c r="BB101" s="224">
        <f>IFERROR(VLOOKUP(CONCATENATE($A101,"_",BB$1),SP_ACQ_Lib[],MATCH(BB$2,SP_ACQ_Lib[#Headers],0),FALSE),0)</f>
        <v>0</v>
      </c>
      <c r="BC101" s="231">
        <f>IFERROR(VLOOKUP($A101,SP_AcqTract_DB[],MATCH(BC$2,SP_AcqTract_DB[#Headers],0),FALSE),"")</f>
        <v>0</v>
      </c>
      <c r="BD101" s="231">
        <f>IFERROR(VLOOKUP($A101,SP_AcqTract_DB[],MATCH(BD$2,SP_AcqTract_DB[#Headers],0),FALSE),"")</f>
        <v>0</v>
      </c>
      <c r="BE101" s="249" t="str">
        <f>IFERROR(IF(VLOOKUP(CONCATENATE($A101,"_",BE$1),SP_ACQ_Lib[],MATCH(BE$2,SP_ACQ_Lib[#Headers],0),FALSE)=0,"",VLOOKUP(CONCATENATE($A101,"_",BE$1),SP_ACQ_Lib[],MATCH(BE$2,SP_ACQ_Lib[#Headers],0),FALSE)),"")</f>
        <v/>
      </c>
      <c r="BF101" s="249" t="str">
        <f>IFERROR(IF(VLOOKUP(CONCATENATE($A101,"_",BF$1),SP_ACQ_Lib[],MATCH(BF$2,SP_ACQ_Lib[#Headers],0),FALSE)=0,"",VLOOKUP(CONCATENATE($A101,"_",BF$1),SP_ACQ_Lib[],MATCH(BF$2,SP_ACQ_Lib[#Headers],0),FALSE)),"")</f>
        <v/>
      </c>
      <c r="BG101" s="249" t="str">
        <f>IFERROR(IF(VLOOKUP(CONCATENATE($A101,"_",BG$1),SP_ACQ_Lib[],MATCH(BG$2,SP_ACQ_Lib[#Headers],0),FALSE)=0,"",VLOOKUP(CONCATENATE($A101,"_",BG$1),SP_ACQ_Lib[],MATCH(BG$2,SP_ACQ_Lib[#Headers],0),FALSE)),"")</f>
        <v/>
      </c>
      <c r="BH101" s="249" t="str">
        <f>IFERROR(IF(VLOOKUP(CONCATENATE($A101,"_",BH$1),SP_ACQ_Lib[],MATCH(BH$2,SP_ACQ_Lib[#Headers],0),FALSE)=0,"",VLOOKUP(CONCATENATE($A101,"_",BH$1),SP_ACQ_Lib[],MATCH(BH$2,SP_ACQ_Lib[#Headers],0),FALSE)),"")</f>
        <v/>
      </c>
      <c r="BI101" s="249" t="str">
        <f>IFERROR(IF(VLOOKUP(CONCATENATE($A101,"_",BI$1),SP_ACQ_Lib[],MATCH(BI$2,SP_ACQ_Lib[#Headers],0),FALSE)=0,"",VLOOKUP(CONCATENATE($A101,"_",BI$1),SP_ACQ_Lib[],MATCH(BI$2,SP_ACQ_Lib[#Headers],0),FALSE)),"")</f>
        <v/>
      </c>
      <c r="BJ101" s="249">
        <f>IFERROR(IF(VLOOKUP(CONCATENATE($A101,"_",BJ$1),SP_ACQ_Lib[],MATCH(BJ$2,SP_ACQ_Lib[#Headers],0),FALSE)=0,"",VLOOKUP(CONCATENATE($A101,"_",BJ$1),SP_ACQ_Lib[],MATCH(BJ$2,SP_ACQ_Lib[#Headers],0),FALSE)),"")</f>
        <v>43483</v>
      </c>
      <c r="BK101" s="250" t="str">
        <f>IFERROR(IF(VLOOKUP(CONCATENATE($A101,"_",BK$1),SP_ACQ_Lib[],MATCH(BK$2,SP_ACQ_Lib[#Headers],0),FALSE)=0,"",VLOOKUP(CONCATENATE($A101,"_",BK$1),SP_ACQ_Lib[],MATCH(BK$2,SP_ACQ_Lib[#Headers],0),FALSE)),"")</f>
        <v/>
      </c>
      <c r="BL101" s="249" t="str">
        <f>IFERROR(IF(VLOOKUP(CONCATENATE($A101,"_",BL$1),SP_ACQ_Lib[],MATCH(BL$2,SP_ACQ_Lib[#Headers],0),FALSE)=0,"",VLOOKUP(CONCATENATE($A101,"_",BL$1),SP_ACQ_Lib[],MATCH(BL$2,SP_ACQ_Lib[#Headers],0),FALSE)),"")</f>
        <v/>
      </c>
      <c r="BM101" s="249" t="str">
        <f>IFERROR(IF(VLOOKUP(CONCATENATE($A101,"_",BM$1),SP_ACQ_Lib[],MATCH(BM$2,SP_ACQ_Lib[#Headers],0),FALSE)=0,"",VLOOKUP(CONCATENATE($A101,"_",BM$1),SP_ACQ_Lib[],MATCH(BM$2,SP_ACQ_Lib[#Headers],0),FALSE)),"")</f>
        <v/>
      </c>
      <c r="BN101" s="249" t="str">
        <f>IFERROR(IF(VLOOKUP(CONCATENATE($A101,"_",BN$1),SP_ACQ_Lib[],MATCH(BN$2,SP_ACQ_Lib[#Headers],0),FALSE)=0,"",VLOOKUP(CONCATENATE($A101,"_",BN$1),SP_ACQ_Lib[],MATCH(BN$2,SP_ACQ_Lib[#Headers],0),FALSE)),"")</f>
        <v/>
      </c>
    </row>
    <row r="102" spans="1:66" s="226" customFormat="1" ht="15.75" x14ac:dyDescent="0.2">
      <c r="A102" s="192" t="s">
        <v>5320</v>
      </c>
      <c r="B102" s="227" t="str">
        <f>IFERROR(VLOOKUP($A102,SP_AcqTract_DB[],MATCH(B$2,SP_AcqTract_DB[#Headers],0),FALSE),"")</f>
        <v>R027694</v>
      </c>
      <c r="C102" s="228" t="str">
        <f>IFERROR(VLOOKUP($A102,SP_AcqTract_DB[],MATCH(C$2,SP_AcqTract_DB[#Headers],0),FALSE),"")</f>
        <v>PH2</v>
      </c>
      <c r="D102" s="208" t="str">
        <f>IFERROR(VLOOKUP($A102,SP_AcqTract_DB[],MATCH(D$2,SP_AcqTract_DB[#Headers],0),FALSE),"")</f>
        <v>Active</v>
      </c>
      <c r="E102" s="208">
        <f>IFERROR(VLOOKUP($A102,SP_AcqTract_DB[],MATCH(E$2,SP_AcqTract_DB[#Headers],0),FALSE),"")</f>
        <v>0</v>
      </c>
      <c r="F102" s="227">
        <f>IFERROR(VLOOKUP($A102,SP_AcqTract_DB[],MATCH(F$2,SP_AcqTract_DB[#Headers],0),FALSE),"")</f>
        <v>0</v>
      </c>
      <c r="G102" s="227">
        <f>IFERROR(VLOOKUP($A102,SP_AcqTract_DB[],MATCH(G$2,SP_AcqTract_DB[#Headers],0),FALSE),"")</f>
        <v>0</v>
      </c>
      <c r="H102" s="250" t="str">
        <f>IFERROR(IF(VLOOKUP(CONCATENATE($A102,"_",H$1),SP_ACQ_Lib[],MATCH(H$2,SP_ACQ_Lib[#Headers],0),FALSE)=0,"",VLOOKUP(CONCATENATE($A102,"_",H$1),SP_ACQ_Lib[],MATCH(H$2,SP_ACQ_Lib[#Headers],0),FALSE)),"")</f>
        <v/>
      </c>
      <c r="I102" s="227" t="str">
        <f>IFERROR(VLOOKUP($A102,SP_AcqTract_DB[],MATCH(I$2,SP_AcqTract_DB[#Headers],0),FALSE),"")</f>
        <v>Robert L Nilson</v>
      </c>
      <c r="J102" s="227">
        <f>IFERROR(VLOOKUP($A102,SP_AcqTract_DB[],MATCH(J$2,SP_AcqTract_DB[#Headers],0),FALSE),"")</f>
        <v>0</v>
      </c>
      <c r="K102" s="227">
        <f>IFERROR(VLOOKUP($A102,SP_AcqTract_DB[],MATCH(K$2,SP_AcqTract_DB[#Headers],0),FALSE),"")</f>
        <v>0</v>
      </c>
      <c r="L102" s="227">
        <f>IFERROR(VLOOKUP($A102,SP_AcqTract_DB[],MATCH(L$2,SP_AcqTract_DB[#Headers],0),FALSE),"")</f>
        <v>0</v>
      </c>
      <c r="M102" s="208">
        <f>IFERROR(VLOOKUP($A102,SP_AcqTract_DB[],MATCH(M$2,SP_AcqTract_DB[#Headers],0),FALSE),"")</f>
        <v>0</v>
      </c>
      <c r="N102" s="227" t="str">
        <f>IFERROR(VLOOKUP($A102,SP_AcqTract_DB[],MATCH(N$2,SP_AcqTract_DB[#Headers],0),FALSE),"")</f>
        <v>4731 FM 102</v>
      </c>
      <c r="O102" s="220">
        <f>IFERROR(VLOOKUP($A102,SP_AcqTract_DB[],MATCH(O$2,SP_AcqTract_DB[#Headers],0),FALSE),"")</f>
        <v>0</v>
      </c>
      <c r="P102" s="220">
        <f>IFERROR(VLOOKUP($A102,SP_AcqTract_DB[],MATCH(P$2,SP_AcqTract_DB[#Headers],0),FALSE),"")</f>
        <v>0</v>
      </c>
      <c r="Q102" s="208">
        <f>IFERROR(VLOOKUP($A102,SP_AcqTract_DB[],MATCH(Q$2,SP_AcqTract_DB[#Headers],0),FALSE),"")</f>
        <v>0</v>
      </c>
      <c r="R102" s="250" t="str">
        <f>IFERROR(IF(VLOOKUP(CONCATENATE($A102,"_",R$1),SP_ACQ_Lib[],MATCH(R$2,SP_ACQ_Lib[#Headers],0),FALSE)=0,"",VLOOKUP(CONCATENATE($A102,"_",R$1),SP_ACQ_Lib[],MATCH(R$2,SP_ACQ_Lib[#Headers],0),FALSE)),"")</f>
        <v/>
      </c>
      <c r="S102" s="253" t="str">
        <f>IFERROR(IF(VLOOKUP(CONCATENATE($A102,"_",S$1),SP_ACQ_Lib[],MATCH(S$2,SP_ACQ_Lib[#Headers],0),FALSE)=0,"",VLOOKUP(CONCATENATE($A102,"_",S$1),SP_ACQ_Lib[],MATCH(S$2,SP_ACQ_Lib[#Headers],0),FALSE)),"")</f>
        <v/>
      </c>
      <c r="T102" s="205">
        <f>IFERROR(VLOOKUP(CONCATENATE($A102,"_",T$1),SP_ACQ_Lib[],MATCH(T$2,SP_ACQ_Lib[#Headers],0),FALSE),0)</f>
        <v>0</v>
      </c>
      <c r="U102" s="250" t="str">
        <f>IFERROR(IF(VLOOKUP(CONCATENATE($A102,"_",U$1),SP_ACQ_Lib[],MATCH(U$2,SP_ACQ_Lib[#Headers],0),FALSE)=0,"",VLOOKUP(CONCATENATE($A102,"_",U$1),SP_ACQ_Lib[],MATCH(U$2,SP_ACQ_Lib[#Headers],0),FALSE)),"")</f>
        <v/>
      </c>
      <c r="V102" s="205" t="str">
        <f>IFERROR(VLOOKUP(CONCATENATE($A102,"_",V$1),SP_ACQ_Lib[],MATCH(V$2,SP_ACQ_Lib[#Headers],0),FALSE),0)</f>
        <v>Accepted</v>
      </c>
      <c r="W102" s="209">
        <f>IFERROR(VLOOKUP(CONCATENATE($A102,"_",W$1),SP_ACQ_Lib[],MATCH(W$2,SP_ACQ_Lib[#Headers],0),FALSE),0)</f>
        <v>0</v>
      </c>
      <c r="X102" s="250">
        <f>IFERROR(VLOOKUP($A102,SP_AcqTract_DB[],MATCH(X$2,SP_AcqTract_DB[#Headers],0),FALSE),"")</f>
        <v>0</v>
      </c>
      <c r="Y102" s="237">
        <f>IFERROR(VLOOKUP($A102,SP_AcqTract_DB[],MATCH(Y$2,SP_AcqTract_DB[#Headers],0),FALSE),"")</f>
        <v>0</v>
      </c>
      <c r="Z102" s="229">
        <f>IFERROR(VLOOKUP($A102,SP_AcqTract_DB[],MATCH(Z$2,SP_AcqTract_DB[#Headers],0),FALSE),"")</f>
        <v>0</v>
      </c>
      <c r="AA102" s="229">
        <f>IFERROR(VLOOKUP($A102,SP_AcqTract_DB[],MATCH(AA$2,SP_AcqTract_DB[#Headers],0),FALSE),"")</f>
        <v>0</v>
      </c>
      <c r="AB102" s="250" t="str">
        <f>IFERROR(IF(VLOOKUP(CONCATENATE($A102,"_",AB$1),SP_ACQ_Lib[],MATCH(AB$2,SP_ACQ_Lib[#Headers],0),FALSE)=0,"",VLOOKUP(CONCATENATE($A102,"_",AB$1),SP_ACQ_Lib[],MATCH(AB$2,SP_ACQ_Lib[#Headers],0),FALSE)),"")</f>
        <v/>
      </c>
      <c r="AC102" s="250" t="str">
        <f>IFERROR(IF(VLOOKUP(CONCATENATE($A102,"_",AC$1),SP_ACQ_Lib[],MATCH(AC$2,SP_ACQ_Lib[#Headers],0),FALSE)=0,"",VLOOKUP(CONCATENATE($A102,"_",AC$1),SP_ACQ_Lib[],MATCH(AC$2,SP_ACQ_Lib[#Headers],0),FALSE)),"")</f>
        <v/>
      </c>
      <c r="AD102" s="229">
        <f>IFERROR(VLOOKUP($A102,SP_AcqTract_DB[],MATCH(AD$2,SP_AcqTract_DB[#Headers],0),FALSE),"")</f>
        <v>0</v>
      </c>
      <c r="AE102" s="250" t="str">
        <f>IFERROR(IF(VLOOKUP(CONCATENATE($A102,"_",AE$1),SP_ACQ_Lib[],MATCH(AE$2,SP_ACQ_Lib[#Headers],0),FALSE)=0,"",VLOOKUP(CONCATENATE($A102,"_",AE$1),SP_ACQ_Lib[],MATCH(AE$2,SP_ACQ_Lib[#Headers],0),FALSE)),"")</f>
        <v/>
      </c>
      <c r="AF102" s="250" t="str">
        <f>IFERROR(IF(VLOOKUP(CONCATENATE($A102,"_",AF$1),SP_ACQ_Lib[],MATCH(AF$2,SP_ACQ_Lib[#Headers],0),FALSE)=0,"",VLOOKUP(CONCATENATE($A102,"_",AF$1),SP_ACQ_Lib[],MATCH(AF$2,SP_ACQ_Lib[#Headers],0),FALSE)),"")</f>
        <v/>
      </c>
      <c r="AG102" s="250" t="str">
        <f>IFERROR(IF(VLOOKUP(CONCATENATE($A102,"_",AG$1),SP_ACQ_Lib[],MATCH(AG$2,SP_ACQ_Lib[#Headers],0),FALSE)=0,"",VLOOKUP(CONCATENATE($A102,"_",AG$1),SP_ACQ_Lib[],MATCH(AG$2,SP_ACQ_Lib[#Headers],0),FALSE)),"")</f>
        <v/>
      </c>
      <c r="AH102" s="250" t="str">
        <f>IFERROR(IF(VLOOKUP(CONCATENATE($A102,"_",AH$1),SP_ACQ_Lib[],MATCH(AH$2,SP_ACQ_Lib[#Headers],0),FALSE)=0,"",VLOOKUP(CONCATENATE($A102,"_",AH$1),SP_ACQ_Lib[],MATCH(AH$2,SP_ACQ_Lib[#Headers],0),FALSE)),"")</f>
        <v/>
      </c>
      <c r="AI102" s="249" t="str">
        <f>IFERROR(IF(VLOOKUP(CONCATENATE($A102,"_",AI$1),SP_ACQ_Lib[],MATCH(AI$2,SP_ACQ_Lib[#Headers],0),FALSE)=0,"",VLOOKUP(CONCATENATE($A102,"_",AI$1),SP_ACQ_Lib[],MATCH(AI$2,SP_ACQ_Lib[#Headers],0),FALSE)),"")</f>
        <v/>
      </c>
      <c r="AJ102" s="249">
        <f>IFERROR(IF(VLOOKUP(CONCATENATE($A102,"_",AJ$1),SP_ACQ_Lib[],MATCH(AJ$2,SP_ACQ_Lib[#Headers],0),FALSE)=0,"",VLOOKUP(CONCATENATE($A102,"_",AJ$1),SP_ACQ_Lib[],MATCH(AJ$2,SP_ACQ_Lib[#Headers],0),FALSE)),"")</f>
        <v>43741</v>
      </c>
      <c r="AK102" s="249">
        <f>IFERROR(IF(VLOOKUP(CONCATENATE($A102,"_",AK$1),SP_ACQ_Lib[],MATCH(AK$2,SP_ACQ_Lib[#Headers],0),FALSE)=0,"",VLOOKUP(CONCATENATE($A102,"_",AK$1),SP_ACQ_Lib[],MATCH(AK$2,SP_ACQ_Lib[#Headers],0),FALSE)),"")</f>
        <v>43924</v>
      </c>
      <c r="AL102" s="249">
        <f>IFERROR(VLOOKUP($A102,SP_AcqTract_DB[],MATCH(AL$2,SP_AcqTract_DB[#Headers],0),FALSE),"")</f>
        <v>0</v>
      </c>
      <c r="AM102" s="227">
        <f>IFERROR(VLOOKUP($A102,SP_AcqTract_DB[],MATCH(AM$2,SP_AcqTract_DB[#Headers],0),FALSE),"")</f>
        <v>0</v>
      </c>
      <c r="AN102" s="227">
        <f>IFERROR(VLOOKUP($A102,SP_AcqTract_DB[],MATCH(AN$2,SP_AcqTract_DB[#Headers],0),FALSE),"")</f>
        <v>0</v>
      </c>
      <c r="AO102" s="228">
        <f>IFERROR(VLOOKUP($A102,SP_AcqTract_DB[],MATCH(AO$2,SP_AcqTract_DB[#Headers],0),FALSE),"")</f>
        <v>0</v>
      </c>
      <c r="AP102" s="210">
        <f>IFERROR(VLOOKUP($A102,SP_AcqTract_DB[],MATCH(AP$2,SP_AcqTract_DB[#Headers],0),FALSE),"")</f>
        <v>0</v>
      </c>
      <c r="AQ102" s="252" t="str">
        <f>IFERROR(IF(VLOOKUP(CONCATENATE($A102,"_",AQ$1),SP_ACQ_Lib[],MATCH(AQ$2,SP_ACQ_Lib[#Headers],0),FALSE)=0,"",VLOOKUP(CONCATENATE($A102,"_",AQ$1),SP_ACQ_Lib[],MATCH(AQ$2,SP_ACQ_Lib[#Headers],0),FALSE)),"")</f>
        <v/>
      </c>
      <c r="AR102" s="250" t="str">
        <f>IFERROR(IF(VLOOKUP(CONCATENATE($A102,"_",AR$1),SP_ACQ_Lib[],MATCH(AR$2,SP_ACQ_Lib[#Headers],0),FALSE)=0,"",VLOOKUP(CONCATENATE($A102,"_",AR$1),SP_ACQ_Lib[],MATCH(AR$2,SP_ACQ_Lib[#Headers],0),FALSE)),"")</f>
        <v/>
      </c>
      <c r="AS102" s="249" t="str">
        <f>IFERROR(IF(VLOOKUP(CONCATENATE($A102,"_",AS$1),SP_ACQ_Lib[],MATCH(AS$2,SP_ACQ_Lib[#Headers],0),FALSE)=0,"",VLOOKUP(CONCATENATE($A102,"_",AS$1),SP_ACQ_Lib[],MATCH(AS$2,SP_ACQ_Lib[#Headers],0),FALSE)),"")</f>
        <v/>
      </c>
      <c r="AT102" s="251" t="str">
        <f>IFERROR(IF(VLOOKUP(CONCATENATE($A102,"_",AT$1),SP_ACQ_Lib[],MATCH(AT$2,SP_ACQ_Lib[#Headers],0),FALSE)=0,"",VLOOKUP(CONCATENATE($A102,"_",AT$1),SP_ACQ_Lib[],MATCH(AT$2,SP_ACQ_Lib[#Headers],0),FALSE)),"")</f>
        <v/>
      </c>
      <c r="AU102" s="251" t="str">
        <f>IFERROR(IF(VLOOKUP(CONCATENATE($A102,"_",AU$1),SP_ACQ_Lib[],MATCH(AU$2,SP_ACQ_Lib[#Headers],0),FALSE)=0,"",VLOOKUP(CONCATENATE($A102,"_",AU$1),SP_ACQ_Lib[],MATCH(AU$2,SP_ACQ_Lib[#Headers],0),FALSE)),"")</f>
        <v/>
      </c>
      <c r="AV102" s="225" t="str">
        <f>IFERROR(IF(VLOOKUP(CONCATENATE($A102,"_",AV$1),SP_ACQ_Lib[],MATCH(AV$2,SP_ACQ_Lib[#Headers],0),FALSE)=0,"",VLOOKUP(CONCATENATE($A102,"_",AV$1),SP_ACQ_Lib[],MATCH(AV$2,SP_ACQ_Lib[#Headers],0),FALSE)),"")</f>
        <v/>
      </c>
      <c r="AW102" s="251" t="str">
        <f>IFERROR(IF(VLOOKUP(CONCATENATE($A102,"_",AW$1),SP_ACQ_Lib[],MATCH(AW$2,SP_ACQ_Lib[#Headers],0),FALSE)=0,"",VLOOKUP(CONCATENATE($A102,"_",AW$1),SP_ACQ_Lib[],MATCH(AW$2,SP_ACQ_Lib[#Headers],0),FALSE)),"")</f>
        <v/>
      </c>
      <c r="AX102" s="251" t="str">
        <f>IFERROR(IF(VLOOKUP(CONCATENATE($A102,"_",AX$1),SP_ACQ_Lib[],MATCH(AX$2,SP_ACQ_Lib[#Headers],0),FALSE)=0,"",VLOOKUP(CONCATENATE($A102,"_",AX$1),SP_ACQ_Lib[],MATCH(AX$2,SP_ACQ_Lib[#Headers],0),FALSE)),"")</f>
        <v/>
      </c>
      <c r="AY102" s="251" t="str">
        <f>IFERROR(IF(VLOOKUP(CONCATENATE($A102,"_",AY$1),SP_ACQ_Lib[],MATCH(AY$2,SP_ACQ_Lib[#Headers],0),FALSE)=0,"",VLOOKUP(CONCATENATE($A102,"_",AY$1),SP_ACQ_Lib[],MATCH(AY$2,SP_ACQ_Lib[#Headers],0),FALSE)),"")</f>
        <v/>
      </c>
      <c r="AZ102" s="251" t="str">
        <f>IFERROR(IF(VLOOKUP(CONCATENATE($A102,"_",AZ$1),SP_ACQ_Lib[],MATCH(AZ$2,SP_ACQ_Lib[#Headers],0),FALSE)=0,"",VLOOKUP(CONCATENATE($A102,"_",AZ$1),SP_ACQ_Lib[],MATCH(AZ$2,SP_ACQ_Lib[#Headers],0),FALSE)),"")</f>
        <v/>
      </c>
      <c r="BA102" s="251" t="str">
        <f>IFERROR(IF(VLOOKUP(CONCATENATE($A102,"_",BA$1),SP_ACQ_Lib[],MATCH(BA$2,SP_ACQ_Lib[#Headers],0),FALSE)=0,"",VLOOKUP(CONCATENATE($A102,"_",BA$1),SP_ACQ_Lib[],MATCH(BA$2,SP_ACQ_Lib[#Headers],0),FALSE)),"")</f>
        <v/>
      </c>
      <c r="BB102" s="224">
        <f>IFERROR(VLOOKUP(CONCATENATE($A102,"_",BB$1),SP_ACQ_Lib[],MATCH(BB$2,SP_ACQ_Lib[#Headers],0),FALSE),0)</f>
        <v>0</v>
      </c>
      <c r="BC102" s="231">
        <f>IFERROR(VLOOKUP($A102,SP_AcqTract_DB[],MATCH(BC$2,SP_AcqTract_DB[#Headers],0),FALSE),"")</f>
        <v>0</v>
      </c>
      <c r="BD102" s="231">
        <f>IFERROR(VLOOKUP($A102,SP_AcqTract_DB[],MATCH(BD$2,SP_AcqTract_DB[#Headers],0),FALSE),"")</f>
        <v>0</v>
      </c>
      <c r="BE102" s="249" t="str">
        <f>IFERROR(IF(VLOOKUP(CONCATENATE($A102,"_",BE$1),SP_ACQ_Lib[],MATCH(BE$2,SP_ACQ_Lib[#Headers],0),FALSE)=0,"",VLOOKUP(CONCATENATE($A102,"_",BE$1),SP_ACQ_Lib[],MATCH(BE$2,SP_ACQ_Lib[#Headers],0),FALSE)),"")</f>
        <v/>
      </c>
      <c r="BF102" s="249" t="str">
        <f>IFERROR(IF(VLOOKUP(CONCATENATE($A102,"_",BF$1),SP_ACQ_Lib[],MATCH(BF$2,SP_ACQ_Lib[#Headers],0),FALSE)=0,"",VLOOKUP(CONCATENATE($A102,"_",BF$1),SP_ACQ_Lib[],MATCH(BF$2,SP_ACQ_Lib[#Headers],0),FALSE)),"")</f>
        <v/>
      </c>
      <c r="BG102" s="249" t="str">
        <f>IFERROR(IF(VLOOKUP(CONCATENATE($A102,"_",BG$1),SP_ACQ_Lib[],MATCH(BG$2,SP_ACQ_Lib[#Headers],0),FALSE)=0,"",VLOOKUP(CONCATENATE($A102,"_",BG$1),SP_ACQ_Lib[],MATCH(BG$2,SP_ACQ_Lib[#Headers],0),FALSE)),"")</f>
        <v/>
      </c>
      <c r="BH102" s="249" t="str">
        <f>IFERROR(IF(VLOOKUP(CONCATENATE($A102,"_",BH$1),SP_ACQ_Lib[],MATCH(BH$2,SP_ACQ_Lib[#Headers],0),FALSE)=0,"",VLOOKUP(CONCATENATE($A102,"_",BH$1),SP_ACQ_Lib[],MATCH(BH$2,SP_ACQ_Lib[#Headers],0),FALSE)),"")</f>
        <v/>
      </c>
      <c r="BI102" s="249" t="str">
        <f>IFERROR(IF(VLOOKUP(CONCATENATE($A102,"_",BI$1),SP_ACQ_Lib[],MATCH(BI$2,SP_ACQ_Lib[#Headers],0),FALSE)=0,"",VLOOKUP(CONCATENATE($A102,"_",BI$1),SP_ACQ_Lib[],MATCH(BI$2,SP_ACQ_Lib[#Headers],0),FALSE)),"")</f>
        <v/>
      </c>
      <c r="BJ102" s="249" t="str">
        <f>IFERROR(IF(VLOOKUP(CONCATENATE($A102,"_",BJ$1),SP_ACQ_Lib[],MATCH(BJ$2,SP_ACQ_Lib[#Headers],0),FALSE)=0,"",VLOOKUP(CONCATENATE($A102,"_",BJ$1),SP_ACQ_Lib[],MATCH(BJ$2,SP_ACQ_Lib[#Headers],0),FALSE)),"")</f>
        <v/>
      </c>
      <c r="BK102" s="250" t="str">
        <f>IFERROR(IF(VLOOKUP(CONCATENATE($A102,"_",BK$1),SP_ACQ_Lib[],MATCH(BK$2,SP_ACQ_Lib[#Headers],0),FALSE)=0,"",VLOOKUP(CONCATENATE($A102,"_",BK$1),SP_ACQ_Lib[],MATCH(BK$2,SP_ACQ_Lib[#Headers],0),FALSE)),"")</f>
        <v/>
      </c>
      <c r="BL102" s="249" t="str">
        <f>IFERROR(IF(VLOOKUP(CONCATENATE($A102,"_",BL$1),SP_ACQ_Lib[],MATCH(BL$2,SP_ACQ_Lib[#Headers],0),FALSE)=0,"",VLOOKUP(CONCATENATE($A102,"_",BL$1),SP_ACQ_Lib[],MATCH(BL$2,SP_ACQ_Lib[#Headers],0),FALSE)),"")</f>
        <v/>
      </c>
      <c r="BM102" s="249" t="str">
        <f>IFERROR(IF(VLOOKUP(CONCATENATE($A102,"_",BM$1),SP_ACQ_Lib[],MATCH(BM$2,SP_ACQ_Lib[#Headers],0),FALSE)=0,"",VLOOKUP(CONCATENATE($A102,"_",BM$1),SP_ACQ_Lib[],MATCH(BM$2,SP_ACQ_Lib[#Headers],0),FALSE)),"")</f>
        <v/>
      </c>
      <c r="BN102" s="249" t="str">
        <f>IFERROR(IF(VLOOKUP(CONCATENATE($A102,"_",BN$1),SP_ACQ_Lib[],MATCH(BN$2,SP_ACQ_Lib[#Headers],0),FALSE)=0,"",VLOOKUP(CONCATENATE($A102,"_",BN$1),SP_ACQ_Lib[],MATCH(BN$2,SP_ACQ_Lib[#Headers],0),FALSE)),"")</f>
        <v/>
      </c>
    </row>
    <row r="103" spans="1:66" s="226" customFormat="1" ht="15.75" x14ac:dyDescent="0.2">
      <c r="A103" s="192" t="s">
        <v>5322</v>
      </c>
      <c r="B103" s="227" t="str">
        <f>IFERROR(VLOOKUP($A103,SP_AcqTract_DB[],MATCH(B$2,SP_AcqTract_DB[#Headers],0),FALSE),"")</f>
        <v>R032037</v>
      </c>
      <c r="C103" s="228" t="str">
        <f>IFERROR(VLOOKUP($A103,SP_AcqTract_DB[],MATCH(C$2,SP_AcqTract_DB[#Headers],0),FALSE),"")</f>
        <v>PH2</v>
      </c>
      <c r="D103" s="208" t="str">
        <f>IFERROR(VLOOKUP($A103,SP_AcqTract_DB[],MATCH(D$2,SP_AcqTract_DB[#Headers],0),FALSE),"")</f>
        <v>Active</v>
      </c>
      <c r="E103" s="208">
        <f>IFERROR(VLOOKUP($A103,SP_AcqTract_DB[],MATCH(E$2,SP_AcqTract_DB[#Headers],0),FALSE),"")</f>
        <v>0</v>
      </c>
      <c r="F103" s="227">
        <f>IFERROR(VLOOKUP($A103,SP_AcqTract_DB[],MATCH(F$2,SP_AcqTract_DB[#Headers],0),FALSE),"")</f>
        <v>0</v>
      </c>
      <c r="G103" s="227" t="str">
        <f>IFERROR(VLOOKUP($A103,SP_AcqTract_DB[],MATCH(G$2,SP_AcqTract_DB[#Headers],0),FALSE),"")</f>
        <v>Melissa DeLeon</v>
      </c>
      <c r="H103" s="250">
        <f>IFERROR(IF(VLOOKUP(CONCATENATE($A103,"_",H$1),SP_ACQ_Lib[],MATCH(H$2,SP_ACQ_Lib[#Headers],0),FALSE)=0,"",VLOOKUP(CONCATENATE($A103,"_",H$1),SP_ACQ_Lib[],MATCH(H$2,SP_ACQ_Lib[#Headers],0),FALSE)),"")</f>
        <v>44012.66510416667</v>
      </c>
      <c r="I103" s="227" t="str">
        <f>IFERROR(VLOOKUP($A103,SP_AcqTract_DB[],MATCH(I$2,SP_AcqTract_DB[#Headers],0),FALSE),"")</f>
        <v>Witt Ann L &amp; Raymond R</v>
      </c>
      <c r="J103" s="227">
        <f>IFERROR(VLOOKUP($A103,SP_AcqTract_DB[],MATCH(J$2,SP_AcqTract_DB[#Headers],0),FALSE),"")</f>
        <v>0</v>
      </c>
      <c r="K103" s="227">
        <f>IFERROR(VLOOKUP($A103,SP_AcqTract_DB[],MATCH(K$2,SP_AcqTract_DB[#Headers],0),FALSE),"")</f>
        <v>0</v>
      </c>
      <c r="L103" s="227">
        <f>IFERROR(VLOOKUP($A103,SP_AcqTract_DB[],MATCH(L$2,SP_AcqTract_DB[#Headers],0),FALSE),"")</f>
        <v>0</v>
      </c>
      <c r="M103" s="208">
        <f>IFERROR(VLOOKUP($A103,SP_AcqTract_DB[],MATCH(M$2,SP_AcqTract_DB[#Headers],0),FALSE),"")</f>
        <v>0</v>
      </c>
      <c r="N103" s="227" t="str">
        <f>IFERROR(VLOOKUP($A103,SP_AcqTract_DB[],MATCH(N$2,SP_AcqTract_DB[#Headers],0),FALSE),"")</f>
        <v>0  CR 222</v>
      </c>
      <c r="O103" s="220">
        <f>IFERROR(VLOOKUP($A103,SP_AcqTract_DB[],MATCH(O$2,SP_AcqTract_DB[#Headers],0),FALSE),"")</f>
        <v>0</v>
      </c>
      <c r="P103" s="220">
        <f>IFERROR(VLOOKUP($A103,SP_AcqTract_DB[],MATCH(P$2,SP_AcqTract_DB[#Headers],0),FALSE),"")</f>
        <v>0</v>
      </c>
      <c r="Q103" s="208">
        <f>IFERROR(VLOOKUP($A103,SP_AcqTract_DB[],MATCH(Q$2,SP_AcqTract_DB[#Headers],0),FALSE),"")</f>
        <v>0</v>
      </c>
      <c r="R103" s="250" t="str">
        <f>IFERROR(IF(VLOOKUP(CONCATENATE($A103,"_",R$1),SP_ACQ_Lib[],MATCH(R$2,SP_ACQ_Lib[#Headers],0),FALSE)=0,"",VLOOKUP(CONCATENATE($A103,"_",R$1),SP_ACQ_Lib[],MATCH(R$2,SP_ACQ_Lib[#Headers],0),FALSE)),"")</f>
        <v/>
      </c>
      <c r="S103" s="253" t="str">
        <f>IFERROR(IF(VLOOKUP(CONCATENATE($A103,"_",S$1),SP_ACQ_Lib[],MATCH(S$2,SP_ACQ_Lib[#Headers],0),FALSE)=0,"",VLOOKUP(CONCATENATE($A103,"_",S$1),SP_ACQ_Lib[],MATCH(S$2,SP_ACQ_Lib[#Headers],0),FALSE)),"")</f>
        <v/>
      </c>
      <c r="T103" s="205">
        <f>IFERROR(VLOOKUP(CONCATENATE($A103,"_",T$1),SP_ACQ_Lib[],MATCH(T$2,SP_ACQ_Lib[#Headers],0),FALSE),0)</f>
        <v>0</v>
      </c>
      <c r="U103" s="250" t="str">
        <f>IFERROR(IF(VLOOKUP(CONCATENATE($A103,"_",U$1),SP_ACQ_Lib[],MATCH(U$2,SP_ACQ_Lib[#Headers],0),FALSE)=0,"",VLOOKUP(CONCATENATE($A103,"_",U$1),SP_ACQ_Lib[],MATCH(U$2,SP_ACQ_Lib[#Headers],0),FALSE)),"")</f>
        <v/>
      </c>
      <c r="V103" s="205" t="str">
        <f>IFERROR(VLOOKUP(CONCATENATE($A103,"_",V$1),SP_ACQ_Lib[],MATCH(V$2,SP_ACQ_Lib[#Headers],0),FALSE),0)</f>
        <v>Accepted</v>
      </c>
      <c r="W103" s="209">
        <f>IFERROR(VLOOKUP(CONCATENATE($A103,"_",W$1),SP_ACQ_Lib[],MATCH(W$2,SP_ACQ_Lib[#Headers],0),FALSE),0)</f>
        <v>0</v>
      </c>
      <c r="X103" s="250">
        <f>IFERROR(VLOOKUP($A103,SP_AcqTract_DB[],MATCH(X$2,SP_AcqTract_DB[#Headers],0),FALSE),"")</f>
        <v>0</v>
      </c>
      <c r="Y103" s="237">
        <f>IFERROR(VLOOKUP($A103,SP_AcqTract_DB[],MATCH(Y$2,SP_AcqTract_DB[#Headers],0),FALSE),"")</f>
        <v>0</v>
      </c>
      <c r="Z103" s="229">
        <f>IFERROR(VLOOKUP($A103,SP_AcqTract_DB[],MATCH(Z$2,SP_AcqTract_DB[#Headers],0),FALSE),"")</f>
        <v>0</v>
      </c>
      <c r="AA103" s="229">
        <f>IFERROR(VLOOKUP($A103,SP_AcqTract_DB[],MATCH(AA$2,SP_AcqTract_DB[#Headers],0),FALSE),"")</f>
        <v>0</v>
      </c>
      <c r="AB103" s="250" t="str">
        <f>IFERROR(IF(VLOOKUP(CONCATENATE($A103,"_",AB$1),SP_ACQ_Lib[],MATCH(AB$2,SP_ACQ_Lib[#Headers],0),FALSE)=0,"",VLOOKUP(CONCATENATE($A103,"_",AB$1),SP_ACQ_Lib[],MATCH(AB$2,SP_ACQ_Lib[#Headers],0),FALSE)),"")</f>
        <v/>
      </c>
      <c r="AC103" s="250" t="str">
        <f>IFERROR(IF(VLOOKUP(CONCATENATE($A103,"_",AC$1),SP_ACQ_Lib[],MATCH(AC$2,SP_ACQ_Lib[#Headers],0),FALSE)=0,"",VLOOKUP(CONCATENATE($A103,"_",AC$1),SP_ACQ_Lib[],MATCH(AC$2,SP_ACQ_Lib[#Headers],0),FALSE)),"")</f>
        <v/>
      </c>
      <c r="AD103" s="229">
        <f>IFERROR(VLOOKUP($A103,SP_AcqTract_DB[],MATCH(AD$2,SP_AcqTract_DB[#Headers],0),FALSE),"")</f>
        <v>0</v>
      </c>
      <c r="AE103" s="250" t="str">
        <f>IFERROR(IF(VLOOKUP(CONCATENATE($A103,"_",AE$1),SP_ACQ_Lib[],MATCH(AE$2,SP_ACQ_Lib[#Headers],0),FALSE)=0,"",VLOOKUP(CONCATENATE($A103,"_",AE$1),SP_ACQ_Lib[],MATCH(AE$2,SP_ACQ_Lib[#Headers],0),FALSE)),"")</f>
        <v/>
      </c>
      <c r="AF103" s="250" t="str">
        <f>IFERROR(IF(VLOOKUP(CONCATENATE($A103,"_",AF$1),SP_ACQ_Lib[],MATCH(AF$2,SP_ACQ_Lib[#Headers],0),FALSE)=0,"",VLOOKUP(CONCATENATE($A103,"_",AF$1),SP_ACQ_Lib[],MATCH(AF$2,SP_ACQ_Lib[#Headers],0),FALSE)),"")</f>
        <v/>
      </c>
      <c r="AG103" s="250" t="str">
        <f>IFERROR(IF(VLOOKUP(CONCATENATE($A103,"_",AG$1),SP_ACQ_Lib[],MATCH(AG$2,SP_ACQ_Lib[#Headers],0),FALSE)=0,"",VLOOKUP(CONCATENATE($A103,"_",AG$1),SP_ACQ_Lib[],MATCH(AG$2,SP_ACQ_Lib[#Headers],0),FALSE)),"")</f>
        <v/>
      </c>
      <c r="AH103" s="250" t="str">
        <f>IFERROR(IF(VLOOKUP(CONCATENATE($A103,"_",AH$1),SP_ACQ_Lib[],MATCH(AH$2,SP_ACQ_Lib[#Headers],0),FALSE)=0,"",VLOOKUP(CONCATENATE($A103,"_",AH$1),SP_ACQ_Lib[],MATCH(AH$2,SP_ACQ_Lib[#Headers],0),FALSE)),"")</f>
        <v/>
      </c>
      <c r="AI103" s="249">
        <f>IFERROR(IF(VLOOKUP(CONCATENATE($A103,"_",AI$1),SP_ACQ_Lib[],MATCH(AI$2,SP_ACQ_Lib[#Headers],0),FALSE)=0,"",VLOOKUP(CONCATENATE($A103,"_",AI$1),SP_ACQ_Lib[],MATCH(AI$2,SP_ACQ_Lib[#Headers],0),FALSE)),"")</f>
        <v>43985</v>
      </c>
      <c r="AJ103" s="249" t="str">
        <f>IFERROR(IF(VLOOKUP(CONCATENATE($A103,"_",AJ$1),SP_ACQ_Lib[],MATCH(AJ$2,SP_ACQ_Lib[#Headers],0),FALSE)=0,"",VLOOKUP(CONCATENATE($A103,"_",AJ$1),SP_ACQ_Lib[],MATCH(AJ$2,SP_ACQ_Lib[#Headers],0),FALSE)),"")</f>
        <v/>
      </c>
      <c r="AK103" s="249" t="str">
        <f>IFERROR(IF(VLOOKUP(CONCATENATE($A103,"_",AK$1),SP_ACQ_Lib[],MATCH(AK$2,SP_ACQ_Lib[#Headers],0),FALSE)=0,"",VLOOKUP(CONCATENATE($A103,"_",AK$1),SP_ACQ_Lib[],MATCH(AK$2,SP_ACQ_Lib[#Headers],0),FALSE)),"")</f>
        <v/>
      </c>
      <c r="AL103" s="249">
        <f>IFERROR(VLOOKUP($A103,SP_AcqTract_DB[],MATCH(AL$2,SP_AcqTract_DB[#Headers],0),FALSE),"")</f>
        <v>0</v>
      </c>
      <c r="AM103" s="227">
        <f>IFERROR(VLOOKUP($A103,SP_AcqTract_DB[],MATCH(AM$2,SP_AcqTract_DB[#Headers],0),FALSE),"")</f>
        <v>0</v>
      </c>
      <c r="AN103" s="227">
        <f>IFERROR(VLOOKUP($A103,SP_AcqTract_DB[],MATCH(AN$2,SP_AcqTract_DB[#Headers],0),FALSE),"")</f>
        <v>0</v>
      </c>
      <c r="AO103" s="228">
        <f>IFERROR(VLOOKUP($A103,SP_AcqTract_DB[],MATCH(AO$2,SP_AcqTract_DB[#Headers],0),FALSE),"")</f>
        <v>0</v>
      </c>
      <c r="AP103" s="210">
        <f>IFERROR(VLOOKUP($A103,SP_AcqTract_DB[],MATCH(AP$2,SP_AcqTract_DB[#Headers],0),FALSE),"")</f>
        <v>0</v>
      </c>
      <c r="AQ103" s="252" t="str">
        <f>IFERROR(IF(VLOOKUP(CONCATENATE($A103,"_",AQ$1),SP_ACQ_Lib[],MATCH(AQ$2,SP_ACQ_Lib[#Headers],0),FALSE)=0,"",VLOOKUP(CONCATENATE($A103,"_",AQ$1),SP_ACQ_Lib[],MATCH(AQ$2,SP_ACQ_Lib[#Headers],0),FALSE)),"")</f>
        <v/>
      </c>
      <c r="AR103" s="250" t="str">
        <f>IFERROR(IF(VLOOKUP(CONCATENATE($A103,"_",AR$1),SP_ACQ_Lib[],MATCH(AR$2,SP_ACQ_Lib[#Headers],0),FALSE)=0,"",VLOOKUP(CONCATENATE($A103,"_",AR$1),SP_ACQ_Lib[],MATCH(AR$2,SP_ACQ_Lib[#Headers],0),FALSE)),"")</f>
        <v/>
      </c>
      <c r="AS103" s="249" t="str">
        <f>IFERROR(IF(VLOOKUP(CONCATENATE($A103,"_",AS$1),SP_ACQ_Lib[],MATCH(AS$2,SP_ACQ_Lib[#Headers],0),FALSE)=0,"",VLOOKUP(CONCATENATE($A103,"_",AS$1),SP_ACQ_Lib[],MATCH(AS$2,SP_ACQ_Lib[#Headers],0),FALSE)),"")</f>
        <v/>
      </c>
      <c r="AT103" s="251" t="str">
        <f>IFERROR(IF(VLOOKUP(CONCATENATE($A103,"_",AT$1),SP_ACQ_Lib[],MATCH(AT$2,SP_ACQ_Lib[#Headers],0),FALSE)=0,"",VLOOKUP(CONCATENATE($A103,"_",AT$1),SP_ACQ_Lib[],MATCH(AT$2,SP_ACQ_Lib[#Headers],0),FALSE)),"")</f>
        <v/>
      </c>
      <c r="AU103" s="251" t="str">
        <f>IFERROR(IF(VLOOKUP(CONCATENATE($A103,"_",AU$1),SP_ACQ_Lib[],MATCH(AU$2,SP_ACQ_Lib[#Headers],0),FALSE)=0,"",VLOOKUP(CONCATENATE($A103,"_",AU$1),SP_ACQ_Lib[],MATCH(AU$2,SP_ACQ_Lib[#Headers],0),FALSE)),"")</f>
        <v/>
      </c>
      <c r="AV103" s="225" t="str">
        <f>IFERROR(IF(VLOOKUP(CONCATENATE($A103,"_",AV$1),SP_ACQ_Lib[],MATCH(AV$2,SP_ACQ_Lib[#Headers],0),FALSE)=0,"",VLOOKUP(CONCATENATE($A103,"_",AV$1),SP_ACQ_Lib[],MATCH(AV$2,SP_ACQ_Lib[#Headers],0),FALSE)),"")</f>
        <v/>
      </c>
      <c r="AW103" s="251" t="str">
        <f>IFERROR(IF(VLOOKUP(CONCATENATE($A103,"_",AW$1),SP_ACQ_Lib[],MATCH(AW$2,SP_ACQ_Lib[#Headers],0),FALSE)=0,"",VLOOKUP(CONCATENATE($A103,"_",AW$1),SP_ACQ_Lib[],MATCH(AW$2,SP_ACQ_Lib[#Headers],0),FALSE)),"")</f>
        <v/>
      </c>
      <c r="AX103" s="251" t="str">
        <f>IFERROR(IF(VLOOKUP(CONCATENATE($A103,"_",AX$1),SP_ACQ_Lib[],MATCH(AX$2,SP_ACQ_Lib[#Headers],0),FALSE)=0,"",VLOOKUP(CONCATENATE($A103,"_",AX$1),SP_ACQ_Lib[],MATCH(AX$2,SP_ACQ_Lib[#Headers],0),FALSE)),"")</f>
        <v/>
      </c>
      <c r="AY103" s="251" t="str">
        <f>IFERROR(IF(VLOOKUP(CONCATENATE($A103,"_",AY$1),SP_ACQ_Lib[],MATCH(AY$2,SP_ACQ_Lib[#Headers],0),FALSE)=0,"",VLOOKUP(CONCATENATE($A103,"_",AY$1),SP_ACQ_Lib[],MATCH(AY$2,SP_ACQ_Lib[#Headers],0),FALSE)),"")</f>
        <v/>
      </c>
      <c r="AZ103" s="251" t="str">
        <f>IFERROR(IF(VLOOKUP(CONCATENATE($A103,"_",AZ$1),SP_ACQ_Lib[],MATCH(AZ$2,SP_ACQ_Lib[#Headers],0),FALSE)=0,"",VLOOKUP(CONCATENATE($A103,"_",AZ$1),SP_ACQ_Lib[],MATCH(AZ$2,SP_ACQ_Lib[#Headers],0),FALSE)),"")</f>
        <v/>
      </c>
      <c r="BA103" s="251" t="str">
        <f>IFERROR(IF(VLOOKUP(CONCATENATE($A103,"_",BA$1),SP_ACQ_Lib[],MATCH(BA$2,SP_ACQ_Lib[#Headers],0),FALSE)=0,"",VLOOKUP(CONCATENATE($A103,"_",BA$1),SP_ACQ_Lib[],MATCH(BA$2,SP_ACQ_Lib[#Headers],0),FALSE)),"")</f>
        <v/>
      </c>
      <c r="BB103" s="224">
        <f>IFERROR(VLOOKUP(CONCATENATE($A103,"_",BB$1),SP_ACQ_Lib[],MATCH(BB$2,SP_ACQ_Lib[#Headers],0),FALSE),0)</f>
        <v>0</v>
      </c>
      <c r="BC103" s="231">
        <f>IFERROR(VLOOKUP($A103,SP_AcqTract_DB[],MATCH(BC$2,SP_AcqTract_DB[#Headers],0),FALSE),"")</f>
        <v>0</v>
      </c>
      <c r="BD103" s="231">
        <f>IFERROR(VLOOKUP($A103,SP_AcqTract_DB[],MATCH(BD$2,SP_AcqTract_DB[#Headers],0),FALSE),"")</f>
        <v>0</v>
      </c>
      <c r="BE103" s="249" t="str">
        <f>IFERROR(IF(VLOOKUP(CONCATENATE($A103,"_",BE$1),SP_ACQ_Lib[],MATCH(BE$2,SP_ACQ_Lib[#Headers],0),FALSE)=0,"",VLOOKUP(CONCATENATE($A103,"_",BE$1),SP_ACQ_Lib[],MATCH(BE$2,SP_ACQ_Lib[#Headers],0),FALSE)),"")</f>
        <v/>
      </c>
      <c r="BF103" s="249" t="str">
        <f>IFERROR(IF(VLOOKUP(CONCATENATE($A103,"_",BF$1),SP_ACQ_Lib[],MATCH(BF$2,SP_ACQ_Lib[#Headers],0),FALSE)=0,"",VLOOKUP(CONCATENATE($A103,"_",BF$1),SP_ACQ_Lib[],MATCH(BF$2,SP_ACQ_Lib[#Headers],0),FALSE)),"")</f>
        <v/>
      </c>
      <c r="BG103" s="249" t="str">
        <f>IFERROR(IF(VLOOKUP(CONCATENATE($A103,"_",BG$1),SP_ACQ_Lib[],MATCH(BG$2,SP_ACQ_Lib[#Headers],0),FALSE)=0,"",VLOOKUP(CONCATENATE($A103,"_",BG$1),SP_ACQ_Lib[],MATCH(BG$2,SP_ACQ_Lib[#Headers],0),FALSE)),"")</f>
        <v/>
      </c>
      <c r="BH103" s="249" t="str">
        <f>IFERROR(IF(VLOOKUP(CONCATENATE($A103,"_",BH$1),SP_ACQ_Lib[],MATCH(BH$2,SP_ACQ_Lib[#Headers],0),FALSE)=0,"",VLOOKUP(CONCATENATE($A103,"_",BH$1),SP_ACQ_Lib[],MATCH(BH$2,SP_ACQ_Lib[#Headers],0),FALSE)),"")</f>
        <v/>
      </c>
      <c r="BI103" s="249" t="str">
        <f>IFERROR(IF(VLOOKUP(CONCATENATE($A103,"_",BI$1),SP_ACQ_Lib[],MATCH(BI$2,SP_ACQ_Lib[#Headers],0),FALSE)=0,"",VLOOKUP(CONCATENATE($A103,"_",BI$1),SP_ACQ_Lib[],MATCH(BI$2,SP_ACQ_Lib[#Headers],0),FALSE)),"")</f>
        <v/>
      </c>
      <c r="BJ103" s="249" t="str">
        <f>IFERROR(IF(VLOOKUP(CONCATENATE($A103,"_",BJ$1),SP_ACQ_Lib[],MATCH(BJ$2,SP_ACQ_Lib[#Headers],0),FALSE)=0,"",VLOOKUP(CONCATENATE($A103,"_",BJ$1),SP_ACQ_Lib[],MATCH(BJ$2,SP_ACQ_Lib[#Headers],0),FALSE)),"")</f>
        <v/>
      </c>
      <c r="BK103" s="250" t="str">
        <f>IFERROR(IF(VLOOKUP(CONCATENATE($A103,"_",BK$1),SP_ACQ_Lib[],MATCH(BK$2,SP_ACQ_Lib[#Headers],0),FALSE)=0,"",VLOOKUP(CONCATENATE($A103,"_",BK$1),SP_ACQ_Lib[],MATCH(BK$2,SP_ACQ_Lib[#Headers],0),FALSE)),"")</f>
        <v/>
      </c>
      <c r="BL103" s="249" t="str">
        <f>IFERROR(IF(VLOOKUP(CONCATENATE($A103,"_",BL$1),SP_ACQ_Lib[],MATCH(BL$2,SP_ACQ_Lib[#Headers],0),FALSE)=0,"",VLOOKUP(CONCATENATE($A103,"_",BL$1),SP_ACQ_Lib[],MATCH(BL$2,SP_ACQ_Lib[#Headers],0),FALSE)),"")</f>
        <v/>
      </c>
      <c r="BM103" s="249" t="str">
        <f>IFERROR(IF(VLOOKUP(CONCATENATE($A103,"_",BM$1),SP_ACQ_Lib[],MATCH(BM$2,SP_ACQ_Lib[#Headers],0),FALSE)=0,"",VLOOKUP(CONCATENATE($A103,"_",BM$1),SP_ACQ_Lib[],MATCH(BM$2,SP_ACQ_Lib[#Headers],0),FALSE)),"")</f>
        <v/>
      </c>
      <c r="BN103" s="249" t="str">
        <f>IFERROR(IF(VLOOKUP(CONCATENATE($A103,"_",BN$1),SP_ACQ_Lib[],MATCH(BN$2,SP_ACQ_Lib[#Headers],0),FALSE)=0,"",VLOOKUP(CONCATENATE($A103,"_",BN$1),SP_ACQ_Lib[],MATCH(BN$2,SP_ACQ_Lib[#Headers],0),FALSE)),"")</f>
        <v/>
      </c>
    </row>
    <row r="104" spans="1:66" s="226" customFormat="1" ht="15.75" x14ac:dyDescent="0.2">
      <c r="A104" s="192" t="s">
        <v>5324</v>
      </c>
      <c r="B104" s="227" t="str">
        <f>IFERROR(VLOOKUP($A104,SP_AcqTract_DB[],MATCH(B$2,SP_AcqTract_DB[#Headers],0),FALSE),"")</f>
        <v>R032053</v>
      </c>
      <c r="C104" s="228" t="str">
        <f>IFERROR(VLOOKUP($A104,SP_AcqTract_DB[],MATCH(C$2,SP_AcqTract_DB[#Headers],0),FALSE),"")</f>
        <v>PH2</v>
      </c>
      <c r="D104" s="208" t="str">
        <f>IFERROR(VLOOKUP($A104,SP_AcqTract_DB[],MATCH(D$2,SP_AcqTract_DB[#Headers],0),FALSE),"")</f>
        <v>Active</v>
      </c>
      <c r="E104" s="208">
        <f>IFERROR(VLOOKUP($A104,SP_AcqTract_DB[],MATCH(E$2,SP_AcqTract_DB[#Headers],0),FALSE),"")</f>
        <v>0</v>
      </c>
      <c r="F104" s="227">
        <f>IFERROR(VLOOKUP($A104,SP_AcqTract_DB[],MATCH(F$2,SP_AcqTract_DB[#Headers],0),FALSE),"")</f>
        <v>0</v>
      </c>
      <c r="G104" s="227" t="str">
        <f>IFERROR(VLOOKUP($A104,SP_AcqTract_DB[],MATCH(G$2,SP_AcqTract_DB[#Headers],0),FALSE),"")</f>
        <v>Melissa DeLeon</v>
      </c>
      <c r="H104" s="250">
        <f>IFERROR(IF(VLOOKUP(CONCATENATE($A104,"_",H$1),SP_ACQ_Lib[],MATCH(H$2,SP_ACQ_Lib[#Headers],0),FALSE)=0,"",VLOOKUP(CONCATENATE($A104,"_",H$1),SP_ACQ_Lib[],MATCH(H$2,SP_ACQ_Lib[#Headers],0),FALSE)),"")</f>
        <v>44012.670231481483</v>
      </c>
      <c r="I104" s="227" t="str">
        <f>IFERROR(VLOOKUP($A104,SP_AcqTract_DB[],MATCH(I$2,SP_AcqTract_DB[#Headers],0),FALSE),"")</f>
        <v>Jansky June</v>
      </c>
      <c r="J104" s="227">
        <f>IFERROR(VLOOKUP($A104,SP_AcqTract_DB[],MATCH(J$2,SP_AcqTract_DB[#Headers],0),FALSE),"")</f>
        <v>0</v>
      </c>
      <c r="K104" s="227">
        <f>IFERROR(VLOOKUP($A104,SP_AcqTract_DB[],MATCH(K$2,SP_AcqTract_DB[#Headers],0),FALSE),"")</f>
        <v>0</v>
      </c>
      <c r="L104" s="227">
        <f>IFERROR(VLOOKUP($A104,SP_AcqTract_DB[],MATCH(L$2,SP_AcqTract_DB[#Headers],0),FALSE),"")</f>
        <v>0</v>
      </c>
      <c r="M104" s="208">
        <f>IFERROR(VLOOKUP($A104,SP_AcqTract_DB[],MATCH(M$2,SP_AcqTract_DB[#Headers],0),FALSE),"")</f>
        <v>0</v>
      </c>
      <c r="N104" s="227" t="str">
        <f>IFERROR(VLOOKUP($A104,SP_AcqTract_DB[],MATCH(N$2,SP_AcqTract_DB[#Headers],0),FALSE),"")</f>
        <v>0  HWY 59</v>
      </c>
      <c r="O104" s="220">
        <f>IFERROR(VLOOKUP($A104,SP_AcqTract_DB[],MATCH(O$2,SP_AcqTract_DB[#Headers],0),FALSE),"")</f>
        <v>0</v>
      </c>
      <c r="P104" s="220">
        <f>IFERROR(VLOOKUP($A104,SP_AcqTract_DB[],MATCH(P$2,SP_AcqTract_DB[#Headers],0),FALSE),"")</f>
        <v>0</v>
      </c>
      <c r="Q104" s="208">
        <f>IFERROR(VLOOKUP($A104,SP_AcqTract_DB[],MATCH(Q$2,SP_AcqTract_DB[#Headers],0),FALSE),"")</f>
        <v>0</v>
      </c>
      <c r="R104" s="250" t="str">
        <f>IFERROR(IF(VLOOKUP(CONCATENATE($A104,"_",R$1),SP_ACQ_Lib[],MATCH(R$2,SP_ACQ_Lib[#Headers],0),FALSE)=0,"",VLOOKUP(CONCATENATE($A104,"_",R$1),SP_ACQ_Lib[],MATCH(R$2,SP_ACQ_Lib[#Headers],0),FALSE)),"")</f>
        <v/>
      </c>
      <c r="S104" s="253" t="str">
        <f>IFERROR(IF(VLOOKUP(CONCATENATE($A104,"_",S$1),SP_ACQ_Lib[],MATCH(S$2,SP_ACQ_Lib[#Headers],0),FALSE)=0,"",VLOOKUP(CONCATENATE($A104,"_",S$1),SP_ACQ_Lib[],MATCH(S$2,SP_ACQ_Lib[#Headers],0),FALSE)),"")</f>
        <v/>
      </c>
      <c r="T104" s="205">
        <f>IFERROR(VLOOKUP(CONCATENATE($A104,"_",T$1),SP_ACQ_Lib[],MATCH(T$2,SP_ACQ_Lib[#Headers],0),FALSE),0)</f>
        <v>0</v>
      </c>
      <c r="U104" s="250" t="str">
        <f>IFERROR(IF(VLOOKUP(CONCATENATE($A104,"_",U$1),SP_ACQ_Lib[],MATCH(U$2,SP_ACQ_Lib[#Headers],0),FALSE)=0,"",VLOOKUP(CONCATENATE($A104,"_",U$1),SP_ACQ_Lib[],MATCH(U$2,SP_ACQ_Lib[#Headers],0),FALSE)),"")</f>
        <v/>
      </c>
      <c r="V104" s="205" t="str">
        <f>IFERROR(VLOOKUP(CONCATENATE($A104,"_",V$1),SP_ACQ_Lib[],MATCH(V$2,SP_ACQ_Lib[#Headers],0),FALSE),0)</f>
        <v>Accepted</v>
      </c>
      <c r="W104" s="209">
        <f>IFERROR(VLOOKUP(CONCATENATE($A104,"_",W$1),SP_ACQ_Lib[],MATCH(W$2,SP_ACQ_Lib[#Headers],0),FALSE),0)</f>
        <v>0</v>
      </c>
      <c r="X104" s="250">
        <f>IFERROR(VLOOKUP($A104,SP_AcqTract_DB[],MATCH(X$2,SP_AcqTract_DB[#Headers],0),FALSE),"")</f>
        <v>0</v>
      </c>
      <c r="Y104" s="237">
        <f>IFERROR(VLOOKUP($A104,SP_AcqTract_DB[],MATCH(Y$2,SP_AcqTract_DB[#Headers],0),FALSE),"")</f>
        <v>0</v>
      </c>
      <c r="Z104" s="229">
        <f>IFERROR(VLOOKUP($A104,SP_AcqTract_DB[],MATCH(Z$2,SP_AcqTract_DB[#Headers],0),FALSE),"")</f>
        <v>0</v>
      </c>
      <c r="AA104" s="229">
        <f>IFERROR(VLOOKUP($A104,SP_AcqTract_DB[],MATCH(AA$2,SP_AcqTract_DB[#Headers],0),FALSE),"")</f>
        <v>0</v>
      </c>
      <c r="AB104" s="250" t="str">
        <f>IFERROR(IF(VLOOKUP(CONCATENATE($A104,"_",AB$1),SP_ACQ_Lib[],MATCH(AB$2,SP_ACQ_Lib[#Headers],0),FALSE)=0,"",VLOOKUP(CONCATENATE($A104,"_",AB$1),SP_ACQ_Lib[],MATCH(AB$2,SP_ACQ_Lib[#Headers],0),FALSE)),"")</f>
        <v/>
      </c>
      <c r="AC104" s="250" t="str">
        <f>IFERROR(IF(VLOOKUP(CONCATENATE($A104,"_",AC$1),SP_ACQ_Lib[],MATCH(AC$2,SP_ACQ_Lib[#Headers],0),FALSE)=0,"",VLOOKUP(CONCATENATE($A104,"_",AC$1),SP_ACQ_Lib[],MATCH(AC$2,SP_ACQ_Lib[#Headers],0),FALSE)),"")</f>
        <v/>
      </c>
      <c r="AD104" s="229">
        <f>IFERROR(VLOOKUP($A104,SP_AcqTract_DB[],MATCH(AD$2,SP_AcqTract_DB[#Headers],0),FALSE),"")</f>
        <v>0</v>
      </c>
      <c r="AE104" s="250" t="str">
        <f>IFERROR(IF(VLOOKUP(CONCATENATE($A104,"_",AE$1),SP_ACQ_Lib[],MATCH(AE$2,SP_ACQ_Lib[#Headers],0),FALSE)=0,"",VLOOKUP(CONCATENATE($A104,"_",AE$1),SP_ACQ_Lib[],MATCH(AE$2,SP_ACQ_Lib[#Headers],0),FALSE)),"")</f>
        <v/>
      </c>
      <c r="AF104" s="250" t="str">
        <f>IFERROR(IF(VLOOKUP(CONCATENATE($A104,"_",AF$1),SP_ACQ_Lib[],MATCH(AF$2,SP_ACQ_Lib[#Headers],0),FALSE)=0,"",VLOOKUP(CONCATENATE($A104,"_",AF$1),SP_ACQ_Lib[],MATCH(AF$2,SP_ACQ_Lib[#Headers],0),FALSE)),"")</f>
        <v/>
      </c>
      <c r="AG104" s="250" t="str">
        <f>IFERROR(IF(VLOOKUP(CONCATENATE($A104,"_",AG$1),SP_ACQ_Lib[],MATCH(AG$2,SP_ACQ_Lib[#Headers],0),FALSE)=0,"",VLOOKUP(CONCATENATE($A104,"_",AG$1),SP_ACQ_Lib[],MATCH(AG$2,SP_ACQ_Lib[#Headers],0),FALSE)),"")</f>
        <v/>
      </c>
      <c r="AH104" s="250" t="str">
        <f>IFERROR(IF(VLOOKUP(CONCATENATE($A104,"_",AH$1),SP_ACQ_Lib[],MATCH(AH$2,SP_ACQ_Lib[#Headers],0),FALSE)=0,"",VLOOKUP(CONCATENATE($A104,"_",AH$1),SP_ACQ_Lib[],MATCH(AH$2,SP_ACQ_Lib[#Headers],0),FALSE)),"")</f>
        <v/>
      </c>
      <c r="AI104" s="249">
        <f>IFERROR(IF(VLOOKUP(CONCATENATE($A104,"_",AI$1),SP_ACQ_Lib[],MATCH(AI$2,SP_ACQ_Lib[#Headers],0),FALSE)=0,"",VLOOKUP(CONCATENATE($A104,"_",AI$1),SP_ACQ_Lib[],MATCH(AI$2,SP_ACQ_Lib[#Headers],0),FALSE)),"")</f>
        <v>43985</v>
      </c>
      <c r="AJ104" s="249" t="str">
        <f>IFERROR(IF(VLOOKUP(CONCATENATE($A104,"_",AJ$1),SP_ACQ_Lib[],MATCH(AJ$2,SP_ACQ_Lib[#Headers],0),FALSE)=0,"",VLOOKUP(CONCATENATE($A104,"_",AJ$1),SP_ACQ_Lib[],MATCH(AJ$2,SP_ACQ_Lib[#Headers],0),FALSE)),"")</f>
        <v/>
      </c>
      <c r="AK104" s="249" t="str">
        <f>IFERROR(IF(VLOOKUP(CONCATENATE($A104,"_",AK$1),SP_ACQ_Lib[],MATCH(AK$2,SP_ACQ_Lib[#Headers],0),FALSE)=0,"",VLOOKUP(CONCATENATE($A104,"_",AK$1),SP_ACQ_Lib[],MATCH(AK$2,SP_ACQ_Lib[#Headers],0),FALSE)),"")</f>
        <v/>
      </c>
      <c r="AL104" s="249">
        <f>IFERROR(VLOOKUP($A104,SP_AcqTract_DB[],MATCH(AL$2,SP_AcqTract_DB[#Headers],0),FALSE),"")</f>
        <v>0</v>
      </c>
      <c r="AM104" s="227">
        <f>IFERROR(VLOOKUP($A104,SP_AcqTract_DB[],MATCH(AM$2,SP_AcqTract_DB[#Headers],0),FALSE),"")</f>
        <v>0</v>
      </c>
      <c r="AN104" s="227">
        <f>IFERROR(VLOOKUP($A104,SP_AcqTract_DB[],MATCH(AN$2,SP_AcqTract_DB[#Headers],0),FALSE),"")</f>
        <v>0</v>
      </c>
      <c r="AO104" s="228">
        <f>IFERROR(VLOOKUP($A104,SP_AcqTract_DB[],MATCH(AO$2,SP_AcqTract_DB[#Headers],0),FALSE),"")</f>
        <v>0</v>
      </c>
      <c r="AP104" s="210">
        <f>IFERROR(VLOOKUP($A104,SP_AcqTract_DB[],MATCH(AP$2,SP_AcqTract_DB[#Headers],0),FALSE),"")</f>
        <v>0</v>
      </c>
      <c r="AQ104" s="252" t="str">
        <f>IFERROR(IF(VLOOKUP(CONCATENATE($A104,"_",AQ$1),SP_ACQ_Lib[],MATCH(AQ$2,SP_ACQ_Lib[#Headers],0),FALSE)=0,"",VLOOKUP(CONCATENATE($A104,"_",AQ$1),SP_ACQ_Lib[],MATCH(AQ$2,SP_ACQ_Lib[#Headers],0),FALSE)),"")</f>
        <v/>
      </c>
      <c r="AR104" s="250" t="str">
        <f>IFERROR(IF(VLOOKUP(CONCATENATE($A104,"_",AR$1),SP_ACQ_Lib[],MATCH(AR$2,SP_ACQ_Lib[#Headers],0),FALSE)=0,"",VLOOKUP(CONCATENATE($A104,"_",AR$1),SP_ACQ_Lib[],MATCH(AR$2,SP_ACQ_Lib[#Headers],0),FALSE)),"")</f>
        <v/>
      </c>
      <c r="AS104" s="249" t="str">
        <f>IFERROR(IF(VLOOKUP(CONCATENATE($A104,"_",AS$1),SP_ACQ_Lib[],MATCH(AS$2,SP_ACQ_Lib[#Headers],0),FALSE)=0,"",VLOOKUP(CONCATENATE($A104,"_",AS$1),SP_ACQ_Lib[],MATCH(AS$2,SP_ACQ_Lib[#Headers],0),FALSE)),"")</f>
        <v/>
      </c>
      <c r="AT104" s="251" t="str">
        <f>IFERROR(IF(VLOOKUP(CONCATENATE($A104,"_",AT$1),SP_ACQ_Lib[],MATCH(AT$2,SP_ACQ_Lib[#Headers],0),FALSE)=0,"",VLOOKUP(CONCATENATE($A104,"_",AT$1),SP_ACQ_Lib[],MATCH(AT$2,SP_ACQ_Lib[#Headers],0),FALSE)),"")</f>
        <v/>
      </c>
      <c r="AU104" s="251" t="str">
        <f>IFERROR(IF(VLOOKUP(CONCATENATE($A104,"_",AU$1),SP_ACQ_Lib[],MATCH(AU$2,SP_ACQ_Lib[#Headers],0),FALSE)=0,"",VLOOKUP(CONCATENATE($A104,"_",AU$1),SP_ACQ_Lib[],MATCH(AU$2,SP_ACQ_Lib[#Headers],0),FALSE)),"")</f>
        <v/>
      </c>
      <c r="AV104" s="225" t="str">
        <f>IFERROR(IF(VLOOKUP(CONCATENATE($A104,"_",AV$1),SP_ACQ_Lib[],MATCH(AV$2,SP_ACQ_Lib[#Headers],0),FALSE)=0,"",VLOOKUP(CONCATENATE($A104,"_",AV$1),SP_ACQ_Lib[],MATCH(AV$2,SP_ACQ_Lib[#Headers],0),FALSE)),"")</f>
        <v/>
      </c>
      <c r="AW104" s="251" t="str">
        <f>IFERROR(IF(VLOOKUP(CONCATENATE($A104,"_",AW$1),SP_ACQ_Lib[],MATCH(AW$2,SP_ACQ_Lib[#Headers],0),FALSE)=0,"",VLOOKUP(CONCATENATE($A104,"_",AW$1),SP_ACQ_Lib[],MATCH(AW$2,SP_ACQ_Lib[#Headers],0),FALSE)),"")</f>
        <v/>
      </c>
      <c r="AX104" s="251" t="str">
        <f>IFERROR(IF(VLOOKUP(CONCATENATE($A104,"_",AX$1),SP_ACQ_Lib[],MATCH(AX$2,SP_ACQ_Lib[#Headers],0),FALSE)=0,"",VLOOKUP(CONCATENATE($A104,"_",AX$1),SP_ACQ_Lib[],MATCH(AX$2,SP_ACQ_Lib[#Headers],0),FALSE)),"")</f>
        <v/>
      </c>
      <c r="AY104" s="251" t="str">
        <f>IFERROR(IF(VLOOKUP(CONCATENATE($A104,"_",AY$1),SP_ACQ_Lib[],MATCH(AY$2,SP_ACQ_Lib[#Headers],0),FALSE)=0,"",VLOOKUP(CONCATENATE($A104,"_",AY$1),SP_ACQ_Lib[],MATCH(AY$2,SP_ACQ_Lib[#Headers],0),FALSE)),"")</f>
        <v/>
      </c>
      <c r="AZ104" s="251" t="str">
        <f>IFERROR(IF(VLOOKUP(CONCATENATE($A104,"_",AZ$1),SP_ACQ_Lib[],MATCH(AZ$2,SP_ACQ_Lib[#Headers],0),FALSE)=0,"",VLOOKUP(CONCATENATE($A104,"_",AZ$1),SP_ACQ_Lib[],MATCH(AZ$2,SP_ACQ_Lib[#Headers],0),FALSE)),"")</f>
        <v/>
      </c>
      <c r="BA104" s="251" t="str">
        <f>IFERROR(IF(VLOOKUP(CONCATENATE($A104,"_",BA$1),SP_ACQ_Lib[],MATCH(BA$2,SP_ACQ_Lib[#Headers],0),FALSE)=0,"",VLOOKUP(CONCATENATE($A104,"_",BA$1),SP_ACQ_Lib[],MATCH(BA$2,SP_ACQ_Lib[#Headers],0),FALSE)),"")</f>
        <v/>
      </c>
      <c r="BB104" s="224">
        <f>IFERROR(VLOOKUP(CONCATENATE($A104,"_",BB$1),SP_ACQ_Lib[],MATCH(BB$2,SP_ACQ_Lib[#Headers],0),FALSE),0)</f>
        <v>0</v>
      </c>
      <c r="BC104" s="231">
        <f>IFERROR(VLOOKUP($A104,SP_AcqTract_DB[],MATCH(BC$2,SP_AcqTract_DB[#Headers],0),FALSE),"")</f>
        <v>0</v>
      </c>
      <c r="BD104" s="231">
        <f>IFERROR(VLOOKUP($A104,SP_AcqTract_DB[],MATCH(BD$2,SP_AcqTract_DB[#Headers],0),FALSE),"")</f>
        <v>0</v>
      </c>
      <c r="BE104" s="249" t="str">
        <f>IFERROR(IF(VLOOKUP(CONCATENATE($A104,"_",BE$1),SP_ACQ_Lib[],MATCH(BE$2,SP_ACQ_Lib[#Headers],0),FALSE)=0,"",VLOOKUP(CONCATENATE($A104,"_",BE$1),SP_ACQ_Lib[],MATCH(BE$2,SP_ACQ_Lib[#Headers],0),FALSE)),"")</f>
        <v/>
      </c>
      <c r="BF104" s="249" t="str">
        <f>IFERROR(IF(VLOOKUP(CONCATENATE($A104,"_",BF$1),SP_ACQ_Lib[],MATCH(BF$2,SP_ACQ_Lib[#Headers],0),FALSE)=0,"",VLOOKUP(CONCATENATE($A104,"_",BF$1),SP_ACQ_Lib[],MATCH(BF$2,SP_ACQ_Lib[#Headers],0),FALSE)),"")</f>
        <v/>
      </c>
      <c r="BG104" s="249" t="str">
        <f>IFERROR(IF(VLOOKUP(CONCATENATE($A104,"_",BG$1),SP_ACQ_Lib[],MATCH(BG$2,SP_ACQ_Lib[#Headers],0),FALSE)=0,"",VLOOKUP(CONCATENATE($A104,"_",BG$1),SP_ACQ_Lib[],MATCH(BG$2,SP_ACQ_Lib[#Headers],0),FALSE)),"")</f>
        <v/>
      </c>
      <c r="BH104" s="249" t="str">
        <f>IFERROR(IF(VLOOKUP(CONCATENATE($A104,"_",BH$1),SP_ACQ_Lib[],MATCH(BH$2,SP_ACQ_Lib[#Headers],0),FALSE)=0,"",VLOOKUP(CONCATENATE($A104,"_",BH$1),SP_ACQ_Lib[],MATCH(BH$2,SP_ACQ_Lib[#Headers],0),FALSE)),"")</f>
        <v/>
      </c>
      <c r="BI104" s="249" t="str">
        <f>IFERROR(IF(VLOOKUP(CONCATENATE($A104,"_",BI$1),SP_ACQ_Lib[],MATCH(BI$2,SP_ACQ_Lib[#Headers],0),FALSE)=0,"",VLOOKUP(CONCATENATE($A104,"_",BI$1),SP_ACQ_Lib[],MATCH(BI$2,SP_ACQ_Lib[#Headers],0),FALSE)),"")</f>
        <v/>
      </c>
      <c r="BJ104" s="249" t="str">
        <f>IFERROR(IF(VLOOKUP(CONCATENATE($A104,"_",BJ$1),SP_ACQ_Lib[],MATCH(BJ$2,SP_ACQ_Lib[#Headers],0),FALSE)=0,"",VLOOKUP(CONCATENATE($A104,"_",BJ$1),SP_ACQ_Lib[],MATCH(BJ$2,SP_ACQ_Lib[#Headers],0),FALSE)),"")</f>
        <v/>
      </c>
      <c r="BK104" s="250" t="str">
        <f>IFERROR(IF(VLOOKUP(CONCATENATE($A104,"_",BK$1),SP_ACQ_Lib[],MATCH(BK$2,SP_ACQ_Lib[#Headers],0),FALSE)=0,"",VLOOKUP(CONCATENATE($A104,"_",BK$1),SP_ACQ_Lib[],MATCH(BK$2,SP_ACQ_Lib[#Headers],0),FALSE)),"")</f>
        <v/>
      </c>
      <c r="BL104" s="249" t="str">
        <f>IFERROR(IF(VLOOKUP(CONCATENATE($A104,"_",BL$1),SP_ACQ_Lib[],MATCH(BL$2,SP_ACQ_Lib[#Headers],0),FALSE)=0,"",VLOOKUP(CONCATENATE($A104,"_",BL$1),SP_ACQ_Lib[],MATCH(BL$2,SP_ACQ_Lib[#Headers],0),FALSE)),"")</f>
        <v/>
      </c>
      <c r="BM104" s="249" t="str">
        <f>IFERROR(IF(VLOOKUP(CONCATENATE($A104,"_",BM$1),SP_ACQ_Lib[],MATCH(BM$2,SP_ACQ_Lib[#Headers],0),FALSE)=0,"",VLOOKUP(CONCATENATE($A104,"_",BM$1),SP_ACQ_Lib[],MATCH(BM$2,SP_ACQ_Lib[#Headers],0),FALSE)),"")</f>
        <v/>
      </c>
      <c r="BN104" s="249" t="str">
        <f>IFERROR(IF(VLOOKUP(CONCATENATE($A104,"_",BN$1),SP_ACQ_Lib[],MATCH(BN$2,SP_ACQ_Lib[#Headers],0),FALSE)=0,"",VLOOKUP(CONCATENATE($A104,"_",BN$1),SP_ACQ_Lib[],MATCH(BN$2,SP_ACQ_Lib[#Headers],0),FALSE)),"")</f>
        <v/>
      </c>
    </row>
    <row r="105" spans="1:66" s="226" customFormat="1" ht="25.5" x14ac:dyDescent="0.2">
      <c r="A105" s="192" t="s">
        <v>5326</v>
      </c>
      <c r="B105" s="227" t="str">
        <f>IFERROR(VLOOKUP($A105,SP_AcqTract_DB[],MATCH(B$2,SP_AcqTract_DB[#Headers],0),FALSE),"")</f>
        <v>R032127</v>
      </c>
      <c r="C105" s="228" t="str">
        <f>IFERROR(VLOOKUP($A105,SP_AcqTract_DB[],MATCH(C$2,SP_AcqTract_DB[#Headers],0),FALSE),"")</f>
        <v>PH2</v>
      </c>
      <c r="D105" s="208" t="str">
        <f>IFERROR(VLOOKUP($A105,SP_AcqTract_DB[],MATCH(D$2,SP_AcqTract_DB[#Headers],0),FALSE),"")</f>
        <v>Active</v>
      </c>
      <c r="E105" s="208">
        <f>IFERROR(VLOOKUP($A105,SP_AcqTract_DB[],MATCH(E$2,SP_AcqTract_DB[#Headers],0),FALSE),"")</f>
        <v>0</v>
      </c>
      <c r="F105" s="227">
        <f>IFERROR(VLOOKUP($A105,SP_AcqTract_DB[],MATCH(F$2,SP_AcqTract_DB[#Headers],0),FALSE),"")</f>
        <v>0</v>
      </c>
      <c r="G105" s="227" t="str">
        <f>IFERROR(VLOOKUP($A105,SP_AcqTract_DB[],MATCH(G$2,SP_AcqTract_DB[#Headers],0),FALSE),"")</f>
        <v>Stateside</v>
      </c>
      <c r="H105" s="250">
        <f>IFERROR(IF(VLOOKUP(CONCATENATE($A105,"_",H$1),SP_ACQ_Lib[],MATCH(H$2,SP_ACQ_Lib[#Headers],0),FALSE)=0,"",VLOOKUP(CONCATENATE($A105,"_",H$1),SP_ACQ_Lib[],MATCH(H$2,SP_ACQ_Lib[#Headers],0),FALSE)),"")</f>
        <v>43978.547256944446</v>
      </c>
      <c r="I105" s="227" t="str">
        <f>IFERROR(VLOOKUP($A105,SP_AcqTract_DB[],MATCH(I$2,SP_AcqTract_DB[#Headers],0),FALSE),"")</f>
        <v>Hawes Barbara Louise Trust Dated 8-17-81</v>
      </c>
      <c r="J105" s="227">
        <f>IFERROR(VLOOKUP($A105,SP_AcqTract_DB[],MATCH(J$2,SP_AcqTract_DB[#Headers],0),FALSE),"")</f>
        <v>0</v>
      </c>
      <c r="K105" s="227">
        <f>IFERROR(VLOOKUP($A105,SP_AcqTract_DB[],MATCH(K$2,SP_AcqTract_DB[#Headers],0),FALSE),"")</f>
        <v>0</v>
      </c>
      <c r="L105" s="227">
        <f>IFERROR(VLOOKUP($A105,SP_AcqTract_DB[],MATCH(L$2,SP_AcqTract_DB[#Headers],0),FALSE),"")</f>
        <v>0</v>
      </c>
      <c r="M105" s="208">
        <f>IFERROR(VLOOKUP($A105,SP_AcqTract_DB[],MATCH(M$2,SP_AcqTract_DB[#Headers],0),FALSE),"")</f>
        <v>0</v>
      </c>
      <c r="N105" s="227" t="str">
        <f>IFERROR(VLOOKUP($A105,SP_AcqTract_DB[],MATCH(N$2,SP_AcqTract_DB[#Headers],0),FALSE),"")</f>
        <v>0 N FULTON</v>
      </c>
      <c r="O105" s="220">
        <f>IFERROR(VLOOKUP($A105,SP_AcqTract_DB[],MATCH(O$2,SP_AcqTract_DB[#Headers],0),FALSE),"")</f>
        <v>0</v>
      </c>
      <c r="P105" s="220">
        <f>IFERROR(VLOOKUP($A105,SP_AcqTract_DB[],MATCH(P$2,SP_AcqTract_DB[#Headers],0),FALSE),"")</f>
        <v>0</v>
      </c>
      <c r="Q105" s="208">
        <f>IFERROR(VLOOKUP($A105,SP_AcqTract_DB[],MATCH(Q$2,SP_AcqTract_DB[#Headers],0),FALSE),"")</f>
        <v>0</v>
      </c>
      <c r="R105" s="250" t="str">
        <f>IFERROR(IF(VLOOKUP(CONCATENATE($A105,"_",R$1),SP_ACQ_Lib[],MATCH(R$2,SP_ACQ_Lib[#Headers],0),FALSE)=0,"",VLOOKUP(CONCATENATE($A105,"_",R$1),SP_ACQ_Lib[],MATCH(R$2,SP_ACQ_Lib[#Headers],0),FALSE)),"")</f>
        <v/>
      </c>
      <c r="S105" s="253" t="str">
        <f>IFERROR(IF(VLOOKUP(CONCATENATE($A105,"_",S$1),SP_ACQ_Lib[],MATCH(S$2,SP_ACQ_Lib[#Headers],0),FALSE)=0,"",VLOOKUP(CONCATENATE($A105,"_",S$1),SP_ACQ_Lib[],MATCH(S$2,SP_ACQ_Lib[#Headers],0),FALSE)),"")</f>
        <v/>
      </c>
      <c r="T105" s="205">
        <f>IFERROR(VLOOKUP(CONCATENATE($A105,"_",T$1),SP_ACQ_Lib[],MATCH(T$2,SP_ACQ_Lib[#Headers],0),FALSE),0)</f>
        <v>0</v>
      </c>
      <c r="U105" s="250" t="str">
        <f>IFERROR(IF(VLOOKUP(CONCATENATE($A105,"_",U$1),SP_ACQ_Lib[],MATCH(U$2,SP_ACQ_Lib[#Headers],0),FALSE)=0,"",VLOOKUP(CONCATENATE($A105,"_",U$1),SP_ACQ_Lib[],MATCH(U$2,SP_ACQ_Lib[#Headers],0),FALSE)),"")</f>
        <v/>
      </c>
      <c r="V105" s="205" t="str">
        <f>IFERROR(VLOOKUP(CONCATENATE($A105,"_",V$1),SP_ACQ_Lib[],MATCH(V$2,SP_ACQ_Lib[#Headers],0),FALSE),0)</f>
        <v>Accepted</v>
      </c>
      <c r="W105" s="209">
        <f>IFERROR(VLOOKUP(CONCATENATE($A105,"_",W$1),SP_ACQ_Lib[],MATCH(W$2,SP_ACQ_Lib[#Headers],0),FALSE),0)</f>
        <v>0</v>
      </c>
      <c r="X105" s="250">
        <f>IFERROR(VLOOKUP($A105,SP_AcqTract_DB[],MATCH(X$2,SP_AcqTract_DB[#Headers],0),FALSE),"")</f>
        <v>0</v>
      </c>
      <c r="Y105" s="237">
        <f>IFERROR(VLOOKUP($A105,SP_AcqTract_DB[],MATCH(Y$2,SP_AcqTract_DB[#Headers],0),FALSE),"")</f>
        <v>0</v>
      </c>
      <c r="Z105" s="229">
        <f>IFERROR(VLOOKUP($A105,SP_AcqTract_DB[],MATCH(Z$2,SP_AcqTract_DB[#Headers],0),FALSE),"")</f>
        <v>0</v>
      </c>
      <c r="AA105" s="229">
        <f>IFERROR(VLOOKUP($A105,SP_AcqTract_DB[],MATCH(AA$2,SP_AcqTract_DB[#Headers],0),FALSE),"")</f>
        <v>0</v>
      </c>
      <c r="AB105" s="250" t="str">
        <f>IFERROR(IF(VLOOKUP(CONCATENATE($A105,"_",AB$1),SP_ACQ_Lib[],MATCH(AB$2,SP_ACQ_Lib[#Headers],0),FALSE)=0,"",VLOOKUP(CONCATENATE($A105,"_",AB$1),SP_ACQ_Lib[],MATCH(AB$2,SP_ACQ_Lib[#Headers],0),FALSE)),"")</f>
        <v/>
      </c>
      <c r="AC105" s="250" t="str">
        <f>IFERROR(IF(VLOOKUP(CONCATENATE($A105,"_",AC$1),SP_ACQ_Lib[],MATCH(AC$2,SP_ACQ_Lib[#Headers],0),FALSE)=0,"",VLOOKUP(CONCATENATE($A105,"_",AC$1),SP_ACQ_Lib[],MATCH(AC$2,SP_ACQ_Lib[#Headers],0),FALSE)),"")</f>
        <v/>
      </c>
      <c r="AD105" s="229">
        <f>IFERROR(VLOOKUP($A105,SP_AcqTract_DB[],MATCH(AD$2,SP_AcqTract_DB[#Headers],0),FALSE),"")</f>
        <v>0</v>
      </c>
      <c r="AE105" s="250" t="str">
        <f>IFERROR(IF(VLOOKUP(CONCATENATE($A105,"_",AE$1),SP_ACQ_Lib[],MATCH(AE$2,SP_ACQ_Lib[#Headers],0),FALSE)=0,"",VLOOKUP(CONCATENATE($A105,"_",AE$1),SP_ACQ_Lib[],MATCH(AE$2,SP_ACQ_Lib[#Headers],0),FALSE)),"")</f>
        <v/>
      </c>
      <c r="AF105" s="250" t="str">
        <f>IFERROR(IF(VLOOKUP(CONCATENATE($A105,"_",AF$1),SP_ACQ_Lib[],MATCH(AF$2,SP_ACQ_Lib[#Headers],0),FALSE)=0,"",VLOOKUP(CONCATENATE($A105,"_",AF$1),SP_ACQ_Lib[],MATCH(AF$2,SP_ACQ_Lib[#Headers],0),FALSE)),"")</f>
        <v/>
      </c>
      <c r="AG105" s="250" t="str">
        <f>IFERROR(IF(VLOOKUP(CONCATENATE($A105,"_",AG$1),SP_ACQ_Lib[],MATCH(AG$2,SP_ACQ_Lib[#Headers],0),FALSE)=0,"",VLOOKUP(CONCATENATE($A105,"_",AG$1),SP_ACQ_Lib[],MATCH(AG$2,SP_ACQ_Lib[#Headers],0),FALSE)),"")</f>
        <v/>
      </c>
      <c r="AH105" s="250" t="str">
        <f>IFERROR(IF(VLOOKUP(CONCATENATE($A105,"_",AH$1),SP_ACQ_Lib[],MATCH(AH$2,SP_ACQ_Lib[#Headers],0),FALSE)=0,"",VLOOKUP(CONCATENATE($A105,"_",AH$1),SP_ACQ_Lib[],MATCH(AH$2,SP_ACQ_Lib[#Headers],0),FALSE)),"")</f>
        <v/>
      </c>
      <c r="AI105" s="249" t="str">
        <f>IFERROR(IF(VLOOKUP(CONCATENATE($A105,"_",AI$1),SP_ACQ_Lib[],MATCH(AI$2,SP_ACQ_Lib[#Headers],0),FALSE)=0,"",VLOOKUP(CONCATENATE($A105,"_",AI$1),SP_ACQ_Lib[],MATCH(AI$2,SP_ACQ_Lib[#Headers],0),FALSE)),"")</f>
        <v/>
      </c>
      <c r="AJ105" s="249" t="str">
        <f>IFERROR(IF(VLOOKUP(CONCATENATE($A105,"_",AJ$1),SP_ACQ_Lib[],MATCH(AJ$2,SP_ACQ_Lib[#Headers],0),FALSE)=0,"",VLOOKUP(CONCATENATE($A105,"_",AJ$1),SP_ACQ_Lib[],MATCH(AJ$2,SP_ACQ_Lib[#Headers],0),FALSE)),"")</f>
        <v/>
      </c>
      <c r="AK105" s="249" t="str">
        <f>IFERROR(IF(VLOOKUP(CONCATENATE($A105,"_",AK$1),SP_ACQ_Lib[],MATCH(AK$2,SP_ACQ_Lib[#Headers],0),FALSE)=0,"",VLOOKUP(CONCATENATE($A105,"_",AK$1),SP_ACQ_Lib[],MATCH(AK$2,SP_ACQ_Lib[#Headers],0),FALSE)),"")</f>
        <v/>
      </c>
      <c r="AL105" s="249">
        <f>IFERROR(VLOOKUP($A105,SP_AcqTract_DB[],MATCH(AL$2,SP_AcqTract_DB[#Headers],0),FALSE),"")</f>
        <v>0</v>
      </c>
      <c r="AM105" s="227">
        <f>IFERROR(VLOOKUP($A105,SP_AcqTract_DB[],MATCH(AM$2,SP_AcqTract_DB[#Headers],0),FALSE),"")</f>
        <v>0</v>
      </c>
      <c r="AN105" s="227">
        <f>IFERROR(VLOOKUP($A105,SP_AcqTract_DB[],MATCH(AN$2,SP_AcqTract_DB[#Headers],0),FALSE),"")</f>
        <v>0</v>
      </c>
      <c r="AO105" s="228">
        <f>IFERROR(VLOOKUP($A105,SP_AcqTract_DB[],MATCH(AO$2,SP_AcqTract_DB[#Headers],0),FALSE),"")</f>
        <v>0</v>
      </c>
      <c r="AP105" s="210">
        <f>IFERROR(VLOOKUP($A105,SP_AcqTract_DB[],MATCH(AP$2,SP_AcqTract_DB[#Headers],0),FALSE),"")</f>
        <v>0</v>
      </c>
      <c r="AQ105" s="252" t="str">
        <f>IFERROR(IF(VLOOKUP(CONCATENATE($A105,"_",AQ$1),SP_ACQ_Lib[],MATCH(AQ$2,SP_ACQ_Lib[#Headers],0),FALSE)=0,"",VLOOKUP(CONCATENATE($A105,"_",AQ$1),SP_ACQ_Lib[],MATCH(AQ$2,SP_ACQ_Lib[#Headers],0),FALSE)),"")</f>
        <v/>
      </c>
      <c r="AR105" s="250" t="str">
        <f>IFERROR(IF(VLOOKUP(CONCATENATE($A105,"_",AR$1),SP_ACQ_Lib[],MATCH(AR$2,SP_ACQ_Lib[#Headers],0),FALSE)=0,"",VLOOKUP(CONCATENATE($A105,"_",AR$1),SP_ACQ_Lib[],MATCH(AR$2,SP_ACQ_Lib[#Headers],0),FALSE)),"")</f>
        <v/>
      </c>
      <c r="AS105" s="249" t="str">
        <f>IFERROR(IF(VLOOKUP(CONCATENATE($A105,"_",AS$1),SP_ACQ_Lib[],MATCH(AS$2,SP_ACQ_Lib[#Headers],0),FALSE)=0,"",VLOOKUP(CONCATENATE($A105,"_",AS$1),SP_ACQ_Lib[],MATCH(AS$2,SP_ACQ_Lib[#Headers],0),FALSE)),"")</f>
        <v/>
      </c>
      <c r="AT105" s="251" t="str">
        <f>IFERROR(IF(VLOOKUP(CONCATENATE($A105,"_",AT$1),SP_ACQ_Lib[],MATCH(AT$2,SP_ACQ_Lib[#Headers],0),FALSE)=0,"",VLOOKUP(CONCATENATE($A105,"_",AT$1),SP_ACQ_Lib[],MATCH(AT$2,SP_ACQ_Lib[#Headers],0),FALSE)),"")</f>
        <v/>
      </c>
      <c r="AU105" s="251" t="str">
        <f>IFERROR(IF(VLOOKUP(CONCATENATE($A105,"_",AU$1),SP_ACQ_Lib[],MATCH(AU$2,SP_ACQ_Lib[#Headers],0),FALSE)=0,"",VLOOKUP(CONCATENATE($A105,"_",AU$1),SP_ACQ_Lib[],MATCH(AU$2,SP_ACQ_Lib[#Headers],0),FALSE)),"")</f>
        <v/>
      </c>
      <c r="AV105" s="225" t="str">
        <f>IFERROR(IF(VLOOKUP(CONCATENATE($A105,"_",AV$1),SP_ACQ_Lib[],MATCH(AV$2,SP_ACQ_Lib[#Headers],0),FALSE)=0,"",VLOOKUP(CONCATENATE($A105,"_",AV$1),SP_ACQ_Lib[],MATCH(AV$2,SP_ACQ_Lib[#Headers],0),FALSE)),"")</f>
        <v/>
      </c>
      <c r="AW105" s="251" t="str">
        <f>IFERROR(IF(VLOOKUP(CONCATENATE($A105,"_",AW$1),SP_ACQ_Lib[],MATCH(AW$2,SP_ACQ_Lib[#Headers],0),FALSE)=0,"",VLOOKUP(CONCATENATE($A105,"_",AW$1),SP_ACQ_Lib[],MATCH(AW$2,SP_ACQ_Lib[#Headers],0),FALSE)),"")</f>
        <v/>
      </c>
      <c r="AX105" s="251" t="str">
        <f>IFERROR(IF(VLOOKUP(CONCATENATE($A105,"_",AX$1),SP_ACQ_Lib[],MATCH(AX$2,SP_ACQ_Lib[#Headers],0),FALSE)=0,"",VLOOKUP(CONCATENATE($A105,"_",AX$1),SP_ACQ_Lib[],MATCH(AX$2,SP_ACQ_Lib[#Headers],0),FALSE)),"")</f>
        <v/>
      </c>
      <c r="AY105" s="251" t="str">
        <f>IFERROR(IF(VLOOKUP(CONCATENATE($A105,"_",AY$1),SP_ACQ_Lib[],MATCH(AY$2,SP_ACQ_Lib[#Headers],0),FALSE)=0,"",VLOOKUP(CONCATENATE($A105,"_",AY$1),SP_ACQ_Lib[],MATCH(AY$2,SP_ACQ_Lib[#Headers],0),FALSE)),"")</f>
        <v/>
      </c>
      <c r="AZ105" s="251" t="str">
        <f>IFERROR(IF(VLOOKUP(CONCATENATE($A105,"_",AZ$1),SP_ACQ_Lib[],MATCH(AZ$2,SP_ACQ_Lib[#Headers],0),FALSE)=0,"",VLOOKUP(CONCATENATE($A105,"_",AZ$1),SP_ACQ_Lib[],MATCH(AZ$2,SP_ACQ_Lib[#Headers],0),FALSE)),"")</f>
        <v/>
      </c>
      <c r="BA105" s="251" t="str">
        <f>IFERROR(IF(VLOOKUP(CONCATENATE($A105,"_",BA$1),SP_ACQ_Lib[],MATCH(BA$2,SP_ACQ_Lib[#Headers],0),FALSE)=0,"",VLOOKUP(CONCATENATE($A105,"_",BA$1),SP_ACQ_Lib[],MATCH(BA$2,SP_ACQ_Lib[#Headers],0),FALSE)),"")</f>
        <v/>
      </c>
      <c r="BB105" s="224">
        <f>IFERROR(VLOOKUP(CONCATENATE($A105,"_",BB$1),SP_ACQ_Lib[],MATCH(BB$2,SP_ACQ_Lib[#Headers],0),FALSE),0)</f>
        <v>0</v>
      </c>
      <c r="BC105" s="231">
        <f>IFERROR(VLOOKUP($A105,SP_AcqTract_DB[],MATCH(BC$2,SP_AcqTract_DB[#Headers],0),FALSE),"")</f>
        <v>0</v>
      </c>
      <c r="BD105" s="231">
        <f>IFERROR(VLOOKUP($A105,SP_AcqTract_DB[],MATCH(BD$2,SP_AcqTract_DB[#Headers],0),FALSE),"")</f>
        <v>0</v>
      </c>
      <c r="BE105" s="249" t="str">
        <f>IFERROR(IF(VLOOKUP(CONCATENATE($A105,"_",BE$1),SP_ACQ_Lib[],MATCH(BE$2,SP_ACQ_Lib[#Headers],0),FALSE)=0,"",VLOOKUP(CONCATENATE($A105,"_",BE$1),SP_ACQ_Lib[],MATCH(BE$2,SP_ACQ_Lib[#Headers],0),FALSE)),"")</f>
        <v/>
      </c>
      <c r="BF105" s="249" t="str">
        <f>IFERROR(IF(VLOOKUP(CONCATENATE($A105,"_",BF$1),SP_ACQ_Lib[],MATCH(BF$2,SP_ACQ_Lib[#Headers],0),FALSE)=0,"",VLOOKUP(CONCATENATE($A105,"_",BF$1),SP_ACQ_Lib[],MATCH(BF$2,SP_ACQ_Lib[#Headers],0),FALSE)),"")</f>
        <v/>
      </c>
      <c r="BG105" s="249" t="str">
        <f>IFERROR(IF(VLOOKUP(CONCATENATE($A105,"_",BG$1),SP_ACQ_Lib[],MATCH(BG$2,SP_ACQ_Lib[#Headers],0),FALSE)=0,"",VLOOKUP(CONCATENATE($A105,"_",BG$1),SP_ACQ_Lib[],MATCH(BG$2,SP_ACQ_Lib[#Headers],0),FALSE)),"")</f>
        <v/>
      </c>
      <c r="BH105" s="249" t="str">
        <f>IFERROR(IF(VLOOKUP(CONCATENATE($A105,"_",BH$1),SP_ACQ_Lib[],MATCH(BH$2,SP_ACQ_Lib[#Headers],0),FALSE)=0,"",VLOOKUP(CONCATENATE($A105,"_",BH$1),SP_ACQ_Lib[],MATCH(BH$2,SP_ACQ_Lib[#Headers],0),FALSE)),"")</f>
        <v/>
      </c>
      <c r="BI105" s="249" t="str">
        <f>IFERROR(IF(VLOOKUP(CONCATENATE($A105,"_",BI$1),SP_ACQ_Lib[],MATCH(BI$2,SP_ACQ_Lib[#Headers],0),FALSE)=0,"",VLOOKUP(CONCATENATE($A105,"_",BI$1),SP_ACQ_Lib[],MATCH(BI$2,SP_ACQ_Lib[#Headers],0),FALSE)),"")</f>
        <v/>
      </c>
      <c r="BJ105" s="249" t="str">
        <f>IFERROR(IF(VLOOKUP(CONCATENATE($A105,"_",BJ$1),SP_ACQ_Lib[],MATCH(BJ$2,SP_ACQ_Lib[#Headers],0),FALSE)=0,"",VLOOKUP(CONCATENATE($A105,"_",BJ$1),SP_ACQ_Lib[],MATCH(BJ$2,SP_ACQ_Lib[#Headers],0),FALSE)),"")</f>
        <v/>
      </c>
      <c r="BK105" s="250" t="str">
        <f>IFERROR(IF(VLOOKUP(CONCATENATE($A105,"_",BK$1),SP_ACQ_Lib[],MATCH(BK$2,SP_ACQ_Lib[#Headers],0),FALSE)=0,"",VLOOKUP(CONCATENATE($A105,"_",BK$1),SP_ACQ_Lib[],MATCH(BK$2,SP_ACQ_Lib[#Headers],0),FALSE)),"")</f>
        <v/>
      </c>
      <c r="BL105" s="249" t="str">
        <f>IFERROR(IF(VLOOKUP(CONCATENATE($A105,"_",BL$1),SP_ACQ_Lib[],MATCH(BL$2,SP_ACQ_Lib[#Headers],0),FALSE)=0,"",VLOOKUP(CONCATENATE($A105,"_",BL$1),SP_ACQ_Lib[],MATCH(BL$2,SP_ACQ_Lib[#Headers],0),FALSE)),"")</f>
        <v/>
      </c>
      <c r="BM105" s="249" t="str">
        <f>IFERROR(IF(VLOOKUP(CONCATENATE($A105,"_",BM$1),SP_ACQ_Lib[],MATCH(BM$2,SP_ACQ_Lib[#Headers],0),FALSE)=0,"",VLOOKUP(CONCATENATE($A105,"_",BM$1),SP_ACQ_Lib[],MATCH(BM$2,SP_ACQ_Lib[#Headers],0),FALSE)),"")</f>
        <v/>
      </c>
      <c r="BN105" s="249" t="str">
        <f>IFERROR(IF(VLOOKUP(CONCATENATE($A105,"_",BN$1),SP_ACQ_Lib[],MATCH(BN$2,SP_ACQ_Lib[#Headers],0),FALSE)=0,"",VLOOKUP(CONCATENATE($A105,"_",BN$1),SP_ACQ_Lib[],MATCH(BN$2,SP_ACQ_Lib[#Headers],0),FALSE)),"")</f>
        <v/>
      </c>
    </row>
    <row r="106" spans="1:66" s="226" customFormat="1" ht="15.75" x14ac:dyDescent="0.2">
      <c r="A106" s="192" t="s">
        <v>5328</v>
      </c>
      <c r="B106" s="227" t="str">
        <f>IFERROR(VLOOKUP($A106,SP_AcqTract_DB[],MATCH(B$2,SP_AcqTract_DB[#Headers],0),FALSE),"")</f>
        <v>R032139</v>
      </c>
      <c r="C106" s="228" t="str">
        <f>IFERROR(VLOOKUP($A106,SP_AcqTract_DB[],MATCH(C$2,SP_AcqTract_DB[#Headers],0),FALSE),"")</f>
        <v>PH2</v>
      </c>
      <c r="D106" s="208" t="str">
        <f>IFERROR(VLOOKUP($A106,SP_AcqTract_DB[],MATCH(D$2,SP_AcqTract_DB[#Headers],0),FALSE),"")</f>
        <v>Active</v>
      </c>
      <c r="E106" s="208">
        <f>IFERROR(VLOOKUP($A106,SP_AcqTract_DB[],MATCH(E$2,SP_AcqTract_DB[#Headers],0),FALSE),"")</f>
        <v>0</v>
      </c>
      <c r="F106" s="227">
        <f>IFERROR(VLOOKUP($A106,SP_AcqTract_DB[],MATCH(F$2,SP_AcqTract_DB[#Headers],0),FALSE),"")</f>
        <v>0</v>
      </c>
      <c r="G106" s="227" t="str">
        <f>IFERROR(VLOOKUP($A106,SP_AcqTract_DB[],MATCH(G$2,SP_AcqTract_DB[#Headers],0),FALSE),"")</f>
        <v>Darlene Snow</v>
      </c>
      <c r="H106" s="250">
        <f>IFERROR(IF(VLOOKUP(CONCATENATE($A106,"_",H$1),SP_ACQ_Lib[],MATCH(H$2,SP_ACQ_Lib[#Headers],0),FALSE)=0,"",VLOOKUP(CONCATENATE($A106,"_",H$1),SP_ACQ_Lib[],MATCH(H$2,SP_ACQ_Lib[#Headers],0),FALSE)),"")</f>
        <v>44022.726377314815</v>
      </c>
      <c r="I106" s="227" t="str">
        <f>IFERROR(VLOOKUP($A106,SP_AcqTract_DB[],MATCH(I$2,SP_AcqTract_DB[#Headers],0),FALSE),"")</f>
        <v>Gad Nandan P</v>
      </c>
      <c r="J106" s="227">
        <f>IFERROR(VLOOKUP($A106,SP_AcqTract_DB[],MATCH(J$2,SP_AcqTract_DB[#Headers],0),FALSE),"")</f>
        <v>0</v>
      </c>
      <c r="K106" s="227">
        <f>IFERROR(VLOOKUP($A106,SP_AcqTract_DB[],MATCH(K$2,SP_AcqTract_DB[#Headers],0),FALSE),"")</f>
        <v>0</v>
      </c>
      <c r="L106" s="227">
        <f>IFERROR(VLOOKUP($A106,SP_AcqTract_DB[],MATCH(L$2,SP_AcqTract_DB[#Headers],0),FALSE),"")</f>
        <v>0</v>
      </c>
      <c r="M106" s="208">
        <f>IFERROR(VLOOKUP($A106,SP_AcqTract_DB[],MATCH(M$2,SP_AcqTract_DB[#Headers],0),FALSE),"")</f>
        <v>0</v>
      </c>
      <c r="N106" s="227" t="str">
        <f>IFERROR(VLOOKUP($A106,SP_AcqTract_DB[],MATCH(N$2,SP_AcqTract_DB[#Headers],0),FALSE),"")</f>
        <v>3602 N FULTON</v>
      </c>
      <c r="O106" s="220">
        <f>IFERROR(VLOOKUP($A106,SP_AcqTract_DB[],MATCH(O$2,SP_AcqTract_DB[#Headers],0),FALSE),"")</f>
        <v>0</v>
      </c>
      <c r="P106" s="220">
        <f>IFERROR(VLOOKUP($A106,SP_AcqTract_DB[],MATCH(P$2,SP_AcqTract_DB[#Headers],0),FALSE),"")</f>
        <v>0</v>
      </c>
      <c r="Q106" s="208">
        <f>IFERROR(VLOOKUP($A106,SP_AcqTract_DB[],MATCH(Q$2,SP_AcqTract_DB[#Headers],0),FALSE),"")</f>
        <v>0</v>
      </c>
      <c r="R106" s="250" t="str">
        <f>IFERROR(IF(VLOOKUP(CONCATENATE($A106,"_",R$1),SP_ACQ_Lib[],MATCH(R$2,SP_ACQ_Lib[#Headers],0),FALSE)=0,"",VLOOKUP(CONCATENATE($A106,"_",R$1),SP_ACQ_Lib[],MATCH(R$2,SP_ACQ_Lib[#Headers],0),FALSE)),"")</f>
        <v/>
      </c>
      <c r="S106" s="253" t="str">
        <f>IFERROR(IF(VLOOKUP(CONCATENATE($A106,"_",S$1),SP_ACQ_Lib[],MATCH(S$2,SP_ACQ_Lib[#Headers],0),FALSE)=0,"",VLOOKUP(CONCATENATE($A106,"_",S$1),SP_ACQ_Lib[],MATCH(S$2,SP_ACQ_Lib[#Headers],0),FALSE)),"")</f>
        <v/>
      </c>
      <c r="T106" s="205">
        <f>IFERROR(VLOOKUP(CONCATENATE($A106,"_",T$1),SP_ACQ_Lib[],MATCH(T$2,SP_ACQ_Lib[#Headers],0),FALSE),0)</f>
        <v>0</v>
      </c>
      <c r="U106" s="250" t="str">
        <f>IFERROR(IF(VLOOKUP(CONCATENATE($A106,"_",U$1),SP_ACQ_Lib[],MATCH(U$2,SP_ACQ_Lib[#Headers],0),FALSE)=0,"",VLOOKUP(CONCATENATE($A106,"_",U$1),SP_ACQ_Lib[],MATCH(U$2,SP_ACQ_Lib[#Headers],0),FALSE)),"")</f>
        <v/>
      </c>
      <c r="V106" s="205" t="str">
        <f>IFERROR(VLOOKUP(CONCATENATE($A106,"_",V$1),SP_ACQ_Lib[],MATCH(V$2,SP_ACQ_Lib[#Headers],0),FALSE),0)</f>
        <v>Accepted</v>
      </c>
      <c r="W106" s="209">
        <f>IFERROR(VLOOKUP(CONCATENATE($A106,"_",W$1),SP_ACQ_Lib[],MATCH(W$2,SP_ACQ_Lib[#Headers],0),FALSE),0)</f>
        <v>0</v>
      </c>
      <c r="X106" s="250">
        <f>IFERROR(VLOOKUP($A106,SP_AcqTract_DB[],MATCH(X$2,SP_AcqTract_DB[#Headers],0),FALSE),"")</f>
        <v>0</v>
      </c>
      <c r="Y106" s="237">
        <f>IFERROR(VLOOKUP($A106,SP_AcqTract_DB[],MATCH(Y$2,SP_AcqTract_DB[#Headers],0),FALSE),"")</f>
        <v>0</v>
      </c>
      <c r="Z106" s="229">
        <f>IFERROR(VLOOKUP($A106,SP_AcqTract_DB[],MATCH(Z$2,SP_AcqTract_DB[#Headers],0),FALSE),"")</f>
        <v>0</v>
      </c>
      <c r="AA106" s="229">
        <f>IFERROR(VLOOKUP($A106,SP_AcqTract_DB[],MATCH(AA$2,SP_AcqTract_DB[#Headers],0),FALSE),"")</f>
        <v>0</v>
      </c>
      <c r="AB106" s="250" t="str">
        <f>IFERROR(IF(VLOOKUP(CONCATENATE($A106,"_",AB$1),SP_ACQ_Lib[],MATCH(AB$2,SP_ACQ_Lib[#Headers],0),FALSE)=0,"",VLOOKUP(CONCATENATE($A106,"_",AB$1),SP_ACQ_Lib[],MATCH(AB$2,SP_ACQ_Lib[#Headers],0),FALSE)),"")</f>
        <v/>
      </c>
      <c r="AC106" s="250" t="str">
        <f>IFERROR(IF(VLOOKUP(CONCATENATE($A106,"_",AC$1),SP_ACQ_Lib[],MATCH(AC$2,SP_ACQ_Lib[#Headers],0),FALSE)=0,"",VLOOKUP(CONCATENATE($A106,"_",AC$1),SP_ACQ_Lib[],MATCH(AC$2,SP_ACQ_Lib[#Headers],0),FALSE)),"")</f>
        <v/>
      </c>
      <c r="AD106" s="229">
        <f>IFERROR(VLOOKUP($A106,SP_AcqTract_DB[],MATCH(AD$2,SP_AcqTract_DB[#Headers],0),FALSE),"")</f>
        <v>0</v>
      </c>
      <c r="AE106" s="250" t="str">
        <f>IFERROR(IF(VLOOKUP(CONCATENATE($A106,"_",AE$1),SP_ACQ_Lib[],MATCH(AE$2,SP_ACQ_Lib[#Headers],0),FALSE)=0,"",VLOOKUP(CONCATENATE($A106,"_",AE$1),SP_ACQ_Lib[],MATCH(AE$2,SP_ACQ_Lib[#Headers],0),FALSE)),"")</f>
        <v/>
      </c>
      <c r="AF106" s="250" t="str">
        <f>IFERROR(IF(VLOOKUP(CONCATENATE($A106,"_",AF$1),SP_ACQ_Lib[],MATCH(AF$2,SP_ACQ_Lib[#Headers],0),FALSE)=0,"",VLOOKUP(CONCATENATE($A106,"_",AF$1),SP_ACQ_Lib[],MATCH(AF$2,SP_ACQ_Lib[#Headers],0),FALSE)),"")</f>
        <v/>
      </c>
      <c r="AG106" s="250" t="str">
        <f>IFERROR(IF(VLOOKUP(CONCATENATE($A106,"_",AG$1),SP_ACQ_Lib[],MATCH(AG$2,SP_ACQ_Lib[#Headers],0),FALSE)=0,"",VLOOKUP(CONCATENATE($A106,"_",AG$1),SP_ACQ_Lib[],MATCH(AG$2,SP_ACQ_Lib[#Headers],0),FALSE)),"")</f>
        <v/>
      </c>
      <c r="AH106" s="250" t="str">
        <f>IFERROR(IF(VLOOKUP(CONCATENATE($A106,"_",AH$1),SP_ACQ_Lib[],MATCH(AH$2,SP_ACQ_Lib[#Headers],0),FALSE)=0,"",VLOOKUP(CONCATENATE($A106,"_",AH$1),SP_ACQ_Lib[],MATCH(AH$2,SP_ACQ_Lib[#Headers],0),FALSE)),"")</f>
        <v/>
      </c>
      <c r="AI106" s="249">
        <f>IFERROR(IF(VLOOKUP(CONCATENATE($A106,"_",AI$1),SP_ACQ_Lib[],MATCH(AI$2,SP_ACQ_Lib[#Headers],0),FALSE)=0,"",VLOOKUP(CONCATENATE($A106,"_",AI$1),SP_ACQ_Lib[],MATCH(AI$2,SP_ACQ_Lib[#Headers],0),FALSE)),"")</f>
        <v>43985</v>
      </c>
      <c r="AJ106" s="249" t="str">
        <f>IFERROR(IF(VLOOKUP(CONCATENATE($A106,"_",AJ$1),SP_ACQ_Lib[],MATCH(AJ$2,SP_ACQ_Lib[#Headers],0),FALSE)=0,"",VLOOKUP(CONCATENATE($A106,"_",AJ$1),SP_ACQ_Lib[],MATCH(AJ$2,SP_ACQ_Lib[#Headers],0),FALSE)),"")</f>
        <v/>
      </c>
      <c r="AK106" s="249" t="str">
        <f>IFERROR(IF(VLOOKUP(CONCATENATE($A106,"_",AK$1),SP_ACQ_Lib[],MATCH(AK$2,SP_ACQ_Lib[#Headers],0),FALSE)=0,"",VLOOKUP(CONCATENATE($A106,"_",AK$1),SP_ACQ_Lib[],MATCH(AK$2,SP_ACQ_Lib[#Headers],0),FALSE)),"")</f>
        <v/>
      </c>
      <c r="AL106" s="249">
        <f>IFERROR(VLOOKUP($A106,SP_AcqTract_DB[],MATCH(AL$2,SP_AcqTract_DB[#Headers],0),FALSE),"")</f>
        <v>0</v>
      </c>
      <c r="AM106" s="227">
        <f>IFERROR(VLOOKUP($A106,SP_AcqTract_DB[],MATCH(AM$2,SP_AcqTract_DB[#Headers],0),FALSE),"")</f>
        <v>0</v>
      </c>
      <c r="AN106" s="227">
        <f>IFERROR(VLOOKUP($A106,SP_AcqTract_DB[],MATCH(AN$2,SP_AcqTract_DB[#Headers],0),FALSE),"")</f>
        <v>0</v>
      </c>
      <c r="AO106" s="228">
        <f>IFERROR(VLOOKUP($A106,SP_AcqTract_DB[],MATCH(AO$2,SP_AcqTract_DB[#Headers],0),FALSE),"")</f>
        <v>0</v>
      </c>
      <c r="AP106" s="210">
        <f>IFERROR(VLOOKUP($A106,SP_AcqTract_DB[],MATCH(AP$2,SP_AcqTract_DB[#Headers],0),FALSE),"")</f>
        <v>0</v>
      </c>
      <c r="AQ106" s="252" t="str">
        <f>IFERROR(IF(VLOOKUP(CONCATENATE($A106,"_",AQ$1),SP_ACQ_Lib[],MATCH(AQ$2,SP_ACQ_Lib[#Headers],0),FALSE)=0,"",VLOOKUP(CONCATENATE($A106,"_",AQ$1),SP_ACQ_Lib[],MATCH(AQ$2,SP_ACQ_Lib[#Headers],0),FALSE)),"")</f>
        <v/>
      </c>
      <c r="AR106" s="250" t="str">
        <f>IFERROR(IF(VLOOKUP(CONCATENATE($A106,"_",AR$1),SP_ACQ_Lib[],MATCH(AR$2,SP_ACQ_Lib[#Headers],0),FALSE)=0,"",VLOOKUP(CONCATENATE($A106,"_",AR$1),SP_ACQ_Lib[],MATCH(AR$2,SP_ACQ_Lib[#Headers],0),FALSE)),"")</f>
        <v/>
      </c>
      <c r="AS106" s="249" t="str">
        <f>IFERROR(IF(VLOOKUP(CONCATENATE($A106,"_",AS$1),SP_ACQ_Lib[],MATCH(AS$2,SP_ACQ_Lib[#Headers],0),FALSE)=0,"",VLOOKUP(CONCATENATE($A106,"_",AS$1),SP_ACQ_Lib[],MATCH(AS$2,SP_ACQ_Lib[#Headers],0),FALSE)),"")</f>
        <v/>
      </c>
      <c r="AT106" s="251" t="str">
        <f>IFERROR(IF(VLOOKUP(CONCATENATE($A106,"_",AT$1),SP_ACQ_Lib[],MATCH(AT$2,SP_ACQ_Lib[#Headers],0),FALSE)=0,"",VLOOKUP(CONCATENATE($A106,"_",AT$1),SP_ACQ_Lib[],MATCH(AT$2,SP_ACQ_Lib[#Headers],0),FALSE)),"")</f>
        <v/>
      </c>
      <c r="AU106" s="251" t="str">
        <f>IFERROR(IF(VLOOKUP(CONCATENATE($A106,"_",AU$1),SP_ACQ_Lib[],MATCH(AU$2,SP_ACQ_Lib[#Headers],0),FALSE)=0,"",VLOOKUP(CONCATENATE($A106,"_",AU$1),SP_ACQ_Lib[],MATCH(AU$2,SP_ACQ_Lib[#Headers],0),FALSE)),"")</f>
        <v/>
      </c>
      <c r="AV106" s="225" t="str">
        <f>IFERROR(IF(VLOOKUP(CONCATENATE($A106,"_",AV$1),SP_ACQ_Lib[],MATCH(AV$2,SP_ACQ_Lib[#Headers],0),FALSE)=0,"",VLOOKUP(CONCATENATE($A106,"_",AV$1),SP_ACQ_Lib[],MATCH(AV$2,SP_ACQ_Lib[#Headers],0),FALSE)),"")</f>
        <v/>
      </c>
      <c r="AW106" s="251" t="str">
        <f>IFERROR(IF(VLOOKUP(CONCATENATE($A106,"_",AW$1),SP_ACQ_Lib[],MATCH(AW$2,SP_ACQ_Lib[#Headers],0),FALSE)=0,"",VLOOKUP(CONCATENATE($A106,"_",AW$1),SP_ACQ_Lib[],MATCH(AW$2,SP_ACQ_Lib[#Headers],0),FALSE)),"")</f>
        <v/>
      </c>
      <c r="AX106" s="251" t="str">
        <f>IFERROR(IF(VLOOKUP(CONCATENATE($A106,"_",AX$1),SP_ACQ_Lib[],MATCH(AX$2,SP_ACQ_Lib[#Headers],0),FALSE)=0,"",VLOOKUP(CONCATENATE($A106,"_",AX$1),SP_ACQ_Lib[],MATCH(AX$2,SP_ACQ_Lib[#Headers],0),FALSE)),"")</f>
        <v/>
      </c>
      <c r="AY106" s="251" t="str">
        <f>IFERROR(IF(VLOOKUP(CONCATENATE($A106,"_",AY$1),SP_ACQ_Lib[],MATCH(AY$2,SP_ACQ_Lib[#Headers],0),FALSE)=0,"",VLOOKUP(CONCATENATE($A106,"_",AY$1),SP_ACQ_Lib[],MATCH(AY$2,SP_ACQ_Lib[#Headers],0),FALSE)),"")</f>
        <v/>
      </c>
      <c r="AZ106" s="251" t="str">
        <f>IFERROR(IF(VLOOKUP(CONCATENATE($A106,"_",AZ$1),SP_ACQ_Lib[],MATCH(AZ$2,SP_ACQ_Lib[#Headers],0),FALSE)=0,"",VLOOKUP(CONCATENATE($A106,"_",AZ$1),SP_ACQ_Lib[],MATCH(AZ$2,SP_ACQ_Lib[#Headers],0),FALSE)),"")</f>
        <v/>
      </c>
      <c r="BA106" s="251" t="str">
        <f>IFERROR(IF(VLOOKUP(CONCATENATE($A106,"_",BA$1),SP_ACQ_Lib[],MATCH(BA$2,SP_ACQ_Lib[#Headers],0),FALSE)=0,"",VLOOKUP(CONCATENATE($A106,"_",BA$1),SP_ACQ_Lib[],MATCH(BA$2,SP_ACQ_Lib[#Headers],0),FALSE)),"")</f>
        <v/>
      </c>
      <c r="BB106" s="224">
        <f>IFERROR(VLOOKUP(CONCATENATE($A106,"_",BB$1),SP_ACQ_Lib[],MATCH(BB$2,SP_ACQ_Lib[#Headers],0),FALSE),0)</f>
        <v>0</v>
      </c>
      <c r="BC106" s="231">
        <f>IFERROR(VLOOKUP($A106,SP_AcqTract_DB[],MATCH(BC$2,SP_AcqTract_DB[#Headers],0),FALSE),"")</f>
        <v>0</v>
      </c>
      <c r="BD106" s="231">
        <f>IFERROR(VLOOKUP($A106,SP_AcqTract_DB[],MATCH(BD$2,SP_AcqTract_DB[#Headers],0),FALSE),"")</f>
        <v>0</v>
      </c>
      <c r="BE106" s="249" t="str">
        <f>IFERROR(IF(VLOOKUP(CONCATENATE($A106,"_",BE$1),SP_ACQ_Lib[],MATCH(BE$2,SP_ACQ_Lib[#Headers],0),FALSE)=0,"",VLOOKUP(CONCATENATE($A106,"_",BE$1),SP_ACQ_Lib[],MATCH(BE$2,SP_ACQ_Lib[#Headers],0),FALSE)),"")</f>
        <v/>
      </c>
      <c r="BF106" s="249" t="str">
        <f>IFERROR(IF(VLOOKUP(CONCATENATE($A106,"_",BF$1),SP_ACQ_Lib[],MATCH(BF$2,SP_ACQ_Lib[#Headers],0),FALSE)=0,"",VLOOKUP(CONCATENATE($A106,"_",BF$1),SP_ACQ_Lib[],MATCH(BF$2,SP_ACQ_Lib[#Headers],0),FALSE)),"")</f>
        <v/>
      </c>
      <c r="BG106" s="249" t="str">
        <f>IFERROR(IF(VLOOKUP(CONCATENATE($A106,"_",BG$1),SP_ACQ_Lib[],MATCH(BG$2,SP_ACQ_Lib[#Headers],0),FALSE)=0,"",VLOOKUP(CONCATENATE($A106,"_",BG$1),SP_ACQ_Lib[],MATCH(BG$2,SP_ACQ_Lib[#Headers],0),FALSE)),"")</f>
        <v/>
      </c>
      <c r="BH106" s="249" t="str">
        <f>IFERROR(IF(VLOOKUP(CONCATENATE($A106,"_",BH$1),SP_ACQ_Lib[],MATCH(BH$2,SP_ACQ_Lib[#Headers],0),FALSE)=0,"",VLOOKUP(CONCATENATE($A106,"_",BH$1),SP_ACQ_Lib[],MATCH(BH$2,SP_ACQ_Lib[#Headers],0),FALSE)),"")</f>
        <v/>
      </c>
      <c r="BI106" s="249" t="str">
        <f>IFERROR(IF(VLOOKUP(CONCATENATE($A106,"_",BI$1),SP_ACQ_Lib[],MATCH(BI$2,SP_ACQ_Lib[#Headers],0),FALSE)=0,"",VLOOKUP(CONCATENATE($A106,"_",BI$1),SP_ACQ_Lib[],MATCH(BI$2,SP_ACQ_Lib[#Headers],0),FALSE)),"")</f>
        <v/>
      </c>
      <c r="BJ106" s="249" t="str">
        <f>IFERROR(IF(VLOOKUP(CONCATENATE($A106,"_",BJ$1),SP_ACQ_Lib[],MATCH(BJ$2,SP_ACQ_Lib[#Headers],0),FALSE)=0,"",VLOOKUP(CONCATENATE($A106,"_",BJ$1),SP_ACQ_Lib[],MATCH(BJ$2,SP_ACQ_Lib[#Headers],0),FALSE)),"")</f>
        <v/>
      </c>
      <c r="BK106" s="250" t="str">
        <f>IFERROR(IF(VLOOKUP(CONCATENATE($A106,"_",BK$1),SP_ACQ_Lib[],MATCH(BK$2,SP_ACQ_Lib[#Headers],0),FALSE)=0,"",VLOOKUP(CONCATENATE($A106,"_",BK$1),SP_ACQ_Lib[],MATCH(BK$2,SP_ACQ_Lib[#Headers],0),FALSE)),"")</f>
        <v/>
      </c>
      <c r="BL106" s="249" t="str">
        <f>IFERROR(IF(VLOOKUP(CONCATENATE($A106,"_",BL$1),SP_ACQ_Lib[],MATCH(BL$2,SP_ACQ_Lib[#Headers],0),FALSE)=0,"",VLOOKUP(CONCATENATE($A106,"_",BL$1),SP_ACQ_Lib[],MATCH(BL$2,SP_ACQ_Lib[#Headers],0),FALSE)),"")</f>
        <v/>
      </c>
      <c r="BM106" s="249" t="str">
        <f>IFERROR(IF(VLOOKUP(CONCATENATE($A106,"_",BM$1),SP_ACQ_Lib[],MATCH(BM$2,SP_ACQ_Lib[#Headers],0),FALSE)=0,"",VLOOKUP(CONCATENATE($A106,"_",BM$1),SP_ACQ_Lib[],MATCH(BM$2,SP_ACQ_Lib[#Headers],0),FALSE)),"")</f>
        <v/>
      </c>
      <c r="BN106" s="249" t="str">
        <f>IFERROR(IF(VLOOKUP(CONCATENATE($A106,"_",BN$1),SP_ACQ_Lib[],MATCH(BN$2,SP_ACQ_Lib[#Headers],0),FALSE)=0,"",VLOOKUP(CONCATENATE($A106,"_",BN$1),SP_ACQ_Lib[],MATCH(BN$2,SP_ACQ_Lib[#Headers],0),FALSE)),"")</f>
        <v/>
      </c>
    </row>
    <row r="107" spans="1:66" s="226" customFormat="1" ht="15.75" x14ac:dyDescent="0.2">
      <c r="A107" s="192" t="s">
        <v>5330</v>
      </c>
      <c r="B107" s="227" t="str">
        <f>IFERROR(VLOOKUP($A107,SP_AcqTract_DB[],MATCH(B$2,SP_AcqTract_DB[#Headers],0),FALSE),"")</f>
        <v>R032141</v>
      </c>
      <c r="C107" s="228" t="str">
        <f>IFERROR(VLOOKUP($A107,SP_AcqTract_DB[],MATCH(C$2,SP_AcqTract_DB[#Headers],0),FALSE),"")</f>
        <v>PH2</v>
      </c>
      <c r="D107" s="208" t="str">
        <f>IFERROR(VLOOKUP($A107,SP_AcqTract_DB[],MATCH(D$2,SP_AcqTract_DB[#Headers],0),FALSE),"")</f>
        <v>Active</v>
      </c>
      <c r="E107" s="208">
        <f>IFERROR(VLOOKUP($A107,SP_AcqTract_DB[],MATCH(E$2,SP_AcqTract_DB[#Headers],0),FALSE),"")</f>
        <v>0</v>
      </c>
      <c r="F107" s="227">
        <f>IFERROR(VLOOKUP($A107,SP_AcqTract_DB[],MATCH(F$2,SP_AcqTract_DB[#Headers],0),FALSE),"")</f>
        <v>0</v>
      </c>
      <c r="G107" s="227" t="str">
        <f>IFERROR(VLOOKUP($A107,SP_AcqTract_DB[],MATCH(G$2,SP_AcqTract_DB[#Headers],0),FALSE),"")</f>
        <v>Darlene Snow</v>
      </c>
      <c r="H107" s="250">
        <f>IFERROR(IF(VLOOKUP(CONCATENATE($A107,"_",H$1),SP_ACQ_Lib[],MATCH(H$2,SP_ACQ_Lib[#Headers],0),FALSE)=0,"",VLOOKUP(CONCATENATE($A107,"_",H$1),SP_ACQ_Lib[],MATCH(H$2,SP_ACQ_Lib[#Headers],0),FALSE)),"")</f>
        <v>44022.726770833331</v>
      </c>
      <c r="I107" s="227" t="str">
        <f>IFERROR(VLOOKUP($A107,SP_AcqTract_DB[],MATCH(I$2,SP_AcqTract_DB[#Headers],0),FALSE),"")</f>
        <v>Gad Nandan P</v>
      </c>
      <c r="J107" s="227">
        <f>IFERROR(VLOOKUP($A107,SP_AcqTract_DB[],MATCH(J$2,SP_AcqTract_DB[#Headers],0),FALSE),"")</f>
        <v>0</v>
      </c>
      <c r="K107" s="227">
        <f>IFERROR(VLOOKUP($A107,SP_AcqTract_DB[],MATCH(K$2,SP_AcqTract_DB[#Headers],0),FALSE),"")</f>
        <v>0</v>
      </c>
      <c r="L107" s="227">
        <f>IFERROR(VLOOKUP($A107,SP_AcqTract_DB[],MATCH(L$2,SP_AcqTract_DB[#Headers],0),FALSE),"")</f>
        <v>0</v>
      </c>
      <c r="M107" s="208">
        <f>IFERROR(VLOOKUP($A107,SP_AcqTract_DB[],MATCH(M$2,SP_AcqTract_DB[#Headers],0),FALSE),"")</f>
        <v>0</v>
      </c>
      <c r="N107" s="227" t="str">
        <f>IFERROR(VLOOKUP($A107,SP_AcqTract_DB[],MATCH(N$2,SP_AcqTract_DB[#Headers],0),FALSE),"")</f>
        <v>UNLISTED</v>
      </c>
      <c r="O107" s="220">
        <f>IFERROR(VLOOKUP($A107,SP_AcqTract_DB[],MATCH(O$2,SP_AcqTract_DB[#Headers],0),FALSE),"")</f>
        <v>0</v>
      </c>
      <c r="P107" s="220">
        <f>IFERROR(VLOOKUP($A107,SP_AcqTract_DB[],MATCH(P$2,SP_AcqTract_DB[#Headers],0),FALSE),"")</f>
        <v>0</v>
      </c>
      <c r="Q107" s="208">
        <f>IFERROR(VLOOKUP($A107,SP_AcqTract_DB[],MATCH(Q$2,SP_AcqTract_DB[#Headers],0),FALSE),"")</f>
        <v>0</v>
      </c>
      <c r="R107" s="250" t="str">
        <f>IFERROR(IF(VLOOKUP(CONCATENATE($A107,"_",R$1),SP_ACQ_Lib[],MATCH(R$2,SP_ACQ_Lib[#Headers],0),FALSE)=0,"",VLOOKUP(CONCATENATE($A107,"_",R$1),SP_ACQ_Lib[],MATCH(R$2,SP_ACQ_Lib[#Headers],0),FALSE)),"")</f>
        <v/>
      </c>
      <c r="S107" s="253" t="str">
        <f>IFERROR(IF(VLOOKUP(CONCATENATE($A107,"_",S$1),SP_ACQ_Lib[],MATCH(S$2,SP_ACQ_Lib[#Headers],0),FALSE)=0,"",VLOOKUP(CONCATENATE($A107,"_",S$1),SP_ACQ_Lib[],MATCH(S$2,SP_ACQ_Lib[#Headers],0),FALSE)),"")</f>
        <v/>
      </c>
      <c r="T107" s="205">
        <f>IFERROR(VLOOKUP(CONCATENATE($A107,"_",T$1),SP_ACQ_Lib[],MATCH(T$2,SP_ACQ_Lib[#Headers],0),FALSE),0)</f>
        <v>0</v>
      </c>
      <c r="U107" s="250" t="str">
        <f>IFERROR(IF(VLOOKUP(CONCATENATE($A107,"_",U$1),SP_ACQ_Lib[],MATCH(U$2,SP_ACQ_Lib[#Headers],0),FALSE)=0,"",VLOOKUP(CONCATENATE($A107,"_",U$1),SP_ACQ_Lib[],MATCH(U$2,SP_ACQ_Lib[#Headers],0),FALSE)),"")</f>
        <v/>
      </c>
      <c r="V107" s="205" t="str">
        <f>IFERROR(VLOOKUP(CONCATENATE($A107,"_",V$1),SP_ACQ_Lib[],MATCH(V$2,SP_ACQ_Lib[#Headers],0),FALSE),0)</f>
        <v>Accepted</v>
      </c>
      <c r="W107" s="209">
        <f>IFERROR(VLOOKUP(CONCATENATE($A107,"_",W$1),SP_ACQ_Lib[],MATCH(W$2,SP_ACQ_Lib[#Headers],0),FALSE),0)</f>
        <v>0</v>
      </c>
      <c r="X107" s="250">
        <f>IFERROR(VLOOKUP($A107,SP_AcqTract_DB[],MATCH(X$2,SP_AcqTract_DB[#Headers],0),FALSE),"")</f>
        <v>0</v>
      </c>
      <c r="Y107" s="237">
        <f>IFERROR(VLOOKUP($A107,SP_AcqTract_DB[],MATCH(Y$2,SP_AcqTract_DB[#Headers],0),FALSE),"")</f>
        <v>0</v>
      </c>
      <c r="Z107" s="229">
        <f>IFERROR(VLOOKUP($A107,SP_AcqTract_DB[],MATCH(Z$2,SP_AcqTract_DB[#Headers],0),FALSE),"")</f>
        <v>0</v>
      </c>
      <c r="AA107" s="229">
        <f>IFERROR(VLOOKUP($A107,SP_AcqTract_DB[],MATCH(AA$2,SP_AcqTract_DB[#Headers],0),FALSE),"")</f>
        <v>0</v>
      </c>
      <c r="AB107" s="250" t="str">
        <f>IFERROR(IF(VLOOKUP(CONCATENATE($A107,"_",AB$1),SP_ACQ_Lib[],MATCH(AB$2,SP_ACQ_Lib[#Headers],0),FALSE)=0,"",VLOOKUP(CONCATENATE($A107,"_",AB$1),SP_ACQ_Lib[],MATCH(AB$2,SP_ACQ_Lib[#Headers],0),FALSE)),"")</f>
        <v/>
      </c>
      <c r="AC107" s="250" t="str">
        <f>IFERROR(IF(VLOOKUP(CONCATENATE($A107,"_",AC$1),SP_ACQ_Lib[],MATCH(AC$2,SP_ACQ_Lib[#Headers],0),FALSE)=0,"",VLOOKUP(CONCATENATE($A107,"_",AC$1),SP_ACQ_Lib[],MATCH(AC$2,SP_ACQ_Lib[#Headers],0),FALSE)),"")</f>
        <v/>
      </c>
      <c r="AD107" s="229">
        <f>IFERROR(VLOOKUP($A107,SP_AcqTract_DB[],MATCH(AD$2,SP_AcqTract_DB[#Headers],0),FALSE),"")</f>
        <v>0</v>
      </c>
      <c r="AE107" s="250" t="str">
        <f>IFERROR(IF(VLOOKUP(CONCATENATE($A107,"_",AE$1),SP_ACQ_Lib[],MATCH(AE$2,SP_ACQ_Lib[#Headers],0),FALSE)=0,"",VLOOKUP(CONCATENATE($A107,"_",AE$1),SP_ACQ_Lib[],MATCH(AE$2,SP_ACQ_Lib[#Headers],0),FALSE)),"")</f>
        <v/>
      </c>
      <c r="AF107" s="250" t="str">
        <f>IFERROR(IF(VLOOKUP(CONCATENATE($A107,"_",AF$1),SP_ACQ_Lib[],MATCH(AF$2,SP_ACQ_Lib[#Headers],0),FALSE)=0,"",VLOOKUP(CONCATENATE($A107,"_",AF$1),SP_ACQ_Lib[],MATCH(AF$2,SP_ACQ_Lib[#Headers],0),FALSE)),"")</f>
        <v/>
      </c>
      <c r="AG107" s="250" t="str">
        <f>IFERROR(IF(VLOOKUP(CONCATENATE($A107,"_",AG$1),SP_ACQ_Lib[],MATCH(AG$2,SP_ACQ_Lib[#Headers],0),FALSE)=0,"",VLOOKUP(CONCATENATE($A107,"_",AG$1),SP_ACQ_Lib[],MATCH(AG$2,SP_ACQ_Lib[#Headers],0),FALSE)),"")</f>
        <v/>
      </c>
      <c r="AH107" s="250" t="str">
        <f>IFERROR(IF(VLOOKUP(CONCATENATE($A107,"_",AH$1),SP_ACQ_Lib[],MATCH(AH$2,SP_ACQ_Lib[#Headers],0),FALSE)=0,"",VLOOKUP(CONCATENATE($A107,"_",AH$1),SP_ACQ_Lib[],MATCH(AH$2,SP_ACQ_Lib[#Headers],0),FALSE)),"")</f>
        <v/>
      </c>
      <c r="AI107" s="249">
        <f>IFERROR(IF(VLOOKUP(CONCATENATE($A107,"_",AI$1),SP_ACQ_Lib[],MATCH(AI$2,SP_ACQ_Lib[#Headers],0),FALSE)=0,"",VLOOKUP(CONCATENATE($A107,"_",AI$1),SP_ACQ_Lib[],MATCH(AI$2,SP_ACQ_Lib[#Headers],0),FALSE)),"")</f>
        <v>43985</v>
      </c>
      <c r="AJ107" s="249" t="str">
        <f>IFERROR(IF(VLOOKUP(CONCATENATE($A107,"_",AJ$1),SP_ACQ_Lib[],MATCH(AJ$2,SP_ACQ_Lib[#Headers],0),FALSE)=0,"",VLOOKUP(CONCATENATE($A107,"_",AJ$1),SP_ACQ_Lib[],MATCH(AJ$2,SP_ACQ_Lib[#Headers],0),FALSE)),"")</f>
        <v/>
      </c>
      <c r="AK107" s="249" t="str">
        <f>IFERROR(IF(VLOOKUP(CONCATENATE($A107,"_",AK$1),SP_ACQ_Lib[],MATCH(AK$2,SP_ACQ_Lib[#Headers],0),FALSE)=0,"",VLOOKUP(CONCATENATE($A107,"_",AK$1),SP_ACQ_Lib[],MATCH(AK$2,SP_ACQ_Lib[#Headers],0),FALSE)),"")</f>
        <v/>
      </c>
      <c r="AL107" s="249">
        <f>IFERROR(VLOOKUP($A107,SP_AcqTract_DB[],MATCH(AL$2,SP_AcqTract_DB[#Headers],0),FALSE),"")</f>
        <v>0</v>
      </c>
      <c r="AM107" s="227">
        <f>IFERROR(VLOOKUP($A107,SP_AcqTract_DB[],MATCH(AM$2,SP_AcqTract_DB[#Headers],0),FALSE),"")</f>
        <v>0</v>
      </c>
      <c r="AN107" s="227">
        <f>IFERROR(VLOOKUP($A107,SP_AcqTract_DB[],MATCH(AN$2,SP_AcqTract_DB[#Headers],0),FALSE),"")</f>
        <v>0</v>
      </c>
      <c r="AO107" s="228">
        <f>IFERROR(VLOOKUP($A107,SP_AcqTract_DB[],MATCH(AO$2,SP_AcqTract_DB[#Headers],0),FALSE),"")</f>
        <v>0</v>
      </c>
      <c r="AP107" s="210">
        <f>IFERROR(VLOOKUP($A107,SP_AcqTract_DB[],MATCH(AP$2,SP_AcqTract_DB[#Headers],0),FALSE),"")</f>
        <v>0</v>
      </c>
      <c r="AQ107" s="252" t="str">
        <f>IFERROR(IF(VLOOKUP(CONCATENATE($A107,"_",AQ$1),SP_ACQ_Lib[],MATCH(AQ$2,SP_ACQ_Lib[#Headers],0),FALSE)=0,"",VLOOKUP(CONCATENATE($A107,"_",AQ$1),SP_ACQ_Lib[],MATCH(AQ$2,SP_ACQ_Lib[#Headers],0),FALSE)),"")</f>
        <v/>
      </c>
      <c r="AR107" s="250" t="str">
        <f>IFERROR(IF(VLOOKUP(CONCATENATE($A107,"_",AR$1),SP_ACQ_Lib[],MATCH(AR$2,SP_ACQ_Lib[#Headers],0),FALSE)=0,"",VLOOKUP(CONCATENATE($A107,"_",AR$1),SP_ACQ_Lib[],MATCH(AR$2,SP_ACQ_Lib[#Headers],0),FALSE)),"")</f>
        <v/>
      </c>
      <c r="AS107" s="249" t="str">
        <f>IFERROR(IF(VLOOKUP(CONCATENATE($A107,"_",AS$1),SP_ACQ_Lib[],MATCH(AS$2,SP_ACQ_Lib[#Headers],0),FALSE)=0,"",VLOOKUP(CONCATENATE($A107,"_",AS$1),SP_ACQ_Lib[],MATCH(AS$2,SP_ACQ_Lib[#Headers],0),FALSE)),"")</f>
        <v/>
      </c>
      <c r="AT107" s="251" t="str">
        <f>IFERROR(IF(VLOOKUP(CONCATENATE($A107,"_",AT$1),SP_ACQ_Lib[],MATCH(AT$2,SP_ACQ_Lib[#Headers],0),FALSE)=0,"",VLOOKUP(CONCATENATE($A107,"_",AT$1),SP_ACQ_Lib[],MATCH(AT$2,SP_ACQ_Lib[#Headers],0),FALSE)),"")</f>
        <v/>
      </c>
      <c r="AU107" s="251" t="str">
        <f>IFERROR(IF(VLOOKUP(CONCATENATE($A107,"_",AU$1),SP_ACQ_Lib[],MATCH(AU$2,SP_ACQ_Lib[#Headers],0),FALSE)=0,"",VLOOKUP(CONCATENATE($A107,"_",AU$1),SP_ACQ_Lib[],MATCH(AU$2,SP_ACQ_Lib[#Headers],0),FALSE)),"")</f>
        <v/>
      </c>
      <c r="AV107" s="225" t="str">
        <f>IFERROR(IF(VLOOKUP(CONCATENATE($A107,"_",AV$1),SP_ACQ_Lib[],MATCH(AV$2,SP_ACQ_Lib[#Headers],0),FALSE)=0,"",VLOOKUP(CONCATENATE($A107,"_",AV$1),SP_ACQ_Lib[],MATCH(AV$2,SP_ACQ_Lib[#Headers],0),FALSE)),"")</f>
        <v/>
      </c>
      <c r="AW107" s="251" t="str">
        <f>IFERROR(IF(VLOOKUP(CONCATENATE($A107,"_",AW$1),SP_ACQ_Lib[],MATCH(AW$2,SP_ACQ_Lib[#Headers],0),FALSE)=0,"",VLOOKUP(CONCATENATE($A107,"_",AW$1),SP_ACQ_Lib[],MATCH(AW$2,SP_ACQ_Lib[#Headers],0),FALSE)),"")</f>
        <v/>
      </c>
      <c r="AX107" s="251" t="str">
        <f>IFERROR(IF(VLOOKUP(CONCATENATE($A107,"_",AX$1),SP_ACQ_Lib[],MATCH(AX$2,SP_ACQ_Lib[#Headers],0),FALSE)=0,"",VLOOKUP(CONCATENATE($A107,"_",AX$1),SP_ACQ_Lib[],MATCH(AX$2,SP_ACQ_Lib[#Headers],0),FALSE)),"")</f>
        <v/>
      </c>
      <c r="AY107" s="251" t="str">
        <f>IFERROR(IF(VLOOKUP(CONCATENATE($A107,"_",AY$1),SP_ACQ_Lib[],MATCH(AY$2,SP_ACQ_Lib[#Headers],0),FALSE)=0,"",VLOOKUP(CONCATENATE($A107,"_",AY$1),SP_ACQ_Lib[],MATCH(AY$2,SP_ACQ_Lib[#Headers],0),FALSE)),"")</f>
        <v/>
      </c>
      <c r="AZ107" s="251" t="str">
        <f>IFERROR(IF(VLOOKUP(CONCATENATE($A107,"_",AZ$1),SP_ACQ_Lib[],MATCH(AZ$2,SP_ACQ_Lib[#Headers],0),FALSE)=0,"",VLOOKUP(CONCATENATE($A107,"_",AZ$1),SP_ACQ_Lib[],MATCH(AZ$2,SP_ACQ_Lib[#Headers],0),FALSE)),"")</f>
        <v/>
      </c>
      <c r="BA107" s="251" t="str">
        <f>IFERROR(IF(VLOOKUP(CONCATENATE($A107,"_",BA$1),SP_ACQ_Lib[],MATCH(BA$2,SP_ACQ_Lib[#Headers],0),FALSE)=0,"",VLOOKUP(CONCATENATE($A107,"_",BA$1),SP_ACQ_Lib[],MATCH(BA$2,SP_ACQ_Lib[#Headers],0),FALSE)),"")</f>
        <v/>
      </c>
      <c r="BB107" s="224">
        <f>IFERROR(VLOOKUP(CONCATENATE($A107,"_",BB$1),SP_ACQ_Lib[],MATCH(BB$2,SP_ACQ_Lib[#Headers],0),FALSE),0)</f>
        <v>0</v>
      </c>
      <c r="BC107" s="231">
        <f>IFERROR(VLOOKUP($A107,SP_AcqTract_DB[],MATCH(BC$2,SP_AcqTract_DB[#Headers],0),FALSE),"")</f>
        <v>0</v>
      </c>
      <c r="BD107" s="231">
        <f>IFERROR(VLOOKUP($A107,SP_AcqTract_DB[],MATCH(BD$2,SP_AcqTract_DB[#Headers],0),FALSE),"")</f>
        <v>0</v>
      </c>
      <c r="BE107" s="249" t="str">
        <f>IFERROR(IF(VLOOKUP(CONCATENATE($A107,"_",BE$1),SP_ACQ_Lib[],MATCH(BE$2,SP_ACQ_Lib[#Headers],0),FALSE)=0,"",VLOOKUP(CONCATENATE($A107,"_",BE$1),SP_ACQ_Lib[],MATCH(BE$2,SP_ACQ_Lib[#Headers],0),FALSE)),"")</f>
        <v/>
      </c>
      <c r="BF107" s="249" t="str">
        <f>IFERROR(IF(VLOOKUP(CONCATENATE($A107,"_",BF$1),SP_ACQ_Lib[],MATCH(BF$2,SP_ACQ_Lib[#Headers],0),FALSE)=0,"",VLOOKUP(CONCATENATE($A107,"_",BF$1),SP_ACQ_Lib[],MATCH(BF$2,SP_ACQ_Lib[#Headers],0),FALSE)),"")</f>
        <v/>
      </c>
      <c r="BG107" s="249" t="str">
        <f>IFERROR(IF(VLOOKUP(CONCATENATE($A107,"_",BG$1),SP_ACQ_Lib[],MATCH(BG$2,SP_ACQ_Lib[#Headers],0),FALSE)=0,"",VLOOKUP(CONCATENATE($A107,"_",BG$1),SP_ACQ_Lib[],MATCH(BG$2,SP_ACQ_Lib[#Headers],0),FALSE)),"")</f>
        <v/>
      </c>
      <c r="BH107" s="249" t="str">
        <f>IFERROR(IF(VLOOKUP(CONCATENATE($A107,"_",BH$1),SP_ACQ_Lib[],MATCH(BH$2,SP_ACQ_Lib[#Headers],0),FALSE)=0,"",VLOOKUP(CONCATENATE($A107,"_",BH$1),SP_ACQ_Lib[],MATCH(BH$2,SP_ACQ_Lib[#Headers],0),FALSE)),"")</f>
        <v/>
      </c>
      <c r="BI107" s="249" t="str">
        <f>IFERROR(IF(VLOOKUP(CONCATENATE($A107,"_",BI$1),SP_ACQ_Lib[],MATCH(BI$2,SP_ACQ_Lib[#Headers],0),FALSE)=0,"",VLOOKUP(CONCATENATE($A107,"_",BI$1),SP_ACQ_Lib[],MATCH(BI$2,SP_ACQ_Lib[#Headers],0),FALSE)),"")</f>
        <v/>
      </c>
      <c r="BJ107" s="249" t="str">
        <f>IFERROR(IF(VLOOKUP(CONCATENATE($A107,"_",BJ$1),SP_ACQ_Lib[],MATCH(BJ$2,SP_ACQ_Lib[#Headers],0),FALSE)=0,"",VLOOKUP(CONCATENATE($A107,"_",BJ$1),SP_ACQ_Lib[],MATCH(BJ$2,SP_ACQ_Lib[#Headers],0),FALSE)),"")</f>
        <v/>
      </c>
      <c r="BK107" s="250" t="str">
        <f>IFERROR(IF(VLOOKUP(CONCATENATE($A107,"_",BK$1),SP_ACQ_Lib[],MATCH(BK$2,SP_ACQ_Lib[#Headers],0),FALSE)=0,"",VLOOKUP(CONCATENATE($A107,"_",BK$1),SP_ACQ_Lib[],MATCH(BK$2,SP_ACQ_Lib[#Headers],0),FALSE)),"")</f>
        <v/>
      </c>
      <c r="BL107" s="249" t="str">
        <f>IFERROR(IF(VLOOKUP(CONCATENATE($A107,"_",BL$1),SP_ACQ_Lib[],MATCH(BL$2,SP_ACQ_Lib[#Headers],0),FALSE)=0,"",VLOOKUP(CONCATENATE($A107,"_",BL$1),SP_ACQ_Lib[],MATCH(BL$2,SP_ACQ_Lib[#Headers],0),FALSE)),"")</f>
        <v/>
      </c>
      <c r="BM107" s="249" t="str">
        <f>IFERROR(IF(VLOOKUP(CONCATENATE($A107,"_",BM$1),SP_ACQ_Lib[],MATCH(BM$2,SP_ACQ_Lib[#Headers],0),FALSE)=0,"",VLOOKUP(CONCATENATE($A107,"_",BM$1),SP_ACQ_Lib[],MATCH(BM$2,SP_ACQ_Lib[#Headers],0),FALSE)),"")</f>
        <v/>
      </c>
      <c r="BN107" s="249" t="str">
        <f>IFERROR(IF(VLOOKUP(CONCATENATE($A107,"_",BN$1),SP_ACQ_Lib[],MATCH(BN$2,SP_ACQ_Lib[#Headers],0),FALSE)=0,"",VLOOKUP(CONCATENATE($A107,"_",BN$1),SP_ACQ_Lib[],MATCH(BN$2,SP_ACQ_Lib[#Headers],0),FALSE)),"")</f>
        <v/>
      </c>
    </row>
    <row r="108" spans="1:66" s="226" customFormat="1" ht="15.75" x14ac:dyDescent="0.2">
      <c r="A108" s="192" t="s">
        <v>5332</v>
      </c>
      <c r="B108" s="227" t="str">
        <f>IFERROR(VLOOKUP($A108,SP_AcqTract_DB[],MATCH(B$2,SP_AcqTract_DB[#Headers],0),FALSE),"")</f>
        <v>R032142</v>
      </c>
      <c r="C108" s="228" t="str">
        <f>IFERROR(VLOOKUP($A108,SP_AcqTract_DB[],MATCH(C$2,SP_AcqTract_DB[#Headers],0),FALSE),"")</f>
        <v>PH2</v>
      </c>
      <c r="D108" s="208" t="str">
        <f>IFERROR(VLOOKUP($A108,SP_AcqTract_DB[],MATCH(D$2,SP_AcqTract_DB[#Headers],0),FALSE),"")</f>
        <v>Active</v>
      </c>
      <c r="E108" s="208">
        <f>IFERROR(VLOOKUP($A108,SP_AcqTract_DB[],MATCH(E$2,SP_AcqTract_DB[#Headers],0),FALSE),"")</f>
        <v>0</v>
      </c>
      <c r="F108" s="227">
        <f>IFERROR(VLOOKUP($A108,SP_AcqTract_DB[],MATCH(F$2,SP_AcqTract_DB[#Headers],0),FALSE),"")</f>
        <v>0</v>
      </c>
      <c r="G108" s="227" t="str">
        <f>IFERROR(VLOOKUP($A108,SP_AcqTract_DB[],MATCH(G$2,SP_AcqTract_DB[#Headers],0),FALSE),"")</f>
        <v>Darlene Snow</v>
      </c>
      <c r="H108" s="250">
        <f>IFERROR(IF(VLOOKUP(CONCATENATE($A108,"_",H$1),SP_ACQ_Lib[],MATCH(H$2,SP_ACQ_Lib[#Headers],0),FALSE)=0,"",VLOOKUP(CONCATENATE($A108,"_",H$1),SP_ACQ_Lib[],MATCH(H$2,SP_ACQ_Lib[#Headers],0),FALSE)),"")</f>
        <v>44022.588136574072</v>
      </c>
      <c r="I108" s="227" t="str">
        <f>IFERROR(VLOOKUP($A108,SP_AcqTract_DB[],MATCH(I$2,SP_AcqTract_DB[#Headers],0),FALSE),"")</f>
        <v>Guttenberger George R</v>
      </c>
      <c r="J108" s="227">
        <f>IFERROR(VLOOKUP($A108,SP_AcqTract_DB[],MATCH(J$2,SP_AcqTract_DB[#Headers],0),FALSE),"")</f>
        <v>0</v>
      </c>
      <c r="K108" s="227">
        <f>IFERROR(VLOOKUP($A108,SP_AcqTract_DB[],MATCH(K$2,SP_AcqTract_DB[#Headers],0),FALSE),"")</f>
        <v>0</v>
      </c>
      <c r="L108" s="227">
        <f>IFERROR(VLOOKUP($A108,SP_AcqTract_DB[],MATCH(L$2,SP_AcqTract_DB[#Headers],0),FALSE),"")</f>
        <v>0</v>
      </c>
      <c r="M108" s="208">
        <f>IFERROR(VLOOKUP($A108,SP_AcqTract_DB[],MATCH(M$2,SP_AcqTract_DB[#Headers],0),FALSE),"")</f>
        <v>0</v>
      </c>
      <c r="N108" s="227" t="str">
        <f>IFERROR(VLOOKUP($A108,SP_AcqTract_DB[],MATCH(N$2,SP_AcqTract_DB[#Headers],0),FALSE),"")</f>
        <v>3518 N FULTON</v>
      </c>
      <c r="O108" s="220">
        <f>IFERROR(VLOOKUP($A108,SP_AcqTract_DB[],MATCH(O$2,SP_AcqTract_DB[#Headers],0),FALSE),"")</f>
        <v>0</v>
      </c>
      <c r="P108" s="220">
        <f>IFERROR(VLOOKUP($A108,SP_AcqTract_DB[],MATCH(P$2,SP_AcqTract_DB[#Headers],0),FALSE),"")</f>
        <v>0</v>
      </c>
      <c r="Q108" s="208">
        <f>IFERROR(VLOOKUP($A108,SP_AcqTract_DB[],MATCH(Q$2,SP_AcqTract_DB[#Headers],0),FALSE),"")</f>
        <v>0</v>
      </c>
      <c r="R108" s="250" t="str">
        <f>IFERROR(IF(VLOOKUP(CONCATENATE($A108,"_",R$1),SP_ACQ_Lib[],MATCH(R$2,SP_ACQ_Lib[#Headers],0),FALSE)=0,"",VLOOKUP(CONCATENATE($A108,"_",R$1),SP_ACQ_Lib[],MATCH(R$2,SP_ACQ_Lib[#Headers],0),FALSE)),"")</f>
        <v/>
      </c>
      <c r="S108" s="253" t="str">
        <f>IFERROR(IF(VLOOKUP(CONCATENATE($A108,"_",S$1),SP_ACQ_Lib[],MATCH(S$2,SP_ACQ_Lib[#Headers],0),FALSE)=0,"",VLOOKUP(CONCATENATE($A108,"_",S$1),SP_ACQ_Lib[],MATCH(S$2,SP_ACQ_Lib[#Headers],0),FALSE)),"")</f>
        <v/>
      </c>
      <c r="T108" s="205">
        <f>IFERROR(VLOOKUP(CONCATENATE($A108,"_",T$1),SP_ACQ_Lib[],MATCH(T$2,SP_ACQ_Lib[#Headers],0),FALSE),0)</f>
        <v>0</v>
      </c>
      <c r="U108" s="250" t="str">
        <f>IFERROR(IF(VLOOKUP(CONCATENATE($A108,"_",U$1),SP_ACQ_Lib[],MATCH(U$2,SP_ACQ_Lib[#Headers],0),FALSE)=0,"",VLOOKUP(CONCATENATE($A108,"_",U$1),SP_ACQ_Lib[],MATCH(U$2,SP_ACQ_Lib[#Headers],0),FALSE)),"")</f>
        <v/>
      </c>
      <c r="V108" s="205" t="str">
        <f>IFERROR(VLOOKUP(CONCATENATE($A108,"_",V$1),SP_ACQ_Lib[],MATCH(V$2,SP_ACQ_Lib[#Headers],0),FALSE),0)</f>
        <v>Accepted</v>
      </c>
      <c r="W108" s="209">
        <f>IFERROR(VLOOKUP(CONCATENATE($A108,"_",W$1),SP_ACQ_Lib[],MATCH(W$2,SP_ACQ_Lib[#Headers],0),FALSE),0)</f>
        <v>0</v>
      </c>
      <c r="X108" s="250">
        <f>IFERROR(VLOOKUP($A108,SP_AcqTract_DB[],MATCH(X$2,SP_AcqTract_DB[#Headers],0),FALSE),"")</f>
        <v>0</v>
      </c>
      <c r="Y108" s="237">
        <f>IFERROR(VLOOKUP($A108,SP_AcqTract_DB[],MATCH(Y$2,SP_AcqTract_DB[#Headers],0),FALSE),"")</f>
        <v>0</v>
      </c>
      <c r="Z108" s="229">
        <f>IFERROR(VLOOKUP($A108,SP_AcqTract_DB[],MATCH(Z$2,SP_AcqTract_DB[#Headers],0),FALSE),"")</f>
        <v>0</v>
      </c>
      <c r="AA108" s="229">
        <f>IFERROR(VLOOKUP($A108,SP_AcqTract_DB[],MATCH(AA$2,SP_AcqTract_DB[#Headers],0),FALSE),"")</f>
        <v>0</v>
      </c>
      <c r="AB108" s="250" t="str">
        <f>IFERROR(IF(VLOOKUP(CONCATENATE($A108,"_",AB$1),SP_ACQ_Lib[],MATCH(AB$2,SP_ACQ_Lib[#Headers],0),FALSE)=0,"",VLOOKUP(CONCATENATE($A108,"_",AB$1),SP_ACQ_Lib[],MATCH(AB$2,SP_ACQ_Lib[#Headers],0),FALSE)),"")</f>
        <v/>
      </c>
      <c r="AC108" s="250" t="str">
        <f>IFERROR(IF(VLOOKUP(CONCATENATE($A108,"_",AC$1),SP_ACQ_Lib[],MATCH(AC$2,SP_ACQ_Lib[#Headers],0),FALSE)=0,"",VLOOKUP(CONCATENATE($A108,"_",AC$1),SP_ACQ_Lib[],MATCH(AC$2,SP_ACQ_Lib[#Headers],0),FALSE)),"")</f>
        <v/>
      </c>
      <c r="AD108" s="229">
        <f>IFERROR(VLOOKUP($A108,SP_AcqTract_DB[],MATCH(AD$2,SP_AcqTract_DB[#Headers],0),FALSE),"")</f>
        <v>0</v>
      </c>
      <c r="AE108" s="250" t="str">
        <f>IFERROR(IF(VLOOKUP(CONCATENATE($A108,"_",AE$1),SP_ACQ_Lib[],MATCH(AE$2,SP_ACQ_Lib[#Headers],0),FALSE)=0,"",VLOOKUP(CONCATENATE($A108,"_",AE$1),SP_ACQ_Lib[],MATCH(AE$2,SP_ACQ_Lib[#Headers],0),FALSE)),"")</f>
        <v/>
      </c>
      <c r="AF108" s="250" t="str">
        <f>IFERROR(IF(VLOOKUP(CONCATENATE($A108,"_",AF$1),SP_ACQ_Lib[],MATCH(AF$2,SP_ACQ_Lib[#Headers],0),FALSE)=0,"",VLOOKUP(CONCATENATE($A108,"_",AF$1),SP_ACQ_Lib[],MATCH(AF$2,SP_ACQ_Lib[#Headers],0),FALSE)),"")</f>
        <v/>
      </c>
      <c r="AG108" s="250" t="str">
        <f>IFERROR(IF(VLOOKUP(CONCATENATE($A108,"_",AG$1),SP_ACQ_Lib[],MATCH(AG$2,SP_ACQ_Lib[#Headers],0),FALSE)=0,"",VLOOKUP(CONCATENATE($A108,"_",AG$1),SP_ACQ_Lib[],MATCH(AG$2,SP_ACQ_Lib[#Headers],0),FALSE)),"")</f>
        <v/>
      </c>
      <c r="AH108" s="250" t="str">
        <f>IFERROR(IF(VLOOKUP(CONCATENATE($A108,"_",AH$1),SP_ACQ_Lib[],MATCH(AH$2,SP_ACQ_Lib[#Headers],0),FALSE)=0,"",VLOOKUP(CONCATENATE($A108,"_",AH$1),SP_ACQ_Lib[],MATCH(AH$2,SP_ACQ_Lib[#Headers],0),FALSE)),"")</f>
        <v/>
      </c>
      <c r="AI108" s="249">
        <f>IFERROR(IF(VLOOKUP(CONCATENATE($A108,"_",AI$1),SP_ACQ_Lib[],MATCH(AI$2,SP_ACQ_Lib[#Headers],0),FALSE)=0,"",VLOOKUP(CONCATENATE($A108,"_",AI$1),SP_ACQ_Lib[],MATCH(AI$2,SP_ACQ_Lib[#Headers],0),FALSE)),"")</f>
        <v>43985</v>
      </c>
      <c r="AJ108" s="249">
        <f>IFERROR(IF(VLOOKUP(CONCATENATE($A108,"_",AJ$1),SP_ACQ_Lib[],MATCH(AJ$2,SP_ACQ_Lib[#Headers],0),FALSE)=0,"",VLOOKUP(CONCATENATE($A108,"_",AJ$1),SP_ACQ_Lib[],MATCH(AJ$2,SP_ACQ_Lib[#Headers],0),FALSE)),"")</f>
        <v>44014</v>
      </c>
      <c r="AK108" s="249">
        <f>IFERROR(IF(VLOOKUP(CONCATENATE($A108,"_",AK$1),SP_ACQ_Lib[],MATCH(AK$2,SP_ACQ_Lib[#Headers],0),FALSE)=0,"",VLOOKUP(CONCATENATE($A108,"_",AK$1),SP_ACQ_Lib[],MATCH(AK$2,SP_ACQ_Lib[#Headers],0),FALSE)),"")</f>
        <v>44198</v>
      </c>
      <c r="AL108" s="249">
        <f>IFERROR(VLOOKUP($A108,SP_AcqTract_DB[],MATCH(AL$2,SP_AcqTract_DB[#Headers],0),FALSE),"")</f>
        <v>0</v>
      </c>
      <c r="AM108" s="227">
        <f>IFERROR(VLOOKUP($A108,SP_AcqTract_DB[],MATCH(AM$2,SP_AcqTract_DB[#Headers],0),FALSE),"")</f>
        <v>0</v>
      </c>
      <c r="AN108" s="227">
        <f>IFERROR(VLOOKUP($A108,SP_AcqTract_DB[],MATCH(AN$2,SP_AcqTract_DB[#Headers],0),FALSE),"")</f>
        <v>0</v>
      </c>
      <c r="AO108" s="228">
        <f>IFERROR(VLOOKUP($A108,SP_AcqTract_DB[],MATCH(AO$2,SP_AcqTract_DB[#Headers],0),FALSE),"")</f>
        <v>0</v>
      </c>
      <c r="AP108" s="210">
        <f>IFERROR(VLOOKUP($A108,SP_AcqTract_DB[],MATCH(AP$2,SP_AcqTract_DB[#Headers],0),FALSE),"")</f>
        <v>0</v>
      </c>
      <c r="AQ108" s="252" t="str">
        <f>IFERROR(IF(VLOOKUP(CONCATENATE($A108,"_",AQ$1),SP_ACQ_Lib[],MATCH(AQ$2,SP_ACQ_Lib[#Headers],0),FALSE)=0,"",VLOOKUP(CONCATENATE($A108,"_",AQ$1),SP_ACQ_Lib[],MATCH(AQ$2,SP_ACQ_Lib[#Headers],0),FALSE)),"")</f>
        <v/>
      </c>
      <c r="AR108" s="250" t="str">
        <f>IFERROR(IF(VLOOKUP(CONCATENATE($A108,"_",AR$1),SP_ACQ_Lib[],MATCH(AR$2,SP_ACQ_Lib[#Headers],0),FALSE)=0,"",VLOOKUP(CONCATENATE($A108,"_",AR$1),SP_ACQ_Lib[],MATCH(AR$2,SP_ACQ_Lib[#Headers],0),FALSE)),"")</f>
        <v/>
      </c>
      <c r="AS108" s="249" t="str">
        <f>IFERROR(IF(VLOOKUP(CONCATENATE($A108,"_",AS$1),SP_ACQ_Lib[],MATCH(AS$2,SP_ACQ_Lib[#Headers],0),FALSE)=0,"",VLOOKUP(CONCATENATE($A108,"_",AS$1),SP_ACQ_Lib[],MATCH(AS$2,SP_ACQ_Lib[#Headers],0),FALSE)),"")</f>
        <v/>
      </c>
      <c r="AT108" s="251" t="str">
        <f>IFERROR(IF(VLOOKUP(CONCATENATE($A108,"_",AT$1),SP_ACQ_Lib[],MATCH(AT$2,SP_ACQ_Lib[#Headers],0),FALSE)=0,"",VLOOKUP(CONCATENATE($A108,"_",AT$1),SP_ACQ_Lib[],MATCH(AT$2,SP_ACQ_Lib[#Headers],0),FALSE)),"")</f>
        <v/>
      </c>
      <c r="AU108" s="251" t="str">
        <f>IFERROR(IF(VLOOKUP(CONCATENATE($A108,"_",AU$1),SP_ACQ_Lib[],MATCH(AU$2,SP_ACQ_Lib[#Headers],0),FALSE)=0,"",VLOOKUP(CONCATENATE($A108,"_",AU$1),SP_ACQ_Lib[],MATCH(AU$2,SP_ACQ_Lib[#Headers],0),FALSE)),"")</f>
        <v/>
      </c>
      <c r="AV108" s="225" t="str">
        <f>IFERROR(IF(VLOOKUP(CONCATENATE($A108,"_",AV$1),SP_ACQ_Lib[],MATCH(AV$2,SP_ACQ_Lib[#Headers],0),FALSE)=0,"",VLOOKUP(CONCATENATE($A108,"_",AV$1),SP_ACQ_Lib[],MATCH(AV$2,SP_ACQ_Lib[#Headers],0),FALSE)),"")</f>
        <v/>
      </c>
      <c r="AW108" s="251" t="str">
        <f>IFERROR(IF(VLOOKUP(CONCATENATE($A108,"_",AW$1),SP_ACQ_Lib[],MATCH(AW$2,SP_ACQ_Lib[#Headers],0),FALSE)=0,"",VLOOKUP(CONCATENATE($A108,"_",AW$1),SP_ACQ_Lib[],MATCH(AW$2,SP_ACQ_Lib[#Headers],0),FALSE)),"")</f>
        <v/>
      </c>
      <c r="AX108" s="251" t="str">
        <f>IFERROR(IF(VLOOKUP(CONCATENATE($A108,"_",AX$1),SP_ACQ_Lib[],MATCH(AX$2,SP_ACQ_Lib[#Headers],0),FALSE)=0,"",VLOOKUP(CONCATENATE($A108,"_",AX$1),SP_ACQ_Lib[],MATCH(AX$2,SP_ACQ_Lib[#Headers],0),FALSE)),"")</f>
        <v/>
      </c>
      <c r="AY108" s="251" t="str">
        <f>IFERROR(IF(VLOOKUP(CONCATENATE($A108,"_",AY$1),SP_ACQ_Lib[],MATCH(AY$2,SP_ACQ_Lib[#Headers],0),FALSE)=0,"",VLOOKUP(CONCATENATE($A108,"_",AY$1),SP_ACQ_Lib[],MATCH(AY$2,SP_ACQ_Lib[#Headers],0),FALSE)),"")</f>
        <v/>
      </c>
      <c r="AZ108" s="251" t="str">
        <f>IFERROR(IF(VLOOKUP(CONCATENATE($A108,"_",AZ$1),SP_ACQ_Lib[],MATCH(AZ$2,SP_ACQ_Lib[#Headers],0),FALSE)=0,"",VLOOKUP(CONCATENATE($A108,"_",AZ$1),SP_ACQ_Lib[],MATCH(AZ$2,SP_ACQ_Lib[#Headers],0),FALSE)),"")</f>
        <v/>
      </c>
      <c r="BA108" s="251" t="str">
        <f>IFERROR(IF(VLOOKUP(CONCATENATE($A108,"_",BA$1),SP_ACQ_Lib[],MATCH(BA$2,SP_ACQ_Lib[#Headers],0),FALSE)=0,"",VLOOKUP(CONCATENATE($A108,"_",BA$1),SP_ACQ_Lib[],MATCH(BA$2,SP_ACQ_Lib[#Headers],0),FALSE)),"")</f>
        <v/>
      </c>
      <c r="BB108" s="224">
        <f>IFERROR(VLOOKUP(CONCATENATE($A108,"_",BB$1),SP_ACQ_Lib[],MATCH(BB$2,SP_ACQ_Lib[#Headers],0),FALSE),0)</f>
        <v>0</v>
      </c>
      <c r="BC108" s="231">
        <f>IFERROR(VLOOKUP($A108,SP_AcqTract_DB[],MATCH(BC$2,SP_AcqTract_DB[#Headers],0),FALSE),"")</f>
        <v>0</v>
      </c>
      <c r="BD108" s="231">
        <f>IFERROR(VLOOKUP($A108,SP_AcqTract_DB[],MATCH(BD$2,SP_AcqTract_DB[#Headers],0),FALSE),"")</f>
        <v>0</v>
      </c>
      <c r="BE108" s="249" t="str">
        <f>IFERROR(IF(VLOOKUP(CONCATENATE($A108,"_",BE$1),SP_ACQ_Lib[],MATCH(BE$2,SP_ACQ_Lib[#Headers],0),FALSE)=0,"",VLOOKUP(CONCATENATE($A108,"_",BE$1),SP_ACQ_Lib[],MATCH(BE$2,SP_ACQ_Lib[#Headers],0),FALSE)),"")</f>
        <v/>
      </c>
      <c r="BF108" s="249" t="str">
        <f>IFERROR(IF(VLOOKUP(CONCATENATE($A108,"_",BF$1),SP_ACQ_Lib[],MATCH(BF$2,SP_ACQ_Lib[#Headers],0),FALSE)=0,"",VLOOKUP(CONCATENATE($A108,"_",BF$1),SP_ACQ_Lib[],MATCH(BF$2,SP_ACQ_Lib[#Headers],0),FALSE)),"")</f>
        <v/>
      </c>
      <c r="BG108" s="249" t="str">
        <f>IFERROR(IF(VLOOKUP(CONCATENATE($A108,"_",BG$1),SP_ACQ_Lib[],MATCH(BG$2,SP_ACQ_Lib[#Headers],0),FALSE)=0,"",VLOOKUP(CONCATENATE($A108,"_",BG$1),SP_ACQ_Lib[],MATCH(BG$2,SP_ACQ_Lib[#Headers],0),FALSE)),"")</f>
        <v/>
      </c>
      <c r="BH108" s="249" t="str">
        <f>IFERROR(IF(VLOOKUP(CONCATENATE($A108,"_",BH$1),SP_ACQ_Lib[],MATCH(BH$2,SP_ACQ_Lib[#Headers],0),FALSE)=0,"",VLOOKUP(CONCATENATE($A108,"_",BH$1),SP_ACQ_Lib[],MATCH(BH$2,SP_ACQ_Lib[#Headers],0),FALSE)),"")</f>
        <v/>
      </c>
      <c r="BI108" s="249" t="str">
        <f>IFERROR(IF(VLOOKUP(CONCATENATE($A108,"_",BI$1),SP_ACQ_Lib[],MATCH(BI$2,SP_ACQ_Lib[#Headers],0),FALSE)=0,"",VLOOKUP(CONCATENATE($A108,"_",BI$1),SP_ACQ_Lib[],MATCH(BI$2,SP_ACQ_Lib[#Headers],0),FALSE)),"")</f>
        <v/>
      </c>
      <c r="BJ108" s="249" t="str">
        <f>IFERROR(IF(VLOOKUP(CONCATENATE($A108,"_",BJ$1),SP_ACQ_Lib[],MATCH(BJ$2,SP_ACQ_Lib[#Headers],0),FALSE)=0,"",VLOOKUP(CONCATENATE($A108,"_",BJ$1),SP_ACQ_Lib[],MATCH(BJ$2,SP_ACQ_Lib[#Headers],0),FALSE)),"")</f>
        <v/>
      </c>
      <c r="BK108" s="250" t="str">
        <f>IFERROR(IF(VLOOKUP(CONCATENATE($A108,"_",BK$1),SP_ACQ_Lib[],MATCH(BK$2,SP_ACQ_Lib[#Headers],0),FALSE)=0,"",VLOOKUP(CONCATENATE($A108,"_",BK$1),SP_ACQ_Lib[],MATCH(BK$2,SP_ACQ_Lib[#Headers],0),FALSE)),"")</f>
        <v/>
      </c>
      <c r="BL108" s="249" t="str">
        <f>IFERROR(IF(VLOOKUP(CONCATENATE($A108,"_",BL$1),SP_ACQ_Lib[],MATCH(BL$2,SP_ACQ_Lib[#Headers],0),FALSE)=0,"",VLOOKUP(CONCATENATE($A108,"_",BL$1),SP_ACQ_Lib[],MATCH(BL$2,SP_ACQ_Lib[#Headers],0),FALSE)),"")</f>
        <v/>
      </c>
      <c r="BM108" s="249" t="str">
        <f>IFERROR(IF(VLOOKUP(CONCATENATE($A108,"_",BM$1),SP_ACQ_Lib[],MATCH(BM$2,SP_ACQ_Lib[#Headers],0),FALSE)=0,"",VLOOKUP(CONCATENATE($A108,"_",BM$1),SP_ACQ_Lib[],MATCH(BM$2,SP_ACQ_Lib[#Headers],0),FALSE)),"")</f>
        <v/>
      </c>
      <c r="BN108" s="249" t="str">
        <f>IFERROR(IF(VLOOKUP(CONCATENATE($A108,"_",BN$1),SP_ACQ_Lib[],MATCH(BN$2,SP_ACQ_Lib[#Headers],0),FALSE)=0,"",VLOOKUP(CONCATENATE($A108,"_",BN$1),SP_ACQ_Lib[],MATCH(BN$2,SP_ACQ_Lib[#Headers],0),FALSE)),"")</f>
        <v/>
      </c>
    </row>
    <row r="109" spans="1:66" s="226" customFormat="1" ht="15.75" x14ac:dyDescent="0.2">
      <c r="A109" s="192" t="s">
        <v>5334</v>
      </c>
      <c r="B109" s="227" t="str">
        <f>IFERROR(VLOOKUP($A109,SP_AcqTract_DB[],MATCH(B$2,SP_AcqTract_DB[#Headers],0),FALSE),"")</f>
        <v>R032145</v>
      </c>
      <c r="C109" s="228" t="str">
        <f>IFERROR(VLOOKUP($A109,SP_AcqTract_DB[],MATCH(C$2,SP_AcqTract_DB[#Headers],0),FALSE),"")</f>
        <v>PH2</v>
      </c>
      <c r="D109" s="208" t="str">
        <f>IFERROR(VLOOKUP($A109,SP_AcqTract_DB[],MATCH(D$2,SP_AcqTract_DB[#Headers],0),FALSE),"")</f>
        <v>Active</v>
      </c>
      <c r="E109" s="208">
        <f>IFERROR(VLOOKUP($A109,SP_AcqTract_DB[],MATCH(E$2,SP_AcqTract_DB[#Headers],0),FALSE),"")</f>
        <v>0</v>
      </c>
      <c r="F109" s="227">
        <f>IFERROR(VLOOKUP($A109,SP_AcqTract_DB[],MATCH(F$2,SP_AcqTract_DB[#Headers],0),FALSE),"")</f>
        <v>0</v>
      </c>
      <c r="G109" s="227" t="str">
        <f>IFERROR(VLOOKUP($A109,SP_AcqTract_DB[],MATCH(G$2,SP_AcqTract_DB[#Headers],0),FALSE),"")</f>
        <v>Darlene Snow</v>
      </c>
      <c r="H109" s="250">
        <f>IFERROR(IF(VLOOKUP(CONCATENATE($A109,"_",H$1),SP_ACQ_Lib[],MATCH(H$2,SP_ACQ_Lib[#Headers],0),FALSE)=0,"",VLOOKUP(CONCATENATE($A109,"_",H$1),SP_ACQ_Lib[],MATCH(H$2,SP_ACQ_Lib[#Headers],0),FALSE)),"")</f>
        <v>44007.870833333334</v>
      </c>
      <c r="I109" s="227" t="str">
        <f>IFERROR(VLOOKUP($A109,SP_AcqTract_DB[],MATCH(I$2,SP_AcqTract_DB[#Headers],0),FALSE),"")</f>
        <v>Luera Ninfa R Life Estate</v>
      </c>
      <c r="J109" s="227">
        <f>IFERROR(VLOOKUP($A109,SP_AcqTract_DB[],MATCH(J$2,SP_AcqTract_DB[#Headers],0),FALSE),"")</f>
        <v>0</v>
      </c>
      <c r="K109" s="227">
        <f>IFERROR(VLOOKUP($A109,SP_AcqTract_DB[],MATCH(K$2,SP_AcqTract_DB[#Headers],0),FALSE),"")</f>
        <v>0</v>
      </c>
      <c r="L109" s="227">
        <f>IFERROR(VLOOKUP($A109,SP_AcqTract_DB[],MATCH(L$2,SP_AcqTract_DB[#Headers],0),FALSE),"")</f>
        <v>0</v>
      </c>
      <c r="M109" s="208">
        <f>IFERROR(VLOOKUP($A109,SP_AcqTract_DB[],MATCH(M$2,SP_AcqTract_DB[#Headers],0),FALSE),"")</f>
        <v>0</v>
      </c>
      <c r="N109" s="227" t="str">
        <f>IFERROR(VLOOKUP($A109,SP_AcqTract_DB[],MATCH(N$2,SP_AcqTract_DB[#Headers],0),FALSE),"")</f>
        <v>3510 N FULTON</v>
      </c>
      <c r="O109" s="220">
        <f>IFERROR(VLOOKUP($A109,SP_AcqTract_DB[],MATCH(O$2,SP_AcqTract_DB[#Headers],0),FALSE),"")</f>
        <v>0</v>
      </c>
      <c r="P109" s="220">
        <f>IFERROR(VLOOKUP($A109,SP_AcqTract_DB[],MATCH(P$2,SP_AcqTract_DB[#Headers],0),FALSE),"")</f>
        <v>0</v>
      </c>
      <c r="Q109" s="208">
        <f>IFERROR(VLOOKUP($A109,SP_AcqTract_DB[],MATCH(Q$2,SP_AcqTract_DB[#Headers],0),FALSE),"")</f>
        <v>0</v>
      </c>
      <c r="R109" s="250" t="str">
        <f>IFERROR(IF(VLOOKUP(CONCATENATE($A109,"_",R$1),SP_ACQ_Lib[],MATCH(R$2,SP_ACQ_Lib[#Headers],0),FALSE)=0,"",VLOOKUP(CONCATENATE($A109,"_",R$1),SP_ACQ_Lib[],MATCH(R$2,SP_ACQ_Lib[#Headers],0),FALSE)),"")</f>
        <v/>
      </c>
      <c r="S109" s="253" t="str">
        <f>IFERROR(IF(VLOOKUP(CONCATENATE($A109,"_",S$1),SP_ACQ_Lib[],MATCH(S$2,SP_ACQ_Lib[#Headers],0),FALSE)=0,"",VLOOKUP(CONCATENATE($A109,"_",S$1),SP_ACQ_Lib[],MATCH(S$2,SP_ACQ_Lib[#Headers],0),FALSE)),"")</f>
        <v/>
      </c>
      <c r="T109" s="205">
        <f>IFERROR(VLOOKUP(CONCATENATE($A109,"_",T$1),SP_ACQ_Lib[],MATCH(T$2,SP_ACQ_Lib[#Headers],0),FALSE),0)</f>
        <v>0</v>
      </c>
      <c r="U109" s="250" t="str">
        <f>IFERROR(IF(VLOOKUP(CONCATENATE($A109,"_",U$1),SP_ACQ_Lib[],MATCH(U$2,SP_ACQ_Lib[#Headers],0),FALSE)=0,"",VLOOKUP(CONCATENATE($A109,"_",U$1),SP_ACQ_Lib[],MATCH(U$2,SP_ACQ_Lib[#Headers],0),FALSE)),"")</f>
        <v/>
      </c>
      <c r="V109" s="205" t="str">
        <f>IFERROR(VLOOKUP(CONCATENATE($A109,"_",V$1),SP_ACQ_Lib[],MATCH(V$2,SP_ACQ_Lib[#Headers],0),FALSE),0)</f>
        <v>Accepted</v>
      </c>
      <c r="W109" s="209">
        <f>IFERROR(VLOOKUP(CONCATENATE($A109,"_",W$1),SP_ACQ_Lib[],MATCH(W$2,SP_ACQ_Lib[#Headers],0),FALSE),0)</f>
        <v>0</v>
      </c>
      <c r="X109" s="250">
        <f>IFERROR(VLOOKUP($A109,SP_AcqTract_DB[],MATCH(X$2,SP_AcqTract_DB[#Headers],0),FALSE),"")</f>
        <v>0</v>
      </c>
      <c r="Y109" s="237">
        <f>IFERROR(VLOOKUP($A109,SP_AcqTract_DB[],MATCH(Y$2,SP_AcqTract_DB[#Headers],0),FALSE),"")</f>
        <v>0</v>
      </c>
      <c r="Z109" s="229">
        <f>IFERROR(VLOOKUP($A109,SP_AcqTract_DB[],MATCH(Z$2,SP_AcqTract_DB[#Headers],0),FALSE),"")</f>
        <v>0</v>
      </c>
      <c r="AA109" s="229">
        <f>IFERROR(VLOOKUP($A109,SP_AcqTract_DB[],MATCH(AA$2,SP_AcqTract_DB[#Headers],0),FALSE),"")</f>
        <v>0</v>
      </c>
      <c r="AB109" s="250" t="str">
        <f>IFERROR(IF(VLOOKUP(CONCATENATE($A109,"_",AB$1),SP_ACQ_Lib[],MATCH(AB$2,SP_ACQ_Lib[#Headers],0),FALSE)=0,"",VLOOKUP(CONCATENATE($A109,"_",AB$1),SP_ACQ_Lib[],MATCH(AB$2,SP_ACQ_Lib[#Headers],0),FALSE)),"")</f>
        <v/>
      </c>
      <c r="AC109" s="250" t="str">
        <f>IFERROR(IF(VLOOKUP(CONCATENATE($A109,"_",AC$1),SP_ACQ_Lib[],MATCH(AC$2,SP_ACQ_Lib[#Headers],0),FALSE)=0,"",VLOOKUP(CONCATENATE($A109,"_",AC$1),SP_ACQ_Lib[],MATCH(AC$2,SP_ACQ_Lib[#Headers],0),FALSE)),"")</f>
        <v/>
      </c>
      <c r="AD109" s="229">
        <f>IFERROR(VLOOKUP($A109,SP_AcqTract_DB[],MATCH(AD$2,SP_AcqTract_DB[#Headers],0),FALSE),"")</f>
        <v>0</v>
      </c>
      <c r="AE109" s="250" t="str">
        <f>IFERROR(IF(VLOOKUP(CONCATENATE($A109,"_",AE$1),SP_ACQ_Lib[],MATCH(AE$2,SP_ACQ_Lib[#Headers],0),FALSE)=0,"",VLOOKUP(CONCATENATE($A109,"_",AE$1),SP_ACQ_Lib[],MATCH(AE$2,SP_ACQ_Lib[#Headers],0),FALSE)),"")</f>
        <v/>
      </c>
      <c r="AF109" s="250" t="str">
        <f>IFERROR(IF(VLOOKUP(CONCATENATE($A109,"_",AF$1),SP_ACQ_Lib[],MATCH(AF$2,SP_ACQ_Lib[#Headers],0),FALSE)=0,"",VLOOKUP(CONCATENATE($A109,"_",AF$1),SP_ACQ_Lib[],MATCH(AF$2,SP_ACQ_Lib[#Headers],0),FALSE)),"")</f>
        <v/>
      </c>
      <c r="AG109" s="250" t="str">
        <f>IFERROR(IF(VLOOKUP(CONCATENATE($A109,"_",AG$1),SP_ACQ_Lib[],MATCH(AG$2,SP_ACQ_Lib[#Headers],0),FALSE)=0,"",VLOOKUP(CONCATENATE($A109,"_",AG$1),SP_ACQ_Lib[],MATCH(AG$2,SP_ACQ_Lib[#Headers],0),FALSE)),"")</f>
        <v/>
      </c>
      <c r="AH109" s="250" t="str">
        <f>IFERROR(IF(VLOOKUP(CONCATENATE($A109,"_",AH$1),SP_ACQ_Lib[],MATCH(AH$2,SP_ACQ_Lib[#Headers],0),FALSE)=0,"",VLOOKUP(CONCATENATE($A109,"_",AH$1),SP_ACQ_Lib[],MATCH(AH$2,SP_ACQ_Lib[#Headers],0),FALSE)),"")</f>
        <v/>
      </c>
      <c r="AI109" s="249">
        <f>IFERROR(IF(VLOOKUP(CONCATENATE($A109,"_",AI$1),SP_ACQ_Lib[],MATCH(AI$2,SP_ACQ_Lib[#Headers],0),FALSE)=0,"",VLOOKUP(CONCATENATE($A109,"_",AI$1),SP_ACQ_Lib[],MATCH(AI$2,SP_ACQ_Lib[#Headers],0),FALSE)),"")</f>
        <v>43985</v>
      </c>
      <c r="AJ109" s="249">
        <f>IFERROR(IF(VLOOKUP(CONCATENATE($A109,"_",AJ$1),SP_ACQ_Lib[],MATCH(AJ$2,SP_ACQ_Lib[#Headers],0),FALSE)=0,"",VLOOKUP(CONCATENATE($A109,"_",AJ$1),SP_ACQ_Lib[],MATCH(AJ$2,SP_ACQ_Lib[#Headers],0),FALSE)),"")</f>
        <v>44004</v>
      </c>
      <c r="AK109" s="249">
        <f>IFERROR(IF(VLOOKUP(CONCATENATE($A109,"_",AK$1),SP_ACQ_Lib[],MATCH(AK$2,SP_ACQ_Lib[#Headers],0),FALSE)=0,"",VLOOKUP(CONCATENATE($A109,"_",AK$1),SP_ACQ_Lib[],MATCH(AK$2,SP_ACQ_Lib[#Headers],0),FALSE)),"")</f>
        <v>44187</v>
      </c>
      <c r="AL109" s="249">
        <f>IFERROR(VLOOKUP($A109,SP_AcqTract_DB[],MATCH(AL$2,SP_AcqTract_DB[#Headers],0),FALSE),"")</f>
        <v>0</v>
      </c>
      <c r="AM109" s="227">
        <f>IFERROR(VLOOKUP($A109,SP_AcqTract_DB[],MATCH(AM$2,SP_AcqTract_DB[#Headers],0),FALSE),"")</f>
        <v>0</v>
      </c>
      <c r="AN109" s="227">
        <f>IFERROR(VLOOKUP($A109,SP_AcqTract_DB[],MATCH(AN$2,SP_AcqTract_DB[#Headers],0),FALSE),"")</f>
        <v>0</v>
      </c>
      <c r="AO109" s="228">
        <f>IFERROR(VLOOKUP($A109,SP_AcqTract_DB[],MATCH(AO$2,SP_AcqTract_DB[#Headers],0),FALSE),"")</f>
        <v>0</v>
      </c>
      <c r="AP109" s="210">
        <f>IFERROR(VLOOKUP($A109,SP_AcqTract_DB[],MATCH(AP$2,SP_AcqTract_DB[#Headers],0),FALSE),"")</f>
        <v>0</v>
      </c>
      <c r="AQ109" s="252" t="str">
        <f>IFERROR(IF(VLOOKUP(CONCATENATE($A109,"_",AQ$1),SP_ACQ_Lib[],MATCH(AQ$2,SP_ACQ_Lib[#Headers],0),FALSE)=0,"",VLOOKUP(CONCATENATE($A109,"_",AQ$1),SP_ACQ_Lib[],MATCH(AQ$2,SP_ACQ_Lib[#Headers],0),FALSE)),"")</f>
        <v/>
      </c>
      <c r="AR109" s="250" t="str">
        <f>IFERROR(IF(VLOOKUP(CONCATENATE($A109,"_",AR$1),SP_ACQ_Lib[],MATCH(AR$2,SP_ACQ_Lib[#Headers],0),FALSE)=0,"",VLOOKUP(CONCATENATE($A109,"_",AR$1),SP_ACQ_Lib[],MATCH(AR$2,SP_ACQ_Lib[#Headers],0),FALSE)),"")</f>
        <v/>
      </c>
      <c r="AS109" s="249" t="str">
        <f>IFERROR(IF(VLOOKUP(CONCATENATE($A109,"_",AS$1),SP_ACQ_Lib[],MATCH(AS$2,SP_ACQ_Lib[#Headers],0),FALSE)=0,"",VLOOKUP(CONCATENATE($A109,"_",AS$1),SP_ACQ_Lib[],MATCH(AS$2,SP_ACQ_Lib[#Headers],0),FALSE)),"")</f>
        <v/>
      </c>
      <c r="AT109" s="251" t="str">
        <f>IFERROR(IF(VLOOKUP(CONCATENATE($A109,"_",AT$1),SP_ACQ_Lib[],MATCH(AT$2,SP_ACQ_Lib[#Headers],0),FALSE)=0,"",VLOOKUP(CONCATENATE($A109,"_",AT$1),SP_ACQ_Lib[],MATCH(AT$2,SP_ACQ_Lib[#Headers],0),FALSE)),"")</f>
        <v/>
      </c>
      <c r="AU109" s="251" t="str">
        <f>IFERROR(IF(VLOOKUP(CONCATENATE($A109,"_",AU$1),SP_ACQ_Lib[],MATCH(AU$2,SP_ACQ_Lib[#Headers],0),FALSE)=0,"",VLOOKUP(CONCATENATE($A109,"_",AU$1),SP_ACQ_Lib[],MATCH(AU$2,SP_ACQ_Lib[#Headers],0),FALSE)),"")</f>
        <v/>
      </c>
      <c r="AV109" s="225" t="str">
        <f>IFERROR(IF(VLOOKUP(CONCATENATE($A109,"_",AV$1),SP_ACQ_Lib[],MATCH(AV$2,SP_ACQ_Lib[#Headers],0),FALSE)=0,"",VLOOKUP(CONCATENATE($A109,"_",AV$1),SP_ACQ_Lib[],MATCH(AV$2,SP_ACQ_Lib[#Headers],0),FALSE)),"")</f>
        <v/>
      </c>
      <c r="AW109" s="251" t="str">
        <f>IFERROR(IF(VLOOKUP(CONCATENATE($A109,"_",AW$1),SP_ACQ_Lib[],MATCH(AW$2,SP_ACQ_Lib[#Headers],0),FALSE)=0,"",VLOOKUP(CONCATENATE($A109,"_",AW$1),SP_ACQ_Lib[],MATCH(AW$2,SP_ACQ_Lib[#Headers],0),FALSE)),"")</f>
        <v/>
      </c>
      <c r="AX109" s="251" t="str">
        <f>IFERROR(IF(VLOOKUP(CONCATENATE($A109,"_",AX$1),SP_ACQ_Lib[],MATCH(AX$2,SP_ACQ_Lib[#Headers],0),FALSE)=0,"",VLOOKUP(CONCATENATE($A109,"_",AX$1),SP_ACQ_Lib[],MATCH(AX$2,SP_ACQ_Lib[#Headers],0),FALSE)),"")</f>
        <v/>
      </c>
      <c r="AY109" s="251" t="str">
        <f>IFERROR(IF(VLOOKUP(CONCATENATE($A109,"_",AY$1),SP_ACQ_Lib[],MATCH(AY$2,SP_ACQ_Lib[#Headers],0),FALSE)=0,"",VLOOKUP(CONCATENATE($A109,"_",AY$1),SP_ACQ_Lib[],MATCH(AY$2,SP_ACQ_Lib[#Headers],0),FALSE)),"")</f>
        <v/>
      </c>
      <c r="AZ109" s="251" t="str">
        <f>IFERROR(IF(VLOOKUP(CONCATENATE($A109,"_",AZ$1),SP_ACQ_Lib[],MATCH(AZ$2,SP_ACQ_Lib[#Headers],0),FALSE)=0,"",VLOOKUP(CONCATENATE($A109,"_",AZ$1),SP_ACQ_Lib[],MATCH(AZ$2,SP_ACQ_Lib[#Headers],0),FALSE)),"")</f>
        <v/>
      </c>
      <c r="BA109" s="251" t="str">
        <f>IFERROR(IF(VLOOKUP(CONCATENATE($A109,"_",BA$1),SP_ACQ_Lib[],MATCH(BA$2,SP_ACQ_Lib[#Headers],0),FALSE)=0,"",VLOOKUP(CONCATENATE($A109,"_",BA$1),SP_ACQ_Lib[],MATCH(BA$2,SP_ACQ_Lib[#Headers],0),FALSE)),"")</f>
        <v/>
      </c>
      <c r="BB109" s="224">
        <f>IFERROR(VLOOKUP(CONCATENATE($A109,"_",BB$1),SP_ACQ_Lib[],MATCH(BB$2,SP_ACQ_Lib[#Headers],0),FALSE),0)</f>
        <v>0</v>
      </c>
      <c r="BC109" s="231">
        <f>IFERROR(VLOOKUP($A109,SP_AcqTract_DB[],MATCH(BC$2,SP_AcqTract_DB[#Headers],0),FALSE),"")</f>
        <v>0</v>
      </c>
      <c r="BD109" s="231">
        <f>IFERROR(VLOOKUP($A109,SP_AcqTract_DB[],MATCH(BD$2,SP_AcqTract_DB[#Headers],0),FALSE),"")</f>
        <v>0</v>
      </c>
      <c r="BE109" s="249" t="str">
        <f>IFERROR(IF(VLOOKUP(CONCATENATE($A109,"_",BE$1),SP_ACQ_Lib[],MATCH(BE$2,SP_ACQ_Lib[#Headers],0),FALSE)=0,"",VLOOKUP(CONCATENATE($A109,"_",BE$1),SP_ACQ_Lib[],MATCH(BE$2,SP_ACQ_Lib[#Headers],0),FALSE)),"")</f>
        <v/>
      </c>
      <c r="BF109" s="249" t="str">
        <f>IFERROR(IF(VLOOKUP(CONCATENATE($A109,"_",BF$1),SP_ACQ_Lib[],MATCH(BF$2,SP_ACQ_Lib[#Headers],0),FALSE)=0,"",VLOOKUP(CONCATENATE($A109,"_",BF$1),SP_ACQ_Lib[],MATCH(BF$2,SP_ACQ_Lib[#Headers],0),FALSE)),"")</f>
        <v/>
      </c>
      <c r="BG109" s="249" t="str">
        <f>IFERROR(IF(VLOOKUP(CONCATENATE($A109,"_",BG$1),SP_ACQ_Lib[],MATCH(BG$2,SP_ACQ_Lib[#Headers],0),FALSE)=0,"",VLOOKUP(CONCATENATE($A109,"_",BG$1),SP_ACQ_Lib[],MATCH(BG$2,SP_ACQ_Lib[#Headers],0),FALSE)),"")</f>
        <v/>
      </c>
      <c r="BH109" s="249" t="str">
        <f>IFERROR(IF(VLOOKUP(CONCATENATE($A109,"_",BH$1),SP_ACQ_Lib[],MATCH(BH$2,SP_ACQ_Lib[#Headers],0),FALSE)=0,"",VLOOKUP(CONCATENATE($A109,"_",BH$1),SP_ACQ_Lib[],MATCH(BH$2,SP_ACQ_Lib[#Headers],0),FALSE)),"")</f>
        <v/>
      </c>
      <c r="BI109" s="249" t="str">
        <f>IFERROR(IF(VLOOKUP(CONCATENATE($A109,"_",BI$1),SP_ACQ_Lib[],MATCH(BI$2,SP_ACQ_Lib[#Headers],0),FALSE)=0,"",VLOOKUP(CONCATENATE($A109,"_",BI$1),SP_ACQ_Lib[],MATCH(BI$2,SP_ACQ_Lib[#Headers],0),FALSE)),"")</f>
        <v/>
      </c>
      <c r="BJ109" s="249" t="str">
        <f>IFERROR(IF(VLOOKUP(CONCATENATE($A109,"_",BJ$1),SP_ACQ_Lib[],MATCH(BJ$2,SP_ACQ_Lib[#Headers],0),FALSE)=0,"",VLOOKUP(CONCATENATE($A109,"_",BJ$1),SP_ACQ_Lib[],MATCH(BJ$2,SP_ACQ_Lib[#Headers],0),FALSE)),"")</f>
        <v/>
      </c>
      <c r="BK109" s="250" t="str">
        <f>IFERROR(IF(VLOOKUP(CONCATENATE($A109,"_",BK$1),SP_ACQ_Lib[],MATCH(BK$2,SP_ACQ_Lib[#Headers],0),FALSE)=0,"",VLOOKUP(CONCATENATE($A109,"_",BK$1),SP_ACQ_Lib[],MATCH(BK$2,SP_ACQ_Lib[#Headers],0),FALSE)),"")</f>
        <v/>
      </c>
      <c r="BL109" s="249" t="str">
        <f>IFERROR(IF(VLOOKUP(CONCATENATE($A109,"_",BL$1),SP_ACQ_Lib[],MATCH(BL$2,SP_ACQ_Lib[#Headers],0),FALSE)=0,"",VLOOKUP(CONCATENATE($A109,"_",BL$1),SP_ACQ_Lib[],MATCH(BL$2,SP_ACQ_Lib[#Headers],0),FALSE)),"")</f>
        <v/>
      </c>
      <c r="BM109" s="249" t="str">
        <f>IFERROR(IF(VLOOKUP(CONCATENATE($A109,"_",BM$1),SP_ACQ_Lib[],MATCH(BM$2,SP_ACQ_Lib[#Headers],0),FALSE)=0,"",VLOOKUP(CONCATENATE($A109,"_",BM$1),SP_ACQ_Lib[],MATCH(BM$2,SP_ACQ_Lib[#Headers],0),FALSE)),"")</f>
        <v/>
      </c>
      <c r="BN109" s="249" t="str">
        <f>IFERROR(IF(VLOOKUP(CONCATENATE($A109,"_",BN$1),SP_ACQ_Lib[],MATCH(BN$2,SP_ACQ_Lib[#Headers],0),FALSE)=0,"",VLOOKUP(CONCATENATE($A109,"_",BN$1),SP_ACQ_Lib[],MATCH(BN$2,SP_ACQ_Lib[#Headers],0),FALSE)),"")</f>
        <v/>
      </c>
    </row>
    <row r="110" spans="1:66" s="226" customFormat="1" ht="15.75" x14ac:dyDescent="0.2">
      <c r="A110" s="192" t="s">
        <v>5336</v>
      </c>
      <c r="B110" s="227" t="str">
        <f>IFERROR(VLOOKUP($A110,SP_AcqTract_DB[],MATCH(B$2,SP_AcqTract_DB[#Headers],0),FALSE),"")</f>
        <v>R050108</v>
      </c>
      <c r="C110" s="228" t="str">
        <f>IFERROR(VLOOKUP($A110,SP_AcqTract_DB[],MATCH(C$2,SP_AcqTract_DB[#Headers],0),FALSE),"")</f>
        <v>PH2</v>
      </c>
      <c r="D110" s="208" t="str">
        <f>IFERROR(VLOOKUP($A110,SP_AcqTract_DB[],MATCH(D$2,SP_AcqTract_DB[#Headers],0),FALSE),"")</f>
        <v>Active</v>
      </c>
      <c r="E110" s="208">
        <f>IFERROR(VLOOKUP($A110,SP_AcqTract_DB[],MATCH(E$2,SP_AcqTract_DB[#Headers],0),FALSE),"")</f>
        <v>0</v>
      </c>
      <c r="F110" s="227">
        <f>IFERROR(VLOOKUP($A110,SP_AcqTract_DB[],MATCH(F$2,SP_AcqTract_DB[#Headers],0),FALSE),"")</f>
        <v>0</v>
      </c>
      <c r="G110" s="227" t="str">
        <f>IFERROR(VLOOKUP($A110,SP_AcqTract_DB[],MATCH(G$2,SP_AcqTract_DB[#Headers],0),FALSE),"")</f>
        <v>Melissa DeLeon</v>
      </c>
      <c r="H110" s="250">
        <f>IFERROR(IF(VLOOKUP(CONCATENATE($A110,"_",H$1),SP_ACQ_Lib[],MATCH(H$2,SP_ACQ_Lib[#Headers],0),FALSE)=0,"",VLOOKUP(CONCATENATE($A110,"_",H$1),SP_ACQ_Lib[],MATCH(H$2,SP_ACQ_Lib[#Headers],0),FALSE)),"")</f>
        <v>44012.324965277781</v>
      </c>
      <c r="I110" s="227" t="str">
        <f>IFERROR(VLOOKUP($A110,SP_AcqTract_DB[],MATCH(I$2,SP_AcqTract_DB[#Headers],0),FALSE),"")</f>
        <v>Nelson Ernestine</v>
      </c>
      <c r="J110" s="227">
        <f>IFERROR(VLOOKUP($A110,SP_AcqTract_DB[],MATCH(J$2,SP_AcqTract_DB[#Headers],0),FALSE),"")</f>
        <v>0</v>
      </c>
      <c r="K110" s="227">
        <f>IFERROR(VLOOKUP($A110,SP_AcqTract_DB[],MATCH(K$2,SP_AcqTract_DB[#Headers],0),FALSE),"")</f>
        <v>0</v>
      </c>
      <c r="L110" s="227">
        <f>IFERROR(VLOOKUP($A110,SP_AcqTract_DB[],MATCH(L$2,SP_AcqTract_DB[#Headers],0),FALSE),"")</f>
        <v>0</v>
      </c>
      <c r="M110" s="208">
        <f>IFERROR(VLOOKUP($A110,SP_AcqTract_DB[],MATCH(M$2,SP_AcqTract_DB[#Headers],0),FALSE),"")</f>
        <v>0</v>
      </c>
      <c r="N110" s="227" t="str">
        <f>IFERROR(VLOOKUP($A110,SP_AcqTract_DB[],MATCH(N$2,SP_AcqTract_DB[#Headers],0),FALSE),"")</f>
        <v>3322 CR 135</v>
      </c>
      <c r="O110" s="220">
        <f>IFERROR(VLOOKUP($A110,SP_AcqTract_DB[],MATCH(O$2,SP_AcqTract_DB[#Headers],0),FALSE),"")</f>
        <v>0</v>
      </c>
      <c r="P110" s="220">
        <f>IFERROR(VLOOKUP($A110,SP_AcqTract_DB[],MATCH(P$2,SP_AcqTract_DB[#Headers],0),FALSE),"")</f>
        <v>0</v>
      </c>
      <c r="Q110" s="208">
        <f>IFERROR(VLOOKUP($A110,SP_AcqTract_DB[],MATCH(Q$2,SP_AcqTract_DB[#Headers],0),FALSE),"")</f>
        <v>0</v>
      </c>
      <c r="R110" s="250" t="str">
        <f>IFERROR(IF(VLOOKUP(CONCATENATE($A110,"_",R$1),SP_ACQ_Lib[],MATCH(R$2,SP_ACQ_Lib[#Headers],0),FALSE)=0,"",VLOOKUP(CONCATENATE($A110,"_",R$1),SP_ACQ_Lib[],MATCH(R$2,SP_ACQ_Lib[#Headers],0),FALSE)),"")</f>
        <v/>
      </c>
      <c r="S110" s="253" t="str">
        <f>IFERROR(IF(VLOOKUP(CONCATENATE($A110,"_",S$1),SP_ACQ_Lib[],MATCH(S$2,SP_ACQ_Lib[#Headers],0),FALSE)=0,"",VLOOKUP(CONCATENATE($A110,"_",S$1),SP_ACQ_Lib[],MATCH(S$2,SP_ACQ_Lib[#Headers],0),FALSE)),"")</f>
        <v/>
      </c>
      <c r="T110" s="205">
        <f>IFERROR(VLOOKUP(CONCATENATE($A110,"_",T$1),SP_ACQ_Lib[],MATCH(T$2,SP_ACQ_Lib[#Headers],0),FALSE),0)</f>
        <v>0</v>
      </c>
      <c r="U110" s="250" t="str">
        <f>IFERROR(IF(VLOOKUP(CONCATENATE($A110,"_",U$1),SP_ACQ_Lib[],MATCH(U$2,SP_ACQ_Lib[#Headers],0),FALSE)=0,"",VLOOKUP(CONCATENATE($A110,"_",U$1),SP_ACQ_Lib[],MATCH(U$2,SP_ACQ_Lib[#Headers],0),FALSE)),"")</f>
        <v/>
      </c>
      <c r="V110" s="205" t="str">
        <f>IFERROR(VLOOKUP(CONCATENATE($A110,"_",V$1),SP_ACQ_Lib[],MATCH(V$2,SP_ACQ_Lib[#Headers],0),FALSE),0)</f>
        <v>Accepted</v>
      </c>
      <c r="W110" s="209">
        <f>IFERROR(VLOOKUP(CONCATENATE($A110,"_",W$1),SP_ACQ_Lib[],MATCH(W$2,SP_ACQ_Lib[#Headers],0),FALSE),0)</f>
        <v>0</v>
      </c>
      <c r="X110" s="250">
        <f>IFERROR(VLOOKUP($A110,SP_AcqTract_DB[],MATCH(X$2,SP_AcqTract_DB[#Headers],0),FALSE),"")</f>
        <v>0</v>
      </c>
      <c r="Y110" s="237">
        <f>IFERROR(VLOOKUP($A110,SP_AcqTract_DB[],MATCH(Y$2,SP_AcqTract_DB[#Headers],0),FALSE),"")</f>
        <v>0</v>
      </c>
      <c r="Z110" s="229">
        <f>IFERROR(VLOOKUP($A110,SP_AcqTract_DB[],MATCH(Z$2,SP_AcqTract_DB[#Headers],0),FALSE),"")</f>
        <v>0</v>
      </c>
      <c r="AA110" s="229">
        <f>IFERROR(VLOOKUP($A110,SP_AcqTract_DB[],MATCH(AA$2,SP_AcqTract_DB[#Headers],0),FALSE),"")</f>
        <v>0</v>
      </c>
      <c r="AB110" s="250" t="str">
        <f>IFERROR(IF(VLOOKUP(CONCATENATE($A110,"_",AB$1),SP_ACQ_Lib[],MATCH(AB$2,SP_ACQ_Lib[#Headers],0),FALSE)=0,"",VLOOKUP(CONCATENATE($A110,"_",AB$1),SP_ACQ_Lib[],MATCH(AB$2,SP_ACQ_Lib[#Headers],0),FALSE)),"")</f>
        <v/>
      </c>
      <c r="AC110" s="250" t="str">
        <f>IFERROR(IF(VLOOKUP(CONCATENATE($A110,"_",AC$1),SP_ACQ_Lib[],MATCH(AC$2,SP_ACQ_Lib[#Headers],0),FALSE)=0,"",VLOOKUP(CONCATENATE($A110,"_",AC$1),SP_ACQ_Lib[],MATCH(AC$2,SP_ACQ_Lib[#Headers],0),FALSE)),"")</f>
        <v/>
      </c>
      <c r="AD110" s="229">
        <f>IFERROR(VLOOKUP($A110,SP_AcqTract_DB[],MATCH(AD$2,SP_AcqTract_DB[#Headers],0),FALSE),"")</f>
        <v>0</v>
      </c>
      <c r="AE110" s="250" t="str">
        <f>IFERROR(IF(VLOOKUP(CONCATENATE($A110,"_",AE$1),SP_ACQ_Lib[],MATCH(AE$2,SP_ACQ_Lib[#Headers],0),FALSE)=0,"",VLOOKUP(CONCATENATE($A110,"_",AE$1),SP_ACQ_Lib[],MATCH(AE$2,SP_ACQ_Lib[#Headers],0),FALSE)),"")</f>
        <v/>
      </c>
      <c r="AF110" s="250" t="str">
        <f>IFERROR(IF(VLOOKUP(CONCATENATE($A110,"_",AF$1),SP_ACQ_Lib[],MATCH(AF$2,SP_ACQ_Lib[#Headers],0),FALSE)=0,"",VLOOKUP(CONCATENATE($A110,"_",AF$1),SP_ACQ_Lib[],MATCH(AF$2,SP_ACQ_Lib[#Headers],0),FALSE)),"")</f>
        <v/>
      </c>
      <c r="AG110" s="250" t="str">
        <f>IFERROR(IF(VLOOKUP(CONCATENATE($A110,"_",AG$1),SP_ACQ_Lib[],MATCH(AG$2,SP_ACQ_Lib[#Headers],0),FALSE)=0,"",VLOOKUP(CONCATENATE($A110,"_",AG$1),SP_ACQ_Lib[],MATCH(AG$2,SP_ACQ_Lib[#Headers],0),FALSE)),"")</f>
        <v/>
      </c>
      <c r="AH110" s="250" t="str">
        <f>IFERROR(IF(VLOOKUP(CONCATENATE($A110,"_",AH$1),SP_ACQ_Lib[],MATCH(AH$2,SP_ACQ_Lib[#Headers],0),FALSE)=0,"",VLOOKUP(CONCATENATE($A110,"_",AH$1),SP_ACQ_Lib[],MATCH(AH$2,SP_ACQ_Lib[#Headers],0),FALSE)),"")</f>
        <v/>
      </c>
      <c r="AI110" s="249">
        <f>IFERROR(IF(VLOOKUP(CONCATENATE($A110,"_",AI$1),SP_ACQ_Lib[],MATCH(AI$2,SP_ACQ_Lib[#Headers],0),FALSE)=0,"",VLOOKUP(CONCATENATE($A110,"_",AI$1),SP_ACQ_Lib[],MATCH(AI$2,SP_ACQ_Lib[#Headers],0),FALSE)),"")</f>
        <v>43985</v>
      </c>
      <c r="AJ110" s="249">
        <f>IFERROR(IF(VLOOKUP(CONCATENATE($A110,"_",AJ$1),SP_ACQ_Lib[],MATCH(AJ$2,SP_ACQ_Lib[#Headers],0),FALSE)=0,"",VLOOKUP(CONCATENATE($A110,"_",AJ$1),SP_ACQ_Lib[],MATCH(AJ$2,SP_ACQ_Lib[#Headers],0),FALSE)),"")</f>
        <v>44001</v>
      </c>
      <c r="AK110" s="249">
        <f>IFERROR(IF(VLOOKUP(CONCATENATE($A110,"_",AK$1),SP_ACQ_Lib[],MATCH(AK$2,SP_ACQ_Lib[#Headers],0),FALSE)=0,"",VLOOKUP(CONCATENATE($A110,"_",AK$1),SP_ACQ_Lib[],MATCH(AK$2,SP_ACQ_Lib[#Headers],0),FALSE)),"")</f>
        <v>44184</v>
      </c>
      <c r="AL110" s="249">
        <f>IFERROR(VLOOKUP($A110,SP_AcqTract_DB[],MATCH(AL$2,SP_AcqTract_DB[#Headers],0),FALSE),"")</f>
        <v>0</v>
      </c>
      <c r="AM110" s="227">
        <f>IFERROR(VLOOKUP($A110,SP_AcqTract_DB[],MATCH(AM$2,SP_AcqTract_DB[#Headers],0),FALSE),"")</f>
        <v>0</v>
      </c>
      <c r="AN110" s="227">
        <f>IFERROR(VLOOKUP($A110,SP_AcqTract_DB[],MATCH(AN$2,SP_AcqTract_DB[#Headers],0),FALSE),"")</f>
        <v>0</v>
      </c>
      <c r="AO110" s="228">
        <f>IFERROR(VLOOKUP($A110,SP_AcqTract_DB[],MATCH(AO$2,SP_AcqTract_DB[#Headers],0),FALSE),"")</f>
        <v>0</v>
      </c>
      <c r="AP110" s="210">
        <f>IFERROR(VLOOKUP($A110,SP_AcqTract_DB[],MATCH(AP$2,SP_AcqTract_DB[#Headers],0),FALSE),"")</f>
        <v>0</v>
      </c>
      <c r="AQ110" s="252" t="str">
        <f>IFERROR(IF(VLOOKUP(CONCATENATE($A110,"_",AQ$1),SP_ACQ_Lib[],MATCH(AQ$2,SP_ACQ_Lib[#Headers],0),FALSE)=0,"",VLOOKUP(CONCATENATE($A110,"_",AQ$1),SP_ACQ_Lib[],MATCH(AQ$2,SP_ACQ_Lib[#Headers],0),FALSE)),"")</f>
        <v/>
      </c>
      <c r="AR110" s="250" t="str">
        <f>IFERROR(IF(VLOOKUP(CONCATENATE($A110,"_",AR$1),SP_ACQ_Lib[],MATCH(AR$2,SP_ACQ_Lib[#Headers],0),FALSE)=0,"",VLOOKUP(CONCATENATE($A110,"_",AR$1),SP_ACQ_Lib[],MATCH(AR$2,SP_ACQ_Lib[#Headers],0),FALSE)),"")</f>
        <v/>
      </c>
      <c r="AS110" s="249" t="str">
        <f>IFERROR(IF(VLOOKUP(CONCATENATE($A110,"_",AS$1),SP_ACQ_Lib[],MATCH(AS$2,SP_ACQ_Lib[#Headers],0),FALSE)=0,"",VLOOKUP(CONCATENATE($A110,"_",AS$1),SP_ACQ_Lib[],MATCH(AS$2,SP_ACQ_Lib[#Headers],0),FALSE)),"")</f>
        <v/>
      </c>
      <c r="AT110" s="251" t="str">
        <f>IFERROR(IF(VLOOKUP(CONCATENATE($A110,"_",AT$1),SP_ACQ_Lib[],MATCH(AT$2,SP_ACQ_Lib[#Headers],0),FALSE)=0,"",VLOOKUP(CONCATENATE($A110,"_",AT$1),SP_ACQ_Lib[],MATCH(AT$2,SP_ACQ_Lib[#Headers],0),FALSE)),"")</f>
        <v/>
      </c>
      <c r="AU110" s="251" t="str">
        <f>IFERROR(IF(VLOOKUP(CONCATENATE($A110,"_",AU$1),SP_ACQ_Lib[],MATCH(AU$2,SP_ACQ_Lib[#Headers],0),FALSE)=0,"",VLOOKUP(CONCATENATE($A110,"_",AU$1),SP_ACQ_Lib[],MATCH(AU$2,SP_ACQ_Lib[#Headers],0),FALSE)),"")</f>
        <v/>
      </c>
      <c r="AV110" s="225" t="str">
        <f>IFERROR(IF(VLOOKUP(CONCATENATE($A110,"_",AV$1),SP_ACQ_Lib[],MATCH(AV$2,SP_ACQ_Lib[#Headers],0),FALSE)=0,"",VLOOKUP(CONCATENATE($A110,"_",AV$1),SP_ACQ_Lib[],MATCH(AV$2,SP_ACQ_Lib[#Headers],0),FALSE)),"")</f>
        <v/>
      </c>
      <c r="AW110" s="251" t="str">
        <f>IFERROR(IF(VLOOKUP(CONCATENATE($A110,"_",AW$1),SP_ACQ_Lib[],MATCH(AW$2,SP_ACQ_Lib[#Headers],0),FALSE)=0,"",VLOOKUP(CONCATENATE($A110,"_",AW$1),SP_ACQ_Lib[],MATCH(AW$2,SP_ACQ_Lib[#Headers],0),FALSE)),"")</f>
        <v/>
      </c>
      <c r="AX110" s="251" t="str">
        <f>IFERROR(IF(VLOOKUP(CONCATENATE($A110,"_",AX$1),SP_ACQ_Lib[],MATCH(AX$2,SP_ACQ_Lib[#Headers],0),FALSE)=0,"",VLOOKUP(CONCATENATE($A110,"_",AX$1),SP_ACQ_Lib[],MATCH(AX$2,SP_ACQ_Lib[#Headers],0),FALSE)),"")</f>
        <v/>
      </c>
      <c r="AY110" s="251" t="str">
        <f>IFERROR(IF(VLOOKUP(CONCATENATE($A110,"_",AY$1),SP_ACQ_Lib[],MATCH(AY$2,SP_ACQ_Lib[#Headers],0),FALSE)=0,"",VLOOKUP(CONCATENATE($A110,"_",AY$1),SP_ACQ_Lib[],MATCH(AY$2,SP_ACQ_Lib[#Headers],0),FALSE)),"")</f>
        <v/>
      </c>
      <c r="AZ110" s="251" t="str">
        <f>IFERROR(IF(VLOOKUP(CONCATENATE($A110,"_",AZ$1),SP_ACQ_Lib[],MATCH(AZ$2,SP_ACQ_Lib[#Headers],0),FALSE)=0,"",VLOOKUP(CONCATENATE($A110,"_",AZ$1),SP_ACQ_Lib[],MATCH(AZ$2,SP_ACQ_Lib[#Headers],0),FALSE)),"")</f>
        <v/>
      </c>
      <c r="BA110" s="251" t="str">
        <f>IFERROR(IF(VLOOKUP(CONCATENATE($A110,"_",BA$1),SP_ACQ_Lib[],MATCH(BA$2,SP_ACQ_Lib[#Headers],0),FALSE)=0,"",VLOOKUP(CONCATENATE($A110,"_",BA$1),SP_ACQ_Lib[],MATCH(BA$2,SP_ACQ_Lib[#Headers],0),FALSE)),"")</f>
        <v/>
      </c>
      <c r="BB110" s="224">
        <f>IFERROR(VLOOKUP(CONCATENATE($A110,"_",BB$1),SP_ACQ_Lib[],MATCH(BB$2,SP_ACQ_Lib[#Headers],0),FALSE),0)</f>
        <v>0</v>
      </c>
      <c r="BC110" s="231">
        <f>IFERROR(VLOOKUP($A110,SP_AcqTract_DB[],MATCH(BC$2,SP_AcqTract_DB[#Headers],0),FALSE),"")</f>
        <v>0</v>
      </c>
      <c r="BD110" s="231">
        <f>IFERROR(VLOOKUP($A110,SP_AcqTract_DB[],MATCH(BD$2,SP_AcqTract_DB[#Headers],0),FALSE),"")</f>
        <v>0</v>
      </c>
      <c r="BE110" s="249" t="str">
        <f>IFERROR(IF(VLOOKUP(CONCATENATE($A110,"_",BE$1),SP_ACQ_Lib[],MATCH(BE$2,SP_ACQ_Lib[#Headers],0),FALSE)=0,"",VLOOKUP(CONCATENATE($A110,"_",BE$1),SP_ACQ_Lib[],MATCH(BE$2,SP_ACQ_Lib[#Headers],0),FALSE)),"")</f>
        <v/>
      </c>
      <c r="BF110" s="249" t="str">
        <f>IFERROR(IF(VLOOKUP(CONCATENATE($A110,"_",BF$1),SP_ACQ_Lib[],MATCH(BF$2,SP_ACQ_Lib[#Headers],0),FALSE)=0,"",VLOOKUP(CONCATENATE($A110,"_",BF$1),SP_ACQ_Lib[],MATCH(BF$2,SP_ACQ_Lib[#Headers],0),FALSE)),"")</f>
        <v/>
      </c>
      <c r="BG110" s="249" t="str">
        <f>IFERROR(IF(VLOOKUP(CONCATENATE($A110,"_",BG$1),SP_ACQ_Lib[],MATCH(BG$2,SP_ACQ_Lib[#Headers],0),FALSE)=0,"",VLOOKUP(CONCATENATE($A110,"_",BG$1),SP_ACQ_Lib[],MATCH(BG$2,SP_ACQ_Lib[#Headers],0),FALSE)),"")</f>
        <v/>
      </c>
      <c r="BH110" s="249" t="str">
        <f>IFERROR(IF(VLOOKUP(CONCATENATE($A110,"_",BH$1),SP_ACQ_Lib[],MATCH(BH$2,SP_ACQ_Lib[#Headers],0),FALSE)=0,"",VLOOKUP(CONCATENATE($A110,"_",BH$1),SP_ACQ_Lib[],MATCH(BH$2,SP_ACQ_Lib[#Headers],0),FALSE)),"")</f>
        <v/>
      </c>
      <c r="BI110" s="249" t="str">
        <f>IFERROR(IF(VLOOKUP(CONCATENATE($A110,"_",BI$1),SP_ACQ_Lib[],MATCH(BI$2,SP_ACQ_Lib[#Headers],0),FALSE)=0,"",VLOOKUP(CONCATENATE($A110,"_",BI$1),SP_ACQ_Lib[],MATCH(BI$2,SP_ACQ_Lib[#Headers],0),FALSE)),"")</f>
        <v/>
      </c>
      <c r="BJ110" s="249" t="str">
        <f>IFERROR(IF(VLOOKUP(CONCATENATE($A110,"_",BJ$1),SP_ACQ_Lib[],MATCH(BJ$2,SP_ACQ_Lib[#Headers],0),FALSE)=0,"",VLOOKUP(CONCATENATE($A110,"_",BJ$1),SP_ACQ_Lib[],MATCH(BJ$2,SP_ACQ_Lib[#Headers],0),FALSE)),"")</f>
        <v/>
      </c>
      <c r="BK110" s="250" t="str">
        <f>IFERROR(IF(VLOOKUP(CONCATENATE($A110,"_",BK$1),SP_ACQ_Lib[],MATCH(BK$2,SP_ACQ_Lib[#Headers],0),FALSE)=0,"",VLOOKUP(CONCATENATE($A110,"_",BK$1),SP_ACQ_Lib[],MATCH(BK$2,SP_ACQ_Lib[#Headers],0),FALSE)),"")</f>
        <v/>
      </c>
      <c r="BL110" s="249" t="str">
        <f>IFERROR(IF(VLOOKUP(CONCATENATE($A110,"_",BL$1),SP_ACQ_Lib[],MATCH(BL$2,SP_ACQ_Lib[#Headers],0),FALSE)=0,"",VLOOKUP(CONCATENATE($A110,"_",BL$1),SP_ACQ_Lib[],MATCH(BL$2,SP_ACQ_Lib[#Headers],0),FALSE)),"")</f>
        <v/>
      </c>
      <c r="BM110" s="249" t="str">
        <f>IFERROR(IF(VLOOKUP(CONCATENATE($A110,"_",BM$1),SP_ACQ_Lib[],MATCH(BM$2,SP_ACQ_Lib[#Headers],0),FALSE)=0,"",VLOOKUP(CONCATENATE($A110,"_",BM$1),SP_ACQ_Lib[],MATCH(BM$2,SP_ACQ_Lib[#Headers],0),FALSE)),"")</f>
        <v/>
      </c>
      <c r="BN110" s="249" t="str">
        <f>IFERROR(IF(VLOOKUP(CONCATENATE($A110,"_",BN$1),SP_ACQ_Lib[],MATCH(BN$2,SP_ACQ_Lib[#Headers],0),FALSE)=0,"",VLOOKUP(CONCATENATE($A110,"_",BN$1),SP_ACQ_Lib[],MATCH(BN$2,SP_ACQ_Lib[#Headers],0),FALSE)),"")</f>
        <v/>
      </c>
    </row>
    <row r="111" spans="1:66" s="226" customFormat="1" ht="15.75" x14ac:dyDescent="0.2">
      <c r="A111" s="192" t="s">
        <v>5338</v>
      </c>
      <c r="B111" s="227" t="str">
        <f>IFERROR(VLOOKUP($A111,SP_AcqTract_DB[],MATCH(B$2,SP_AcqTract_DB[#Headers],0),FALSE),"")</f>
        <v>R053788</v>
      </c>
      <c r="C111" s="228" t="str">
        <f>IFERROR(VLOOKUP($A111,SP_AcqTract_DB[],MATCH(C$2,SP_AcqTract_DB[#Headers],0),FALSE),"")</f>
        <v>PH2</v>
      </c>
      <c r="D111" s="208" t="str">
        <f>IFERROR(VLOOKUP($A111,SP_AcqTract_DB[],MATCH(D$2,SP_AcqTract_DB[#Headers],0),FALSE),"")</f>
        <v>Active</v>
      </c>
      <c r="E111" s="208">
        <f>IFERROR(VLOOKUP($A111,SP_AcqTract_DB[],MATCH(E$2,SP_AcqTract_DB[#Headers],0),FALSE),"")</f>
        <v>0</v>
      </c>
      <c r="F111" s="227">
        <f>IFERROR(VLOOKUP($A111,SP_AcqTract_DB[],MATCH(F$2,SP_AcqTract_DB[#Headers],0),FALSE),"")</f>
        <v>0</v>
      </c>
      <c r="G111" s="227" t="str">
        <f>IFERROR(VLOOKUP($A111,SP_AcqTract_DB[],MATCH(G$2,SP_AcqTract_DB[#Headers],0),FALSE),"")</f>
        <v>Melissa DeLeon</v>
      </c>
      <c r="H111" s="250">
        <f>IFERROR(IF(VLOOKUP(CONCATENATE($A111,"_",H$1),SP_ACQ_Lib[],MATCH(H$2,SP_ACQ_Lib[#Headers],0),FALSE)=0,"",VLOOKUP(CONCATENATE($A111,"_",H$1),SP_ACQ_Lib[],MATCH(H$2,SP_ACQ_Lib[#Headers],0),FALSE)),"")</f>
        <v>44011.959085648145</v>
      </c>
      <c r="I111" s="227" t="str">
        <f>IFERROR(VLOOKUP($A111,SP_AcqTract_DB[],MATCH(I$2,SP_AcqTract_DB[#Headers],0),FALSE),"")</f>
        <v>Jeff Davis</v>
      </c>
      <c r="J111" s="227">
        <f>IFERROR(VLOOKUP($A111,SP_AcqTract_DB[],MATCH(J$2,SP_AcqTract_DB[#Headers],0),FALSE),"")</f>
        <v>0</v>
      </c>
      <c r="K111" s="227" t="str">
        <f>IFERROR(VLOOKUP($A111,SP_AcqTract_DB[],MATCH(K$2,SP_AcqTract_DB[#Headers],0),FALSE),"")</f>
        <v>Jeff Davis</v>
      </c>
      <c r="L111" s="227" t="str">
        <f>IFERROR(VLOOKUP($A111,SP_AcqTract_DB[],MATCH(L$2,SP_AcqTract_DB[#Headers],0),FALSE),"")</f>
        <v>P O Box 647</v>
      </c>
      <c r="M111" s="208" t="str">
        <f>IFERROR(VLOOKUP($A111,SP_AcqTract_DB[],MATCH(M$2,SP_AcqTract_DB[#Headers],0),FALSE),"")</f>
        <v>Wharton, TX 77488</v>
      </c>
      <c r="N111" s="227" t="str">
        <f>IFERROR(VLOOKUP($A111,SP_AcqTract_DB[],MATCH(N$2,SP_AcqTract_DB[#Headers],0),FALSE),"")</f>
        <v>0 BRIETLING LN</v>
      </c>
      <c r="O111" s="220">
        <f>IFERROR(VLOOKUP($A111,SP_AcqTract_DB[],MATCH(O$2,SP_AcqTract_DB[#Headers],0),FALSE),"")</f>
        <v>0</v>
      </c>
      <c r="P111" s="220">
        <f>IFERROR(VLOOKUP($A111,SP_AcqTract_DB[],MATCH(P$2,SP_AcqTract_DB[#Headers],0),FALSE),"")</f>
        <v>0</v>
      </c>
      <c r="Q111" s="208">
        <f>IFERROR(VLOOKUP($A111,SP_AcqTract_DB[],MATCH(Q$2,SP_AcqTract_DB[#Headers],0),FALSE),"")</f>
        <v>0</v>
      </c>
      <c r="R111" s="250" t="str">
        <f>IFERROR(IF(VLOOKUP(CONCATENATE($A111,"_",R$1),SP_ACQ_Lib[],MATCH(R$2,SP_ACQ_Lib[#Headers],0),FALSE)=0,"",VLOOKUP(CONCATENATE($A111,"_",R$1),SP_ACQ_Lib[],MATCH(R$2,SP_ACQ_Lib[#Headers],0),FALSE)),"")</f>
        <v/>
      </c>
      <c r="S111" s="253" t="str">
        <f>IFERROR(IF(VLOOKUP(CONCATENATE($A111,"_",S$1),SP_ACQ_Lib[],MATCH(S$2,SP_ACQ_Lib[#Headers],0),FALSE)=0,"",VLOOKUP(CONCATENATE($A111,"_",S$1),SP_ACQ_Lib[],MATCH(S$2,SP_ACQ_Lib[#Headers],0),FALSE)),"")</f>
        <v/>
      </c>
      <c r="T111" s="205">
        <f>IFERROR(VLOOKUP(CONCATENATE($A111,"_",T$1),SP_ACQ_Lib[],MATCH(T$2,SP_ACQ_Lib[#Headers],0),FALSE),0)</f>
        <v>0</v>
      </c>
      <c r="U111" s="250" t="str">
        <f>IFERROR(IF(VLOOKUP(CONCATENATE($A111,"_",U$1),SP_ACQ_Lib[],MATCH(U$2,SP_ACQ_Lib[#Headers],0),FALSE)=0,"",VLOOKUP(CONCATENATE($A111,"_",U$1),SP_ACQ_Lib[],MATCH(U$2,SP_ACQ_Lib[#Headers],0),FALSE)),"")</f>
        <v/>
      </c>
      <c r="V111" s="205" t="str">
        <f>IFERROR(VLOOKUP(CONCATENATE($A111,"_",V$1),SP_ACQ_Lib[],MATCH(V$2,SP_ACQ_Lib[#Headers],0),FALSE),0)</f>
        <v>Accepted</v>
      </c>
      <c r="W111" s="209">
        <f>IFERROR(VLOOKUP(CONCATENATE($A111,"_",W$1),SP_ACQ_Lib[],MATCH(W$2,SP_ACQ_Lib[#Headers],0),FALSE),0)</f>
        <v>0</v>
      </c>
      <c r="X111" s="250">
        <f>IFERROR(VLOOKUP($A111,SP_AcqTract_DB[],MATCH(X$2,SP_AcqTract_DB[#Headers],0),FALSE),"")</f>
        <v>0</v>
      </c>
      <c r="Y111" s="237">
        <f>IFERROR(VLOOKUP($A111,SP_AcqTract_DB[],MATCH(Y$2,SP_AcqTract_DB[#Headers],0),FALSE),"")</f>
        <v>0</v>
      </c>
      <c r="Z111" s="229">
        <f>IFERROR(VLOOKUP($A111,SP_AcqTract_DB[],MATCH(Z$2,SP_AcqTract_DB[#Headers],0),FALSE),"")</f>
        <v>0</v>
      </c>
      <c r="AA111" s="229">
        <f>IFERROR(VLOOKUP($A111,SP_AcqTract_DB[],MATCH(AA$2,SP_AcqTract_DB[#Headers],0),FALSE),"")</f>
        <v>0</v>
      </c>
      <c r="AB111" s="250" t="str">
        <f>IFERROR(IF(VLOOKUP(CONCATENATE($A111,"_",AB$1),SP_ACQ_Lib[],MATCH(AB$2,SP_ACQ_Lib[#Headers],0),FALSE)=0,"",VLOOKUP(CONCATENATE($A111,"_",AB$1),SP_ACQ_Lib[],MATCH(AB$2,SP_ACQ_Lib[#Headers],0),FALSE)),"")</f>
        <v/>
      </c>
      <c r="AC111" s="250" t="str">
        <f>IFERROR(IF(VLOOKUP(CONCATENATE($A111,"_",AC$1),SP_ACQ_Lib[],MATCH(AC$2,SP_ACQ_Lib[#Headers],0),FALSE)=0,"",VLOOKUP(CONCATENATE($A111,"_",AC$1),SP_ACQ_Lib[],MATCH(AC$2,SP_ACQ_Lib[#Headers],0),FALSE)),"")</f>
        <v/>
      </c>
      <c r="AD111" s="229">
        <f>IFERROR(VLOOKUP($A111,SP_AcqTract_DB[],MATCH(AD$2,SP_AcqTract_DB[#Headers],0),FALSE),"")</f>
        <v>0</v>
      </c>
      <c r="AE111" s="250" t="str">
        <f>IFERROR(IF(VLOOKUP(CONCATENATE($A111,"_",AE$1),SP_ACQ_Lib[],MATCH(AE$2,SP_ACQ_Lib[#Headers],0),FALSE)=0,"",VLOOKUP(CONCATENATE($A111,"_",AE$1),SP_ACQ_Lib[],MATCH(AE$2,SP_ACQ_Lib[#Headers],0),FALSE)),"")</f>
        <v/>
      </c>
      <c r="AF111" s="250" t="str">
        <f>IFERROR(IF(VLOOKUP(CONCATENATE($A111,"_",AF$1),SP_ACQ_Lib[],MATCH(AF$2,SP_ACQ_Lib[#Headers],0),FALSE)=0,"",VLOOKUP(CONCATENATE($A111,"_",AF$1),SP_ACQ_Lib[],MATCH(AF$2,SP_ACQ_Lib[#Headers],0),FALSE)),"")</f>
        <v/>
      </c>
      <c r="AG111" s="250" t="str">
        <f>IFERROR(IF(VLOOKUP(CONCATENATE($A111,"_",AG$1),SP_ACQ_Lib[],MATCH(AG$2,SP_ACQ_Lib[#Headers],0),FALSE)=0,"",VLOOKUP(CONCATENATE($A111,"_",AG$1),SP_ACQ_Lib[],MATCH(AG$2,SP_ACQ_Lib[#Headers],0),FALSE)),"")</f>
        <v/>
      </c>
      <c r="AH111" s="250" t="str">
        <f>IFERROR(IF(VLOOKUP(CONCATENATE($A111,"_",AH$1),SP_ACQ_Lib[],MATCH(AH$2,SP_ACQ_Lib[#Headers],0),FALSE)=0,"",VLOOKUP(CONCATENATE($A111,"_",AH$1),SP_ACQ_Lib[],MATCH(AH$2,SP_ACQ_Lib[#Headers],0),FALSE)),"")</f>
        <v/>
      </c>
      <c r="AI111" s="249">
        <f>IFERROR(IF(VLOOKUP(CONCATENATE($A111,"_",AI$1),SP_ACQ_Lib[],MATCH(AI$2,SP_ACQ_Lib[#Headers],0),FALSE)=0,"",VLOOKUP(CONCATENATE($A111,"_",AI$1),SP_ACQ_Lib[],MATCH(AI$2,SP_ACQ_Lib[#Headers],0),FALSE)),"")</f>
        <v>43985</v>
      </c>
      <c r="AJ111" s="249">
        <f>IFERROR(IF(VLOOKUP(CONCATENATE($A111,"_",AJ$1),SP_ACQ_Lib[],MATCH(AJ$2,SP_ACQ_Lib[#Headers],0),FALSE)=0,"",VLOOKUP(CONCATENATE($A111,"_",AJ$1),SP_ACQ_Lib[],MATCH(AJ$2,SP_ACQ_Lib[#Headers],0),FALSE)),"")</f>
        <v>44004</v>
      </c>
      <c r="AK111" s="249">
        <f>IFERROR(IF(VLOOKUP(CONCATENATE($A111,"_",AK$1),SP_ACQ_Lib[],MATCH(AK$2,SP_ACQ_Lib[#Headers],0),FALSE)=0,"",VLOOKUP(CONCATENATE($A111,"_",AK$1),SP_ACQ_Lib[],MATCH(AK$2,SP_ACQ_Lib[#Headers],0),FALSE)),"")</f>
        <v>44187</v>
      </c>
      <c r="AL111" s="249">
        <f>IFERROR(VLOOKUP($A111,SP_AcqTract_DB[],MATCH(AL$2,SP_AcqTract_DB[#Headers],0),FALSE),"")</f>
        <v>0</v>
      </c>
      <c r="AM111" s="227">
        <f>IFERROR(VLOOKUP($A111,SP_AcqTract_DB[],MATCH(AM$2,SP_AcqTract_DB[#Headers],0),FALSE),"")</f>
        <v>0</v>
      </c>
      <c r="AN111" s="227">
        <f>IFERROR(VLOOKUP($A111,SP_AcqTract_DB[],MATCH(AN$2,SP_AcqTract_DB[#Headers],0),FALSE),"")</f>
        <v>0</v>
      </c>
      <c r="AO111" s="228">
        <f>IFERROR(VLOOKUP($A111,SP_AcqTract_DB[],MATCH(AO$2,SP_AcqTract_DB[#Headers],0),FALSE),"")</f>
        <v>0</v>
      </c>
      <c r="AP111" s="210">
        <f>IFERROR(VLOOKUP($A111,SP_AcqTract_DB[],MATCH(AP$2,SP_AcqTract_DB[#Headers],0),FALSE),"")</f>
        <v>0</v>
      </c>
      <c r="AQ111" s="252" t="str">
        <f>IFERROR(IF(VLOOKUP(CONCATENATE($A111,"_",AQ$1),SP_ACQ_Lib[],MATCH(AQ$2,SP_ACQ_Lib[#Headers],0),FALSE)=0,"",VLOOKUP(CONCATENATE($A111,"_",AQ$1),SP_ACQ_Lib[],MATCH(AQ$2,SP_ACQ_Lib[#Headers],0),FALSE)),"")</f>
        <v/>
      </c>
      <c r="AR111" s="250" t="str">
        <f>IFERROR(IF(VLOOKUP(CONCATENATE($A111,"_",AR$1),SP_ACQ_Lib[],MATCH(AR$2,SP_ACQ_Lib[#Headers],0),FALSE)=0,"",VLOOKUP(CONCATENATE($A111,"_",AR$1),SP_ACQ_Lib[],MATCH(AR$2,SP_ACQ_Lib[#Headers],0),FALSE)),"")</f>
        <v/>
      </c>
      <c r="AS111" s="249" t="str">
        <f>IFERROR(IF(VLOOKUP(CONCATENATE($A111,"_",AS$1),SP_ACQ_Lib[],MATCH(AS$2,SP_ACQ_Lib[#Headers],0),FALSE)=0,"",VLOOKUP(CONCATENATE($A111,"_",AS$1),SP_ACQ_Lib[],MATCH(AS$2,SP_ACQ_Lib[#Headers],0),FALSE)),"")</f>
        <v/>
      </c>
      <c r="AT111" s="251" t="str">
        <f>IFERROR(IF(VLOOKUP(CONCATENATE($A111,"_",AT$1),SP_ACQ_Lib[],MATCH(AT$2,SP_ACQ_Lib[#Headers],0),FALSE)=0,"",VLOOKUP(CONCATENATE($A111,"_",AT$1),SP_ACQ_Lib[],MATCH(AT$2,SP_ACQ_Lib[#Headers],0),FALSE)),"")</f>
        <v/>
      </c>
      <c r="AU111" s="251" t="str">
        <f>IFERROR(IF(VLOOKUP(CONCATENATE($A111,"_",AU$1),SP_ACQ_Lib[],MATCH(AU$2,SP_ACQ_Lib[#Headers],0),FALSE)=0,"",VLOOKUP(CONCATENATE($A111,"_",AU$1),SP_ACQ_Lib[],MATCH(AU$2,SP_ACQ_Lib[#Headers],0),FALSE)),"")</f>
        <v/>
      </c>
      <c r="AV111" s="225" t="str">
        <f>IFERROR(IF(VLOOKUP(CONCATENATE($A111,"_",AV$1),SP_ACQ_Lib[],MATCH(AV$2,SP_ACQ_Lib[#Headers],0),FALSE)=0,"",VLOOKUP(CONCATENATE($A111,"_",AV$1),SP_ACQ_Lib[],MATCH(AV$2,SP_ACQ_Lib[#Headers],0),FALSE)),"")</f>
        <v/>
      </c>
      <c r="AW111" s="251" t="str">
        <f>IFERROR(IF(VLOOKUP(CONCATENATE($A111,"_",AW$1),SP_ACQ_Lib[],MATCH(AW$2,SP_ACQ_Lib[#Headers],0),FALSE)=0,"",VLOOKUP(CONCATENATE($A111,"_",AW$1),SP_ACQ_Lib[],MATCH(AW$2,SP_ACQ_Lib[#Headers],0),FALSE)),"")</f>
        <v/>
      </c>
      <c r="AX111" s="251" t="str">
        <f>IFERROR(IF(VLOOKUP(CONCATENATE($A111,"_",AX$1),SP_ACQ_Lib[],MATCH(AX$2,SP_ACQ_Lib[#Headers],0),FALSE)=0,"",VLOOKUP(CONCATENATE($A111,"_",AX$1),SP_ACQ_Lib[],MATCH(AX$2,SP_ACQ_Lib[#Headers],0),FALSE)),"")</f>
        <v/>
      </c>
      <c r="AY111" s="251" t="str">
        <f>IFERROR(IF(VLOOKUP(CONCATENATE($A111,"_",AY$1),SP_ACQ_Lib[],MATCH(AY$2,SP_ACQ_Lib[#Headers],0),FALSE)=0,"",VLOOKUP(CONCATENATE($A111,"_",AY$1),SP_ACQ_Lib[],MATCH(AY$2,SP_ACQ_Lib[#Headers],0),FALSE)),"")</f>
        <v/>
      </c>
      <c r="AZ111" s="251" t="str">
        <f>IFERROR(IF(VLOOKUP(CONCATENATE($A111,"_",AZ$1),SP_ACQ_Lib[],MATCH(AZ$2,SP_ACQ_Lib[#Headers],0),FALSE)=0,"",VLOOKUP(CONCATENATE($A111,"_",AZ$1),SP_ACQ_Lib[],MATCH(AZ$2,SP_ACQ_Lib[#Headers],0),FALSE)),"")</f>
        <v/>
      </c>
      <c r="BA111" s="251" t="str">
        <f>IFERROR(IF(VLOOKUP(CONCATENATE($A111,"_",BA$1),SP_ACQ_Lib[],MATCH(BA$2,SP_ACQ_Lib[#Headers],0),FALSE)=0,"",VLOOKUP(CONCATENATE($A111,"_",BA$1),SP_ACQ_Lib[],MATCH(BA$2,SP_ACQ_Lib[#Headers],0),FALSE)),"")</f>
        <v/>
      </c>
      <c r="BB111" s="224">
        <f>IFERROR(VLOOKUP(CONCATENATE($A111,"_",BB$1),SP_ACQ_Lib[],MATCH(BB$2,SP_ACQ_Lib[#Headers],0),FALSE),0)</f>
        <v>0</v>
      </c>
      <c r="BC111" s="231">
        <f>IFERROR(VLOOKUP($A111,SP_AcqTract_DB[],MATCH(BC$2,SP_AcqTract_DB[#Headers],0),FALSE),"")</f>
        <v>0</v>
      </c>
      <c r="BD111" s="231">
        <f>IFERROR(VLOOKUP($A111,SP_AcqTract_DB[],MATCH(BD$2,SP_AcqTract_DB[#Headers],0),FALSE),"")</f>
        <v>0</v>
      </c>
      <c r="BE111" s="249" t="str">
        <f>IFERROR(IF(VLOOKUP(CONCATENATE($A111,"_",BE$1),SP_ACQ_Lib[],MATCH(BE$2,SP_ACQ_Lib[#Headers],0),FALSE)=0,"",VLOOKUP(CONCATENATE($A111,"_",BE$1),SP_ACQ_Lib[],MATCH(BE$2,SP_ACQ_Lib[#Headers],0),FALSE)),"")</f>
        <v/>
      </c>
      <c r="BF111" s="249" t="str">
        <f>IFERROR(IF(VLOOKUP(CONCATENATE($A111,"_",BF$1),SP_ACQ_Lib[],MATCH(BF$2,SP_ACQ_Lib[#Headers],0),FALSE)=0,"",VLOOKUP(CONCATENATE($A111,"_",BF$1),SP_ACQ_Lib[],MATCH(BF$2,SP_ACQ_Lib[#Headers],0),FALSE)),"")</f>
        <v/>
      </c>
      <c r="BG111" s="249" t="str">
        <f>IFERROR(IF(VLOOKUP(CONCATENATE($A111,"_",BG$1),SP_ACQ_Lib[],MATCH(BG$2,SP_ACQ_Lib[#Headers],0),FALSE)=0,"",VLOOKUP(CONCATENATE($A111,"_",BG$1),SP_ACQ_Lib[],MATCH(BG$2,SP_ACQ_Lib[#Headers],0),FALSE)),"")</f>
        <v/>
      </c>
      <c r="BH111" s="249" t="str">
        <f>IFERROR(IF(VLOOKUP(CONCATENATE($A111,"_",BH$1),SP_ACQ_Lib[],MATCH(BH$2,SP_ACQ_Lib[#Headers],0),FALSE)=0,"",VLOOKUP(CONCATENATE($A111,"_",BH$1),SP_ACQ_Lib[],MATCH(BH$2,SP_ACQ_Lib[#Headers],0),FALSE)),"")</f>
        <v/>
      </c>
      <c r="BI111" s="249" t="str">
        <f>IFERROR(IF(VLOOKUP(CONCATENATE($A111,"_",BI$1),SP_ACQ_Lib[],MATCH(BI$2,SP_ACQ_Lib[#Headers],0),FALSE)=0,"",VLOOKUP(CONCATENATE($A111,"_",BI$1),SP_ACQ_Lib[],MATCH(BI$2,SP_ACQ_Lib[#Headers],0),FALSE)),"")</f>
        <v/>
      </c>
      <c r="BJ111" s="249" t="str">
        <f>IFERROR(IF(VLOOKUP(CONCATENATE($A111,"_",BJ$1),SP_ACQ_Lib[],MATCH(BJ$2,SP_ACQ_Lib[#Headers],0),FALSE)=0,"",VLOOKUP(CONCATENATE($A111,"_",BJ$1),SP_ACQ_Lib[],MATCH(BJ$2,SP_ACQ_Lib[#Headers],0),FALSE)),"")</f>
        <v/>
      </c>
      <c r="BK111" s="250" t="str">
        <f>IFERROR(IF(VLOOKUP(CONCATENATE($A111,"_",BK$1),SP_ACQ_Lib[],MATCH(BK$2,SP_ACQ_Lib[#Headers],0),FALSE)=0,"",VLOOKUP(CONCATENATE($A111,"_",BK$1),SP_ACQ_Lib[],MATCH(BK$2,SP_ACQ_Lib[#Headers],0),FALSE)),"")</f>
        <v/>
      </c>
      <c r="BL111" s="249" t="str">
        <f>IFERROR(IF(VLOOKUP(CONCATENATE($A111,"_",BL$1),SP_ACQ_Lib[],MATCH(BL$2,SP_ACQ_Lib[#Headers],0),FALSE)=0,"",VLOOKUP(CONCATENATE($A111,"_",BL$1),SP_ACQ_Lib[],MATCH(BL$2,SP_ACQ_Lib[#Headers],0),FALSE)),"")</f>
        <v/>
      </c>
      <c r="BM111" s="249" t="str">
        <f>IFERROR(IF(VLOOKUP(CONCATENATE($A111,"_",BM$1),SP_ACQ_Lib[],MATCH(BM$2,SP_ACQ_Lib[#Headers],0),FALSE)=0,"",VLOOKUP(CONCATENATE($A111,"_",BM$1),SP_ACQ_Lib[],MATCH(BM$2,SP_ACQ_Lib[#Headers],0),FALSE)),"")</f>
        <v/>
      </c>
      <c r="BN111" s="249" t="str">
        <f>IFERROR(IF(VLOOKUP(CONCATENATE($A111,"_",BN$1),SP_ACQ_Lib[],MATCH(BN$2,SP_ACQ_Lib[#Headers],0),FALSE)=0,"",VLOOKUP(CONCATENATE($A111,"_",BN$1),SP_ACQ_Lib[],MATCH(BN$2,SP_ACQ_Lib[#Headers],0),FALSE)),"")</f>
        <v/>
      </c>
    </row>
    <row r="112" spans="1:66" s="226" customFormat="1" ht="15.75" x14ac:dyDescent="0.2">
      <c r="A112" s="192" t="s">
        <v>5340</v>
      </c>
      <c r="B112" s="227" t="str">
        <f>IFERROR(VLOOKUP($A112,SP_AcqTract_DB[],MATCH(B$2,SP_AcqTract_DB[#Headers],0),FALSE),"")</f>
        <v>R053789</v>
      </c>
      <c r="C112" s="228" t="str">
        <f>IFERROR(VLOOKUP($A112,SP_AcqTract_DB[],MATCH(C$2,SP_AcqTract_DB[#Headers],0),FALSE),"")</f>
        <v>PH2</v>
      </c>
      <c r="D112" s="208" t="str">
        <f>IFERROR(VLOOKUP($A112,SP_AcqTract_DB[],MATCH(D$2,SP_AcqTract_DB[#Headers],0),FALSE),"")</f>
        <v>Active</v>
      </c>
      <c r="E112" s="208">
        <f>IFERROR(VLOOKUP($A112,SP_AcqTract_DB[],MATCH(E$2,SP_AcqTract_DB[#Headers],0),FALSE),"")</f>
        <v>0</v>
      </c>
      <c r="F112" s="227">
        <f>IFERROR(VLOOKUP($A112,SP_AcqTract_DB[],MATCH(F$2,SP_AcqTract_DB[#Headers],0),FALSE),"")</f>
        <v>0</v>
      </c>
      <c r="G112" s="227" t="str">
        <f>IFERROR(VLOOKUP($A112,SP_AcqTract_DB[],MATCH(G$2,SP_AcqTract_DB[#Headers],0),FALSE),"")</f>
        <v>Melissa DeLeon</v>
      </c>
      <c r="H112" s="250">
        <f>IFERROR(IF(VLOOKUP(CONCATENATE($A112,"_",H$1),SP_ACQ_Lib[],MATCH(H$2,SP_ACQ_Lib[#Headers],0),FALSE)=0,"",VLOOKUP(CONCATENATE($A112,"_",H$1),SP_ACQ_Lib[],MATCH(H$2,SP_ACQ_Lib[#Headers],0),FALSE)),"")</f>
        <v>43998.705277777779</v>
      </c>
      <c r="I112" s="227" t="str">
        <f>IFERROR(VLOOKUP($A112,SP_AcqTract_DB[],MATCH(I$2,SP_AcqTract_DB[#Headers],0),FALSE),"")</f>
        <v>Jeff Davis</v>
      </c>
      <c r="J112" s="227">
        <f>IFERROR(VLOOKUP($A112,SP_AcqTract_DB[],MATCH(J$2,SP_AcqTract_DB[#Headers],0),FALSE),"")</f>
        <v>0</v>
      </c>
      <c r="K112" s="227" t="str">
        <f>IFERROR(VLOOKUP($A112,SP_AcqTract_DB[],MATCH(K$2,SP_AcqTract_DB[#Headers],0),FALSE),"")</f>
        <v>Jeff Davis</v>
      </c>
      <c r="L112" s="227" t="str">
        <f>IFERROR(VLOOKUP($A112,SP_AcqTract_DB[],MATCH(L$2,SP_AcqTract_DB[#Headers],0),FALSE),"")</f>
        <v>P O Box 647</v>
      </c>
      <c r="M112" s="208" t="str">
        <f>IFERROR(VLOOKUP($A112,SP_AcqTract_DB[],MATCH(M$2,SP_AcqTract_DB[#Headers],0),FALSE),"")</f>
        <v>Wharton, TX 77488</v>
      </c>
      <c r="N112" s="227" t="str">
        <f>IFERROR(VLOOKUP($A112,SP_AcqTract_DB[],MATCH(N$2,SP_AcqTract_DB[#Headers],0),FALSE),"")</f>
        <v>533 BRIETLING LN</v>
      </c>
      <c r="O112" s="220">
        <f>IFERROR(VLOOKUP($A112,SP_AcqTract_DB[],MATCH(O$2,SP_AcqTract_DB[#Headers],0),FALSE),"")</f>
        <v>0</v>
      </c>
      <c r="P112" s="220">
        <f>IFERROR(VLOOKUP($A112,SP_AcqTract_DB[],MATCH(P$2,SP_AcqTract_DB[#Headers],0),FALSE),"")</f>
        <v>0</v>
      </c>
      <c r="Q112" s="208">
        <f>IFERROR(VLOOKUP($A112,SP_AcqTract_DB[],MATCH(Q$2,SP_AcqTract_DB[#Headers],0),FALSE),"")</f>
        <v>0</v>
      </c>
      <c r="R112" s="250" t="str">
        <f>IFERROR(IF(VLOOKUP(CONCATENATE($A112,"_",R$1),SP_ACQ_Lib[],MATCH(R$2,SP_ACQ_Lib[#Headers],0),FALSE)=0,"",VLOOKUP(CONCATENATE($A112,"_",R$1),SP_ACQ_Lib[],MATCH(R$2,SP_ACQ_Lib[#Headers],0),FALSE)),"")</f>
        <v/>
      </c>
      <c r="S112" s="253" t="str">
        <f>IFERROR(IF(VLOOKUP(CONCATENATE($A112,"_",S$1),SP_ACQ_Lib[],MATCH(S$2,SP_ACQ_Lib[#Headers],0),FALSE)=0,"",VLOOKUP(CONCATENATE($A112,"_",S$1),SP_ACQ_Lib[],MATCH(S$2,SP_ACQ_Lib[#Headers],0),FALSE)),"")</f>
        <v/>
      </c>
      <c r="T112" s="205">
        <f>IFERROR(VLOOKUP(CONCATENATE($A112,"_",T$1),SP_ACQ_Lib[],MATCH(T$2,SP_ACQ_Lib[#Headers],0),FALSE),0)</f>
        <v>0</v>
      </c>
      <c r="U112" s="250" t="str">
        <f>IFERROR(IF(VLOOKUP(CONCATENATE($A112,"_",U$1),SP_ACQ_Lib[],MATCH(U$2,SP_ACQ_Lib[#Headers],0),FALSE)=0,"",VLOOKUP(CONCATENATE($A112,"_",U$1),SP_ACQ_Lib[],MATCH(U$2,SP_ACQ_Lib[#Headers],0),FALSE)),"")</f>
        <v/>
      </c>
      <c r="V112" s="205" t="str">
        <f>IFERROR(VLOOKUP(CONCATENATE($A112,"_",V$1),SP_ACQ_Lib[],MATCH(V$2,SP_ACQ_Lib[#Headers],0),FALSE),0)</f>
        <v>Accepted</v>
      </c>
      <c r="W112" s="209">
        <f>IFERROR(VLOOKUP(CONCATENATE($A112,"_",W$1),SP_ACQ_Lib[],MATCH(W$2,SP_ACQ_Lib[#Headers],0),FALSE),0)</f>
        <v>0</v>
      </c>
      <c r="X112" s="250">
        <f>IFERROR(VLOOKUP($A112,SP_AcqTract_DB[],MATCH(X$2,SP_AcqTract_DB[#Headers],0),FALSE),"")</f>
        <v>0</v>
      </c>
      <c r="Y112" s="237">
        <f>IFERROR(VLOOKUP($A112,SP_AcqTract_DB[],MATCH(Y$2,SP_AcqTract_DB[#Headers],0),FALSE),"")</f>
        <v>0</v>
      </c>
      <c r="Z112" s="229">
        <f>IFERROR(VLOOKUP($A112,SP_AcqTract_DB[],MATCH(Z$2,SP_AcqTract_DB[#Headers],0),FALSE),"")</f>
        <v>0</v>
      </c>
      <c r="AA112" s="229">
        <f>IFERROR(VLOOKUP($A112,SP_AcqTract_DB[],MATCH(AA$2,SP_AcqTract_DB[#Headers],0),FALSE),"")</f>
        <v>0</v>
      </c>
      <c r="AB112" s="250" t="str">
        <f>IFERROR(IF(VLOOKUP(CONCATENATE($A112,"_",AB$1),SP_ACQ_Lib[],MATCH(AB$2,SP_ACQ_Lib[#Headers],0),FALSE)=0,"",VLOOKUP(CONCATENATE($A112,"_",AB$1),SP_ACQ_Lib[],MATCH(AB$2,SP_ACQ_Lib[#Headers],0),FALSE)),"")</f>
        <v/>
      </c>
      <c r="AC112" s="250" t="str">
        <f>IFERROR(IF(VLOOKUP(CONCATENATE($A112,"_",AC$1),SP_ACQ_Lib[],MATCH(AC$2,SP_ACQ_Lib[#Headers],0),FALSE)=0,"",VLOOKUP(CONCATENATE($A112,"_",AC$1),SP_ACQ_Lib[],MATCH(AC$2,SP_ACQ_Lib[#Headers],0),FALSE)),"")</f>
        <v/>
      </c>
      <c r="AD112" s="229">
        <f>IFERROR(VLOOKUP($A112,SP_AcqTract_DB[],MATCH(AD$2,SP_AcqTract_DB[#Headers],0),FALSE),"")</f>
        <v>0</v>
      </c>
      <c r="AE112" s="250" t="str">
        <f>IFERROR(IF(VLOOKUP(CONCATENATE($A112,"_",AE$1),SP_ACQ_Lib[],MATCH(AE$2,SP_ACQ_Lib[#Headers],0),FALSE)=0,"",VLOOKUP(CONCATENATE($A112,"_",AE$1),SP_ACQ_Lib[],MATCH(AE$2,SP_ACQ_Lib[#Headers],0),FALSE)),"")</f>
        <v/>
      </c>
      <c r="AF112" s="250" t="str">
        <f>IFERROR(IF(VLOOKUP(CONCATENATE($A112,"_",AF$1),SP_ACQ_Lib[],MATCH(AF$2,SP_ACQ_Lib[#Headers],0),FALSE)=0,"",VLOOKUP(CONCATENATE($A112,"_",AF$1),SP_ACQ_Lib[],MATCH(AF$2,SP_ACQ_Lib[#Headers],0),FALSE)),"")</f>
        <v/>
      </c>
      <c r="AG112" s="250" t="str">
        <f>IFERROR(IF(VLOOKUP(CONCATENATE($A112,"_",AG$1),SP_ACQ_Lib[],MATCH(AG$2,SP_ACQ_Lib[#Headers],0),FALSE)=0,"",VLOOKUP(CONCATENATE($A112,"_",AG$1),SP_ACQ_Lib[],MATCH(AG$2,SP_ACQ_Lib[#Headers],0),FALSE)),"")</f>
        <v/>
      </c>
      <c r="AH112" s="250" t="str">
        <f>IFERROR(IF(VLOOKUP(CONCATENATE($A112,"_",AH$1),SP_ACQ_Lib[],MATCH(AH$2,SP_ACQ_Lib[#Headers],0),FALSE)=0,"",VLOOKUP(CONCATENATE($A112,"_",AH$1),SP_ACQ_Lib[],MATCH(AH$2,SP_ACQ_Lib[#Headers],0),FALSE)),"")</f>
        <v/>
      </c>
      <c r="AI112" s="249">
        <f>IFERROR(IF(VLOOKUP(CONCATENATE($A112,"_",AI$1),SP_ACQ_Lib[],MATCH(AI$2,SP_ACQ_Lib[#Headers],0),FALSE)=0,"",VLOOKUP(CONCATENATE($A112,"_",AI$1),SP_ACQ_Lib[],MATCH(AI$2,SP_ACQ_Lib[#Headers],0),FALSE)),"")</f>
        <v>43985</v>
      </c>
      <c r="AJ112" s="249">
        <f>IFERROR(IF(VLOOKUP(CONCATENATE($A112,"_",AJ$1),SP_ACQ_Lib[],MATCH(AJ$2,SP_ACQ_Lib[#Headers],0),FALSE)=0,"",VLOOKUP(CONCATENATE($A112,"_",AJ$1),SP_ACQ_Lib[],MATCH(AJ$2,SP_ACQ_Lib[#Headers],0),FALSE)),"")</f>
        <v>44004</v>
      </c>
      <c r="AK112" s="249">
        <f>IFERROR(IF(VLOOKUP(CONCATENATE($A112,"_",AK$1),SP_ACQ_Lib[],MATCH(AK$2,SP_ACQ_Lib[#Headers],0),FALSE)=0,"",VLOOKUP(CONCATENATE($A112,"_",AK$1),SP_ACQ_Lib[],MATCH(AK$2,SP_ACQ_Lib[#Headers],0),FALSE)),"")</f>
        <v>44187</v>
      </c>
      <c r="AL112" s="249">
        <f>IFERROR(VLOOKUP($A112,SP_AcqTract_DB[],MATCH(AL$2,SP_AcqTract_DB[#Headers],0),FALSE),"")</f>
        <v>0</v>
      </c>
      <c r="AM112" s="227">
        <f>IFERROR(VLOOKUP($A112,SP_AcqTract_DB[],MATCH(AM$2,SP_AcqTract_DB[#Headers],0),FALSE),"")</f>
        <v>0</v>
      </c>
      <c r="AN112" s="227">
        <f>IFERROR(VLOOKUP($A112,SP_AcqTract_DB[],MATCH(AN$2,SP_AcqTract_DB[#Headers],0),FALSE),"")</f>
        <v>0</v>
      </c>
      <c r="AO112" s="228">
        <f>IFERROR(VLOOKUP($A112,SP_AcqTract_DB[],MATCH(AO$2,SP_AcqTract_DB[#Headers],0),FALSE),"")</f>
        <v>0</v>
      </c>
      <c r="AP112" s="210">
        <f>IFERROR(VLOOKUP($A112,SP_AcqTract_DB[],MATCH(AP$2,SP_AcqTract_DB[#Headers],0),FALSE),"")</f>
        <v>0</v>
      </c>
      <c r="AQ112" s="252" t="str">
        <f>IFERROR(IF(VLOOKUP(CONCATENATE($A112,"_",AQ$1),SP_ACQ_Lib[],MATCH(AQ$2,SP_ACQ_Lib[#Headers],0),FALSE)=0,"",VLOOKUP(CONCATENATE($A112,"_",AQ$1),SP_ACQ_Lib[],MATCH(AQ$2,SP_ACQ_Lib[#Headers],0),FALSE)),"")</f>
        <v/>
      </c>
      <c r="AR112" s="250" t="str">
        <f>IFERROR(IF(VLOOKUP(CONCATENATE($A112,"_",AR$1),SP_ACQ_Lib[],MATCH(AR$2,SP_ACQ_Lib[#Headers],0),FALSE)=0,"",VLOOKUP(CONCATENATE($A112,"_",AR$1),SP_ACQ_Lib[],MATCH(AR$2,SP_ACQ_Lib[#Headers],0),FALSE)),"")</f>
        <v/>
      </c>
      <c r="AS112" s="249" t="str">
        <f>IFERROR(IF(VLOOKUP(CONCATENATE($A112,"_",AS$1),SP_ACQ_Lib[],MATCH(AS$2,SP_ACQ_Lib[#Headers],0),FALSE)=0,"",VLOOKUP(CONCATENATE($A112,"_",AS$1),SP_ACQ_Lib[],MATCH(AS$2,SP_ACQ_Lib[#Headers],0),FALSE)),"")</f>
        <v/>
      </c>
      <c r="AT112" s="251" t="str">
        <f>IFERROR(IF(VLOOKUP(CONCATENATE($A112,"_",AT$1),SP_ACQ_Lib[],MATCH(AT$2,SP_ACQ_Lib[#Headers],0),FALSE)=0,"",VLOOKUP(CONCATENATE($A112,"_",AT$1),SP_ACQ_Lib[],MATCH(AT$2,SP_ACQ_Lib[#Headers],0),FALSE)),"")</f>
        <v/>
      </c>
      <c r="AU112" s="251" t="str">
        <f>IFERROR(IF(VLOOKUP(CONCATENATE($A112,"_",AU$1),SP_ACQ_Lib[],MATCH(AU$2,SP_ACQ_Lib[#Headers],0),FALSE)=0,"",VLOOKUP(CONCATENATE($A112,"_",AU$1),SP_ACQ_Lib[],MATCH(AU$2,SP_ACQ_Lib[#Headers],0),FALSE)),"")</f>
        <v/>
      </c>
      <c r="AV112" s="225" t="str">
        <f>IFERROR(IF(VLOOKUP(CONCATENATE($A112,"_",AV$1),SP_ACQ_Lib[],MATCH(AV$2,SP_ACQ_Lib[#Headers],0),FALSE)=0,"",VLOOKUP(CONCATENATE($A112,"_",AV$1),SP_ACQ_Lib[],MATCH(AV$2,SP_ACQ_Lib[#Headers],0),FALSE)),"")</f>
        <v/>
      </c>
      <c r="AW112" s="251" t="str">
        <f>IFERROR(IF(VLOOKUP(CONCATENATE($A112,"_",AW$1),SP_ACQ_Lib[],MATCH(AW$2,SP_ACQ_Lib[#Headers],0),FALSE)=0,"",VLOOKUP(CONCATENATE($A112,"_",AW$1),SP_ACQ_Lib[],MATCH(AW$2,SP_ACQ_Lib[#Headers],0),FALSE)),"")</f>
        <v/>
      </c>
      <c r="AX112" s="251" t="str">
        <f>IFERROR(IF(VLOOKUP(CONCATENATE($A112,"_",AX$1),SP_ACQ_Lib[],MATCH(AX$2,SP_ACQ_Lib[#Headers],0),FALSE)=0,"",VLOOKUP(CONCATENATE($A112,"_",AX$1),SP_ACQ_Lib[],MATCH(AX$2,SP_ACQ_Lib[#Headers],0),FALSE)),"")</f>
        <v/>
      </c>
      <c r="AY112" s="251" t="str">
        <f>IFERROR(IF(VLOOKUP(CONCATENATE($A112,"_",AY$1),SP_ACQ_Lib[],MATCH(AY$2,SP_ACQ_Lib[#Headers],0),FALSE)=0,"",VLOOKUP(CONCATENATE($A112,"_",AY$1),SP_ACQ_Lib[],MATCH(AY$2,SP_ACQ_Lib[#Headers],0),FALSE)),"")</f>
        <v/>
      </c>
      <c r="AZ112" s="251" t="str">
        <f>IFERROR(IF(VLOOKUP(CONCATENATE($A112,"_",AZ$1),SP_ACQ_Lib[],MATCH(AZ$2,SP_ACQ_Lib[#Headers],0),FALSE)=0,"",VLOOKUP(CONCATENATE($A112,"_",AZ$1),SP_ACQ_Lib[],MATCH(AZ$2,SP_ACQ_Lib[#Headers],0),FALSE)),"")</f>
        <v/>
      </c>
      <c r="BA112" s="251" t="str">
        <f>IFERROR(IF(VLOOKUP(CONCATENATE($A112,"_",BA$1),SP_ACQ_Lib[],MATCH(BA$2,SP_ACQ_Lib[#Headers],0),FALSE)=0,"",VLOOKUP(CONCATENATE($A112,"_",BA$1),SP_ACQ_Lib[],MATCH(BA$2,SP_ACQ_Lib[#Headers],0),FALSE)),"")</f>
        <v/>
      </c>
      <c r="BB112" s="224">
        <f>IFERROR(VLOOKUP(CONCATENATE($A112,"_",BB$1),SP_ACQ_Lib[],MATCH(BB$2,SP_ACQ_Lib[#Headers],0),FALSE),0)</f>
        <v>0</v>
      </c>
      <c r="BC112" s="231">
        <f>IFERROR(VLOOKUP($A112,SP_AcqTract_DB[],MATCH(BC$2,SP_AcqTract_DB[#Headers],0),FALSE),"")</f>
        <v>0</v>
      </c>
      <c r="BD112" s="231">
        <f>IFERROR(VLOOKUP($A112,SP_AcqTract_DB[],MATCH(BD$2,SP_AcqTract_DB[#Headers],0),FALSE),"")</f>
        <v>0</v>
      </c>
      <c r="BE112" s="249" t="str">
        <f>IFERROR(IF(VLOOKUP(CONCATENATE($A112,"_",BE$1),SP_ACQ_Lib[],MATCH(BE$2,SP_ACQ_Lib[#Headers],0),FALSE)=0,"",VLOOKUP(CONCATENATE($A112,"_",BE$1),SP_ACQ_Lib[],MATCH(BE$2,SP_ACQ_Lib[#Headers],0),FALSE)),"")</f>
        <v/>
      </c>
      <c r="BF112" s="249" t="str">
        <f>IFERROR(IF(VLOOKUP(CONCATENATE($A112,"_",BF$1),SP_ACQ_Lib[],MATCH(BF$2,SP_ACQ_Lib[#Headers],0),FALSE)=0,"",VLOOKUP(CONCATENATE($A112,"_",BF$1),SP_ACQ_Lib[],MATCH(BF$2,SP_ACQ_Lib[#Headers],0),FALSE)),"")</f>
        <v/>
      </c>
      <c r="BG112" s="249" t="str">
        <f>IFERROR(IF(VLOOKUP(CONCATENATE($A112,"_",BG$1),SP_ACQ_Lib[],MATCH(BG$2,SP_ACQ_Lib[#Headers],0),FALSE)=0,"",VLOOKUP(CONCATENATE($A112,"_",BG$1),SP_ACQ_Lib[],MATCH(BG$2,SP_ACQ_Lib[#Headers],0),FALSE)),"")</f>
        <v/>
      </c>
      <c r="BH112" s="249" t="str">
        <f>IFERROR(IF(VLOOKUP(CONCATENATE($A112,"_",BH$1),SP_ACQ_Lib[],MATCH(BH$2,SP_ACQ_Lib[#Headers],0),FALSE)=0,"",VLOOKUP(CONCATENATE($A112,"_",BH$1),SP_ACQ_Lib[],MATCH(BH$2,SP_ACQ_Lib[#Headers],0),FALSE)),"")</f>
        <v/>
      </c>
      <c r="BI112" s="249" t="str">
        <f>IFERROR(IF(VLOOKUP(CONCATENATE($A112,"_",BI$1),SP_ACQ_Lib[],MATCH(BI$2,SP_ACQ_Lib[#Headers],0),FALSE)=0,"",VLOOKUP(CONCATENATE($A112,"_",BI$1),SP_ACQ_Lib[],MATCH(BI$2,SP_ACQ_Lib[#Headers],0),FALSE)),"")</f>
        <v/>
      </c>
      <c r="BJ112" s="249" t="str">
        <f>IFERROR(IF(VLOOKUP(CONCATENATE($A112,"_",BJ$1),SP_ACQ_Lib[],MATCH(BJ$2,SP_ACQ_Lib[#Headers],0),FALSE)=0,"",VLOOKUP(CONCATENATE($A112,"_",BJ$1),SP_ACQ_Lib[],MATCH(BJ$2,SP_ACQ_Lib[#Headers],0),FALSE)),"")</f>
        <v/>
      </c>
      <c r="BK112" s="250" t="str">
        <f>IFERROR(IF(VLOOKUP(CONCATENATE($A112,"_",BK$1),SP_ACQ_Lib[],MATCH(BK$2,SP_ACQ_Lib[#Headers],0),FALSE)=0,"",VLOOKUP(CONCATENATE($A112,"_",BK$1),SP_ACQ_Lib[],MATCH(BK$2,SP_ACQ_Lib[#Headers],0),FALSE)),"")</f>
        <v/>
      </c>
      <c r="BL112" s="249" t="str">
        <f>IFERROR(IF(VLOOKUP(CONCATENATE($A112,"_",BL$1),SP_ACQ_Lib[],MATCH(BL$2,SP_ACQ_Lib[#Headers],0),FALSE)=0,"",VLOOKUP(CONCATENATE($A112,"_",BL$1),SP_ACQ_Lib[],MATCH(BL$2,SP_ACQ_Lib[#Headers],0),FALSE)),"")</f>
        <v/>
      </c>
      <c r="BM112" s="249" t="str">
        <f>IFERROR(IF(VLOOKUP(CONCATENATE($A112,"_",BM$1),SP_ACQ_Lib[],MATCH(BM$2,SP_ACQ_Lib[#Headers],0),FALSE)=0,"",VLOOKUP(CONCATENATE($A112,"_",BM$1),SP_ACQ_Lib[],MATCH(BM$2,SP_ACQ_Lib[#Headers],0),FALSE)),"")</f>
        <v/>
      </c>
      <c r="BN112" s="249" t="str">
        <f>IFERROR(IF(VLOOKUP(CONCATENATE($A112,"_",BN$1),SP_ACQ_Lib[],MATCH(BN$2,SP_ACQ_Lib[#Headers],0),FALSE)=0,"",VLOOKUP(CONCATENATE($A112,"_",BN$1),SP_ACQ_Lib[],MATCH(BN$2,SP_ACQ_Lib[#Headers],0),FALSE)),"")</f>
        <v/>
      </c>
    </row>
    <row r="113" spans="1:66" s="226" customFormat="1" ht="15.75" x14ac:dyDescent="0.2">
      <c r="A113" s="192" t="s">
        <v>5342</v>
      </c>
      <c r="B113" s="227" t="str">
        <f>IFERROR(VLOOKUP($A113,SP_AcqTract_DB[],MATCH(B$2,SP_AcqTract_DB[#Headers],0),FALSE),"")</f>
        <v>R055173</v>
      </c>
      <c r="C113" s="228" t="str">
        <f>IFERROR(VLOOKUP($A113,SP_AcqTract_DB[],MATCH(C$2,SP_AcqTract_DB[#Headers],0),FALSE),"")</f>
        <v>PH2</v>
      </c>
      <c r="D113" s="208" t="str">
        <f>IFERROR(VLOOKUP($A113,SP_AcqTract_DB[],MATCH(D$2,SP_AcqTract_DB[#Headers],0),FALSE),"")</f>
        <v>Active</v>
      </c>
      <c r="E113" s="208">
        <f>IFERROR(VLOOKUP($A113,SP_AcqTract_DB[],MATCH(E$2,SP_AcqTract_DB[#Headers],0),FALSE),"")</f>
        <v>0</v>
      </c>
      <c r="F113" s="227">
        <f>IFERROR(VLOOKUP($A113,SP_AcqTract_DB[],MATCH(F$2,SP_AcqTract_DB[#Headers],0),FALSE),"")</f>
        <v>0</v>
      </c>
      <c r="G113" s="227" t="str">
        <f>IFERROR(VLOOKUP($A113,SP_AcqTract_DB[],MATCH(G$2,SP_AcqTract_DB[#Headers],0),FALSE),"")</f>
        <v>Darlene Snow</v>
      </c>
      <c r="H113" s="250">
        <f>IFERROR(IF(VLOOKUP(CONCATENATE($A113,"_",H$1),SP_ACQ_Lib[],MATCH(H$2,SP_ACQ_Lib[#Headers],0),FALSE)=0,"",VLOOKUP(CONCATENATE($A113,"_",H$1),SP_ACQ_Lib[],MATCH(H$2,SP_ACQ_Lib[#Headers],0),FALSE)),"")</f>
        <v>44022.590486111112</v>
      </c>
      <c r="I113" s="227" t="str">
        <f>IFERROR(VLOOKUP($A113,SP_AcqTract_DB[],MATCH(I$2,SP_AcqTract_DB[#Headers],0),FALSE),"")</f>
        <v>Kalina Larry J Etux Diane</v>
      </c>
      <c r="J113" s="227">
        <f>IFERROR(VLOOKUP($A113,SP_AcqTract_DB[],MATCH(J$2,SP_AcqTract_DB[#Headers],0),FALSE),"")</f>
        <v>0</v>
      </c>
      <c r="K113" s="227">
        <f>IFERROR(VLOOKUP($A113,SP_AcqTract_DB[],MATCH(K$2,SP_AcqTract_DB[#Headers],0),FALSE),"")</f>
        <v>0</v>
      </c>
      <c r="L113" s="227">
        <f>IFERROR(VLOOKUP($A113,SP_AcqTract_DB[],MATCH(L$2,SP_AcqTract_DB[#Headers],0),FALSE),"")</f>
        <v>0</v>
      </c>
      <c r="M113" s="208">
        <f>IFERROR(VLOOKUP($A113,SP_AcqTract_DB[],MATCH(M$2,SP_AcqTract_DB[#Headers],0),FALSE),"")</f>
        <v>0</v>
      </c>
      <c r="N113" s="227" t="str">
        <f>IFERROR(VLOOKUP($A113,SP_AcqTract_DB[],MATCH(N$2,SP_AcqTract_DB[#Headers],0),FALSE),"")</f>
        <v>3617 HWY 59</v>
      </c>
      <c r="O113" s="220">
        <f>IFERROR(VLOOKUP($A113,SP_AcqTract_DB[],MATCH(O$2,SP_AcqTract_DB[#Headers],0),FALSE),"")</f>
        <v>0</v>
      </c>
      <c r="P113" s="220">
        <f>IFERROR(VLOOKUP($A113,SP_AcqTract_DB[],MATCH(P$2,SP_AcqTract_DB[#Headers],0),FALSE),"")</f>
        <v>0</v>
      </c>
      <c r="Q113" s="208">
        <f>IFERROR(VLOOKUP($A113,SP_AcqTract_DB[],MATCH(Q$2,SP_AcqTract_DB[#Headers],0),FALSE),"")</f>
        <v>0</v>
      </c>
      <c r="R113" s="250" t="str">
        <f>IFERROR(IF(VLOOKUP(CONCATENATE($A113,"_",R$1),SP_ACQ_Lib[],MATCH(R$2,SP_ACQ_Lib[#Headers],0),FALSE)=0,"",VLOOKUP(CONCATENATE($A113,"_",R$1),SP_ACQ_Lib[],MATCH(R$2,SP_ACQ_Lib[#Headers],0),FALSE)),"")</f>
        <v/>
      </c>
      <c r="S113" s="253" t="str">
        <f>IFERROR(IF(VLOOKUP(CONCATENATE($A113,"_",S$1),SP_ACQ_Lib[],MATCH(S$2,SP_ACQ_Lib[#Headers],0),FALSE)=0,"",VLOOKUP(CONCATENATE($A113,"_",S$1),SP_ACQ_Lib[],MATCH(S$2,SP_ACQ_Lib[#Headers],0),FALSE)),"")</f>
        <v/>
      </c>
      <c r="T113" s="205">
        <f>IFERROR(VLOOKUP(CONCATENATE($A113,"_",T$1),SP_ACQ_Lib[],MATCH(T$2,SP_ACQ_Lib[#Headers],0),FALSE),0)</f>
        <v>0</v>
      </c>
      <c r="U113" s="250" t="str">
        <f>IFERROR(IF(VLOOKUP(CONCATENATE($A113,"_",U$1),SP_ACQ_Lib[],MATCH(U$2,SP_ACQ_Lib[#Headers],0),FALSE)=0,"",VLOOKUP(CONCATENATE($A113,"_",U$1),SP_ACQ_Lib[],MATCH(U$2,SP_ACQ_Lib[#Headers],0),FALSE)),"")</f>
        <v/>
      </c>
      <c r="V113" s="205" t="str">
        <f>IFERROR(VLOOKUP(CONCATENATE($A113,"_",V$1),SP_ACQ_Lib[],MATCH(V$2,SP_ACQ_Lib[#Headers],0),FALSE),0)</f>
        <v>Accepted</v>
      </c>
      <c r="W113" s="209">
        <f>IFERROR(VLOOKUP(CONCATENATE($A113,"_",W$1),SP_ACQ_Lib[],MATCH(W$2,SP_ACQ_Lib[#Headers],0),FALSE),0)</f>
        <v>0</v>
      </c>
      <c r="X113" s="250">
        <f>IFERROR(VLOOKUP($A113,SP_AcqTract_DB[],MATCH(X$2,SP_AcqTract_DB[#Headers],0),FALSE),"")</f>
        <v>0</v>
      </c>
      <c r="Y113" s="237">
        <f>IFERROR(VLOOKUP($A113,SP_AcqTract_DB[],MATCH(Y$2,SP_AcqTract_DB[#Headers],0),FALSE),"")</f>
        <v>0</v>
      </c>
      <c r="Z113" s="229">
        <f>IFERROR(VLOOKUP($A113,SP_AcqTract_DB[],MATCH(Z$2,SP_AcqTract_DB[#Headers],0),FALSE),"")</f>
        <v>0</v>
      </c>
      <c r="AA113" s="229">
        <f>IFERROR(VLOOKUP($A113,SP_AcqTract_DB[],MATCH(AA$2,SP_AcqTract_DB[#Headers],0),FALSE),"")</f>
        <v>0</v>
      </c>
      <c r="AB113" s="250" t="str">
        <f>IFERROR(IF(VLOOKUP(CONCATENATE($A113,"_",AB$1),SP_ACQ_Lib[],MATCH(AB$2,SP_ACQ_Lib[#Headers],0),FALSE)=0,"",VLOOKUP(CONCATENATE($A113,"_",AB$1),SP_ACQ_Lib[],MATCH(AB$2,SP_ACQ_Lib[#Headers],0),FALSE)),"")</f>
        <v/>
      </c>
      <c r="AC113" s="250" t="str">
        <f>IFERROR(IF(VLOOKUP(CONCATENATE($A113,"_",AC$1),SP_ACQ_Lib[],MATCH(AC$2,SP_ACQ_Lib[#Headers],0),FALSE)=0,"",VLOOKUP(CONCATENATE($A113,"_",AC$1),SP_ACQ_Lib[],MATCH(AC$2,SP_ACQ_Lib[#Headers],0),FALSE)),"")</f>
        <v/>
      </c>
      <c r="AD113" s="229">
        <f>IFERROR(VLOOKUP($A113,SP_AcqTract_DB[],MATCH(AD$2,SP_AcqTract_DB[#Headers],0),FALSE),"")</f>
        <v>0</v>
      </c>
      <c r="AE113" s="250" t="str">
        <f>IFERROR(IF(VLOOKUP(CONCATENATE($A113,"_",AE$1),SP_ACQ_Lib[],MATCH(AE$2,SP_ACQ_Lib[#Headers],0),FALSE)=0,"",VLOOKUP(CONCATENATE($A113,"_",AE$1),SP_ACQ_Lib[],MATCH(AE$2,SP_ACQ_Lib[#Headers],0),FALSE)),"")</f>
        <v/>
      </c>
      <c r="AF113" s="250" t="str">
        <f>IFERROR(IF(VLOOKUP(CONCATENATE($A113,"_",AF$1),SP_ACQ_Lib[],MATCH(AF$2,SP_ACQ_Lib[#Headers],0),FALSE)=0,"",VLOOKUP(CONCATENATE($A113,"_",AF$1),SP_ACQ_Lib[],MATCH(AF$2,SP_ACQ_Lib[#Headers],0),FALSE)),"")</f>
        <v/>
      </c>
      <c r="AG113" s="250" t="str">
        <f>IFERROR(IF(VLOOKUP(CONCATENATE($A113,"_",AG$1),SP_ACQ_Lib[],MATCH(AG$2,SP_ACQ_Lib[#Headers],0),FALSE)=0,"",VLOOKUP(CONCATENATE($A113,"_",AG$1),SP_ACQ_Lib[],MATCH(AG$2,SP_ACQ_Lib[#Headers],0),FALSE)),"")</f>
        <v/>
      </c>
      <c r="AH113" s="250" t="str">
        <f>IFERROR(IF(VLOOKUP(CONCATENATE($A113,"_",AH$1),SP_ACQ_Lib[],MATCH(AH$2,SP_ACQ_Lib[#Headers],0),FALSE)=0,"",VLOOKUP(CONCATENATE($A113,"_",AH$1),SP_ACQ_Lib[],MATCH(AH$2,SP_ACQ_Lib[#Headers],0),FALSE)),"")</f>
        <v/>
      </c>
      <c r="AI113" s="249">
        <f>IFERROR(IF(VLOOKUP(CONCATENATE($A113,"_",AI$1),SP_ACQ_Lib[],MATCH(AI$2,SP_ACQ_Lib[#Headers],0),FALSE)=0,"",VLOOKUP(CONCATENATE($A113,"_",AI$1),SP_ACQ_Lib[],MATCH(AI$2,SP_ACQ_Lib[#Headers],0),FALSE)),"")</f>
        <v>43985</v>
      </c>
      <c r="AJ113" s="249" t="str">
        <f>IFERROR(IF(VLOOKUP(CONCATENATE($A113,"_",AJ$1),SP_ACQ_Lib[],MATCH(AJ$2,SP_ACQ_Lib[#Headers],0),FALSE)=0,"",VLOOKUP(CONCATENATE($A113,"_",AJ$1),SP_ACQ_Lib[],MATCH(AJ$2,SP_ACQ_Lib[#Headers],0),FALSE)),"")</f>
        <v/>
      </c>
      <c r="AK113" s="249" t="str">
        <f>IFERROR(IF(VLOOKUP(CONCATENATE($A113,"_",AK$1),SP_ACQ_Lib[],MATCH(AK$2,SP_ACQ_Lib[#Headers],0),FALSE)=0,"",VLOOKUP(CONCATENATE($A113,"_",AK$1),SP_ACQ_Lib[],MATCH(AK$2,SP_ACQ_Lib[#Headers],0),FALSE)),"")</f>
        <v/>
      </c>
      <c r="AL113" s="249">
        <f>IFERROR(VLOOKUP($A113,SP_AcqTract_DB[],MATCH(AL$2,SP_AcqTract_DB[#Headers],0),FALSE),"")</f>
        <v>0</v>
      </c>
      <c r="AM113" s="227">
        <f>IFERROR(VLOOKUP($A113,SP_AcqTract_DB[],MATCH(AM$2,SP_AcqTract_DB[#Headers],0),FALSE),"")</f>
        <v>0</v>
      </c>
      <c r="AN113" s="227">
        <f>IFERROR(VLOOKUP($A113,SP_AcqTract_DB[],MATCH(AN$2,SP_AcqTract_DB[#Headers],0),FALSE),"")</f>
        <v>0</v>
      </c>
      <c r="AO113" s="228">
        <f>IFERROR(VLOOKUP($A113,SP_AcqTract_DB[],MATCH(AO$2,SP_AcqTract_DB[#Headers],0),FALSE),"")</f>
        <v>0</v>
      </c>
      <c r="AP113" s="210">
        <f>IFERROR(VLOOKUP($A113,SP_AcqTract_DB[],MATCH(AP$2,SP_AcqTract_DB[#Headers],0),FALSE),"")</f>
        <v>0</v>
      </c>
      <c r="AQ113" s="252" t="str">
        <f>IFERROR(IF(VLOOKUP(CONCATENATE($A113,"_",AQ$1),SP_ACQ_Lib[],MATCH(AQ$2,SP_ACQ_Lib[#Headers],0),FALSE)=0,"",VLOOKUP(CONCATENATE($A113,"_",AQ$1),SP_ACQ_Lib[],MATCH(AQ$2,SP_ACQ_Lib[#Headers],0),FALSE)),"")</f>
        <v/>
      </c>
      <c r="AR113" s="250" t="str">
        <f>IFERROR(IF(VLOOKUP(CONCATENATE($A113,"_",AR$1),SP_ACQ_Lib[],MATCH(AR$2,SP_ACQ_Lib[#Headers],0),FALSE)=0,"",VLOOKUP(CONCATENATE($A113,"_",AR$1),SP_ACQ_Lib[],MATCH(AR$2,SP_ACQ_Lib[#Headers],0),FALSE)),"")</f>
        <v/>
      </c>
      <c r="AS113" s="249" t="str">
        <f>IFERROR(IF(VLOOKUP(CONCATENATE($A113,"_",AS$1),SP_ACQ_Lib[],MATCH(AS$2,SP_ACQ_Lib[#Headers],0),FALSE)=0,"",VLOOKUP(CONCATENATE($A113,"_",AS$1),SP_ACQ_Lib[],MATCH(AS$2,SP_ACQ_Lib[#Headers],0),FALSE)),"")</f>
        <v/>
      </c>
      <c r="AT113" s="251" t="str">
        <f>IFERROR(IF(VLOOKUP(CONCATENATE($A113,"_",AT$1),SP_ACQ_Lib[],MATCH(AT$2,SP_ACQ_Lib[#Headers],0),FALSE)=0,"",VLOOKUP(CONCATENATE($A113,"_",AT$1),SP_ACQ_Lib[],MATCH(AT$2,SP_ACQ_Lib[#Headers],0),FALSE)),"")</f>
        <v/>
      </c>
      <c r="AU113" s="251" t="str">
        <f>IFERROR(IF(VLOOKUP(CONCATENATE($A113,"_",AU$1),SP_ACQ_Lib[],MATCH(AU$2,SP_ACQ_Lib[#Headers],0),FALSE)=0,"",VLOOKUP(CONCATENATE($A113,"_",AU$1),SP_ACQ_Lib[],MATCH(AU$2,SP_ACQ_Lib[#Headers],0),FALSE)),"")</f>
        <v/>
      </c>
      <c r="AV113" s="225" t="str">
        <f>IFERROR(IF(VLOOKUP(CONCATENATE($A113,"_",AV$1),SP_ACQ_Lib[],MATCH(AV$2,SP_ACQ_Lib[#Headers],0),FALSE)=0,"",VLOOKUP(CONCATENATE($A113,"_",AV$1),SP_ACQ_Lib[],MATCH(AV$2,SP_ACQ_Lib[#Headers],0),FALSE)),"")</f>
        <v/>
      </c>
      <c r="AW113" s="251" t="str">
        <f>IFERROR(IF(VLOOKUP(CONCATENATE($A113,"_",AW$1),SP_ACQ_Lib[],MATCH(AW$2,SP_ACQ_Lib[#Headers],0),FALSE)=0,"",VLOOKUP(CONCATENATE($A113,"_",AW$1),SP_ACQ_Lib[],MATCH(AW$2,SP_ACQ_Lib[#Headers],0),FALSE)),"")</f>
        <v/>
      </c>
      <c r="AX113" s="251" t="str">
        <f>IFERROR(IF(VLOOKUP(CONCATENATE($A113,"_",AX$1),SP_ACQ_Lib[],MATCH(AX$2,SP_ACQ_Lib[#Headers],0),FALSE)=0,"",VLOOKUP(CONCATENATE($A113,"_",AX$1),SP_ACQ_Lib[],MATCH(AX$2,SP_ACQ_Lib[#Headers],0),FALSE)),"")</f>
        <v/>
      </c>
      <c r="AY113" s="251" t="str">
        <f>IFERROR(IF(VLOOKUP(CONCATENATE($A113,"_",AY$1),SP_ACQ_Lib[],MATCH(AY$2,SP_ACQ_Lib[#Headers],0),FALSE)=0,"",VLOOKUP(CONCATENATE($A113,"_",AY$1),SP_ACQ_Lib[],MATCH(AY$2,SP_ACQ_Lib[#Headers],0),FALSE)),"")</f>
        <v/>
      </c>
      <c r="AZ113" s="251" t="str">
        <f>IFERROR(IF(VLOOKUP(CONCATENATE($A113,"_",AZ$1),SP_ACQ_Lib[],MATCH(AZ$2,SP_ACQ_Lib[#Headers],0),FALSE)=0,"",VLOOKUP(CONCATENATE($A113,"_",AZ$1),SP_ACQ_Lib[],MATCH(AZ$2,SP_ACQ_Lib[#Headers],0),FALSE)),"")</f>
        <v/>
      </c>
      <c r="BA113" s="251" t="str">
        <f>IFERROR(IF(VLOOKUP(CONCATENATE($A113,"_",BA$1),SP_ACQ_Lib[],MATCH(BA$2,SP_ACQ_Lib[#Headers],0),FALSE)=0,"",VLOOKUP(CONCATENATE($A113,"_",BA$1),SP_ACQ_Lib[],MATCH(BA$2,SP_ACQ_Lib[#Headers],0),FALSE)),"")</f>
        <v/>
      </c>
      <c r="BB113" s="224">
        <f>IFERROR(VLOOKUP(CONCATENATE($A113,"_",BB$1),SP_ACQ_Lib[],MATCH(BB$2,SP_ACQ_Lib[#Headers],0),FALSE),0)</f>
        <v>0</v>
      </c>
      <c r="BC113" s="231">
        <f>IFERROR(VLOOKUP($A113,SP_AcqTract_DB[],MATCH(BC$2,SP_AcqTract_DB[#Headers],0),FALSE),"")</f>
        <v>0</v>
      </c>
      <c r="BD113" s="231">
        <f>IFERROR(VLOOKUP($A113,SP_AcqTract_DB[],MATCH(BD$2,SP_AcqTract_DB[#Headers],0),FALSE),"")</f>
        <v>0</v>
      </c>
      <c r="BE113" s="249" t="str">
        <f>IFERROR(IF(VLOOKUP(CONCATENATE($A113,"_",BE$1),SP_ACQ_Lib[],MATCH(BE$2,SP_ACQ_Lib[#Headers],0),FALSE)=0,"",VLOOKUP(CONCATENATE($A113,"_",BE$1),SP_ACQ_Lib[],MATCH(BE$2,SP_ACQ_Lib[#Headers],0),FALSE)),"")</f>
        <v/>
      </c>
      <c r="BF113" s="249" t="str">
        <f>IFERROR(IF(VLOOKUP(CONCATENATE($A113,"_",BF$1),SP_ACQ_Lib[],MATCH(BF$2,SP_ACQ_Lib[#Headers],0),FALSE)=0,"",VLOOKUP(CONCATENATE($A113,"_",BF$1),SP_ACQ_Lib[],MATCH(BF$2,SP_ACQ_Lib[#Headers],0),FALSE)),"")</f>
        <v/>
      </c>
      <c r="BG113" s="249" t="str">
        <f>IFERROR(IF(VLOOKUP(CONCATENATE($A113,"_",BG$1),SP_ACQ_Lib[],MATCH(BG$2,SP_ACQ_Lib[#Headers],0),FALSE)=0,"",VLOOKUP(CONCATENATE($A113,"_",BG$1),SP_ACQ_Lib[],MATCH(BG$2,SP_ACQ_Lib[#Headers],0),FALSE)),"")</f>
        <v/>
      </c>
      <c r="BH113" s="249" t="str">
        <f>IFERROR(IF(VLOOKUP(CONCATENATE($A113,"_",BH$1),SP_ACQ_Lib[],MATCH(BH$2,SP_ACQ_Lib[#Headers],0),FALSE)=0,"",VLOOKUP(CONCATENATE($A113,"_",BH$1),SP_ACQ_Lib[],MATCH(BH$2,SP_ACQ_Lib[#Headers],0),FALSE)),"")</f>
        <v/>
      </c>
      <c r="BI113" s="249" t="str">
        <f>IFERROR(IF(VLOOKUP(CONCATENATE($A113,"_",BI$1),SP_ACQ_Lib[],MATCH(BI$2,SP_ACQ_Lib[#Headers],0),FALSE)=0,"",VLOOKUP(CONCATENATE($A113,"_",BI$1),SP_ACQ_Lib[],MATCH(BI$2,SP_ACQ_Lib[#Headers],0),FALSE)),"")</f>
        <v/>
      </c>
      <c r="BJ113" s="249" t="str">
        <f>IFERROR(IF(VLOOKUP(CONCATENATE($A113,"_",BJ$1),SP_ACQ_Lib[],MATCH(BJ$2,SP_ACQ_Lib[#Headers],0),FALSE)=0,"",VLOOKUP(CONCATENATE($A113,"_",BJ$1),SP_ACQ_Lib[],MATCH(BJ$2,SP_ACQ_Lib[#Headers],0),FALSE)),"")</f>
        <v/>
      </c>
      <c r="BK113" s="250" t="str">
        <f>IFERROR(IF(VLOOKUP(CONCATENATE($A113,"_",BK$1),SP_ACQ_Lib[],MATCH(BK$2,SP_ACQ_Lib[#Headers],0),FALSE)=0,"",VLOOKUP(CONCATENATE($A113,"_",BK$1),SP_ACQ_Lib[],MATCH(BK$2,SP_ACQ_Lib[#Headers],0),FALSE)),"")</f>
        <v/>
      </c>
      <c r="BL113" s="249" t="str">
        <f>IFERROR(IF(VLOOKUP(CONCATENATE($A113,"_",BL$1),SP_ACQ_Lib[],MATCH(BL$2,SP_ACQ_Lib[#Headers],0),FALSE)=0,"",VLOOKUP(CONCATENATE($A113,"_",BL$1),SP_ACQ_Lib[],MATCH(BL$2,SP_ACQ_Lib[#Headers],0),FALSE)),"")</f>
        <v/>
      </c>
      <c r="BM113" s="249" t="str">
        <f>IFERROR(IF(VLOOKUP(CONCATENATE($A113,"_",BM$1),SP_ACQ_Lib[],MATCH(BM$2,SP_ACQ_Lib[#Headers],0),FALSE)=0,"",VLOOKUP(CONCATENATE($A113,"_",BM$1),SP_ACQ_Lib[],MATCH(BM$2,SP_ACQ_Lib[#Headers],0),FALSE)),"")</f>
        <v/>
      </c>
      <c r="BN113" s="249" t="str">
        <f>IFERROR(IF(VLOOKUP(CONCATENATE($A113,"_",BN$1),SP_ACQ_Lib[],MATCH(BN$2,SP_ACQ_Lib[#Headers],0),FALSE)=0,"",VLOOKUP(CONCATENATE($A113,"_",BN$1),SP_ACQ_Lib[],MATCH(BN$2,SP_ACQ_Lib[#Headers],0),FALSE)),"")</f>
        <v/>
      </c>
    </row>
    <row r="114" spans="1:66" s="226" customFormat="1" ht="15.75" x14ac:dyDescent="0.2">
      <c r="A114" s="192" t="s">
        <v>5344</v>
      </c>
      <c r="B114" s="227" t="str">
        <f>IFERROR(VLOOKUP($A114,SP_AcqTract_DB[],MATCH(B$2,SP_AcqTract_DB[#Headers],0),FALSE),"")</f>
        <v>R056464</v>
      </c>
      <c r="C114" s="228" t="str">
        <f>IFERROR(VLOOKUP($A114,SP_AcqTract_DB[],MATCH(C$2,SP_AcqTract_DB[#Headers],0),FALSE),"")</f>
        <v>PH2</v>
      </c>
      <c r="D114" s="208" t="str">
        <f>IFERROR(VLOOKUP($A114,SP_AcqTract_DB[],MATCH(D$2,SP_AcqTract_DB[#Headers],0),FALSE),"")</f>
        <v>Active</v>
      </c>
      <c r="E114" s="208">
        <f>IFERROR(VLOOKUP($A114,SP_AcqTract_DB[],MATCH(E$2,SP_AcqTract_DB[#Headers],0),FALSE),"")</f>
        <v>0</v>
      </c>
      <c r="F114" s="227">
        <f>IFERROR(VLOOKUP($A114,SP_AcqTract_DB[],MATCH(F$2,SP_AcqTract_DB[#Headers],0),FALSE),"")</f>
        <v>0</v>
      </c>
      <c r="G114" s="227">
        <f>IFERROR(VLOOKUP($A114,SP_AcqTract_DB[],MATCH(G$2,SP_AcqTract_DB[#Headers],0),FALSE),"")</f>
        <v>0</v>
      </c>
      <c r="H114" s="250" t="str">
        <f>IFERROR(IF(VLOOKUP(CONCATENATE($A114,"_",H$1),SP_ACQ_Lib[],MATCH(H$2,SP_ACQ_Lib[#Headers],0),FALSE)=0,"",VLOOKUP(CONCATENATE($A114,"_",H$1),SP_ACQ_Lib[],MATCH(H$2,SP_ACQ_Lib[#Headers],0),FALSE)),"")</f>
        <v/>
      </c>
      <c r="I114" s="227" t="str">
        <f>IFERROR(VLOOKUP($A114,SP_AcqTract_DB[],MATCH(I$2,SP_AcqTract_DB[#Headers],0),FALSE),"")</f>
        <v>Nilson Robert L</v>
      </c>
      <c r="J114" s="227">
        <f>IFERROR(VLOOKUP($A114,SP_AcqTract_DB[],MATCH(J$2,SP_AcqTract_DB[#Headers],0),FALSE),"")</f>
        <v>0</v>
      </c>
      <c r="K114" s="227">
        <f>IFERROR(VLOOKUP($A114,SP_AcqTract_DB[],MATCH(K$2,SP_AcqTract_DB[#Headers],0),FALSE),"")</f>
        <v>0</v>
      </c>
      <c r="L114" s="227">
        <f>IFERROR(VLOOKUP($A114,SP_AcqTract_DB[],MATCH(L$2,SP_AcqTract_DB[#Headers],0),FALSE),"")</f>
        <v>0</v>
      </c>
      <c r="M114" s="208">
        <f>IFERROR(VLOOKUP($A114,SP_AcqTract_DB[],MATCH(M$2,SP_AcqTract_DB[#Headers],0),FALSE),"")</f>
        <v>0</v>
      </c>
      <c r="N114" s="227" t="str">
        <f>IFERROR(VLOOKUP($A114,SP_AcqTract_DB[],MATCH(N$2,SP_AcqTract_DB[#Headers],0),FALSE),"")</f>
        <v>0 FM 102</v>
      </c>
      <c r="O114" s="220">
        <f>IFERROR(VLOOKUP($A114,SP_AcqTract_DB[],MATCH(O$2,SP_AcqTract_DB[#Headers],0),FALSE),"")</f>
        <v>0</v>
      </c>
      <c r="P114" s="220">
        <f>IFERROR(VLOOKUP($A114,SP_AcqTract_DB[],MATCH(P$2,SP_AcqTract_DB[#Headers],0),FALSE),"")</f>
        <v>0</v>
      </c>
      <c r="Q114" s="208">
        <f>IFERROR(VLOOKUP($A114,SP_AcqTract_DB[],MATCH(Q$2,SP_AcqTract_DB[#Headers],0),FALSE),"")</f>
        <v>0</v>
      </c>
      <c r="R114" s="250" t="str">
        <f>IFERROR(IF(VLOOKUP(CONCATENATE($A114,"_",R$1),SP_ACQ_Lib[],MATCH(R$2,SP_ACQ_Lib[#Headers],0),FALSE)=0,"",VLOOKUP(CONCATENATE($A114,"_",R$1),SP_ACQ_Lib[],MATCH(R$2,SP_ACQ_Lib[#Headers],0),FALSE)),"")</f>
        <v/>
      </c>
      <c r="S114" s="253" t="str">
        <f>IFERROR(IF(VLOOKUP(CONCATENATE($A114,"_",S$1),SP_ACQ_Lib[],MATCH(S$2,SP_ACQ_Lib[#Headers],0),FALSE)=0,"",VLOOKUP(CONCATENATE($A114,"_",S$1),SP_ACQ_Lib[],MATCH(S$2,SP_ACQ_Lib[#Headers],0),FALSE)),"")</f>
        <v/>
      </c>
      <c r="T114" s="205">
        <f>IFERROR(VLOOKUP(CONCATENATE($A114,"_",T$1),SP_ACQ_Lib[],MATCH(T$2,SP_ACQ_Lib[#Headers],0),FALSE),0)</f>
        <v>0</v>
      </c>
      <c r="U114" s="250" t="str">
        <f>IFERROR(IF(VLOOKUP(CONCATENATE($A114,"_",U$1),SP_ACQ_Lib[],MATCH(U$2,SP_ACQ_Lib[#Headers],0),FALSE)=0,"",VLOOKUP(CONCATENATE($A114,"_",U$1),SP_ACQ_Lib[],MATCH(U$2,SP_ACQ_Lib[#Headers],0),FALSE)),"")</f>
        <v/>
      </c>
      <c r="V114" s="205" t="str">
        <f>IFERROR(VLOOKUP(CONCATENATE($A114,"_",V$1),SP_ACQ_Lib[],MATCH(V$2,SP_ACQ_Lib[#Headers],0),FALSE),0)</f>
        <v>Accepted</v>
      </c>
      <c r="W114" s="209">
        <f>IFERROR(VLOOKUP(CONCATENATE($A114,"_",W$1),SP_ACQ_Lib[],MATCH(W$2,SP_ACQ_Lib[#Headers],0),FALSE),0)</f>
        <v>0</v>
      </c>
      <c r="X114" s="250">
        <f>IFERROR(VLOOKUP($A114,SP_AcqTract_DB[],MATCH(X$2,SP_AcqTract_DB[#Headers],0),FALSE),"")</f>
        <v>0</v>
      </c>
      <c r="Y114" s="237">
        <f>IFERROR(VLOOKUP($A114,SP_AcqTract_DB[],MATCH(Y$2,SP_AcqTract_DB[#Headers],0),FALSE),"")</f>
        <v>0</v>
      </c>
      <c r="Z114" s="229">
        <f>IFERROR(VLOOKUP($A114,SP_AcqTract_DB[],MATCH(Z$2,SP_AcqTract_DB[#Headers],0),FALSE),"")</f>
        <v>0</v>
      </c>
      <c r="AA114" s="229">
        <f>IFERROR(VLOOKUP($A114,SP_AcqTract_DB[],MATCH(AA$2,SP_AcqTract_DB[#Headers],0),FALSE),"")</f>
        <v>0</v>
      </c>
      <c r="AB114" s="250" t="str">
        <f>IFERROR(IF(VLOOKUP(CONCATENATE($A114,"_",AB$1),SP_ACQ_Lib[],MATCH(AB$2,SP_ACQ_Lib[#Headers],0),FALSE)=0,"",VLOOKUP(CONCATENATE($A114,"_",AB$1),SP_ACQ_Lib[],MATCH(AB$2,SP_ACQ_Lib[#Headers],0),FALSE)),"")</f>
        <v/>
      </c>
      <c r="AC114" s="250" t="str">
        <f>IFERROR(IF(VLOOKUP(CONCATENATE($A114,"_",AC$1),SP_ACQ_Lib[],MATCH(AC$2,SP_ACQ_Lib[#Headers],0),FALSE)=0,"",VLOOKUP(CONCATENATE($A114,"_",AC$1),SP_ACQ_Lib[],MATCH(AC$2,SP_ACQ_Lib[#Headers],0),FALSE)),"")</f>
        <v/>
      </c>
      <c r="AD114" s="229">
        <f>IFERROR(VLOOKUP($A114,SP_AcqTract_DB[],MATCH(AD$2,SP_AcqTract_DB[#Headers],0),FALSE),"")</f>
        <v>0</v>
      </c>
      <c r="AE114" s="250" t="str">
        <f>IFERROR(IF(VLOOKUP(CONCATENATE($A114,"_",AE$1),SP_ACQ_Lib[],MATCH(AE$2,SP_ACQ_Lib[#Headers],0),FALSE)=0,"",VLOOKUP(CONCATENATE($A114,"_",AE$1),SP_ACQ_Lib[],MATCH(AE$2,SP_ACQ_Lib[#Headers],0),FALSE)),"")</f>
        <v/>
      </c>
      <c r="AF114" s="250" t="str">
        <f>IFERROR(IF(VLOOKUP(CONCATENATE($A114,"_",AF$1),SP_ACQ_Lib[],MATCH(AF$2,SP_ACQ_Lib[#Headers],0),FALSE)=0,"",VLOOKUP(CONCATENATE($A114,"_",AF$1),SP_ACQ_Lib[],MATCH(AF$2,SP_ACQ_Lib[#Headers],0),FALSE)),"")</f>
        <v/>
      </c>
      <c r="AG114" s="250" t="str">
        <f>IFERROR(IF(VLOOKUP(CONCATENATE($A114,"_",AG$1),SP_ACQ_Lib[],MATCH(AG$2,SP_ACQ_Lib[#Headers],0),FALSE)=0,"",VLOOKUP(CONCATENATE($A114,"_",AG$1),SP_ACQ_Lib[],MATCH(AG$2,SP_ACQ_Lib[#Headers],0),FALSE)),"")</f>
        <v/>
      </c>
      <c r="AH114" s="250" t="str">
        <f>IFERROR(IF(VLOOKUP(CONCATENATE($A114,"_",AH$1),SP_ACQ_Lib[],MATCH(AH$2,SP_ACQ_Lib[#Headers],0),FALSE)=0,"",VLOOKUP(CONCATENATE($A114,"_",AH$1),SP_ACQ_Lib[],MATCH(AH$2,SP_ACQ_Lib[#Headers],0),FALSE)),"")</f>
        <v/>
      </c>
      <c r="AI114" s="249" t="str">
        <f>IFERROR(IF(VLOOKUP(CONCATENATE($A114,"_",AI$1),SP_ACQ_Lib[],MATCH(AI$2,SP_ACQ_Lib[#Headers],0),FALSE)=0,"",VLOOKUP(CONCATENATE($A114,"_",AI$1),SP_ACQ_Lib[],MATCH(AI$2,SP_ACQ_Lib[#Headers],0),FALSE)),"")</f>
        <v/>
      </c>
      <c r="AJ114" s="249">
        <f>IFERROR(IF(VLOOKUP(CONCATENATE($A114,"_",AJ$1),SP_ACQ_Lib[],MATCH(AJ$2,SP_ACQ_Lib[#Headers],0),FALSE)=0,"",VLOOKUP(CONCATENATE($A114,"_",AJ$1),SP_ACQ_Lib[],MATCH(AJ$2,SP_ACQ_Lib[#Headers],0),FALSE)),"")</f>
        <v>43741</v>
      </c>
      <c r="AK114" s="249">
        <f>IFERROR(IF(VLOOKUP(CONCATENATE($A114,"_",AK$1),SP_ACQ_Lib[],MATCH(AK$2,SP_ACQ_Lib[#Headers],0),FALSE)=0,"",VLOOKUP(CONCATENATE($A114,"_",AK$1),SP_ACQ_Lib[],MATCH(AK$2,SP_ACQ_Lib[#Headers],0),FALSE)),"")</f>
        <v>43924</v>
      </c>
      <c r="AL114" s="249">
        <f>IFERROR(VLOOKUP($A114,SP_AcqTract_DB[],MATCH(AL$2,SP_AcqTract_DB[#Headers],0),FALSE),"")</f>
        <v>0</v>
      </c>
      <c r="AM114" s="227">
        <f>IFERROR(VLOOKUP($A114,SP_AcqTract_DB[],MATCH(AM$2,SP_AcqTract_DB[#Headers],0),FALSE),"")</f>
        <v>0</v>
      </c>
      <c r="AN114" s="227">
        <f>IFERROR(VLOOKUP($A114,SP_AcqTract_DB[],MATCH(AN$2,SP_AcqTract_DB[#Headers],0),FALSE),"")</f>
        <v>0</v>
      </c>
      <c r="AO114" s="228">
        <f>IFERROR(VLOOKUP($A114,SP_AcqTract_DB[],MATCH(AO$2,SP_AcqTract_DB[#Headers],0),FALSE),"")</f>
        <v>0</v>
      </c>
      <c r="AP114" s="210">
        <f>IFERROR(VLOOKUP($A114,SP_AcqTract_DB[],MATCH(AP$2,SP_AcqTract_DB[#Headers],0),FALSE),"")</f>
        <v>0</v>
      </c>
      <c r="AQ114" s="252" t="str">
        <f>IFERROR(IF(VLOOKUP(CONCATENATE($A114,"_",AQ$1),SP_ACQ_Lib[],MATCH(AQ$2,SP_ACQ_Lib[#Headers],0),FALSE)=0,"",VLOOKUP(CONCATENATE($A114,"_",AQ$1),SP_ACQ_Lib[],MATCH(AQ$2,SP_ACQ_Lib[#Headers],0),FALSE)),"")</f>
        <v/>
      </c>
      <c r="AR114" s="250" t="str">
        <f>IFERROR(IF(VLOOKUP(CONCATENATE($A114,"_",AR$1),SP_ACQ_Lib[],MATCH(AR$2,SP_ACQ_Lib[#Headers],0),FALSE)=0,"",VLOOKUP(CONCATENATE($A114,"_",AR$1),SP_ACQ_Lib[],MATCH(AR$2,SP_ACQ_Lib[#Headers],0),FALSE)),"")</f>
        <v/>
      </c>
      <c r="AS114" s="249" t="str">
        <f>IFERROR(IF(VLOOKUP(CONCATENATE($A114,"_",AS$1),SP_ACQ_Lib[],MATCH(AS$2,SP_ACQ_Lib[#Headers],0),FALSE)=0,"",VLOOKUP(CONCATENATE($A114,"_",AS$1),SP_ACQ_Lib[],MATCH(AS$2,SP_ACQ_Lib[#Headers],0),FALSE)),"")</f>
        <v/>
      </c>
      <c r="AT114" s="251" t="str">
        <f>IFERROR(IF(VLOOKUP(CONCATENATE($A114,"_",AT$1),SP_ACQ_Lib[],MATCH(AT$2,SP_ACQ_Lib[#Headers],0),FALSE)=0,"",VLOOKUP(CONCATENATE($A114,"_",AT$1),SP_ACQ_Lib[],MATCH(AT$2,SP_ACQ_Lib[#Headers],0),FALSE)),"")</f>
        <v/>
      </c>
      <c r="AU114" s="251" t="str">
        <f>IFERROR(IF(VLOOKUP(CONCATENATE($A114,"_",AU$1),SP_ACQ_Lib[],MATCH(AU$2,SP_ACQ_Lib[#Headers],0),FALSE)=0,"",VLOOKUP(CONCATENATE($A114,"_",AU$1),SP_ACQ_Lib[],MATCH(AU$2,SP_ACQ_Lib[#Headers],0),FALSE)),"")</f>
        <v/>
      </c>
      <c r="AV114" s="225" t="str">
        <f>IFERROR(IF(VLOOKUP(CONCATENATE($A114,"_",AV$1),SP_ACQ_Lib[],MATCH(AV$2,SP_ACQ_Lib[#Headers],0),FALSE)=0,"",VLOOKUP(CONCATENATE($A114,"_",AV$1),SP_ACQ_Lib[],MATCH(AV$2,SP_ACQ_Lib[#Headers],0),FALSE)),"")</f>
        <v/>
      </c>
      <c r="AW114" s="251" t="str">
        <f>IFERROR(IF(VLOOKUP(CONCATENATE($A114,"_",AW$1),SP_ACQ_Lib[],MATCH(AW$2,SP_ACQ_Lib[#Headers],0),FALSE)=0,"",VLOOKUP(CONCATENATE($A114,"_",AW$1),SP_ACQ_Lib[],MATCH(AW$2,SP_ACQ_Lib[#Headers],0),FALSE)),"")</f>
        <v/>
      </c>
      <c r="AX114" s="251" t="str">
        <f>IFERROR(IF(VLOOKUP(CONCATENATE($A114,"_",AX$1),SP_ACQ_Lib[],MATCH(AX$2,SP_ACQ_Lib[#Headers],0),FALSE)=0,"",VLOOKUP(CONCATENATE($A114,"_",AX$1),SP_ACQ_Lib[],MATCH(AX$2,SP_ACQ_Lib[#Headers],0),FALSE)),"")</f>
        <v/>
      </c>
      <c r="AY114" s="251" t="str">
        <f>IFERROR(IF(VLOOKUP(CONCATENATE($A114,"_",AY$1),SP_ACQ_Lib[],MATCH(AY$2,SP_ACQ_Lib[#Headers],0),FALSE)=0,"",VLOOKUP(CONCATENATE($A114,"_",AY$1),SP_ACQ_Lib[],MATCH(AY$2,SP_ACQ_Lib[#Headers],0),FALSE)),"")</f>
        <v/>
      </c>
      <c r="AZ114" s="251" t="str">
        <f>IFERROR(IF(VLOOKUP(CONCATENATE($A114,"_",AZ$1),SP_ACQ_Lib[],MATCH(AZ$2,SP_ACQ_Lib[#Headers],0),FALSE)=0,"",VLOOKUP(CONCATENATE($A114,"_",AZ$1),SP_ACQ_Lib[],MATCH(AZ$2,SP_ACQ_Lib[#Headers],0),FALSE)),"")</f>
        <v/>
      </c>
      <c r="BA114" s="251" t="str">
        <f>IFERROR(IF(VLOOKUP(CONCATENATE($A114,"_",BA$1),SP_ACQ_Lib[],MATCH(BA$2,SP_ACQ_Lib[#Headers],0),FALSE)=0,"",VLOOKUP(CONCATENATE($A114,"_",BA$1),SP_ACQ_Lib[],MATCH(BA$2,SP_ACQ_Lib[#Headers],0),FALSE)),"")</f>
        <v/>
      </c>
      <c r="BB114" s="224">
        <f>IFERROR(VLOOKUP(CONCATENATE($A114,"_",BB$1),SP_ACQ_Lib[],MATCH(BB$2,SP_ACQ_Lib[#Headers],0),FALSE),0)</f>
        <v>0</v>
      </c>
      <c r="BC114" s="231">
        <f>IFERROR(VLOOKUP($A114,SP_AcqTract_DB[],MATCH(BC$2,SP_AcqTract_DB[#Headers],0),FALSE),"")</f>
        <v>0</v>
      </c>
      <c r="BD114" s="231">
        <f>IFERROR(VLOOKUP($A114,SP_AcqTract_DB[],MATCH(BD$2,SP_AcqTract_DB[#Headers],0),FALSE),"")</f>
        <v>0</v>
      </c>
      <c r="BE114" s="249" t="str">
        <f>IFERROR(IF(VLOOKUP(CONCATENATE($A114,"_",BE$1),SP_ACQ_Lib[],MATCH(BE$2,SP_ACQ_Lib[#Headers],0),FALSE)=0,"",VLOOKUP(CONCATENATE($A114,"_",BE$1),SP_ACQ_Lib[],MATCH(BE$2,SP_ACQ_Lib[#Headers],0),FALSE)),"")</f>
        <v/>
      </c>
      <c r="BF114" s="249" t="str">
        <f>IFERROR(IF(VLOOKUP(CONCATENATE($A114,"_",BF$1),SP_ACQ_Lib[],MATCH(BF$2,SP_ACQ_Lib[#Headers],0),FALSE)=0,"",VLOOKUP(CONCATENATE($A114,"_",BF$1),SP_ACQ_Lib[],MATCH(BF$2,SP_ACQ_Lib[#Headers],0),FALSE)),"")</f>
        <v/>
      </c>
      <c r="BG114" s="249" t="str">
        <f>IFERROR(IF(VLOOKUP(CONCATENATE($A114,"_",BG$1),SP_ACQ_Lib[],MATCH(BG$2,SP_ACQ_Lib[#Headers],0),FALSE)=0,"",VLOOKUP(CONCATENATE($A114,"_",BG$1),SP_ACQ_Lib[],MATCH(BG$2,SP_ACQ_Lib[#Headers],0),FALSE)),"")</f>
        <v/>
      </c>
      <c r="BH114" s="249" t="str">
        <f>IFERROR(IF(VLOOKUP(CONCATENATE($A114,"_",BH$1),SP_ACQ_Lib[],MATCH(BH$2,SP_ACQ_Lib[#Headers],0),FALSE)=0,"",VLOOKUP(CONCATENATE($A114,"_",BH$1),SP_ACQ_Lib[],MATCH(BH$2,SP_ACQ_Lib[#Headers],0),FALSE)),"")</f>
        <v/>
      </c>
      <c r="BI114" s="249" t="str">
        <f>IFERROR(IF(VLOOKUP(CONCATENATE($A114,"_",BI$1),SP_ACQ_Lib[],MATCH(BI$2,SP_ACQ_Lib[#Headers],0),FALSE)=0,"",VLOOKUP(CONCATENATE($A114,"_",BI$1),SP_ACQ_Lib[],MATCH(BI$2,SP_ACQ_Lib[#Headers],0),FALSE)),"")</f>
        <v/>
      </c>
      <c r="BJ114" s="249" t="str">
        <f>IFERROR(IF(VLOOKUP(CONCATENATE($A114,"_",BJ$1),SP_ACQ_Lib[],MATCH(BJ$2,SP_ACQ_Lib[#Headers],0),FALSE)=0,"",VLOOKUP(CONCATENATE($A114,"_",BJ$1),SP_ACQ_Lib[],MATCH(BJ$2,SP_ACQ_Lib[#Headers],0),FALSE)),"")</f>
        <v/>
      </c>
      <c r="BK114" s="250" t="str">
        <f>IFERROR(IF(VLOOKUP(CONCATENATE($A114,"_",BK$1),SP_ACQ_Lib[],MATCH(BK$2,SP_ACQ_Lib[#Headers],0),FALSE)=0,"",VLOOKUP(CONCATENATE($A114,"_",BK$1),SP_ACQ_Lib[],MATCH(BK$2,SP_ACQ_Lib[#Headers],0),FALSE)),"")</f>
        <v/>
      </c>
      <c r="BL114" s="249" t="str">
        <f>IFERROR(IF(VLOOKUP(CONCATENATE($A114,"_",BL$1),SP_ACQ_Lib[],MATCH(BL$2,SP_ACQ_Lib[#Headers],0),FALSE)=0,"",VLOOKUP(CONCATENATE($A114,"_",BL$1),SP_ACQ_Lib[],MATCH(BL$2,SP_ACQ_Lib[#Headers],0),FALSE)),"")</f>
        <v/>
      </c>
      <c r="BM114" s="249" t="str">
        <f>IFERROR(IF(VLOOKUP(CONCATENATE($A114,"_",BM$1),SP_ACQ_Lib[],MATCH(BM$2,SP_ACQ_Lib[#Headers],0),FALSE)=0,"",VLOOKUP(CONCATENATE($A114,"_",BM$1),SP_ACQ_Lib[],MATCH(BM$2,SP_ACQ_Lib[#Headers],0),FALSE)),"")</f>
        <v/>
      </c>
      <c r="BN114" s="249" t="str">
        <f>IFERROR(IF(VLOOKUP(CONCATENATE($A114,"_",BN$1),SP_ACQ_Lib[],MATCH(BN$2,SP_ACQ_Lib[#Headers],0),FALSE)=0,"",VLOOKUP(CONCATENATE($A114,"_",BN$1),SP_ACQ_Lib[],MATCH(BN$2,SP_ACQ_Lib[#Headers],0),FALSE)),"")</f>
        <v/>
      </c>
    </row>
    <row r="115" spans="1:66" s="226" customFormat="1" ht="25.5" x14ac:dyDescent="0.2">
      <c r="A115" s="192" t="s">
        <v>5346</v>
      </c>
      <c r="B115" s="227" t="str">
        <f>IFERROR(VLOOKUP($A115,SP_AcqTract_DB[],MATCH(B$2,SP_AcqTract_DB[#Headers],0),FALSE),"")</f>
        <v>R056478</v>
      </c>
      <c r="C115" s="228" t="str">
        <f>IFERROR(VLOOKUP($A115,SP_AcqTract_DB[],MATCH(C$2,SP_AcqTract_DB[#Headers],0),FALSE),"")</f>
        <v>PH2</v>
      </c>
      <c r="D115" s="208" t="str">
        <f>IFERROR(VLOOKUP($A115,SP_AcqTract_DB[],MATCH(D$2,SP_AcqTract_DB[#Headers],0),FALSE),"")</f>
        <v>Active</v>
      </c>
      <c r="E115" s="208">
        <f>IFERROR(VLOOKUP($A115,SP_AcqTract_DB[],MATCH(E$2,SP_AcqTract_DB[#Headers],0),FALSE),"")</f>
        <v>0</v>
      </c>
      <c r="F115" s="227">
        <f>IFERROR(VLOOKUP($A115,SP_AcqTract_DB[],MATCH(F$2,SP_AcqTract_DB[#Headers],0),FALSE),"")</f>
        <v>0</v>
      </c>
      <c r="G115" s="227" t="str">
        <f>IFERROR(VLOOKUP($A115,SP_AcqTract_DB[],MATCH(G$2,SP_AcqTract_DB[#Headers],0),FALSE),"")</f>
        <v>Darlene Snow</v>
      </c>
      <c r="H115" s="250">
        <f>IFERROR(IF(VLOOKUP(CONCATENATE($A115,"_",H$1),SP_ACQ_Lib[],MATCH(H$2,SP_ACQ_Lib[#Headers],0),FALSE)=0,"",VLOOKUP(CONCATENATE($A115,"_",H$1),SP_ACQ_Lib[],MATCH(H$2,SP_ACQ_Lib[#Headers],0),FALSE)),"")</f>
        <v>44008.535798611112</v>
      </c>
      <c r="I115" s="227" t="str">
        <f>IFERROR(VLOOKUP($A115,SP_AcqTract_DB[],MATCH(I$2,SP_AcqTract_DB[#Headers],0),FALSE),"")</f>
        <v>Mitchell Robert</v>
      </c>
      <c r="J115" s="227">
        <f>IFERROR(VLOOKUP($A115,SP_AcqTract_DB[],MATCH(J$2,SP_AcqTract_DB[#Headers],0),FALSE),"")</f>
        <v>0</v>
      </c>
      <c r="K115" s="227">
        <f>IFERROR(VLOOKUP($A115,SP_AcqTract_DB[],MATCH(K$2,SP_AcqTract_DB[#Headers],0),FALSE),"")</f>
        <v>0</v>
      </c>
      <c r="L115" s="227">
        <f>IFERROR(VLOOKUP($A115,SP_AcqTract_DB[],MATCH(L$2,SP_AcqTract_DB[#Headers],0),FALSE),"")</f>
        <v>0</v>
      </c>
      <c r="M115" s="208">
        <f>IFERROR(VLOOKUP($A115,SP_AcqTract_DB[],MATCH(M$2,SP_AcqTract_DB[#Headers],0),FALSE),"")</f>
        <v>0</v>
      </c>
      <c r="N115" s="227" t="str">
        <f>IFERROR(VLOOKUP($A115,SP_AcqTract_DB[],MATCH(N$2,SP_AcqTract_DB[#Headers],0),FALSE),"")</f>
        <v>3500 JUNIOR COLLEGE BLVD</v>
      </c>
      <c r="O115" s="220">
        <f>IFERROR(VLOOKUP($A115,SP_AcqTract_DB[],MATCH(O$2,SP_AcqTract_DB[#Headers],0),FALSE),"")</f>
        <v>0</v>
      </c>
      <c r="P115" s="220">
        <f>IFERROR(VLOOKUP($A115,SP_AcqTract_DB[],MATCH(P$2,SP_AcqTract_DB[#Headers],0),FALSE),"")</f>
        <v>0</v>
      </c>
      <c r="Q115" s="208">
        <f>IFERROR(VLOOKUP($A115,SP_AcqTract_DB[],MATCH(Q$2,SP_AcqTract_DB[#Headers],0),FALSE),"")</f>
        <v>0</v>
      </c>
      <c r="R115" s="250" t="str">
        <f>IFERROR(IF(VLOOKUP(CONCATENATE($A115,"_",R$1),SP_ACQ_Lib[],MATCH(R$2,SP_ACQ_Lib[#Headers],0),FALSE)=0,"",VLOOKUP(CONCATENATE($A115,"_",R$1),SP_ACQ_Lib[],MATCH(R$2,SP_ACQ_Lib[#Headers],0),FALSE)),"")</f>
        <v/>
      </c>
      <c r="S115" s="253" t="str">
        <f>IFERROR(IF(VLOOKUP(CONCATENATE($A115,"_",S$1),SP_ACQ_Lib[],MATCH(S$2,SP_ACQ_Lib[#Headers],0),FALSE)=0,"",VLOOKUP(CONCATENATE($A115,"_",S$1),SP_ACQ_Lib[],MATCH(S$2,SP_ACQ_Lib[#Headers],0),FALSE)),"")</f>
        <v/>
      </c>
      <c r="T115" s="205">
        <f>IFERROR(VLOOKUP(CONCATENATE($A115,"_",T$1),SP_ACQ_Lib[],MATCH(T$2,SP_ACQ_Lib[#Headers],0),FALSE),0)</f>
        <v>0</v>
      </c>
      <c r="U115" s="250" t="str">
        <f>IFERROR(IF(VLOOKUP(CONCATENATE($A115,"_",U$1),SP_ACQ_Lib[],MATCH(U$2,SP_ACQ_Lib[#Headers],0),FALSE)=0,"",VLOOKUP(CONCATENATE($A115,"_",U$1),SP_ACQ_Lib[],MATCH(U$2,SP_ACQ_Lib[#Headers],0),FALSE)),"")</f>
        <v/>
      </c>
      <c r="V115" s="205" t="str">
        <f>IFERROR(VLOOKUP(CONCATENATE($A115,"_",V$1),SP_ACQ_Lib[],MATCH(V$2,SP_ACQ_Lib[#Headers],0),FALSE),0)</f>
        <v>Accepted</v>
      </c>
      <c r="W115" s="209">
        <f>IFERROR(VLOOKUP(CONCATENATE($A115,"_",W$1),SP_ACQ_Lib[],MATCH(W$2,SP_ACQ_Lib[#Headers],0),FALSE),0)</f>
        <v>0</v>
      </c>
      <c r="X115" s="250">
        <f>IFERROR(VLOOKUP($A115,SP_AcqTract_DB[],MATCH(X$2,SP_AcqTract_DB[#Headers],0),FALSE),"")</f>
        <v>0</v>
      </c>
      <c r="Y115" s="237">
        <f>IFERROR(VLOOKUP($A115,SP_AcqTract_DB[],MATCH(Y$2,SP_AcqTract_DB[#Headers],0),FALSE),"")</f>
        <v>0</v>
      </c>
      <c r="Z115" s="229">
        <f>IFERROR(VLOOKUP($A115,SP_AcqTract_DB[],MATCH(Z$2,SP_AcqTract_DB[#Headers],0),FALSE),"")</f>
        <v>0</v>
      </c>
      <c r="AA115" s="229">
        <f>IFERROR(VLOOKUP($A115,SP_AcqTract_DB[],MATCH(AA$2,SP_AcqTract_DB[#Headers],0),FALSE),"")</f>
        <v>0</v>
      </c>
      <c r="AB115" s="250" t="str">
        <f>IFERROR(IF(VLOOKUP(CONCATENATE($A115,"_",AB$1),SP_ACQ_Lib[],MATCH(AB$2,SP_ACQ_Lib[#Headers],0),FALSE)=0,"",VLOOKUP(CONCATENATE($A115,"_",AB$1),SP_ACQ_Lib[],MATCH(AB$2,SP_ACQ_Lib[#Headers],0),FALSE)),"")</f>
        <v/>
      </c>
      <c r="AC115" s="250" t="str">
        <f>IFERROR(IF(VLOOKUP(CONCATENATE($A115,"_",AC$1),SP_ACQ_Lib[],MATCH(AC$2,SP_ACQ_Lib[#Headers],0),FALSE)=0,"",VLOOKUP(CONCATENATE($A115,"_",AC$1),SP_ACQ_Lib[],MATCH(AC$2,SP_ACQ_Lib[#Headers],0),FALSE)),"")</f>
        <v/>
      </c>
      <c r="AD115" s="229">
        <f>IFERROR(VLOOKUP($A115,SP_AcqTract_DB[],MATCH(AD$2,SP_AcqTract_DB[#Headers],0),FALSE),"")</f>
        <v>0</v>
      </c>
      <c r="AE115" s="250" t="str">
        <f>IFERROR(IF(VLOOKUP(CONCATENATE($A115,"_",AE$1),SP_ACQ_Lib[],MATCH(AE$2,SP_ACQ_Lib[#Headers],0),FALSE)=0,"",VLOOKUP(CONCATENATE($A115,"_",AE$1),SP_ACQ_Lib[],MATCH(AE$2,SP_ACQ_Lib[#Headers],0),FALSE)),"")</f>
        <v/>
      </c>
      <c r="AF115" s="250" t="str">
        <f>IFERROR(IF(VLOOKUP(CONCATENATE($A115,"_",AF$1),SP_ACQ_Lib[],MATCH(AF$2,SP_ACQ_Lib[#Headers],0),FALSE)=0,"",VLOOKUP(CONCATENATE($A115,"_",AF$1),SP_ACQ_Lib[],MATCH(AF$2,SP_ACQ_Lib[#Headers],0),FALSE)),"")</f>
        <v/>
      </c>
      <c r="AG115" s="250" t="str">
        <f>IFERROR(IF(VLOOKUP(CONCATENATE($A115,"_",AG$1),SP_ACQ_Lib[],MATCH(AG$2,SP_ACQ_Lib[#Headers],0),FALSE)=0,"",VLOOKUP(CONCATENATE($A115,"_",AG$1),SP_ACQ_Lib[],MATCH(AG$2,SP_ACQ_Lib[#Headers],0),FALSE)),"")</f>
        <v/>
      </c>
      <c r="AH115" s="250" t="str">
        <f>IFERROR(IF(VLOOKUP(CONCATENATE($A115,"_",AH$1),SP_ACQ_Lib[],MATCH(AH$2,SP_ACQ_Lib[#Headers],0),FALSE)=0,"",VLOOKUP(CONCATENATE($A115,"_",AH$1),SP_ACQ_Lib[],MATCH(AH$2,SP_ACQ_Lib[#Headers],0),FALSE)),"")</f>
        <v/>
      </c>
      <c r="AI115" s="249">
        <f>IFERROR(IF(VLOOKUP(CONCATENATE($A115,"_",AI$1),SP_ACQ_Lib[],MATCH(AI$2,SP_ACQ_Lib[#Headers],0),FALSE)=0,"",VLOOKUP(CONCATENATE($A115,"_",AI$1),SP_ACQ_Lib[],MATCH(AI$2,SP_ACQ_Lib[#Headers],0),FALSE)),"")</f>
        <v>43985</v>
      </c>
      <c r="AJ115" s="249" t="str">
        <f>IFERROR(IF(VLOOKUP(CONCATENATE($A115,"_",AJ$1),SP_ACQ_Lib[],MATCH(AJ$2,SP_ACQ_Lib[#Headers],0),FALSE)=0,"",VLOOKUP(CONCATENATE($A115,"_",AJ$1),SP_ACQ_Lib[],MATCH(AJ$2,SP_ACQ_Lib[#Headers],0),FALSE)),"")</f>
        <v/>
      </c>
      <c r="AK115" s="249" t="str">
        <f>IFERROR(IF(VLOOKUP(CONCATENATE($A115,"_",AK$1),SP_ACQ_Lib[],MATCH(AK$2,SP_ACQ_Lib[#Headers],0),FALSE)=0,"",VLOOKUP(CONCATENATE($A115,"_",AK$1),SP_ACQ_Lib[],MATCH(AK$2,SP_ACQ_Lib[#Headers],0),FALSE)),"")</f>
        <v/>
      </c>
      <c r="AL115" s="249">
        <f>IFERROR(VLOOKUP($A115,SP_AcqTract_DB[],MATCH(AL$2,SP_AcqTract_DB[#Headers],0),FALSE),"")</f>
        <v>0</v>
      </c>
      <c r="AM115" s="227">
        <f>IFERROR(VLOOKUP($A115,SP_AcqTract_DB[],MATCH(AM$2,SP_AcqTract_DB[#Headers],0),FALSE),"")</f>
        <v>0</v>
      </c>
      <c r="AN115" s="227">
        <f>IFERROR(VLOOKUP($A115,SP_AcqTract_DB[],MATCH(AN$2,SP_AcqTract_DB[#Headers],0),FALSE),"")</f>
        <v>0</v>
      </c>
      <c r="AO115" s="228">
        <f>IFERROR(VLOOKUP($A115,SP_AcqTract_DB[],MATCH(AO$2,SP_AcqTract_DB[#Headers],0),FALSE),"")</f>
        <v>0</v>
      </c>
      <c r="AP115" s="210">
        <f>IFERROR(VLOOKUP($A115,SP_AcqTract_DB[],MATCH(AP$2,SP_AcqTract_DB[#Headers],0),FALSE),"")</f>
        <v>0</v>
      </c>
      <c r="AQ115" s="252" t="str">
        <f>IFERROR(IF(VLOOKUP(CONCATENATE($A115,"_",AQ$1),SP_ACQ_Lib[],MATCH(AQ$2,SP_ACQ_Lib[#Headers],0),FALSE)=0,"",VLOOKUP(CONCATENATE($A115,"_",AQ$1),SP_ACQ_Lib[],MATCH(AQ$2,SP_ACQ_Lib[#Headers],0),FALSE)),"")</f>
        <v/>
      </c>
      <c r="AR115" s="250" t="str">
        <f>IFERROR(IF(VLOOKUP(CONCATENATE($A115,"_",AR$1),SP_ACQ_Lib[],MATCH(AR$2,SP_ACQ_Lib[#Headers],0),FALSE)=0,"",VLOOKUP(CONCATENATE($A115,"_",AR$1),SP_ACQ_Lib[],MATCH(AR$2,SP_ACQ_Lib[#Headers],0),FALSE)),"")</f>
        <v/>
      </c>
      <c r="AS115" s="249" t="str">
        <f>IFERROR(IF(VLOOKUP(CONCATENATE($A115,"_",AS$1),SP_ACQ_Lib[],MATCH(AS$2,SP_ACQ_Lib[#Headers],0),FALSE)=0,"",VLOOKUP(CONCATENATE($A115,"_",AS$1),SP_ACQ_Lib[],MATCH(AS$2,SP_ACQ_Lib[#Headers],0),FALSE)),"")</f>
        <v/>
      </c>
      <c r="AT115" s="251" t="str">
        <f>IFERROR(IF(VLOOKUP(CONCATENATE($A115,"_",AT$1),SP_ACQ_Lib[],MATCH(AT$2,SP_ACQ_Lib[#Headers],0),FALSE)=0,"",VLOOKUP(CONCATENATE($A115,"_",AT$1),SP_ACQ_Lib[],MATCH(AT$2,SP_ACQ_Lib[#Headers],0),FALSE)),"")</f>
        <v/>
      </c>
      <c r="AU115" s="251" t="str">
        <f>IFERROR(IF(VLOOKUP(CONCATENATE($A115,"_",AU$1),SP_ACQ_Lib[],MATCH(AU$2,SP_ACQ_Lib[#Headers],0),FALSE)=0,"",VLOOKUP(CONCATENATE($A115,"_",AU$1),SP_ACQ_Lib[],MATCH(AU$2,SP_ACQ_Lib[#Headers],0),FALSE)),"")</f>
        <v/>
      </c>
      <c r="AV115" s="225" t="str">
        <f>IFERROR(IF(VLOOKUP(CONCATENATE($A115,"_",AV$1),SP_ACQ_Lib[],MATCH(AV$2,SP_ACQ_Lib[#Headers],0),FALSE)=0,"",VLOOKUP(CONCATENATE($A115,"_",AV$1),SP_ACQ_Lib[],MATCH(AV$2,SP_ACQ_Lib[#Headers],0),FALSE)),"")</f>
        <v/>
      </c>
      <c r="AW115" s="251" t="str">
        <f>IFERROR(IF(VLOOKUP(CONCATENATE($A115,"_",AW$1),SP_ACQ_Lib[],MATCH(AW$2,SP_ACQ_Lib[#Headers],0),FALSE)=0,"",VLOOKUP(CONCATENATE($A115,"_",AW$1),SP_ACQ_Lib[],MATCH(AW$2,SP_ACQ_Lib[#Headers],0),FALSE)),"")</f>
        <v/>
      </c>
      <c r="AX115" s="251" t="str">
        <f>IFERROR(IF(VLOOKUP(CONCATENATE($A115,"_",AX$1),SP_ACQ_Lib[],MATCH(AX$2,SP_ACQ_Lib[#Headers],0),FALSE)=0,"",VLOOKUP(CONCATENATE($A115,"_",AX$1),SP_ACQ_Lib[],MATCH(AX$2,SP_ACQ_Lib[#Headers],0),FALSE)),"")</f>
        <v/>
      </c>
      <c r="AY115" s="251" t="str">
        <f>IFERROR(IF(VLOOKUP(CONCATENATE($A115,"_",AY$1),SP_ACQ_Lib[],MATCH(AY$2,SP_ACQ_Lib[#Headers],0),FALSE)=0,"",VLOOKUP(CONCATENATE($A115,"_",AY$1),SP_ACQ_Lib[],MATCH(AY$2,SP_ACQ_Lib[#Headers],0),FALSE)),"")</f>
        <v/>
      </c>
      <c r="AZ115" s="251" t="str">
        <f>IFERROR(IF(VLOOKUP(CONCATENATE($A115,"_",AZ$1),SP_ACQ_Lib[],MATCH(AZ$2,SP_ACQ_Lib[#Headers],0),FALSE)=0,"",VLOOKUP(CONCATENATE($A115,"_",AZ$1),SP_ACQ_Lib[],MATCH(AZ$2,SP_ACQ_Lib[#Headers],0),FALSE)),"")</f>
        <v/>
      </c>
      <c r="BA115" s="251" t="str">
        <f>IFERROR(IF(VLOOKUP(CONCATENATE($A115,"_",BA$1),SP_ACQ_Lib[],MATCH(BA$2,SP_ACQ_Lib[#Headers],0),FALSE)=0,"",VLOOKUP(CONCATENATE($A115,"_",BA$1),SP_ACQ_Lib[],MATCH(BA$2,SP_ACQ_Lib[#Headers],0),FALSE)),"")</f>
        <v/>
      </c>
      <c r="BB115" s="224">
        <f>IFERROR(VLOOKUP(CONCATENATE($A115,"_",BB$1),SP_ACQ_Lib[],MATCH(BB$2,SP_ACQ_Lib[#Headers],0),FALSE),0)</f>
        <v>0</v>
      </c>
      <c r="BC115" s="231">
        <f>IFERROR(VLOOKUP($A115,SP_AcqTract_DB[],MATCH(BC$2,SP_AcqTract_DB[#Headers],0),FALSE),"")</f>
        <v>0</v>
      </c>
      <c r="BD115" s="231">
        <f>IFERROR(VLOOKUP($A115,SP_AcqTract_DB[],MATCH(BD$2,SP_AcqTract_DB[#Headers],0),FALSE),"")</f>
        <v>0</v>
      </c>
      <c r="BE115" s="249" t="str">
        <f>IFERROR(IF(VLOOKUP(CONCATENATE($A115,"_",BE$1),SP_ACQ_Lib[],MATCH(BE$2,SP_ACQ_Lib[#Headers],0),FALSE)=0,"",VLOOKUP(CONCATENATE($A115,"_",BE$1),SP_ACQ_Lib[],MATCH(BE$2,SP_ACQ_Lib[#Headers],0),FALSE)),"")</f>
        <v/>
      </c>
      <c r="BF115" s="249" t="str">
        <f>IFERROR(IF(VLOOKUP(CONCATENATE($A115,"_",BF$1),SP_ACQ_Lib[],MATCH(BF$2,SP_ACQ_Lib[#Headers],0),FALSE)=0,"",VLOOKUP(CONCATENATE($A115,"_",BF$1),SP_ACQ_Lib[],MATCH(BF$2,SP_ACQ_Lib[#Headers],0),FALSE)),"")</f>
        <v/>
      </c>
      <c r="BG115" s="249" t="str">
        <f>IFERROR(IF(VLOOKUP(CONCATENATE($A115,"_",BG$1),SP_ACQ_Lib[],MATCH(BG$2,SP_ACQ_Lib[#Headers],0),FALSE)=0,"",VLOOKUP(CONCATENATE($A115,"_",BG$1),SP_ACQ_Lib[],MATCH(BG$2,SP_ACQ_Lib[#Headers],0),FALSE)),"")</f>
        <v/>
      </c>
      <c r="BH115" s="249" t="str">
        <f>IFERROR(IF(VLOOKUP(CONCATENATE($A115,"_",BH$1),SP_ACQ_Lib[],MATCH(BH$2,SP_ACQ_Lib[#Headers],0),FALSE)=0,"",VLOOKUP(CONCATENATE($A115,"_",BH$1),SP_ACQ_Lib[],MATCH(BH$2,SP_ACQ_Lib[#Headers],0),FALSE)),"")</f>
        <v/>
      </c>
      <c r="BI115" s="249" t="str">
        <f>IFERROR(IF(VLOOKUP(CONCATENATE($A115,"_",BI$1),SP_ACQ_Lib[],MATCH(BI$2,SP_ACQ_Lib[#Headers],0),FALSE)=0,"",VLOOKUP(CONCATENATE($A115,"_",BI$1),SP_ACQ_Lib[],MATCH(BI$2,SP_ACQ_Lib[#Headers],0),FALSE)),"")</f>
        <v/>
      </c>
      <c r="BJ115" s="249" t="str">
        <f>IFERROR(IF(VLOOKUP(CONCATENATE($A115,"_",BJ$1),SP_ACQ_Lib[],MATCH(BJ$2,SP_ACQ_Lib[#Headers],0),FALSE)=0,"",VLOOKUP(CONCATENATE($A115,"_",BJ$1),SP_ACQ_Lib[],MATCH(BJ$2,SP_ACQ_Lib[#Headers],0),FALSE)),"")</f>
        <v/>
      </c>
      <c r="BK115" s="250" t="str">
        <f>IFERROR(IF(VLOOKUP(CONCATENATE($A115,"_",BK$1),SP_ACQ_Lib[],MATCH(BK$2,SP_ACQ_Lib[#Headers],0),FALSE)=0,"",VLOOKUP(CONCATENATE($A115,"_",BK$1),SP_ACQ_Lib[],MATCH(BK$2,SP_ACQ_Lib[#Headers],0),FALSE)),"")</f>
        <v/>
      </c>
      <c r="BL115" s="249" t="str">
        <f>IFERROR(IF(VLOOKUP(CONCATENATE($A115,"_",BL$1),SP_ACQ_Lib[],MATCH(BL$2,SP_ACQ_Lib[#Headers],0),FALSE)=0,"",VLOOKUP(CONCATENATE($A115,"_",BL$1),SP_ACQ_Lib[],MATCH(BL$2,SP_ACQ_Lib[#Headers],0),FALSE)),"")</f>
        <v/>
      </c>
      <c r="BM115" s="249" t="str">
        <f>IFERROR(IF(VLOOKUP(CONCATENATE($A115,"_",BM$1),SP_ACQ_Lib[],MATCH(BM$2,SP_ACQ_Lib[#Headers],0),FALSE)=0,"",VLOOKUP(CONCATENATE($A115,"_",BM$1),SP_ACQ_Lib[],MATCH(BM$2,SP_ACQ_Lib[#Headers],0),FALSE)),"")</f>
        <v/>
      </c>
      <c r="BN115" s="249" t="str">
        <f>IFERROR(IF(VLOOKUP(CONCATENATE($A115,"_",BN$1),SP_ACQ_Lib[],MATCH(BN$2,SP_ACQ_Lib[#Headers],0),FALSE)=0,"",VLOOKUP(CONCATENATE($A115,"_",BN$1),SP_ACQ_Lib[],MATCH(BN$2,SP_ACQ_Lib[#Headers],0),FALSE)),"")</f>
        <v/>
      </c>
    </row>
    <row r="116" spans="1:66" s="226" customFormat="1" ht="15.75" x14ac:dyDescent="0.2">
      <c r="A116" s="192" t="s">
        <v>5348</v>
      </c>
      <c r="B116" s="227" t="str">
        <f>IFERROR(VLOOKUP($A116,SP_AcqTract_DB[],MATCH(B$2,SP_AcqTract_DB[#Headers],0),FALSE),"")</f>
        <v>R056480</v>
      </c>
      <c r="C116" s="228" t="str">
        <f>IFERROR(VLOOKUP($A116,SP_AcqTract_DB[],MATCH(C$2,SP_AcqTract_DB[#Headers],0),FALSE),"")</f>
        <v>PH2</v>
      </c>
      <c r="D116" s="208" t="str">
        <f>IFERROR(VLOOKUP($A116,SP_AcqTract_DB[],MATCH(D$2,SP_AcqTract_DB[#Headers],0),FALSE),"")</f>
        <v>Active</v>
      </c>
      <c r="E116" s="208">
        <f>IFERROR(VLOOKUP($A116,SP_AcqTract_DB[],MATCH(E$2,SP_AcqTract_DB[#Headers],0),FALSE),"")</f>
        <v>0</v>
      </c>
      <c r="F116" s="227">
        <f>IFERROR(VLOOKUP($A116,SP_AcqTract_DB[],MATCH(F$2,SP_AcqTract_DB[#Headers],0),FALSE),"")</f>
        <v>0</v>
      </c>
      <c r="G116" s="227" t="str">
        <f>IFERROR(VLOOKUP($A116,SP_AcqTract_DB[],MATCH(G$2,SP_AcqTract_DB[#Headers],0),FALSE),"")</f>
        <v>Darlene Snow</v>
      </c>
      <c r="H116" s="250">
        <f>IFERROR(IF(VLOOKUP(CONCATENATE($A116,"_",H$1),SP_ACQ_Lib[],MATCH(H$2,SP_ACQ_Lib[#Headers],0),FALSE)=0,"",VLOOKUP(CONCATENATE($A116,"_",H$1),SP_ACQ_Lib[],MATCH(H$2,SP_ACQ_Lib[#Headers],0),FALSE)),"")</f>
        <v>44022.617025462961</v>
      </c>
      <c r="I116" s="227" t="str">
        <f>IFERROR(VLOOKUP($A116,SP_AcqTract_DB[],MATCH(I$2,SP_AcqTract_DB[#Headers],0),FALSE),"")</f>
        <v>Mitchell Michael</v>
      </c>
      <c r="J116" s="227">
        <f>IFERROR(VLOOKUP($A116,SP_AcqTract_DB[],MATCH(J$2,SP_AcqTract_DB[#Headers],0),FALSE),"")</f>
        <v>0</v>
      </c>
      <c r="K116" s="227">
        <f>IFERROR(VLOOKUP($A116,SP_AcqTract_DB[],MATCH(K$2,SP_AcqTract_DB[#Headers],0),FALSE),"")</f>
        <v>0</v>
      </c>
      <c r="L116" s="227">
        <f>IFERROR(VLOOKUP($A116,SP_AcqTract_DB[],MATCH(L$2,SP_AcqTract_DB[#Headers],0),FALSE),"")</f>
        <v>0</v>
      </c>
      <c r="M116" s="208">
        <f>IFERROR(VLOOKUP($A116,SP_AcqTract_DB[],MATCH(M$2,SP_AcqTract_DB[#Headers],0),FALSE),"")</f>
        <v>0</v>
      </c>
      <c r="N116" s="227" t="str">
        <f>IFERROR(VLOOKUP($A116,SP_AcqTract_DB[],MATCH(N$2,SP_AcqTract_DB[#Headers],0),FALSE),"")</f>
        <v>0 JUNIOR COLLEGE BLVD</v>
      </c>
      <c r="O116" s="220">
        <f>IFERROR(VLOOKUP($A116,SP_AcqTract_DB[],MATCH(O$2,SP_AcqTract_DB[#Headers],0),FALSE),"")</f>
        <v>0</v>
      </c>
      <c r="P116" s="220">
        <f>IFERROR(VLOOKUP($A116,SP_AcqTract_DB[],MATCH(P$2,SP_AcqTract_DB[#Headers],0),FALSE),"")</f>
        <v>0</v>
      </c>
      <c r="Q116" s="208">
        <f>IFERROR(VLOOKUP($A116,SP_AcqTract_DB[],MATCH(Q$2,SP_AcqTract_DB[#Headers],0),FALSE),"")</f>
        <v>0</v>
      </c>
      <c r="R116" s="250" t="str">
        <f>IFERROR(IF(VLOOKUP(CONCATENATE($A116,"_",R$1),SP_ACQ_Lib[],MATCH(R$2,SP_ACQ_Lib[#Headers],0),FALSE)=0,"",VLOOKUP(CONCATENATE($A116,"_",R$1),SP_ACQ_Lib[],MATCH(R$2,SP_ACQ_Lib[#Headers],0),FALSE)),"")</f>
        <v/>
      </c>
      <c r="S116" s="253" t="str">
        <f>IFERROR(IF(VLOOKUP(CONCATENATE($A116,"_",S$1),SP_ACQ_Lib[],MATCH(S$2,SP_ACQ_Lib[#Headers],0),FALSE)=0,"",VLOOKUP(CONCATENATE($A116,"_",S$1),SP_ACQ_Lib[],MATCH(S$2,SP_ACQ_Lib[#Headers],0),FALSE)),"")</f>
        <v/>
      </c>
      <c r="T116" s="205">
        <f>IFERROR(VLOOKUP(CONCATENATE($A116,"_",T$1),SP_ACQ_Lib[],MATCH(T$2,SP_ACQ_Lib[#Headers],0),FALSE),0)</f>
        <v>0</v>
      </c>
      <c r="U116" s="250" t="str">
        <f>IFERROR(IF(VLOOKUP(CONCATENATE($A116,"_",U$1),SP_ACQ_Lib[],MATCH(U$2,SP_ACQ_Lib[#Headers],0),FALSE)=0,"",VLOOKUP(CONCATENATE($A116,"_",U$1),SP_ACQ_Lib[],MATCH(U$2,SP_ACQ_Lib[#Headers],0),FALSE)),"")</f>
        <v/>
      </c>
      <c r="V116" s="205" t="str">
        <f>IFERROR(VLOOKUP(CONCATENATE($A116,"_",V$1),SP_ACQ_Lib[],MATCH(V$2,SP_ACQ_Lib[#Headers],0),FALSE),0)</f>
        <v>Accepted</v>
      </c>
      <c r="W116" s="209">
        <f>IFERROR(VLOOKUP(CONCATENATE($A116,"_",W$1),SP_ACQ_Lib[],MATCH(W$2,SP_ACQ_Lib[#Headers],0),FALSE),0)</f>
        <v>0</v>
      </c>
      <c r="X116" s="250">
        <f>IFERROR(VLOOKUP($A116,SP_AcqTract_DB[],MATCH(X$2,SP_AcqTract_DB[#Headers],0),FALSE),"")</f>
        <v>0</v>
      </c>
      <c r="Y116" s="237">
        <f>IFERROR(VLOOKUP($A116,SP_AcqTract_DB[],MATCH(Y$2,SP_AcqTract_DB[#Headers],0),FALSE),"")</f>
        <v>0</v>
      </c>
      <c r="Z116" s="229">
        <f>IFERROR(VLOOKUP($A116,SP_AcqTract_DB[],MATCH(Z$2,SP_AcqTract_DB[#Headers],0),FALSE),"")</f>
        <v>0</v>
      </c>
      <c r="AA116" s="229">
        <f>IFERROR(VLOOKUP($A116,SP_AcqTract_DB[],MATCH(AA$2,SP_AcqTract_DB[#Headers],0),FALSE),"")</f>
        <v>0</v>
      </c>
      <c r="AB116" s="250" t="str">
        <f>IFERROR(IF(VLOOKUP(CONCATENATE($A116,"_",AB$1),SP_ACQ_Lib[],MATCH(AB$2,SP_ACQ_Lib[#Headers],0),FALSE)=0,"",VLOOKUP(CONCATENATE($A116,"_",AB$1),SP_ACQ_Lib[],MATCH(AB$2,SP_ACQ_Lib[#Headers],0),FALSE)),"")</f>
        <v/>
      </c>
      <c r="AC116" s="250" t="str">
        <f>IFERROR(IF(VLOOKUP(CONCATENATE($A116,"_",AC$1),SP_ACQ_Lib[],MATCH(AC$2,SP_ACQ_Lib[#Headers],0),FALSE)=0,"",VLOOKUP(CONCATENATE($A116,"_",AC$1),SP_ACQ_Lib[],MATCH(AC$2,SP_ACQ_Lib[#Headers],0),FALSE)),"")</f>
        <v/>
      </c>
      <c r="AD116" s="229">
        <f>IFERROR(VLOOKUP($A116,SP_AcqTract_DB[],MATCH(AD$2,SP_AcqTract_DB[#Headers],0),FALSE),"")</f>
        <v>0</v>
      </c>
      <c r="AE116" s="250" t="str">
        <f>IFERROR(IF(VLOOKUP(CONCATENATE($A116,"_",AE$1),SP_ACQ_Lib[],MATCH(AE$2,SP_ACQ_Lib[#Headers],0),FALSE)=0,"",VLOOKUP(CONCATENATE($A116,"_",AE$1),SP_ACQ_Lib[],MATCH(AE$2,SP_ACQ_Lib[#Headers],0),FALSE)),"")</f>
        <v/>
      </c>
      <c r="AF116" s="250" t="str">
        <f>IFERROR(IF(VLOOKUP(CONCATENATE($A116,"_",AF$1),SP_ACQ_Lib[],MATCH(AF$2,SP_ACQ_Lib[#Headers],0),FALSE)=0,"",VLOOKUP(CONCATENATE($A116,"_",AF$1),SP_ACQ_Lib[],MATCH(AF$2,SP_ACQ_Lib[#Headers],0),FALSE)),"")</f>
        <v/>
      </c>
      <c r="AG116" s="250" t="str">
        <f>IFERROR(IF(VLOOKUP(CONCATENATE($A116,"_",AG$1),SP_ACQ_Lib[],MATCH(AG$2,SP_ACQ_Lib[#Headers],0),FALSE)=0,"",VLOOKUP(CONCATENATE($A116,"_",AG$1),SP_ACQ_Lib[],MATCH(AG$2,SP_ACQ_Lib[#Headers],0),FALSE)),"")</f>
        <v/>
      </c>
      <c r="AH116" s="250" t="str">
        <f>IFERROR(IF(VLOOKUP(CONCATENATE($A116,"_",AH$1),SP_ACQ_Lib[],MATCH(AH$2,SP_ACQ_Lib[#Headers],0),FALSE)=0,"",VLOOKUP(CONCATENATE($A116,"_",AH$1),SP_ACQ_Lib[],MATCH(AH$2,SP_ACQ_Lib[#Headers],0),FALSE)),"")</f>
        <v/>
      </c>
      <c r="AI116" s="249">
        <f>IFERROR(IF(VLOOKUP(CONCATENATE($A116,"_",AI$1),SP_ACQ_Lib[],MATCH(AI$2,SP_ACQ_Lib[#Headers],0),FALSE)=0,"",VLOOKUP(CONCATENATE($A116,"_",AI$1),SP_ACQ_Lib[],MATCH(AI$2,SP_ACQ_Lib[#Headers],0),FALSE)),"")</f>
        <v>43985</v>
      </c>
      <c r="AJ116" s="249">
        <f>IFERROR(IF(VLOOKUP(CONCATENATE($A116,"_",AJ$1),SP_ACQ_Lib[],MATCH(AJ$2,SP_ACQ_Lib[#Headers],0),FALSE)=0,"",VLOOKUP(CONCATENATE($A116,"_",AJ$1),SP_ACQ_Lib[],MATCH(AJ$2,SP_ACQ_Lib[#Headers],0),FALSE)),"")</f>
        <v>44020</v>
      </c>
      <c r="AK116" s="249" t="str">
        <f>IFERROR(IF(VLOOKUP(CONCATENATE($A116,"_",AK$1),SP_ACQ_Lib[],MATCH(AK$2,SP_ACQ_Lib[#Headers],0),FALSE)=0,"",VLOOKUP(CONCATENATE($A116,"_",AK$1),SP_ACQ_Lib[],MATCH(AK$2,SP_ACQ_Lib[#Headers],0),FALSE)),"")</f>
        <v/>
      </c>
      <c r="AL116" s="249">
        <f>IFERROR(VLOOKUP($A116,SP_AcqTract_DB[],MATCH(AL$2,SP_AcqTract_DB[#Headers],0),FALSE),"")</f>
        <v>0</v>
      </c>
      <c r="AM116" s="227">
        <f>IFERROR(VLOOKUP($A116,SP_AcqTract_DB[],MATCH(AM$2,SP_AcqTract_DB[#Headers],0),FALSE),"")</f>
        <v>0</v>
      </c>
      <c r="AN116" s="227">
        <f>IFERROR(VLOOKUP($A116,SP_AcqTract_DB[],MATCH(AN$2,SP_AcqTract_DB[#Headers],0),FALSE),"")</f>
        <v>0</v>
      </c>
      <c r="AO116" s="228">
        <f>IFERROR(VLOOKUP($A116,SP_AcqTract_DB[],MATCH(AO$2,SP_AcqTract_DB[#Headers],0),FALSE),"")</f>
        <v>0</v>
      </c>
      <c r="AP116" s="210">
        <f>IFERROR(VLOOKUP($A116,SP_AcqTract_DB[],MATCH(AP$2,SP_AcqTract_DB[#Headers],0),FALSE),"")</f>
        <v>0</v>
      </c>
      <c r="AQ116" s="252" t="str">
        <f>IFERROR(IF(VLOOKUP(CONCATENATE($A116,"_",AQ$1),SP_ACQ_Lib[],MATCH(AQ$2,SP_ACQ_Lib[#Headers],0),FALSE)=0,"",VLOOKUP(CONCATENATE($A116,"_",AQ$1),SP_ACQ_Lib[],MATCH(AQ$2,SP_ACQ_Lib[#Headers],0),FALSE)),"")</f>
        <v/>
      </c>
      <c r="AR116" s="250" t="str">
        <f>IFERROR(IF(VLOOKUP(CONCATENATE($A116,"_",AR$1),SP_ACQ_Lib[],MATCH(AR$2,SP_ACQ_Lib[#Headers],0),FALSE)=0,"",VLOOKUP(CONCATENATE($A116,"_",AR$1),SP_ACQ_Lib[],MATCH(AR$2,SP_ACQ_Lib[#Headers],0),FALSE)),"")</f>
        <v/>
      </c>
      <c r="AS116" s="249" t="str">
        <f>IFERROR(IF(VLOOKUP(CONCATENATE($A116,"_",AS$1),SP_ACQ_Lib[],MATCH(AS$2,SP_ACQ_Lib[#Headers],0),FALSE)=0,"",VLOOKUP(CONCATENATE($A116,"_",AS$1),SP_ACQ_Lib[],MATCH(AS$2,SP_ACQ_Lib[#Headers],0),FALSE)),"")</f>
        <v/>
      </c>
      <c r="AT116" s="251" t="str">
        <f>IFERROR(IF(VLOOKUP(CONCATENATE($A116,"_",AT$1),SP_ACQ_Lib[],MATCH(AT$2,SP_ACQ_Lib[#Headers],0),FALSE)=0,"",VLOOKUP(CONCATENATE($A116,"_",AT$1),SP_ACQ_Lib[],MATCH(AT$2,SP_ACQ_Lib[#Headers],0),FALSE)),"")</f>
        <v/>
      </c>
      <c r="AU116" s="251" t="str">
        <f>IFERROR(IF(VLOOKUP(CONCATENATE($A116,"_",AU$1),SP_ACQ_Lib[],MATCH(AU$2,SP_ACQ_Lib[#Headers],0),FALSE)=0,"",VLOOKUP(CONCATENATE($A116,"_",AU$1),SP_ACQ_Lib[],MATCH(AU$2,SP_ACQ_Lib[#Headers],0),FALSE)),"")</f>
        <v/>
      </c>
      <c r="AV116" s="225" t="str">
        <f>IFERROR(IF(VLOOKUP(CONCATENATE($A116,"_",AV$1),SP_ACQ_Lib[],MATCH(AV$2,SP_ACQ_Lib[#Headers],0),FALSE)=0,"",VLOOKUP(CONCATENATE($A116,"_",AV$1),SP_ACQ_Lib[],MATCH(AV$2,SP_ACQ_Lib[#Headers],0),FALSE)),"")</f>
        <v/>
      </c>
      <c r="AW116" s="251" t="str">
        <f>IFERROR(IF(VLOOKUP(CONCATENATE($A116,"_",AW$1),SP_ACQ_Lib[],MATCH(AW$2,SP_ACQ_Lib[#Headers],0),FALSE)=0,"",VLOOKUP(CONCATENATE($A116,"_",AW$1),SP_ACQ_Lib[],MATCH(AW$2,SP_ACQ_Lib[#Headers],0),FALSE)),"")</f>
        <v/>
      </c>
      <c r="AX116" s="251" t="str">
        <f>IFERROR(IF(VLOOKUP(CONCATENATE($A116,"_",AX$1),SP_ACQ_Lib[],MATCH(AX$2,SP_ACQ_Lib[#Headers],0),FALSE)=0,"",VLOOKUP(CONCATENATE($A116,"_",AX$1),SP_ACQ_Lib[],MATCH(AX$2,SP_ACQ_Lib[#Headers],0),FALSE)),"")</f>
        <v/>
      </c>
      <c r="AY116" s="251" t="str">
        <f>IFERROR(IF(VLOOKUP(CONCATENATE($A116,"_",AY$1),SP_ACQ_Lib[],MATCH(AY$2,SP_ACQ_Lib[#Headers],0),FALSE)=0,"",VLOOKUP(CONCATENATE($A116,"_",AY$1),SP_ACQ_Lib[],MATCH(AY$2,SP_ACQ_Lib[#Headers],0),FALSE)),"")</f>
        <v/>
      </c>
      <c r="AZ116" s="251" t="str">
        <f>IFERROR(IF(VLOOKUP(CONCATENATE($A116,"_",AZ$1),SP_ACQ_Lib[],MATCH(AZ$2,SP_ACQ_Lib[#Headers],0),FALSE)=0,"",VLOOKUP(CONCATENATE($A116,"_",AZ$1),SP_ACQ_Lib[],MATCH(AZ$2,SP_ACQ_Lib[#Headers],0),FALSE)),"")</f>
        <v/>
      </c>
      <c r="BA116" s="251" t="str">
        <f>IFERROR(IF(VLOOKUP(CONCATENATE($A116,"_",BA$1),SP_ACQ_Lib[],MATCH(BA$2,SP_ACQ_Lib[#Headers],0),FALSE)=0,"",VLOOKUP(CONCATENATE($A116,"_",BA$1),SP_ACQ_Lib[],MATCH(BA$2,SP_ACQ_Lib[#Headers],0),FALSE)),"")</f>
        <v/>
      </c>
      <c r="BB116" s="224">
        <f>IFERROR(VLOOKUP(CONCATENATE($A116,"_",BB$1),SP_ACQ_Lib[],MATCH(BB$2,SP_ACQ_Lib[#Headers],0),FALSE),0)</f>
        <v>0</v>
      </c>
      <c r="BC116" s="231">
        <f>IFERROR(VLOOKUP($A116,SP_AcqTract_DB[],MATCH(BC$2,SP_AcqTract_DB[#Headers],0),FALSE),"")</f>
        <v>0</v>
      </c>
      <c r="BD116" s="231">
        <f>IFERROR(VLOOKUP($A116,SP_AcqTract_DB[],MATCH(BD$2,SP_AcqTract_DB[#Headers],0),FALSE),"")</f>
        <v>0</v>
      </c>
      <c r="BE116" s="249" t="str">
        <f>IFERROR(IF(VLOOKUP(CONCATENATE($A116,"_",BE$1),SP_ACQ_Lib[],MATCH(BE$2,SP_ACQ_Lib[#Headers],0),FALSE)=0,"",VLOOKUP(CONCATENATE($A116,"_",BE$1),SP_ACQ_Lib[],MATCH(BE$2,SP_ACQ_Lib[#Headers],0),FALSE)),"")</f>
        <v/>
      </c>
      <c r="BF116" s="249" t="str">
        <f>IFERROR(IF(VLOOKUP(CONCATENATE($A116,"_",BF$1),SP_ACQ_Lib[],MATCH(BF$2,SP_ACQ_Lib[#Headers],0),FALSE)=0,"",VLOOKUP(CONCATENATE($A116,"_",BF$1),SP_ACQ_Lib[],MATCH(BF$2,SP_ACQ_Lib[#Headers],0),FALSE)),"")</f>
        <v/>
      </c>
      <c r="BG116" s="249" t="str">
        <f>IFERROR(IF(VLOOKUP(CONCATENATE($A116,"_",BG$1),SP_ACQ_Lib[],MATCH(BG$2,SP_ACQ_Lib[#Headers],0),FALSE)=0,"",VLOOKUP(CONCATENATE($A116,"_",BG$1),SP_ACQ_Lib[],MATCH(BG$2,SP_ACQ_Lib[#Headers],0),FALSE)),"")</f>
        <v/>
      </c>
      <c r="BH116" s="249" t="str">
        <f>IFERROR(IF(VLOOKUP(CONCATENATE($A116,"_",BH$1),SP_ACQ_Lib[],MATCH(BH$2,SP_ACQ_Lib[#Headers],0),FALSE)=0,"",VLOOKUP(CONCATENATE($A116,"_",BH$1),SP_ACQ_Lib[],MATCH(BH$2,SP_ACQ_Lib[#Headers],0),FALSE)),"")</f>
        <v/>
      </c>
      <c r="BI116" s="249" t="str">
        <f>IFERROR(IF(VLOOKUP(CONCATENATE($A116,"_",BI$1),SP_ACQ_Lib[],MATCH(BI$2,SP_ACQ_Lib[#Headers],0),FALSE)=0,"",VLOOKUP(CONCATENATE($A116,"_",BI$1),SP_ACQ_Lib[],MATCH(BI$2,SP_ACQ_Lib[#Headers],0),FALSE)),"")</f>
        <v/>
      </c>
      <c r="BJ116" s="249" t="str">
        <f>IFERROR(IF(VLOOKUP(CONCATENATE($A116,"_",BJ$1),SP_ACQ_Lib[],MATCH(BJ$2,SP_ACQ_Lib[#Headers],0),FALSE)=0,"",VLOOKUP(CONCATENATE($A116,"_",BJ$1),SP_ACQ_Lib[],MATCH(BJ$2,SP_ACQ_Lib[#Headers],0),FALSE)),"")</f>
        <v/>
      </c>
      <c r="BK116" s="250" t="str">
        <f>IFERROR(IF(VLOOKUP(CONCATENATE($A116,"_",BK$1),SP_ACQ_Lib[],MATCH(BK$2,SP_ACQ_Lib[#Headers],0),FALSE)=0,"",VLOOKUP(CONCATENATE($A116,"_",BK$1),SP_ACQ_Lib[],MATCH(BK$2,SP_ACQ_Lib[#Headers],0),FALSE)),"")</f>
        <v/>
      </c>
      <c r="BL116" s="249" t="str">
        <f>IFERROR(IF(VLOOKUP(CONCATENATE($A116,"_",BL$1),SP_ACQ_Lib[],MATCH(BL$2,SP_ACQ_Lib[#Headers],0),FALSE)=0,"",VLOOKUP(CONCATENATE($A116,"_",BL$1),SP_ACQ_Lib[],MATCH(BL$2,SP_ACQ_Lib[#Headers],0),FALSE)),"")</f>
        <v/>
      </c>
      <c r="BM116" s="249" t="str">
        <f>IFERROR(IF(VLOOKUP(CONCATENATE($A116,"_",BM$1),SP_ACQ_Lib[],MATCH(BM$2,SP_ACQ_Lib[#Headers],0),FALSE)=0,"",VLOOKUP(CONCATENATE($A116,"_",BM$1),SP_ACQ_Lib[],MATCH(BM$2,SP_ACQ_Lib[#Headers],0),FALSE)),"")</f>
        <v/>
      </c>
      <c r="BN116" s="249" t="str">
        <f>IFERROR(IF(VLOOKUP(CONCATENATE($A116,"_",BN$1),SP_ACQ_Lib[],MATCH(BN$2,SP_ACQ_Lib[#Headers],0),FALSE)=0,"",VLOOKUP(CONCATENATE($A116,"_",BN$1),SP_ACQ_Lib[],MATCH(BN$2,SP_ACQ_Lib[#Headers],0),FALSE)),"")</f>
        <v/>
      </c>
    </row>
    <row r="117" spans="1:66" s="226" customFormat="1" ht="15.75" x14ac:dyDescent="0.2">
      <c r="A117" s="192" t="s">
        <v>5350</v>
      </c>
      <c r="B117" s="227" t="str">
        <f>IFERROR(VLOOKUP($A117,SP_AcqTract_DB[],MATCH(B$2,SP_AcqTract_DB[#Headers],0),FALSE),"")</f>
        <v>R059308</v>
      </c>
      <c r="C117" s="228" t="str">
        <f>IFERROR(VLOOKUP($A117,SP_AcqTract_DB[],MATCH(C$2,SP_AcqTract_DB[#Headers],0),FALSE),"")</f>
        <v>PH2</v>
      </c>
      <c r="D117" s="208" t="str">
        <f>IFERROR(VLOOKUP($A117,SP_AcqTract_DB[],MATCH(D$2,SP_AcqTract_DB[#Headers],0),FALSE),"")</f>
        <v>Active</v>
      </c>
      <c r="E117" s="208">
        <f>IFERROR(VLOOKUP($A117,SP_AcqTract_DB[],MATCH(E$2,SP_AcqTract_DB[#Headers],0),FALSE),"")</f>
        <v>0</v>
      </c>
      <c r="F117" s="227">
        <f>IFERROR(VLOOKUP($A117,SP_AcqTract_DB[],MATCH(F$2,SP_AcqTract_DB[#Headers],0),FALSE),"")</f>
        <v>0</v>
      </c>
      <c r="G117" s="227" t="str">
        <f>IFERROR(VLOOKUP($A117,SP_AcqTract_DB[],MATCH(G$2,SP_AcqTract_DB[#Headers],0),FALSE),"")</f>
        <v>Darlene Snow</v>
      </c>
      <c r="H117" s="250">
        <f>IFERROR(IF(VLOOKUP(CONCATENATE($A117,"_",H$1),SP_ACQ_Lib[],MATCH(H$2,SP_ACQ_Lib[#Headers],0),FALSE)=0,"",VLOOKUP(CONCATENATE($A117,"_",H$1),SP_ACQ_Lib[],MATCH(H$2,SP_ACQ_Lib[#Headers],0),FALSE)),"")</f>
        <v>44022.728761574072</v>
      </c>
      <c r="I117" s="227" t="str">
        <f>IFERROR(VLOOKUP($A117,SP_AcqTract_DB[],MATCH(I$2,SP_AcqTract_DB[#Headers],0),FALSE),"")</f>
        <v>Jurasek Russell A Etux Jacquelin</v>
      </c>
      <c r="J117" s="227">
        <f>IFERROR(VLOOKUP($A117,SP_AcqTract_DB[],MATCH(J$2,SP_AcqTract_DB[#Headers],0),FALSE),"")</f>
        <v>0</v>
      </c>
      <c r="K117" s="227">
        <f>IFERROR(VLOOKUP($A117,SP_AcqTract_DB[],MATCH(K$2,SP_AcqTract_DB[#Headers],0),FALSE),"")</f>
        <v>0</v>
      </c>
      <c r="L117" s="227">
        <f>IFERROR(VLOOKUP($A117,SP_AcqTract_DB[],MATCH(L$2,SP_AcqTract_DB[#Headers],0),FALSE),"")</f>
        <v>0</v>
      </c>
      <c r="M117" s="208">
        <f>IFERROR(VLOOKUP($A117,SP_AcqTract_DB[],MATCH(M$2,SP_AcqTract_DB[#Headers],0),FALSE),"")</f>
        <v>0</v>
      </c>
      <c r="N117" s="227" t="str">
        <f>IFERROR(VLOOKUP($A117,SP_AcqTract_DB[],MATCH(N$2,SP_AcqTract_DB[#Headers],0),FALSE),"")</f>
        <v>1106 CR 188</v>
      </c>
      <c r="O117" s="220">
        <f>IFERROR(VLOOKUP($A117,SP_AcqTract_DB[],MATCH(O$2,SP_AcqTract_DB[#Headers],0),FALSE),"")</f>
        <v>0</v>
      </c>
      <c r="P117" s="220">
        <f>IFERROR(VLOOKUP($A117,SP_AcqTract_DB[],MATCH(P$2,SP_AcqTract_DB[#Headers],0),FALSE),"")</f>
        <v>0</v>
      </c>
      <c r="Q117" s="208">
        <f>IFERROR(VLOOKUP($A117,SP_AcqTract_DB[],MATCH(Q$2,SP_AcqTract_DB[#Headers],0),FALSE),"")</f>
        <v>0</v>
      </c>
      <c r="R117" s="250" t="str">
        <f>IFERROR(IF(VLOOKUP(CONCATENATE($A117,"_",R$1),SP_ACQ_Lib[],MATCH(R$2,SP_ACQ_Lib[#Headers],0),FALSE)=0,"",VLOOKUP(CONCATENATE($A117,"_",R$1),SP_ACQ_Lib[],MATCH(R$2,SP_ACQ_Lib[#Headers],0),FALSE)),"")</f>
        <v/>
      </c>
      <c r="S117" s="253" t="str">
        <f>IFERROR(IF(VLOOKUP(CONCATENATE($A117,"_",S$1),SP_ACQ_Lib[],MATCH(S$2,SP_ACQ_Lib[#Headers],0),FALSE)=0,"",VLOOKUP(CONCATENATE($A117,"_",S$1),SP_ACQ_Lib[],MATCH(S$2,SP_ACQ_Lib[#Headers],0),FALSE)),"")</f>
        <v/>
      </c>
      <c r="T117" s="205">
        <f>IFERROR(VLOOKUP(CONCATENATE($A117,"_",T$1),SP_ACQ_Lib[],MATCH(T$2,SP_ACQ_Lib[#Headers],0),FALSE),0)</f>
        <v>0</v>
      </c>
      <c r="U117" s="250" t="str">
        <f>IFERROR(IF(VLOOKUP(CONCATENATE($A117,"_",U$1),SP_ACQ_Lib[],MATCH(U$2,SP_ACQ_Lib[#Headers],0),FALSE)=0,"",VLOOKUP(CONCATENATE($A117,"_",U$1),SP_ACQ_Lib[],MATCH(U$2,SP_ACQ_Lib[#Headers],0),FALSE)),"")</f>
        <v/>
      </c>
      <c r="V117" s="205" t="str">
        <f>IFERROR(VLOOKUP(CONCATENATE($A117,"_",V$1),SP_ACQ_Lib[],MATCH(V$2,SP_ACQ_Lib[#Headers],0),FALSE),0)</f>
        <v>Accepted</v>
      </c>
      <c r="W117" s="209">
        <f>IFERROR(VLOOKUP(CONCATENATE($A117,"_",W$1),SP_ACQ_Lib[],MATCH(W$2,SP_ACQ_Lib[#Headers],0),FALSE),0)</f>
        <v>0</v>
      </c>
      <c r="X117" s="250">
        <f>IFERROR(VLOOKUP($A117,SP_AcqTract_DB[],MATCH(X$2,SP_AcqTract_DB[#Headers],0),FALSE),"")</f>
        <v>0</v>
      </c>
      <c r="Y117" s="237">
        <f>IFERROR(VLOOKUP($A117,SP_AcqTract_DB[],MATCH(Y$2,SP_AcqTract_DB[#Headers],0),FALSE),"")</f>
        <v>0</v>
      </c>
      <c r="Z117" s="229">
        <f>IFERROR(VLOOKUP($A117,SP_AcqTract_DB[],MATCH(Z$2,SP_AcqTract_DB[#Headers],0),FALSE),"")</f>
        <v>0</v>
      </c>
      <c r="AA117" s="229">
        <f>IFERROR(VLOOKUP($A117,SP_AcqTract_DB[],MATCH(AA$2,SP_AcqTract_DB[#Headers],0),FALSE),"")</f>
        <v>0</v>
      </c>
      <c r="AB117" s="250" t="str">
        <f>IFERROR(IF(VLOOKUP(CONCATENATE($A117,"_",AB$1),SP_ACQ_Lib[],MATCH(AB$2,SP_ACQ_Lib[#Headers],0),FALSE)=0,"",VLOOKUP(CONCATENATE($A117,"_",AB$1),SP_ACQ_Lib[],MATCH(AB$2,SP_ACQ_Lib[#Headers],0),FALSE)),"")</f>
        <v/>
      </c>
      <c r="AC117" s="250" t="str">
        <f>IFERROR(IF(VLOOKUP(CONCATENATE($A117,"_",AC$1),SP_ACQ_Lib[],MATCH(AC$2,SP_ACQ_Lib[#Headers],0),FALSE)=0,"",VLOOKUP(CONCATENATE($A117,"_",AC$1),SP_ACQ_Lib[],MATCH(AC$2,SP_ACQ_Lib[#Headers],0),FALSE)),"")</f>
        <v/>
      </c>
      <c r="AD117" s="229">
        <f>IFERROR(VLOOKUP($A117,SP_AcqTract_DB[],MATCH(AD$2,SP_AcqTract_DB[#Headers],0),FALSE),"")</f>
        <v>0</v>
      </c>
      <c r="AE117" s="250" t="str">
        <f>IFERROR(IF(VLOOKUP(CONCATENATE($A117,"_",AE$1),SP_ACQ_Lib[],MATCH(AE$2,SP_ACQ_Lib[#Headers],0),FALSE)=0,"",VLOOKUP(CONCATENATE($A117,"_",AE$1),SP_ACQ_Lib[],MATCH(AE$2,SP_ACQ_Lib[#Headers],0),FALSE)),"")</f>
        <v/>
      </c>
      <c r="AF117" s="250" t="str">
        <f>IFERROR(IF(VLOOKUP(CONCATENATE($A117,"_",AF$1),SP_ACQ_Lib[],MATCH(AF$2,SP_ACQ_Lib[#Headers],0),FALSE)=0,"",VLOOKUP(CONCATENATE($A117,"_",AF$1),SP_ACQ_Lib[],MATCH(AF$2,SP_ACQ_Lib[#Headers],0),FALSE)),"")</f>
        <v/>
      </c>
      <c r="AG117" s="250" t="str">
        <f>IFERROR(IF(VLOOKUP(CONCATENATE($A117,"_",AG$1),SP_ACQ_Lib[],MATCH(AG$2,SP_ACQ_Lib[#Headers],0),FALSE)=0,"",VLOOKUP(CONCATENATE($A117,"_",AG$1),SP_ACQ_Lib[],MATCH(AG$2,SP_ACQ_Lib[#Headers],0),FALSE)),"")</f>
        <v/>
      </c>
      <c r="AH117" s="250" t="str">
        <f>IFERROR(IF(VLOOKUP(CONCATENATE($A117,"_",AH$1),SP_ACQ_Lib[],MATCH(AH$2,SP_ACQ_Lib[#Headers],0),FALSE)=0,"",VLOOKUP(CONCATENATE($A117,"_",AH$1),SP_ACQ_Lib[],MATCH(AH$2,SP_ACQ_Lib[#Headers],0),FALSE)),"")</f>
        <v/>
      </c>
      <c r="AI117" s="249">
        <f>IFERROR(IF(VLOOKUP(CONCATENATE($A117,"_",AI$1),SP_ACQ_Lib[],MATCH(AI$2,SP_ACQ_Lib[#Headers],0),FALSE)=0,"",VLOOKUP(CONCATENATE($A117,"_",AI$1),SP_ACQ_Lib[],MATCH(AI$2,SP_ACQ_Lib[#Headers],0),FALSE)),"")</f>
        <v>43985</v>
      </c>
      <c r="AJ117" s="249" t="str">
        <f>IFERROR(IF(VLOOKUP(CONCATENATE($A117,"_",AJ$1),SP_ACQ_Lib[],MATCH(AJ$2,SP_ACQ_Lib[#Headers],0),FALSE)=0,"",VLOOKUP(CONCATENATE($A117,"_",AJ$1),SP_ACQ_Lib[],MATCH(AJ$2,SP_ACQ_Lib[#Headers],0),FALSE)),"")</f>
        <v/>
      </c>
      <c r="AK117" s="249" t="str">
        <f>IFERROR(IF(VLOOKUP(CONCATENATE($A117,"_",AK$1),SP_ACQ_Lib[],MATCH(AK$2,SP_ACQ_Lib[#Headers],0),FALSE)=0,"",VLOOKUP(CONCATENATE($A117,"_",AK$1),SP_ACQ_Lib[],MATCH(AK$2,SP_ACQ_Lib[#Headers],0),FALSE)),"")</f>
        <v/>
      </c>
      <c r="AL117" s="249">
        <f>IFERROR(VLOOKUP($A117,SP_AcqTract_DB[],MATCH(AL$2,SP_AcqTract_DB[#Headers],0),FALSE),"")</f>
        <v>0</v>
      </c>
      <c r="AM117" s="227">
        <f>IFERROR(VLOOKUP($A117,SP_AcqTract_DB[],MATCH(AM$2,SP_AcqTract_DB[#Headers],0),FALSE),"")</f>
        <v>0</v>
      </c>
      <c r="AN117" s="227">
        <f>IFERROR(VLOOKUP($A117,SP_AcqTract_DB[],MATCH(AN$2,SP_AcqTract_DB[#Headers],0),FALSE),"")</f>
        <v>0</v>
      </c>
      <c r="AO117" s="228">
        <f>IFERROR(VLOOKUP($A117,SP_AcqTract_DB[],MATCH(AO$2,SP_AcqTract_DB[#Headers],0),FALSE),"")</f>
        <v>0</v>
      </c>
      <c r="AP117" s="210">
        <f>IFERROR(VLOOKUP($A117,SP_AcqTract_DB[],MATCH(AP$2,SP_AcqTract_DB[#Headers],0),FALSE),"")</f>
        <v>0</v>
      </c>
      <c r="AQ117" s="252" t="str">
        <f>IFERROR(IF(VLOOKUP(CONCATENATE($A117,"_",AQ$1),SP_ACQ_Lib[],MATCH(AQ$2,SP_ACQ_Lib[#Headers],0),FALSE)=0,"",VLOOKUP(CONCATENATE($A117,"_",AQ$1),SP_ACQ_Lib[],MATCH(AQ$2,SP_ACQ_Lib[#Headers],0),FALSE)),"")</f>
        <v/>
      </c>
      <c r="AR117" s="250" t="str">
        <f>IFERROR(IF(VLOOKUP(CONCATENATE($A117,"_",AR$1),SP_ACQ_Lib[],MATCH(AR$2,SP_ACQ_Lib[#Headers],0),FALSE)=0,"",VLOOKUP(CONCATENATE($A117,"_",AR$1),SP_ACQ_Lib[],MATCH(AR$2,SP_ACQ_Lib[#Headers],0),FALSE)),"")</f>
        <v/>
      </c>
      <c r="AS117" s="249" t="str">
        <f>IFERROR(IF(VLOOKUP(CONCATENATE($A117,"_",AS$1),SP_ACQ_Lib[],MATCH(AS$2,SP_ACQ_Lib[#Headers],0),FALSE)=0,"",VLOOKUP(CONCATENATE($A117,"_",AS$1),SP_ACQ_Lib[],MATCH(AS$2,SP_ACQ_Lib[#Headers],0),FALSE)),"")</f>
        <v/>
      </c>
      <c r="AT117" s="251" t="str">
        <f>IFERROR(IF(VLOOKUP(CONCATENATE($A117,"_",AT$1),SP_ACQ_Lib[],MATCH(AT$2,SP_ACQ_Lib[#Headers],0),FALSE)=0,"",VLOOKUP(CONCATENATE($A117,"_",AT$1),SP_ACQ_Lib[],MATCH(AT$2,SP_ACQ_Lib[#Headers],0),FALSE)),"")</f>
        <v/>
      </c>
      <c r="AU117" s="251" t="str">
        <f>IFERROR(IF(VLOOKUP(CONCATENATE($A117,"_",AU$1),SP_ACQ_Lib[],MATCH(AU$2,SP_ACQ_Lib[#Headers],0),FALSE)=0,"",VLOOKUP(CONCATENATE($A117,"_",AU$1),SP_ACQ_Lib[],MATCH(AU$2,SP_ACQ_Lib[#Headers],0),FALSE)),"")</f>
        <v/>
      </c>
      <c r="AV117" s="225" t="str">
        <f>IFERROR(IF(VLOOKUP(CONCATENATE($A117,"_",AV$1),SP_ACQ_Lib[],MATCH(AV$2,SP_ACQ_Lib[#Headers],0),FALSE)=0,"",VLOOKUP(CONCATENATE($A117,"_",AV$1),SP_ACQ_Lib[],MATCH(AV$2,SP_ACQ_Lib[#Headers],0),FALSE)),"")</f>
        <v/>
      </c>
      <c r="AW117" s="251" t="str">
        <f>IFERROR(IF(VLOOKUP(CONCATENATE($A117,"_",AW$1),SP_ACQ_Lib[],MATCH(AW$2,SP_ACQ_Lib[#Headers],0),FALSE)=0,"",VLOOKUP(CONCATENATE($A117,"_",AW$1),SP_ACQ_Lib[],MATCH(AW$2,SP_ACQ_Lib[#Headers],0),FALSE)),"")</f>
        <v/>
      </c>
      <c r="AX117" s="251" t="str">
        <f>IFERROR(IF(VLOOKUP(CONCATENATE($A117,"_",AX$1),SP_ACQ_Lib[],MATCH(AX$2,SP_ACQ_Lib[#Headers],0),FALSE)=0,"",VLOOKUP(CONCATENATE($A117,"_",AX$1),SP_ACQ_Lib[],MATCH(AX$2,SP_ACQ_Lib[#Headers],0),FALSE)),"")</f>
        <v/>
      </c>
      <c r="AY117" s="251" t="str">
        <f>IFERROR(IF(VLOOKUP(CONCATENATE($A117,"_",AY$1),SP_ACQ_Lib[],MATCH(AY$2,SP_ACQ_Lib[#Headers],0),FALSE)=0,"",VLOOKUP(CONCATENATE($A117,"_",AY$1),SP_ACQ_Lib[],MATCH(AY$2,SP_ACQ_Lib[#Headers],0),FALSE)),"")</f>
        <v/>
      </c>
      <c r="AZ117" s="251" t="str">
        <f>IFERROR(IF(VLOOKUP(CONCATENATE($A117,"_",AZ$1),SP_ACQ_Lib[],MATCH(AZ$2,SP_ACQ_Lib[#Headers],0),FALSE)=0,"",VLOOKUP(CONCATENATE($A117,"_",AZ$1),SP_ACQ_Lib[],MATCH(AZ$2,SP_ACQ_Lib[#Headers],0),FALSE)),"")</f>
        <v/>
      </c>
      <c r="BA117" s="251" t="str">
        <f>IFERROR(IF(VLOOKUP(CONCATENATE($A117,"_",BA$1),SP_ACQ_Lib[],MATCH(BA$2,SP_ACQ_Lib[#Headers],0),FALSE)=0,"",VLOOKUP(CONCATENATE($A117,"_",BA$1),SP_ACQ_Lib[],MATCH(BA$2,SP_ACQ_Lib[#Headers],0),FALSE)),"")</f>
        <v/>
      </c>
      <c r="BB117" s="224">
        <f>IFERROR(VLOOKUP(CONCATENATE($A117,"_",BB$1),SP_ACQ_Lib[],MATCH(BB$2,SP_ACQ_Lib[#Headers],0),FALSE),0)</f>
        <v>0</v>
      </c>
      <c r="BC117" s="231">
        <f>IFERROR(VLOOKUP($A117,SP_AcqTract_DB[],MATCH(BC$2,SP_AcqTract_DB[#Headers],0),FALSE),"")</f>
        <v>0</v>
      </c>
      <c r="BD117" s="231">
        <f>IFERROR(VLOOKUP($A117,SP_AcqTract_DB[],MATCH(BD$2,SP_AcqTract_DB[#Headers],0),FALSE),"")</f>
        <v>0</v>
      </c>
      <c r="BE117" s="249" t="str">
        <f>IFERROR(IF(VLOOKUP(CONCATENATE($A117,"_",BE$1),SP_ACQ_Lib[],MATCH(BE$2,SP_ACQ_Lib[#Headers],0),FALSE)=0,"",VLOOKUP(CONCATENATE($A117,"_",BE$1),SP_ACQ_Lib[],MATCH(BE$2,SP_ACQ_Lib[#Headers],0),FALSE)),"")</f>
        <v/>
      </c>
      <c r="BF117" s="249" t="str">
        <f>IFERROR(IF(VLOOKUP(CONCATENATE($A117,"_",BF$1),SP_ACQ_Lib[],MATCH(BF$2,SP_ACQ_Lib[#Headers],0),FALSE)=0,"",VLOOKUP(CONCATENATE($A117,"_",BF$1),SP_ACQ_Lib[],MATCH(BF$2,SP_ACQ_Lib[#Headers],0),FALSE)),"")</f>
        <v/>
      </c>
      <c r="BG117" s="249" t="str">
        <f>IFERROR(IF(VLOOKUP(CONCATENATE($A117,"_",BG$1),SP_ACQ_Lib[],MATCH(BG$2,SP_ACQ_Lib[#Headers],0),FALSE)=0,"",VLOOKUP(CONCATENATE($A117,"_",BG$1),SP_ACQ_Lib[],MATCH(BG$2,SP_ACQ_Lib[#Headers],0),FALSE)),"")</f>
        <v/>
      </c>
      <c r="BH117" s="249" t="str">
        <f>IFERROR(IF(VLOOKUP(CONCATENATE($A117,"_",BH$1),SP_ACQ_Lib[],MATCH(BH$2,SP_ACQ_Lib[#Headers],0),FALSE)=0,"",VLOOKUP(CONCATENATE($A117,"_",BH$1),SP_ACQ_Lib[],MATCH(BH$2,SP_ACQ_Lib[#Headers],0),FALSE)),"")</f>
        <v/>
      </c>
      <c r="BI117" s="249" t="str">
        <f>IFERROR(IF(VLOOKUP(CONCATENATE($A117,"_",BI$1),SP_ACQ_Lib[],MATCH(BI$2,SP_ACQ_Lib[#Headers],0),FALSE)=0,"",VLOOKUP(CONCATENATE($A117,"_",BI$1),SP_ACQ_Lib[],MATCH(BI$2,SP_ACQ_Lib[#Headers],0),FALSE)),"")</f>
        <v/>
      </c>
      <c r="BJ117" s="249" t="str">
        <f>IFERROR(IF(VLOOKUP(CONCATENATE($A117,"_",BJ$1),SP_ACQ_Lib[],MATCH(BJ$2,SP_ACQ_Lib[#Headers],0),FALSE)=0,"",VLOOKUP(CONCATENATE($A117,"_",BJ$1),SP_ACQ_Lib[],MATCH(BJ$2,SP_ACQ_Lib[#Headers],0),FALSE)),"")</f>
        <v/>
      </c>
      <c r="BK117" s="250" t="str">
        <f>IFERROR(IF(VLOOKUP(CONCATENATE($A117,"_",BK$1),SP_ACQ_Lib[],MATCH(BK$2,SP_ACQ_Lib[#Headers],0),FALSE)=0,"",VLOOKUP(CONCATENATE($A117,"_",BK$1),SP_ACQ_Lib[],MATCH(BK$2,SP_ACQ_Lib[#Headers],0),FALSE)),"")</f>
        <v/>
      </c>
      <c r="BL117" s="249" t="str">
        <f>IFERROR(IF(VLOOKUP(CONCATENATE($A117,"_",BL$1),SP_ACQ_Lib[],MATCH(BL$2,SP_ACQ_Lib[#Headers],0),FALSE)=0,"",VLOOKUP(CONCATENATE($A117,"_",BL$1),SP_ACQ_Lib[],MATCH(BL$2,SP_ACQ_Lib[#Headers],0),FALSE)),"")</f>
        <v/>
      </c>
      <c r="BM117" s="249" t="str">
        <f>IFERROR(IF(VLOOKUP(CONCATENATE($A117,"_",BM$1),SP_ACQ_Lib[],MATCH(BM$2,SP_ACQ_Lib[#Headers],0),FALSE)=0,"",VLOOKUP(CONCATENATE($A117,"_",BM$1),SP_ACQ_Lib[],MATCH(BM$2,SP_ACQ_Lib[#Headers],0),FALSE)),"")</f>
        <v/>
      </c>
      <c r="BN117" s="249" t="str">
        <f>IFERROR(IF(VLOOKUP(CONCATENATE($A117,"_",BN$1),SP_ACQ_Lib[],MATCH(BN$2,SP_ACQ_Lib[#Headers],0),FALSE)=0,"",VLOOKUP(CONCATENATE($A117,"_",BN$1),SP_ACQ_Lib[],MATCH(BN$2,SP_ACQ_Lib[#Headers],0),FALSE)),"")</f>
        <v/>
      </c>
    </row>
    <row r="118" spans="1:66" s="226" customFormat="1" ht="15.75" x14ac:dyDescent="0.2">
      <c r="A118" s="192" t="s">
        <v>5352</v>
      </c>
      <c r="B118" s="227" t="str">
        <f>IFERROR(VLOOKUP($A118,SP_AcqTract_DB[],MATCH(B$2,SP_AcqTract_DB[#Headers],0),FALSE),"")</f>
        <v>R059447</v>
      </c>
      <c r="C118" s="228" t="str">
        <f>IFERROR(VLOOKUP($A118,SP_AcqTract_DB[],MATCH(C$2,SP_AcqTract_DB[#Headers],0),FALSE),"")</f>
        <v>PH2</v>
      </c>
      <c r="D118" s="208" t="str">
        <f>IFERROR(VLOOKUP($A118,SP_AcqTract_DB[],MATCH(D$2,SP_AcqTract_DB[#Headers],0),FALSE),"")</f>
        <v>Active</v>
      </c>
      <c r="E118" s="208">
        <f>IFERROR(VLOOKUP($A118,SP_AcqTract_DB[],MATCH(E$2,SP_AcqTract_DB[#Headers],0),FALSE),"")</f>
        <v>0</v>
      </c>
      <c r="F118" s="227">
        <f>IFERROR(VLOOKUP($A118,SP_AcqTract_DB[],MATCH(F$2,SP_AcqTract_DB[#Headers],0),FALSE),"")</f>
        <v>0</v>
      </c>
      <c r="G118" s="227" t="str">
        <f>IFERROR(VLOOKUP($A118,SP_AcqTract_DB[],MATCH(G$2,SP_AcqTract_DB[#Headers],0),FALSE),"")</f>
        <v>Darlene Snow</v>
      </c>
      <c r="H118" s="250">
        <f>IFERROR(IF(VLOOKUP(CONCATENATE($A118,"_",H$1),SP_ACQ_Lib[],MATCH(H$2,SP_ACQ_Lib[#Headers],0),FALSE)=0,"",VLOOKUP(CONCATENATE($A118,"_",H$1),SP_ACQ_Lib[],MATCH(H$2,SP_ACQ_Lib[#Headers],0),FALSE)),"")</f>
        <v>44007.881539351853</v>
      </c>
      <c r="I118" s="227" t="str">
        <f>IFERROR(VLOOKUP($A118,SP_AcqTract_DB[],MATCH(I$2,SP_AcqTract_DB[#Headers],0),FALSE),"")</f>
        <v>Sorrella Switch LLC</v>
      </c>
      <c r="J118" s="227">
        <f>IFERROR(VLOOKUP($A118,SP_AcqTract_DB[],MATCH(J$2,SP_AcqTract_DB[#Headers],0),FALSE),"")</f>
        <v>0</v>
      </c>
      <c r="K118" s="227">
        <f>IFERROR(VLOOKUP($A118,SP_AcqTract_DB[],MATCH(K$2,SP_AcqTract_DB[#Headers],0),FALSE),"")</f>
        <v>0</v>
      </c>
      <c r="L118" s="227">
        <f>IFERROR(VLOOKUP($A118,SP_AcqTract_DB[],MATCH(L$2,SP_AcqTract_DB[#Headers],0),FALSE),"")</f>
        <v>0</v>
      </c>
      <c r="M118" s="208">
        <f>IFERROR(VLOOKUP($A118,SP_AcqTract_DB[],MATCH(M$2,SP_AcqTract_DB[#Headers],0),FALSE),"")</f>
        <v>0</v>
      </c>
      <c r="N118" s="227" t="str">
        <f>IFERROR(VLOOKUP($A118,SP_AcqTract_DB[],MATCH(N$2,SP_AcqTract_DB[#Headers],0),FALSE),"")</f>
        <v>0  FM 102</v>
      </c>
      <c r="O118" s="220">
        <f>IFERROR(VLOOKUP($A118,SP_AcqTract_DB[],MATCH(O$2,SP_AcqTract_DB[#Headers],0),FALSE),"")</f>
        <v>0</v>
      </c>
      <c r="P118" s="220">
        <f>IFERROR(VLOOKUP($A118,SP_AcqTract_DB[],MATCH(P$2,SP_AcqTract_DB[#Headers],0),FALSE),"")</f>
        <v>0</v>
      </c>
      <c r="Q118" s="208">
        <f>IFERROR(VLOOKUP($A118,SP_AcqTract_DB[],MATCH(Q$2,SP_AcqTract_DB[#Headers],0),FALSE),"")</f>
        <v>0</v>
      </c>
      <c r="R118" s="250" t="str">
        <f>IFERROR(IF(VLOOKUP(CONCATENATE($A118,"_",R$1),SP_ACQ_Lib[],MATCH(R$2,SP_ACQ_Lib[#Headers],0),FALSE)=0,"",VLOOKUP(CONCATENATE($A118,"_",R$1),SP_ACQ_Lib[],MATCH(R$2,SP_ACQ_Lib[#Headers],0),FALSE)),"")</f>
        <v/>
      </c>
      <c r="S118" s="253" t="str">
        <f>IFERROR(IF(VLOOKUP(CONCATENATE($A118,"_",S$1),SP_ACQ_Lib[],MATCH(S$2,SP_ACQ_Lib[#Headers],0),FALSE)=0,"",VLOOKUP(CONCATENATE($A118,"_",S$1),SP_ACQ_Lib[],MATCH(S$2,SP_ACQ_Lib[#Headers],0),FALSE)),"")</f>
        <v/>
      </c>
      <c r="T118" s="205">
        <f>IFERROR(VLOOKUP(CONCATENATE($A118,"_",T$1),SP_ACQ_Lib[],MATCH(T$2,SP_ACQ_Lib[#Headers],0),FALSE),0)</f>
        <v>0</v>
      </c>
      <c r="U118" s="250" t="str">
        <f>IFERROR(IF(VLOOKUP(CONCATENATE($A118,"_",U$1),SP_ACQ_Lib[],MATCH(U$2,SP_ACQ_Lib[#Headers],0),FALSE)=0,"",VLOOKUP(CONCATENATE($A118,"_",U$1),SP_ACQ_Lib[],MATCH(U$2,SP_ACQ_Lib[#Headers],0),FALSE)),"")</f>
        <v/>
      </c>
      <c r="V118" s="205" t="str">
        <f>IFERROR(VLOOKUP(CONCATENATE($A118,"_",V$1),SP_ACQ_Lib[],MATCH(V$2,SP_ACQ_Lib[#Headers],0),FALSE),0)</f>
        <v>Accepted</v>
      </c>
      <c r="W118" s="209">
        <f>IFERROR(VLOOKUP(CONCATENATE($A118,"_",W$1),SP_ACQ_Lib[],MATCH(W$2,SP_ACQ_Lib[#Headers],0),FALSE),0)</f>
        <v>0</v>
      </c>
      <c r="X118" s="250">
        <f>IFERROR(VLOOKUP($A118,SP_AcqTract_DB[],MATCH(X$2,SP_AcqTract_DB[#Headers],0),FALSE),"")</f>
        <v>0</v>
      </c>
      <c r="Y118" s="237">
        <f>IFERROR(VLOOKUP($A118,SP_AcqTract_DB[],MATCH(Y$2,SP_AcqTract_DB[#Headers],0),FALSE),"")</f>
        <v>0</v>
      </c>
      <c r="Z118" s="229">
        <f>IFERROR(VLOOKUP($A118,SP_AcqTract_DB[],MATCH(Z$2,SP_AcqTract_DB[#Headers],0),FALSE),"")</f>
        <v>0</v>
      </c>
      <c r="AA118" s="229">
        <f>IFERROR(VLOOKUP($A118,SP_AcqTract_DB[],MATCH(AA$2,SP_AcqTract_DB[#Headers],0),FALSE),"")</f>
        <v>0</v>
      </c>
      <c r="AB118" s="250" t="str">
        <f>IFERROR(IF(VLOOKUP(CONCATENATE($A118,"_",AB$1),SP_ACQ_Lib[],MATCH(AB$2,SP_ACQ_Lib[#Headers],0),FALSE)=0,"",VLOOKUP(CONCATENATE($A118,"_",AB$1),SP_ACQ_Lib[],MATCH(AB$2,SP_ACQ_Lib[#Headers],0),FALSE)),"")</f>
        <v/>
      </c>
      <c r="AC118" s="250" t="str">
        <f>IFERROR(IF(VLOOKUP(CONCATENATE($A118,"_",AC$1),SP_ACQ_Lib[],MATCH(AC$2,SP_ACQ_Lib[#Headers],0),FALSE)=0,"",VLOOKUP(CONCATENATE($A118,"_",AC$1),SP_ACQ_Lib[],MATCH(AC$2,SP_ACQ_Lib[#Headers],0),FALSE)),"")</f>
        <v/>
      </c>
      <c r="AD118" s="229">
        <f>IFERROR(VLOOKUP($A118,SP_AcqTract_DB[],MATCH(AD$2,SP_AcqTract_DB[#Headers],0),FALSE),"")</f>
        <v>0</v>
      </c>
      <c r="AE118" s="250" t="str">
        <f>IFERROR(IF(VLOOKUP(CONCATENATE($A118,"_",AE$1),SP_ACQ_Lib[],MATCH(AE$2,SP_ACQ_Lib[#Headers],0),FALSE)=0,"",VLOOKUP(CONCATENATE($A118,"_",AE$1),SP_ACQ_Lib[],MATCH(AE$2,SP_ACQ_Lib[#Headers],0),FALSE)),"")</f>
        <v/>
      </c>
      <c r="AF118" s="250" t="str">
        <f>IFERROR(IF(VLOOKUP(CONCATENATE($A118,"_",AF$1),SP_ACQ_Lib[],MATCH(AF$2,SP_ACQ_Lib[#Headers],0),FALSE)=0,"",VLOOKUP(CONCATENATE($A118,"_",AF$1),SP_ACQ_Lib[],MATCH(AF$2,SP_ACQ_Lib[#Headers],0),FALSE)),"")</f>
        <v/>
      </c>
      <c r="AG118" s="250" t="str">
        <f>IFERROR(IF(VLOOKUP(CONCATENATE($A118,"_",AG$1),SP_ACQ_Lib[],MATCH(AG$2,SP_ACQ_Lib[#Headers],0),FALSE)=0,"",VLOOKUP(CONCATENATE($A118,"_",AG$1),SP_ACQ_Lib[],MATCH(AG$2,SP_ACQ_Lib[#Headers],0),FALSE)),"")</f>
        <v/>
      </c>
      <c r="AH118" s="250" t="str">
        <f>IFERROR(IF(VLOOKUP(CONCATENATE($A118,"_",AH$1),SP_ACQ_Lib[],MATCH(AH$2,SP_ACQ_Lib[#Headers],0),FALSE)=0,"",VLOOKUP(CONCATENATE($A118,"_",AH$1),SP_ACQ_Lib[],MATCH(AH$2,SP_ACQ_Lib[#Headers],0),FALSE)),"")</f>
        <v/>
      </c>
      <c r="AI118" s="249">
        <f>IFERROR(IF(VLOOKUP(CONCATENATE($A118,"_",AI$1),SP_ACQ_Lib[],MATCH(AI$2,SP_ACQ_Lib[#Headers],0),FALSE)=0,"",VLOOKUP(CONCATENATE($A118,"_",AI$1),SP_ACQ_Lib[],MATCH(AI$2,SP_ACQ_Lib[#Headers],0),FALSE)),"")</f>
        <v>43985</v>
      </c>
      <c r="AJ118" s="249">
        <f>IFERROR(IF(VLOOKUP(CONCATENATE($A118,"_",AJ$1),SP_ACQ_Lib[],MATCH(AJ$2,SP_ACQ_Lib[#Headers],0),FALSE)=0,"",VLOOKUP(CONCATENATE($A118,"_",AJ$1),SP_ACQ_Lib[],MATCH(AJ$2,SP_ACQ_Lib[#Headers],0),FALSE)),"")</f>
        <v>44004</v>
      </c>
      <c r="AK118" s="249">
        <f>IFERROR(IF(VLOOKUP(CONCATENATE($A118,"_",AK$1),SP_ACQ_Lib[],MATCH(AK$2,SP_ACQ_Lib[#Headers],0),FALSE)=0,"",VLOOKUP(CONCATENATE($A118,"_",AK$1),SP_ACQ_Lib[],MATCH(AK$2,SP_ACQ_Lib[#Headers],0),FALSE)),"")</f>
        <v>44187</v>
      </c>
      <c r="AL118" s="249">
        <f>IFERROR(VLOOKUP($A118,SP_AcqTract_DB[],MATCH(AL$2,SP_AcqTract_DB[#Headers],0),FALSE),"")</f>
        <v>0</v>
      </c>
      <c r="AM118" s="227">
        <f>IFERROR(VLOOKUP($A118,SP_AcqTract_DB[],MATCH(AM$2,SP_AcqTract_DB[#Headers],0),FALSE),"")</f>
        <v>0</v>
      </c>
      <c r="AN118" s="227">
        <f>IFERROR(VLOOKUP($A118,SP_AcqTract_DB[],MATCH(AN$2,SP_AcqTract_DB[#Headers],0),FALSE),"")</f>
        <v>0</v>
      </c>
      <c r="AO118" s="228">
        <f>IFERROR(VLOOKUP($A118,SP_AcqTract_DB[],MATCH(AO$2,SP_AcqTract_DB[#Headers],0),FALSE),"")</f>
        <v>0</v>
      </c>
      <c r="AP118" s="210">
        <f>IFERROR(VLOOKUP($A118,SP_AcqTract_DB[],MATCH(AP$2,SP_AcqTract_DB[#Headers],0),FALSE),"")</f>
        <v>0</v>
      </c>
      <c r="AQ118" s="252" t="str">
        <f>IFERROR(IF(VLOOKUP(CONCATENATE($A118,"_",AQ$1),SP_ACQ_Lib[],MATCH(AQ$2,SP_ACQ_Lib[#Headers],0),FALSE)=0,"",VLOOKUP(CONCATENATE($A118,"_",AQ$1),SP_ACQ_Lib[],MATCH(AQ$2,SP_ACQ_Lib[#Headers],0),FALSE)),"")</f>
        <v/>
      </c>
      <c r="AR118" s="250" t="str">
        <f>IFERROR(IF(VLOOKUP(CONCATENATE($A118,"_",AR$1),SP_ACQ_Lib[],MATCH(AR$2,SP_ACQ_Lib[#Headers],0),FALSE)=0,"",VLOOKUP(CONCATENATE($A118,"_",AR$1),SP_ACQ_Lib[],MATCH(AR$2,SP_ACQ_Lib[#Headers],0),FALSE)),"")</f>
        <v/>
      </c>
      <c r="AS118" s="249" t="str">
        <f>IFERROR(IF(VLOOKUP(CONCATENATE($A118,"_",AS$1),SP_ACQ_Lib[],MATCH(AS$2,SP_ACQ_Lib[#Headers],0),FALSE)=0,"",VLOOKUP(CONCATENATE($A118,"_",AS$1),SP_ACQ_Lib[],MATCH(AS$2,SP_ACQ_Lib[#Headers],0),FALSE)),"")</f>
        <v/>
      </c>
      <c r="AT118" s="251" t="str">
        <f>IFERROR(IF(VLOOKUP(CONCATENATE($A118,"_",AT$1),SP_ACQ_Lib[],MATCH(AT$2,SP_ACQ_Lib[#Headers],0),FALSE)=0,"",VLOOKUP(CONCATENATE($A118,"_",AT$1),SP_ACQ_Lib[],MATCH(AT$2,SP_ACQ_Lib[#Headers],0),FALSE)),"")</f>
        <v/>
      </c>
      <c r="AU118" s="251" t="str">
        <f>IFERROR(IF(VLOOKUP(CONCATENATE($A118,"_",AU$1),SP_ACQ_Lib[],MATCH(AU$2,SP_ACQ_Lib[#Headers],0),FALSE)=0,"",VLOOKUP(CONCATENATE($A118,"_",AU$1),SP_ACQ_Lib[],MATCH(AU$2,SP_ACQ_Lib[#Headers],0),FALSE)),"")</f>
        <v/>
      </c>
      <c r="AV118" s="225" t="str">
        <f>IFERROR(IF(VLOOKUP(CONCATENATE($A118,"_",AV$1),SP_ACQ_Lib[],MATCH(AV$2,SP_ACQ_Lib[#Headers],0),FALSE)=0,"",VLOOKUP(CONCATENATE($A118,"_",AV$1),SP_ACQ_Lib[],MATCH(AV$2,SP_ACQ_Lib[#Headers],0),FALSE)),"")</f>
        <v/>
      </c>
      <c r="AW118" s="251" t="str">
        <f>IFERROR(IF(VLOOKUP(CONCATENATE($A118,"_",AW$1),SP_ACQ_Lib[],MATCH(AW$2,SP_ACQ_Lib[#Headers],0),FALSE)=0,"",VLOOKUP(CONCATENATE($A118,"_",AW$1),SP_ACQ_Lib[],MATCH(AW$2,SP_ACQ_Lib[#Headers],0),FALSE)),"")</f>
        <v/>
      </c>
      <c r="AX118" s="251" t="str">
        <f>IFERROR(IF(VLOOKUP(CONCATENATE($A118,"_",AX$1),SP_ACQ_Lib[],MATCH(AX$2,SP_ACQ_Lib[#Headers],0),FALSE)=0,"",VLOOKUP(CONCATENATE($A118,"_",AX$1),SP_ACQ_Lib[],MATCH(AX$2,SP_ACQ_Lib[#Headers],0),FALSE)),"")</f>
        <v/>
      </c>
      <c r="AY118" s="251" t="str">
        <f>IFERROR(IF(VLOOKUP(CONCATENATE($A118,"_",AY$1),SP_ACQ_Lib[],MATCH(AY$2,SP_ACQ_Lib[#Headers],0),FALSE)=0,"",VLOOKUP(CONCATENATE($A118,"_",AY$1),SP_ACQ_Lib[],MATCH(AY$2,SP_ACQ_Lib[#Headers],0),FALSE)),"")</f>
        <v/>
      </c>
      <c r="AZ118" s="251" t="str">
        <f>IFERROR(IF(VLOOKUP(CONCATENATE($A118,"_",AZ$1),SP_ACQ_Lib[],MATCH(AZ$2,SP_ACQ_Lib[#Headers],0),FALSE)=0,"",VLOOKUP(CONCATENATE($A118,"_",AZ$1),SP_ACQ_Lib[],MATCH(AZ$2,SP_ACQ_Lib[#Headers],0),FALSE)),"")</f>
        <v/>
      </c>
      <c r="BA118" s="251" t="str">
        <f>IFERROR(IF(VLOOKUP(CONCATENATE($A118,"_",BA$1),SP_ACQ_Lib[],MATCH(BA$2,SP_ACQ_Lib[#Headers],0),FALSE)=0,"",VLOOKUP(CONCATENATE($A118,"_",BA$1),SP_ACQ_Lib[],MATCH(BA$2,SP_ACQ_Lib[#Headers],0),FALSE)),"")</f>
        <v/>
      </c>
      <c r="BB118" s="224">
        <f>IFERROR(VLOOKUP(CONCATENATE($A118,"_",BB$1),SP_ACQ_Lib[],MATCH(BB$2,SP_ACQ_Lib[#Headers],0),FALSE),0)</f>
        <v>0</v>
      </c>
      <c r="BC118" s="231">
        <f>IFERROR(VLOOKUP($A118,SP_AcqTract_DB[],MATCH(BC$2,SP_AcqTract_DB[#Headers],0),FALSE),"")</f>
        <v>0</v>
      </c>
      <c r="BD118" s="231">
        <f>IFERROR(VLOOKUP($A118,SP_AcqTract_DB[],MATCH(BD$2,SP_AcqTract_DB[#Headers],0),FALSE),"")</f>
        <v>0</v>
      </c>
      <c r="BE118" s="249" t="str">
        <f>IFERROR(IF(VLOOKUP(CONCATENATE($A118,"_",BE$1),SP_ACQ_Lib[],MATCH(BE$2,SP_ACQ_Lib[#Headers],0),FALSE)=0,"",VLOOKUP(CONCATENATE($A118,"_",BE$1),SP_ACQ_Lib[],MATCH(BE$2,SP_ACQ_Lib[#Headers],0),FALSE)),"")</f>
        <v/>
      </c>
      <c r="BF118" s="249" t="str">
        <f>IFERROR(IF(VLOOKUP(CONCATENATE($A118,"_",BF$1),SP_ACQ_Lib[],MATCH(BF$2,SP_ACQ_Lib[#Headers],0),FALSE)=0,"",VLOOKUP(CONCATENATE($A118,"_",BF$1),SP_ACQ_Lib[],MATCH(BF$2,SP_ACQ_Lib[#Headers],0),FALSE)),"")</f>
        <v/>
      </c>
      <c r="BG118" s="249" t="str">
        <f>IFERROR(IF(VLOOKUP(CONCATENATE($A118,"_",BG$1),SP_ACQ_Lib[],MATCH(BG$2,SP_ACQ_Lib[#Headers],0),FALSE)=0,"",VLOOKUP(CONCATENATE($A118,"_",BG$1),SP_ACQ_Lib[],MATCH(BG$2,SP_ACQ_Lib[#Headers],0),FALSE)),"")</f>
        <v/>
      </c>
      <c r="BH118" s="249" t="str">
        <f>IFERROR(IF(VLOOKUP(CONCATENATE($A118,"_",BH$1),SP_ACQ_Lib[],MATCH(BH$2,SP_ACQ_Lib[#Headers],0),FALSE)=0,"",VLOOKUP(CONCATENATE($A118,"_",BH$1),SP_ACQ_Lib[],MATCH(BH$2,SP_ACQ_Lib[#Headers],0),FALSE)),"")</f>
        <v/>
      </c>
      <c r="BI118" s="249" t="str">
        <f>IFERROR(IF(VLOOKUP(CONCATENATE($A118,"_",BI$1),SP_ACQ_Lib[],MATCH(BI$2,SP_ACQ_Lib[#Headers],0),FALSE)=0,"",VLOOKUP(CONCATENATE($A118,"_",BI$1),SP_ACQ_Lib[],MATCH(BI$2,SP_ACQ_Lib[#Headers],0),FALSE)),"")</f>
        <v/>
      </c>
      <c r="BJ118" s="249" t="str">
        <f>IFERROR(IF(VLOOKUP(CONCATENATE($A118,"_",BJ$1),SP_ACQ_Lib[],MATCH(BJ$2,SP_ACQ_Lib[#Headers],0),FALSE)=0,"",VLOOKUP(CONCATENATE($A118,"_",BJ$1),SP_ACQ_Lib[],MATCH(BJ$2,SP_ACQ_Lib[#Headers],0),FALSE)),"")</f>
        <v/>
      </c>
      <c r="BK118" s="250" t="str">
        <f>IFERROR(IF(VLOOKUP(CONCATENATE($A118,"_",BK$1),SP_ACQ_Lib[],MATCH(BK$2,SP_ACQ_Lib[#Headers],0),FALSE)=0,"",VLOOKUP(CONCATENATE($A118,"_",BK$1),SP_ACQ_Lib[],MATCH(BK$2,SP_ACQ_Lib[#Headers],0),FALSE)),"")</f>
        <v/>
      </c>
      <c r="BL118" s="249" t="str">
        <f>IFERROR(IF(VLOOKUP(CONCATENATE($A118,"_",BL$1),SP_ACQ_Lib[],MATCH(BL$2,SP_ACQ_Lib[#Headers],0),FALSE)=0,"",VLOOKUP(CONCATENATE($A118,"_",BL$1),SP_ACQ_Lib[],MATCH(BL$2,SP_ACQ_Lib[#Headers],0),FALSE)),"")</f>
        <v/>
      </c>
      <c r="BM118" s="249" t="str">
        <f>IFERROR(IF(VLOOKUP(CONCATENATE($A118,"_",BM$1),SP_ACQ_Lib[],MATCH(BM$2,SP_ACQ_Lib[#Headers],0),FALSE)=0,"",VLOOKUP(CONCATENATE($A118,"_",BM$1),SP_ACQ_Lib[],MATCH(BM$2,SP_ACQ_Lib[#Headers],0),FALSE)),"")</f>
        <v/>
      </c>
      <c r="BN118" s="249" t="str">
        <f>IFERROR(IF(VLOOKUP(CONCATENATE($A118,"_",BN$1),SP_ACQ_Lib[],MATCH(BN$2,SP_ACQ_Lib[#Headers],0),FALSE)=0,"",VLOOKUP(CONCATENATE($A118,"_",BN$1),SP_ACQ_Lib[],MATCH(BN$2,SP_ACQ_Lib[#Headers],0),FALSE)),"")</f>
        <v/>
      </c>
    </row>
    <row r="119" spans="1:66" s="226" customFormat="1" ht="15.75" x14ac:dyDescent="0.2">
      <c r="A119" s="192" t="s">
        <v>5354</v>
      </c>
      <c r="B119" s="227" t="str">
        <f>IFERROR(VLOOKUP($A119,SP_AcqTract_DB[],MATCH(B$2,SP_AcqTract_DB[#Headers],0),FALSE),"")</f>
        <v>R060210</v>
      </c>
      <c r="C119" s="228" t="str">
        <f>IFERROR(VLOOKUP($A119,SP_AcqTract_DB[],MATCH(C$2,SP_AcqTract_DB[#Headers],0),FALSE),"")</f>
        <v>PH2</v>
      </c>
      <c r="D119" s="208" t="str">
        <f>IFERROR(VLOOKUP($A119,SP_AcqTract_DB[],MATCH(D$2,SP_AcqTract_DB[#Headers],0),FALSE),"")</f>
        <v>Active</v>
      </c>
      <c r="E119" s="208">
        <f>IFERROR(VLOOKUP($A119,SP_AcqTract_DB[],MATCH(E$2,SP_AcqTract_DB[#Headers],0),FALSE),"")</f>
        <v>0</v>
      </c>
      <c r="F119" s="227">
        <f>IFERROR(VLOOKUP($A119,SP_AcqTract_DB[],MATCH(F$2,SP_AcqTract_DB[#Headers],0),FALSE),"")</f>
        <v>0</v>
      </c>
      <c r="G119" s="227" t="str">
        <f>IFERROR(VLOOKUP($A119,SP_AcqTract_DB[],MATCH(G$2,SP_AcqTract_DB[#Headers],0),FALSE),"")</f>
        <v>Darlene Snow</v>
      </c>
      <c r="H119" s="250">
        <f>IFERROR(IF(VLOOKUP(CONCATENATE($A119,"_",H$1),SP_ACQ_Lib[],MATCH(H$2,SP_ACQ_Lib[#Headers],0),FALSE)=0,"",VLOOKUP(CONCATENATE($A119,"_",H$1),SP_ACQ_Lib[],MATCH(H$2,SP_ACQ_Lib[#Headers],0),FALSE)),"")</f>
        <v>44022.625706018516</v>
      </c>
      <c r="I119" s="227" t="str">
        <f>IFERROR(VLOOKUP($A119,SP_AcqTract_DB[],MATCH(I$2,SP_AcqTract_DB[#Headers],0),FALSE),"")</f>
        <v>Mowels Stephanie L</v>
      </c>
      <c r="J119" s="227">
        <f>IFERROR(VLOOKUP($A119,SP_AcqTract_DB[],MATCH(J$2,SP_AcqTract_DB[#Headers],0),FALSE),"")</f>
        <v>0</v>
      </c>
      <c r="K119" s="227">
        <f>IFERROR(VLOOKUP($A119,SP_AcqTract_DB[],MATCH(K$2,SP_AcqTract_DB[#Headers],0),FALSE),"")</f>
        <v>0</v>
      </c>
      <c r="L119" s="227">
        <f>IFERROR(VLOOKUP($A119,SP_AcqTract_DB[],MATCH(L$2,SP_AcqTract_DB[#Headers],0),FALSE),"")</f>
        <v>0</v>
      </c>
      <c r="M119" s="208">
        <f>IFERROR(VLOOKUP($A119,SP_AcqTract_DB[],MATCH(M$2,SP_AcqTract_DB[#Headers],0),FALSE),"")</f>
        <v>0</v>
      </c>
      <c r="N119" s="227" t="str">
        <f>IFERROR(VLOOKUP($A119,SP_AcqTract_DB[],MATCH(N$2,SP_AcqTract_DB[#Headers],0),FALSE),"")</f>
        <v>3802 CR 135</v>
      </c>
      <c r="O119" s="220">
        <f>IFERROR(VLOOKUP($A119,SP_AcqTract_DB[],MATCH(O$2,SP_AcqTract_DB[#Headers],0),FALSE),"")</f>
        <v>0</v>
      </c>
      <c r="P119" s="220">
        <f>IFERROR(VLOOKUP($A119,SP_AcqTract_DB[],MATCH(P$2,SP_AcqTract_DB[#Headers],0),FALSE),"")</f>
        <v>0</v>
      </c>
      <c r="Q119" s="208">
        <f>IFERROR(VLOOKUP($A119,SP_AcqTract_DB[],MATCH(Q$2,SP_AcqTract_DB[#Headers],0),FALSE),"")</f>
        <v>0</v>
      </c>
      <c r="R119" s="250" t="str">
        <f>IFERROR(IF(VLOOKUP(CONCATENATE($A119,"_",R$1),SP_ACQ_Lib[],MATCH(R$2,SP_ACQ_Lib[#Headers],0),FALSE)=0,"",VLOOKUP(CONCATENATE($A119,"_",R$1),SP_ACQ_Lib[],MATCH(R$2,SP_ACQ_Lib[#Headers],0),FALSE)),"")</f>
        <v/>
      </c>
      <c r="S119" s="253" t="str">
        <f>IFERROR(IF(VLOOKUP(CONCATENATE($A119,"_",S$1),SP_ACQ_Lib[],MATCH(S$2,SP_ACQ_Lib[#Headers],0),FALSE)=0,"",VLOOKUP(CONCATENATE($A119,"_",S$1),SP_ACQ_Lib[],MATCH(S$2,SP_ACQ_Lib[#Headers],0),FALSE)),"")</f>
        <v/>
      </c>
      <c r="T119" s="205">
        <f>IFERROR(VLOOKUP(CONCATENATE($A119,"_",T$1),SP_ACQ_Lib[],MATCH(T$2,SP_ACQ_Lib[#Headers],0),FALSE),0)</f>
        <v>0</v>
      </c>
      <c r="U119" s="250" t="str">
        <f>IFERROR(IF(VLOOKUP(CONCATENATE($A119,"_",U$1),SP_ACQ_Lib[],MATCH(U$2,SP_ACQ_Lib[#Headers],0),FALSE)=0,"",VLOOKUP(CONCATENATE($A119,"_",U$1),SP_ACQ_Lib[],MATCH(U$2,SP_ACQ_Lib[#Headers],0),FALSE)),"")</f>
        <v/>
      </c>
      <c r="V119" s="205" t="str">
        <f>IFERROR(VLOOKUP(CONCATENATE($A119,"_",V$1),SP_ACQ_Lib[],MATCH(V$2,SP_ACQ_Lib[#Headers],0),FALSE),0)</f>
        <v>Accepted</v>
      </c>
      <c r="W119" s="209">
        <f>IFERROR(VLOOKUP(CONCATENATE($A119,"_",W$1),SP_ACQ_Lib[],MATCH(W$2,SP_ACQ_Lib[#Headers],0),FALSE),0)</f>
        <v>0</v>
      </c>
      <c r="X119" s="250">
        <f>IFERROR(VLOOKUP($A119,SP_AcqTract_DB[],MATCH(X$2,SP_AcqTract_DB[#Headers],0),FALSE),"")</f>
        <v>0</v>
      </c>
      <c r="Y119" s="237">
        <f>IFERROR(VLOOKUP($A119,SP_AcqTract_DB[],MATCH(Y$2,SP_AcqTract_DB[#Headers],0),FALSE),"")</f>
        <v>0</v>
      </c>
      <c r="Z119" s="229">
        <f>IFERROR(VLOOKUP($A119,SP_AcqTract_DB[],MATCH(Z$2,SP_AcqTract_DB[#Headers],0),FALSE),"")</f>
        <v>0</v>
      </c>
      <c r="AA119" s="229">
        <f>IFERROR(VLOOKUP($A119,SP_AcqTract_DB[],MATCH(AA$2,SP_AcqTract_DB[#Headers],0),FALSE),"")</f>
        <v>0</v>
      </c>
      <c r="AB119" s="250" t="str">
        <f>IFERROR(IF(VLOOKUP(CONCATENATE($A119,"_",AB$1),SP_ACQ_Lib[],MATCH(AB$2,SP_ACQ_Lib[#Headers],0),FALSE)=0,"",VLOOKUP(CONCATENATE($A119,"_",AB$1),SP_ACQ_Lib[],MATCH(AB$2,SP_ACQ_Lib[#Headers],0),FALSE)),"")</f>
        <v/>
      </c>
      <c r="AC119" s="250" t="str">
        <f>IFERROR(IF(VLOOKUP(CONCATENATE($A119,"_",AC$1),SP_ACQ_Lib[],MATCH(AC$2,SP_ACQ_Lib[#Headers],0),FALSE)=0,"",VLOOKUP(CONCATENATE($A119,"_",AC$1),SP_ACQ_Lib[],MATCH(AC$2,SP_ACQ_Lib[#Headers],0),FALSE)),"")</f>
        <v/>
      </c>
      <c r="AD119" s="229">
        <f>IFERROR(VLOOKUP($A119,SP_AcqTract_DB[],MATCH(AD$2,SP_AcqTract_DB[#Headers],0),FALSE),"")</f>
        <v>0</v>
      </c>
      <c r="AE119" s="250" t="str">
        <f>IFERROR(IF(VLOOKUP(CONCATENATE($A119,"_",AE$1),SP_ACQ_Lib[],MATCH(AE$2,SP_ACQ_Lib[#Headers],0),FALSE)=0,"",VLOOKUP(CONCATENATE($A119,"_",AE$1),SP_ACQ_Lib[],MATCH(AE$2,SP_ACQ_Lib[#Headers],0),FALSE)),"")</f>
        <v/>
      </c>
      <c r="AF119" s="250" t="str">
        <f>IFERROR(IF(VLOOKUP(CONCATENATE($A119,"_",AF$1),SP_ACQ_Lib[],MATCH(AF$2,SP_ACQ_Lib[#Headers],0),FALSE)=0,"",VLOOKUP(CONCATENATE($A119,"_",AF$1),SP_ACQ_Lib[],MATCH(AF$2,SP_ACQ_Lib[#Headers],0),FALSE)),"")</f>
        <v/>
      </c>
      <c r="AG119" s="250" t="str">
        <f>IFERROR(IF(VLOOKUP(CONCATENATE($A119,"_",AG$1),SP_ACQ_Lib[],MATCH(AG$2,SP_ACQ_Lib[#Headers],0),FALSE)=0,"",VLOOKUP(CONCATENATE($A119,"_",AG$1),SP_ACQ_Lib[],MATCH(AG$2,SP_ACQ_Lib[#Headers],0),FALSE)),"")</f>
        <v/>
      </c>
      <c r="AH119" s="250" t="str">
        <f>IFERROR(IF(VLOOKUP(CONCATENATE($A119,"_",AH$1),SP_ACQ_Lib[],MATCH(AH$2,SP_ACQ_Lib[#Headers],0),FALSE)=0,"",VLOOKUP(CONCATENATE($A119,"_",AH$1),SP_ACQ_Lib[],MATCH(AH$2,SP_ACQ_Lib[#Headers],0),FALSE)),"")</f>
        <v/>
      </c>
      <c r="AI119" s="249">
        <f>IFERROR(IF(VLOOKUP(CONCATENATE($A119,"_",AI$1),SP_ACQ_Lib[],MATCH(AI$2,SP_ACQ_Lib[#Headers],0),FALSE)=0,"",VLOOKUP(CONCATENATE($A119,"_",AI$1),SP_ACQ_Lib[],MATCH(AI$2,SP_ACQ_Lib[#Headers],0),FALSE)),"")</f>
        <v>43985</v>
      </c>
      <c r="AJ119" s="249" t="str">
        <f>IFERROR(IF(VLOOKUP(CONCATENATE($A119,"_",AJ$1),SP_ACQ_Lib[],MATCH(AJ$2,SP_ACQ_Lib[#Headers],0),FALSE)=0,"",VLOOKUP(CONCATENATE($A119,"_",AJ$1),SP_ACQ_Lib[],MATCH(AJ$2,SP_ACQ_Lib[#Headers],0),FALSE)),"")</f>
        <v/>
      </c>
      <c r="AK119" s="249" t="str">
        <f>IFERROR(IF(VLOOKUP(CONCATENATE($A119,"_",AK$1),SP_ACQ_Lib[],MATCH(AK$2,SP_ACQ_Lib[#Headers],0),FALSE)=0,"",VLOOKUP(CONCATENATE($A119,"_",AK$1),SP_ACQ_Lib[],MATCH(AK$2,SP_ACQ_Lib[#Headers],0),FALSE)),"")</f>
        <v/>
      </c>
      <c r="AL119" s="249">
        <f>IFERROR(VLOOKUP($A119,SP_AcqTract_DB[],MATCH(AL$2,SP_AcqTract_DB[#Headers],0),FALSE),"")</f>
        <v>0</v>
      </c>
      <c r="AM119" s="227">
        <f>IFERROR(VLOOKUP($A119,SP_AcqTract_DB[],MATCH(AM$2,SP_AcqTract_DB[#Headers],0),FALSE),"")</f>
        <v>0</v>
      </c>
      <c r="AN119" s="227">
        <f>IFERROR(VLOOKUP($A119,SP_AcqTract_DB[],MATCH(AN$2,SP_AcqTract_DB[#Headers],0),FALSE),"")</f>
        <v>0</v>
      </c>
      <c r="AO119" s="228">
        <f>IFERROR(VLOOKUP($A119,SP_AcqTract_DB[],MATCH(AO$2,SP_AcqTract_DB[#Headers],0),FALSE),"")</f>
        <v>0</v>
      </c>
      <c r="AP119" s="210">
        <f>IFERROR(VLOOKUP($A119,SP_AcqTract_DB[],MATCH(AP$2,SP_AcqTract_DB[#Headers],0),FALSE),"")</f>
        <v>0</v>
      </c>
      <c r="AQ119" s="252" t="str">
        <f>IFERROR(IF(VLOOKUP(CONCATENATE($A119,"_",AQ$1),SP_ACQ_Lib[],MATCH(AQ$2,SP_ACQ_Lib[#Headers],0),FALSE)=0,"",VLOOKUP(CONCATENATE($A119,"_",AQ$1),SP_ACQ_Lib[],MATCH(AQ$2,SP_ACQ_Lib[#Headers],0),FALSE)),"")</f>
        <v/>
      </c>
      <c r="AR119" s="250" t="str">
        <f>IFERROR(IF(VLOOKUP(CONCATENATE($A119,"_",AR$1),SP_ACQ_Lib[],MATCH(AR$2,SP_ACQ_Lib[#Headers],0),FALSE)=0,"",VLOOKUP(CONCATENATE($A119,"_",AR$1),SP_ACQ_Lib[],MATCH(AR$2,SP_ACQ_Lib[#Headers],0),FALSE)),"")</f>
        <v/>
      </c>
      <c r="AS119" s="249" t="str">
        <f>IFERROR(IF(VLOOKUP(CONCATENATE($A119,"_",AS$1),SP_ACQ_Lib[],MATCH(AS$2,SP_ACQ_Lib[#Headers],0),FALSE)=0,"",VLOOKUP(CONCATENATE($A119,"_",AS$1),SP_ACQ_Lib[],MATCH(AS$2,SP_ACQ_Lib[#Headers],0),FALSE)),"")</f>
        <v/>
      </c>
      <c r="AT119" s="251" t="str">
        <f>IFERROR(IF(VLOOKUP(CONCATENATE($A119,"_",AT$1),SP_ACQ_Lib[],MATCH(AT$2,SP_ACQ_Lib[#Headers],0),FALSE)=0,"",VLOOKUP(CONCATENATE($A119,"_",AT$1),SP_ACQ_Lib[],MATCH(AT$2,SP_ACQ_Lib[#Headers],0),FALSE)),"")</f>
        <v/>
      </c>
      <c r="AU119" s="251" t="str">
        <f>IFERROR(IF(VLOOKUP(CONCATENATE($A119,"_",AU$1),SP_ACQ_Lib[],MATCH(AU$2,SP_ACQ_Lib[#Headers],0),FALSE)=0,"",VLOOKUP(CONCATENATE($A119,"_",AU$1),SP_ACQ_Lib[],MATCH(AU$2,SP_ACQ_Lib[#Headers],0),FALSE)),"")</f>
        <v/>
      </c>
      <c r="AV119" s="225" t="str">
        <f>IFERROR(IF(VLOOKUP(CONCATENATE($A119,"_",AV$1),SP_ACQ_Lib[],MATCH(AV$2,SP_ACQ_Lib[#Headers],0),FALSE)=0,"",VLOOKUP(CONCATENATE($A119,"_",AV$1),SP_ACQ_Lib[],MATCH(AV$2,SP_ACQ_Lib[#Headers],0),FALSE)),"")</f>
        <v/>
      </c>
      <c r="AW119" s="251" t="str">
        <f>IFERROR(IF(VLOOKUP(CONCATENATE($A119,"_",AW$1),SP_ACQ_Lib[],MATCH(AW$2,SP_ACQ_Lib[#Headers],0),FALSE)=0,"",VLOOKUP(CONCATENATE($A119,"_",AW$1),SP_ACQ_Lib[],MATCH(AW$2,SP_ACQ_Lib[#Headers],0),FALSE)),"")</f>
        <v/>
      </c>
      <c r="AX119" s="251" t="str">
        <f>IFERROR(IF(VLOOKUP(CONCATENATE($A119,"_",AX$1),SP_ACQ_Lib[],MATCH(AX$2,SP_ACQ_Lib[#Headers],0),FALSE)=0,"",VLOOKUP(CONCATENATE($A119,"_",AX$1),SP_ACQ_Lib[],MATCH(AX$2,SP_ACQ_Lib[#Headers],0),FALSE)),"")</f>
        <v/>
      </c>
      <c r="AY119" s="251" t="str">
        <f>IFERROR(IF(VLOOKUP(CONCATENATE($A119,"_",AY$1),SP_ACQ_Lib[],MATCH(AY$2,SP_ACQ_Lib[#Headers],0),FALSE)=0,"",VLOOKUP(CONCATENATE($A119,"_",AY$1),SP_ACQ_Lib[],MATCH(AY$2,SP_ACQ_Lib[#Headers],0),FALSE)),"")</f>
        <v/>
      </c>
      <c r="AZ119" s="251" t="str">
        <f>IFERROR(IF(VLOOKUP(CONCATENATE($A119,"_",AZ$1),SP_ACQ_Lib[],MATCH(AZ$2,SP_ACQ_Lib[#Headers],0),FALSE)=0,"",VLOOKUP(CONCATENATE($A119,"_",AZ$1),SP_ACQ_Lib[],MATCH(AZ$2,SP_ACQ_Lib[#Headers],0),FALSE)),"")</f>
        <v/>
      </c>
      <c r="BA119" s="251" t="str">
        <f>IFERROR(IF(VLOOKUP(CONCATENATE($A119,"_",BA$1),SP_ACQ_Lib[],MATCH(BA$2,SP_ACQ_Lib[#Headers],0),FALSE)=0,"",VLOOKUP(CONCATENATE($A119,"_",BA$1),SP_ACQ_Lib[],MATCH(BA$2,SP_ACQ_Lib[#Headers],0),FALSE)),"")</f>
        <v/>
      </c>
      <c r="BB119" s="224">
        <f>IFERROR(VLOOKUP(CONCATENATE($A119,"_",BB$1),SP_ACQ_Lib[],MATCH(BB$2,SP_ACQ_Lib[#Headers],0),FALSE),0)</f>
        <v>0</v>
      </c>
      <c r="BC119" s="231">
        <f>IFERROR(VLOOKUP($A119,SP_AcqTract_DB[],MATCH(BC$2,SP_AcqTract_DB[#Headers],0),FALSE),"")</f>
        <v>0</v>
      </c>
      <c r="BD119" s="231">
        <f>IFERROR(VLOOKUP($A119,SP_AcqTract_DB[],MATCH(BD$2,SP_AcqTract_DB[#Headers],0),FALSE),"")</f>
        <v>0</v>
      </c>
      <c r="BE119" s="249" t="str">
        <f>IFERROR(IF(VLOOKUP(CONCATENATE($A119,"_",BE$1),SP_ACQ_Lib[],MATCH(BE$2,SP_ACQ_Lib[#Headers],0),FALSE)=0,"",VLOOKUP(CONCATENATE($A119,"_",BE$1),SP_ACQ_Lib[],MATCH(BE$2,SP_ACQ_Lib[#Headers],0),FALSE)),"")</f>
        <v/>
      </c>
      <c r="BF119" s="249" t="str">
        <f>IFERROR(IF(VLOOKUP(CONCATENATE($A119,"_",BF$1),SP_ACQ_Lib[],MATCH(BF$2,SP_ACQ_Lib[#Headers],0),FALSE)=0,"",VLOOKUP(CONCATENATE($A119,"_",BF$1),SP_ACQ_Lib[],MATCH(BF$2,SP_ACQ_Lib[#Headers],0),FALSE)),"")</f>
        <v/>
      </c>
      <c r="BG119" s="249" t="str">
        <f>IFERROR(IF(VLOOKUP(CONCATENATE($A119,"_",BG$1),SP_ACQ_Lib[],MATCH(BG$2,SP_ACQ_Lib[#Headers],0),FALSE)=0,"",VLOOKUP(CONCATENATE($A119,"_",BG$1),SP_ACQ_Lib[],MATCH(BG$2,SP_ACQ_Lib[#Headers],0),FALSE)),"")</f>
        <v/>
      </c>
      <c r="BH119" s="249" t="str">
        <f>IFERROR(IF(VLOOKUP(CONCATENATE($A119,"_",BH$1),SP_ACQ_Lib[],MATCH(BH$2,SP_ACQ_Lib[#Headers],0),FALSE)=0,"",VLOOKUP(CONCATENATE($A119,"_",BH$1),SP_ACQ_Lib[],MATCH(BH$2,SP_ACQ_Lib[#Headers],0),FALSE)),"")</f>
        <v/>
      </c>
      <c r="BI119" s="249" t="str">
        <f>IFERROR(IF(VLOOKUP(CONCATENATE($A119,"_",BI$1),SP_ACQ_Lib[],MATCH(BI$2,SP_ACQ_Lib[#Headers],0),FALSE)=0,"",VLOOKUP(CONCATENATE($A119,"_",BI$1),SP_ACQ_Lib[],MATCH(BI$2,SP_ACQ_Lib[#Headers],0),FALSE)),"")</f>
        <v/>
      </c>
      <c r="BJ119" s="249" t="str">
        <f>IFERROR(IF(VLOOKUP(CONCATENATE($A119,"_",BJ$1),SP_ACQ_Lib[],MATCH(BJ$2,SP_ACQ_Lib[#Headers],0),FALSE)=0,"",VLOOKUP(CONCATENATE($A119,"_",BJ$1),SP_ACQ_Lib[],MATCH(BJ$2,SP_ACQ_Lib[#Headers],0),FALSE)),"")</f>
        <v/>
      </c>
      <c r="BK119" s="250" t="str">
        <f>IFERROR(IF(VLOOKUP(CONCATENATE($A119,"_",BK$1),SP_ACQ_Lib[],MATCH(BK$2,SP_ACQ_Lib[#Headers],0),FALSE)=0,"",VLOOKUP(CONCATENATE($A119,"_",BK$1),SP_ACQ_Lib[],MATCH(BK$2,SP_ACQ_Lib[#Headers],0),FALSE)),"")</f>
        <v/>
      </c>
      <c r="BL119" s="249" t="str">
        <f>IFERROR(IF(VLOOKUP(CONCATENATE($A119,"_",BL$1),SP_ACQ_Lib[],MATCH(BL$2,SP_ACQ_Lib[#Headers],0),FALSE)=0,"",VLOOKUP(CONCATENATE($A119,"_",BL$1),SP_ACQ_Lib[],MATCH(BL$2,SP_ACQ_Lib[#Headers],0),FALSE)),"")</f>
        <v/>
      </c>
      <c r="BM119" s="249" t="str">
        <f>IFERROR(IF(VLOOKUP(CONCATENATE($A119,"_",BM$1),SP_ACQ_Lib[],MATCH(BM$2,SP_ACQ_Lib[#Headers],0),FALSE)=0,"",VLOOKUP(CONCATENATE($A119,"_",BM$1),SP_ACQ_Lib[],MATCH(BM$2,SP_ACQ_Lib[#Headers],0),FALSE)),"")</f>
        <v/>
      </c>
      <c r="BN119" s="249" t="str">
        <f>IFERROR(IF(VLOOKUP(CONCATENATE($A119,"_",BN$1),SP_ACQ_Lib[],MATCH(BN$2,SP_ACQ_Lib[#Headers],0),FALSE)=0,"",VLOOKUP(CONCATENATE($A119,"_",BN$1),SP_ACQ_Lib[],MATCH(BN$2,SP_ACQ_Lib[#Headers],0),FALSE)),"")</f>
        <v/>
      </c>
    </row>
    <row r="120" spans="1:66" s="226" customFormat="1" ht="25.5" x14ac:dyDescent="0.2">
      <c r="A120" s="192" t="s">
        <v>5356</v>
      </c>
      <c r="B120" s="227" t="str">
        <f>IFERROR(VLOOKUP($A120,SP_AcqTract_DB[],MATCH(B$2,SP_AcqTract_DB[#Headers],0),FALSE),"")</f>
        <v>R068966</v>
      </c>
      <c r="C120" s="228" t="str">
        <f>IFERROR(VLOOKUP($A120,SP_AcqTract_DB[],MATCH(C$2,SP_AcqTract_DB[#Headers],0),FALSE),"")</f>
        <v>PH2</v>
      </c>
      <c r="D120" s="208" t="str">
        <f>IFERROR(VLOOKUP($A120,SP_AcqTract_DB[],MATCH(D$2,SP_AcqTract_DB[#Headers],0),FALSE),"")</f>
        <v>Active</v>
      </c>
      <c r="E120" s="208">
        <f>IFERROR(VLOOKUP($A120,SP_AcqTract_DB[],MATCH(E$2,SP_AcqTract_DB[#Headers],0),FALSE),"")</f>
        <v>0</v>
      </c>
      <c r="F120" s="227">
        <f>IFERROR(VLOOKUP($A120,SP_AcqTract_DB[],MATCH(F$2,SP_AcqTract_DB[#Headers],0),FALSE),"")</f>
        <v>0</v>
      </c>
      <c r="G120" s="227" t="str">
        <f>IFERROR(VLOOKUP($A120,SP_AcqTract_DB[],MATCH(G$2,SP_AcqTract_DB[#Headers],0),FALSE),"")</f>
        <v>Stateside</v>
      </c>
      <c r="H120" s="250" t="str">
        <f>IFERROR(IF(VLOOKUP(CONCATENATE($A120,"_",H$1),SP_ACQ_Lib[],MATCH(H$2,SP_ACQ_Lib[#Headers],0),FALSE)=0,"",VLOOKUP(CONCATENATE($A120,"_",H$1),SP_ACQ_Lib[],MATCH(H$2,SP_ACQ_Lib[#Headers],0),FALSE)),"")</f>
        <v/>
      </c>
      <c r="I120" s="227" t="str">
        <f>IFERROR(VLOOKUP($A120,SP_AcqTract_DB[],MATCH(I$2,SP_AcqTract_DB[#Headers],0),FALSE),"")</f>
        <v>Hawes Barbara Louise Trust Dated 8-17-81</v>
      </c>
      <c r="J120" s="227">
        <f>IFERROR(VLOOKUP($A120,SP_AcqTract_DB[],MATCH(J$2,SP_AcqTract_DB[#Headers],0),FALSE),"")</f>
        <v>0</v>
      </c>
      <c r="K120" s="227">
        <f>IFERROR(VLOOKUP($A120,SP_AcqTract_DB[],MATCH(K$2,SP_AcqTract_DB[#Headers],0),FALSE),"")</f>
        <v>0</v>
      </c>
      <c r="L120" s="227">
        <f>IFERROR(VLOOKUP($A120,SP_AcqTract_DB[],MATCH(L$2,SP_AcqTract_DB[#Headers],0),FALSE),"")</f>
        <v>0</v>
      </c>
      <c r="M120" s="208">
        <f>IFERROR(VLOOKUP($A120,SP_AcqTract_DB[],MATCH(M$2,SP_AcqTract_DB[#Headers],0),FALSE),"")</f>
        <v>0</v>
      </c>
      <c r="N120" s="227" t="str">
        <f>IFERROR(VLOOKUP($A120,SP_AcqTract_DB[],MATCH(N$2,SP_AcqTract_DB[#Headers],0),FALSE),"")</f>
        <v>0  N FULTON</v>
      </c>
      <c r="O120" s="220">
        <f>IFERROR(VLOOKUP($A120,SP_AcqTract_DB[],MATCH(O$2,SP_AcqTract_DB[#Headers],0),FALSE),"")</f>
        <v>0</v>
      </c>
      <c r="P120" s="220">
        <f>IFERROR(VLOOKUP($A120,SP_AcqTract_DB[],MATCH(P$2,SP_AcqTract_DB[#Headers],0),FALSE),"")</f>
        <v>0</v>
      </c>
      <c r="Q120" s="208">
        <f>IFERROR(VLOOKUP($A120,SP_AcqTract_DB[],MATCH(Q$2,SP_AcqTract_DB[#Headers],0),FALSE),"")</f>
        <v>0</v>
      </c>
      <c r="R120" s="250" t="str">
        <f>IFERROR(IF(VLOOKUP(CONCATENATE($A120,"_",R$1),SP_ACQ_Lib[],MATCH(R$2,SP_ACQ_Lib[#Headers],0),FALSE)=0,"",VLOOKUP(CONCATENATE($A120,"_",R$1),SP_ACQ_Lib[],MATCH(R$2,SP_ACQ_Lib[#Headers],0),FALSE)),"")</f>
        <v/>
      </c>
      <c r="S120" s="253" t="str">
        <f>IFERROR(IF(VLOOKUP(CONCATENATE($A120,"_",S$1),SP_ACQ_Lib[],MATCH(S$2,SP_ACQ_Lib[#Headers],0),FALSE)=0,"",VLOOKUP(CONCATENATE($A120,"_",S$1),SP_ACQ_Lib[],MATCH(S$2,SP_ACQ_Lib[#Headers],0),FALSE)),"")</f>
        <v/>
      </c>
      <c r="T120" s="205">
        <f>IFERROR(VLOOKUP(CONCATENATE($A120,"_",T$1),SP_ACQ_Lib[],MATCH(T$2,SP_ACQ_Lib[#Headers],0),FALSE),0)</f>
        <v>0</v>
      </c>
      <c r="U120" s="250" t="str">
        <f>IFERROR(IF(VLOOKUP(CONCATENATE($A120,"_",U$1),SP_ACQ_Lib[],MATCH(U$2,SP_ACQ_Lib[#Headers],0),FALSE)=0,"",VLOOKUP(CONCATENATE($A120,"_",U$1),SP_ACQ_Lib[],MATCH(U$2,SP_ACQ_Lib[#Headers],0),FALSE)),"")</f>
        <v/>
      </c>
      <c r="V120" s="205" t="str">
        <f>IFERROR(VLOOKUP(CONCATENATE($A120,"_",V$1),SP_ACQ_Lib[],MATCH(V$2,SP_ACQ_Lib[#Headers],0),FALSE),0)</f>
        <v>Accepted</v>
      </c>
      <c r="W120" s="209">
        <f>IFERROR(VLOOKUP(CONCATENATE($A120,"_",W$1),SP_ACQ_Lib[],MATCH(W$2,SP_ACQ_Lib[#Headers],0),FALSE),0)</f>
        <v>0</v>
      </c>
      <c r="X120" s="250">
        <f>IFERROR(VLOOKUP($A120,SP_AcqTract_DB[],MATCH(X$2,SP_AcqTract_DB[#Headers],0),FALSE),"")</f>
        <v>0</v>
      </c>
      <c r="Y120" s="237">
        <f>IFERROR(VLOOKUP($A120,SP_AcqTract_DB[],MATCH(Y$2,SP_AcqTract_DB[#Headers],0),FALSE),"")</f>
        <v>0</v>
      </c>
      <c r="Z120" s="229">
        <f>IFERROR(VLOOKUP($A120,SP_AcqTract_DB[],MATCH(Z$2,SP_AcqTract_DB[#Headers],0),FALSE),"")</f>
        <v>0</v>
      </c>
      <c r="AA120" s="229">
        <f>IFERROR(VLOOKUP($A120,SP_AcqTract_DB[],MATCH(AA$2,SP_AcqTract_DB[#Headers],0),FALSE),"")</f>
        <v>0</v>
      </c>
      <c r="AB120" s="250" t="str">
        <f>IFERROR(IF(VLOOKUP(CONCATENATE($A120,"_",AB$1),SP_ACQ_Lib[],MATCH(AB$2,SP_ACQ_Lib[#Headers],0),FALSE)=0,"",VLOOKUP(CONCATENATE($A120,"_",AB$1),SP_ACQ_Lib[],MATCH(AB$2,SP_ACQ_Lib[#Headers],0),FALSE)),"")</f>
        <v/>
      </c>
      <c r="AC120" s="250" t="str">
        <f>IFERROR(IF(VLOOKUP(CONCATENATE($A120,"_",AC$1),SP_ACQ_Lib[],MATCH(AC$2,SP_ACQ_Lib[#Headers],0),FALSE)=0,"",VLOOKUP(CONCATENATE($A120,"_",AC$1),SP_ACQ_Lib[],MATCH(AC$2,SP_ACQ_Lib[#Headers],0),FALSE)),"")</f>
        <v/>
      </c>
      <c r="AD120" s="229">
        <f>IFERROR(VLOOKUP($A120,SP_AcqTract_DB[],MATCH(AD$2,SP_AcqTract_DB[#Headers],0),FALSE),"")</f>
        <v>0</v>
      </c>
      <c r="AE120" s="250" t="str">
        <f>IFERROR(IF(VLOOKUP(CONCATENATE($A120,"_",AE$1),SP_ACQ_Lib[],MATCH(AE$2,SP_ACQ_Lib[#Headers],0),FALSE)=0,"",VLOOKUP(CONCATENATE($A120,"_",AE$1),SP_ACQ_Lib[],MATCH(AE$2,SP_ACQ_Lib[#Headers],0),FALSE)),"")</f>
        <v/>
      </c>
      <c r="AF120" s="250" t="str">
        <f>IFERROR(IF(VLOOKUP(CONCATENATE($A120,"_",AF$1),SP_ACQ_Lib[],MATCH(AF$2,SP_ACQ_Lib[#Headers],0),FALSE)=0,"",VLOOKUP(CONCATENATE($A120,"_",AF$1),SP_ACQ_Lib[],MATCH(AF$2,SP_ACQ_Lib[#Headers],0),FALSE)),"")</f>
        <v/>
      </c>
      <c r="AG120" s="250" t="str">
        <f>IFERROR(IF(VLOOKUP(CONCATENATE($A120,"_",AG$1),SP_ACQ_Lib[],MATCH(AG$2,SP_ACQ_Lib[#Headers],0),FALSE)=0,"",VLOOKUP(CONCATENATE($A120,"_",AG$1),SP_ACQ_Lib[],MATCH(AG$2,SP_ACQ_Lib[#Headers],0),FALSE)),"")</f>
        <v/>
      </c>
      <c r="AH120" s="250" t="str">
        <f>IFERROR(IF(VLOOKUP(CONCATENATE($A120,"_",AH$1),SP_ACQ_Lib[],MATCH(AH$2,SP_ACQ_Lib[#Headers],0),FALSE)=0,"",VLOOKUP(CONCATENATE($A120,"_",AH$1),SP_ACQ_Lib[],MATCH(AH$2,SP_ACQ_Lib[#Headers],0),FALSE)),"")</f>
        <v/>
      </c>
      <c r="AI120" s="249" t="str">
        <f>IFERROR(IF(VLOOKUP(CONCATENATE($A120,"_",AI$1),SP_ACQ_Lib[],MATCH(AI$2,SP_ACQ_Lib[#Headers],0),FALSE)=0,"",VLOOKUP(CONCATENATE($A120,"_",AI$1),SP_ACQ_Lib[],MATCH(AI$2,SP_ACQ_Lib[#Headers],0),FALSE)),"")</f>
        <v/>
      </c>
      <c r="AJ120" s="249" t="str">
        <f>IFERROR(IF(VLOOKUP(CONCATENATE($A120,"_",AJ$1),SP_ACQ_Lib[],MATCH(AJ$2,SP_ACQ_Lib[#Headers],0),FALSE)=0,"",VLOOKUP(CONCATENATE($A120,"_",AJ$1),SP_ACQ_Lib[],MATCH(AJ$2,SP_ACQ_Lib[#Headers],0),FALSE)),"")</f>
        <v/>
      </c>
      <c r="AK120" s="249" t="str">
        <f>IFERROR(IF(VLOOKUP(CONCATENATE($A120,"_",AK$1),SP_ACQ_Lib[],MATCH(AK$2,SP_ACQ_Lib[#Headers],0),FALSE)=0,"",VLOOKUP(CONCATENATE($A120,"_",AK$1),SP_ACQ_Lib[],MATCH(AK$2,SP_ACQ_Lib[#Headers],0),FALSE)),"")</f>
        <v/>
      </c>
      <c r="AL120" s="249">
        <f>IFERROR(VLOOKUP($A120,SP_AcqTract_DB[],MATCH(AL$2,SP_AcqTract_DB[#Headers],0),FALSE),"")</f>
        <v>0</v>
      </c>
      <c r="AM120" s="227">
        <f>IFERROR(VLOOKUP($A120,SP_AcqTract_DB[],MATCH(AM$2,SP_AcqTract_DB[#Headers],0),FALSE),"")</f>
        <v>0</v>
      </c>
      <c r="AN120" s="227">
        <f>IFERROR(VLOOKUP($A120,SP_AcqTract_DB[],MATCH(AN$2,SP_AcqTract_DB[#Headers],0),FALSE),"")</f>
        <v>0</v>
      </c>
      <c r="AO120" s="228">
        <f>IFERROR(VLOOKUP($A120,SP_AcqTract_DB[],MATCH(AO$2,SP_AcqTract_DB[#Headers],0),FALSE),"")</f>
        <v>0</v>
      </c>
      <c r="AP120" s="210">
        <f>IFERROR(VLOOKUP($A120,SP_AcqTract_DB[],MATCH(AP$2,SP_AcqTract_DB[#Headers],0),FALSE),"")</f>
        <v>0</v>
      </c>
      <c r="AQ120" s="252" t="str">
        <f>IFERROR(IF(VLOOKUP(CONCATENATE($A120,"_",AQ$1),SP_ACQ_Lib[],MATCH(AQ$2,SP_ACQ_Lib[#Headers],0),FALSE)=0,"",VLOOKUP(CONCATENATE($A120,"_",AQ$1),SP_ACQ_Lib[],MATCH(AQ$2,SP_ACQ_Lib[#Headers],0),FALSE)),"")</f>
        <v/>
      </c>
      <c r="AR120" s="250" t="str">
        <f>IFERROR(IF(VLOOKUP(CONCATENATE($A120,"_",AR$1),SP_ACQ_Lib[],MATCH(AR$2,SP_ACQ_Lib[#Headers],0),FALSE)=0,"",VLOOKUP(CONCATENATE($A120,"_",AR$1),SP_ACQ_Lib[],MATCH(AR$2,SP_ACQ_Lib[#Headers],0),FALSE)),"")</f>
        <v/>
      </c>
      <c r="AS120" s="249" t="str">
        <f>IFERROR(IF(VLOOKUP(CONCATENATE($A120,"_",AS$1),SP_ACQ_Lib[],MATCH(AS$2,SP_ACQ_Lib[#Headers],0),FALSE)=0,"",VLOOKUP(CONCATENATE($A120,"_",AS$1),SP_ACQ_Lib[],MATCH(AS$2,SP_ACQ_Lib[#Headers],0),FALSE)),"")</f>
        <v/>
      </c>
      <c r="AT120" s="251" t="str">
        <f>IFERROR(IF(VLOOKUP(CONCATENATE($A120,"_",AT$1),SP_ACQ_Lib[],MATCH(AT$2,SP_ACQ_Lib[#Headers],0),FALSE)=0,"",VLOOKUP(CONCATENATE($A120,"_",AT$1),SP_ACQ_Lib[],MATCH(AT$2,SP_ACQ_Lib[#Headers],0),FALSE)),"")</f>
        <v/>
      </c>
      <c r="AU120" s="251" t="str">
        <f>IFERROR(IF(VLOOKUP(CONCATENATE($A120,"_",AU$1),SP_ACQ_Lib[],MATCH(AU$2,SP_ACQ_Lib[#Headers],0),FALSE)=0,"",VLOOKUP(CONCATENATE($A120,"_",AU$1),SP_ACQ_Lib[],MATCH(AU$2,SP_ACQ_Lib[#Headers],0),FALSE)),"")</f>
        <v/>
      </c>
      <c r="AV120" s="225" t="str">
        <f>IFERROR(IF(VLOOKUP(CONCATENATE($A120,"_",AV$1),SP_ACQ_Lib[],MATCH(AV$2,SP_ACQ_Lib[#Headers],0),FALSE)=0,"",VLOOKUP(CONCATENATE($A120,"_",AV$1),SP_ACQ_Lib[],MATCH(AV$2,SP_ACQ_Lib[#Headers],0),FALSE)),"")</f>
        <v/>
      </c>
      <c r="AW120" s="251" t="str">
        <f>IFERROR(IF(VLOOKUP(CONCATENATE($A120,"_",AW$1),SP_ACQ_Lib[],MATCH(AW$2,SP_ACQ_Lib[#Headers],0),FALSE)=0,"",VLOOKUP(CONCATENATE($A120,"_",AW$1),SP_ACQ_Lib[],MATCH(AW$2,SP_ACQ_Lib[#Headers],0),FALSE)),"")</f>
        <v/>
      </c>
      <c r="AX120" s="251" t="str">
        <f>IFERROR(IF(VLOOKUP(CONCATENATE($A120,"_",AX$1),SP_ACQ_Lib[],MATCH(AX$2,SP_ACQ_Lib[#Headers],0),FALSE)=0,"",VLOOKUP(CONCATENATE($A120,"_",AX$1),SP_ACQ_Lib[],MATCH(AX$2,SP_ACQ_Lib[#Headers],0),FALSE)),"")</f>
        <v/>
      </c>
      <c r="AY120" s="251" t="str">
        <f>IFERROR(IF(VLOOKUP(CONCATENATE($A120,"_",AY$1),SP_ACQ_Lib[],MATCH(AY$2,SP_ACQ_Lib[#Headers],0),FALSE)=0,"",VLOOKUP(CONCATENATE($A120,"_",AY$1),SP_ACQ_Lib[],MATCH(AY$2,SP_ACQ_Lib[#Headers],0),FALSE)),"")</f>
        <v/>
      </c>
      <c r="AZ120" s="251" t="str">
        <f>IFERROR(IF(VLOOKUP(CONCATENATE($A120,"_",AZ$1),SP_ACQ_Lib[],MATCH(AZ$2,SP_ACQ_Lib[#Headers],0),FALSE)=0,"",VLOOKUP(CONCATENATE($A120,"_",AZ$1),SP_ACQ_Lib[],MATCH(AZ$2,SP_ACQ_Lib[#Headers],0),FALSE)),"")</f>
        <v/>
      </c>
      <c r="BA120" s="251" t="str">
        <f>IFERROR(IF(VLOOKUP(CONCATENATE($A120,"_",BA$1),SP_ACQ_Lib[],MATCH(BA$2,SP_ACQ_Lib[#Headers],0),FALSE)=0,"",VLOOKUP(CONCATENATE($A120,"_",BA$1),SP_ACQ_Lib[],MATCH(BA$2,SP_ACQ_Lib[#Headers],0),FALSE)),"")</f>
        <v/>
      </c>
      <c r="BB120" s="224">
        <f>IFERROR(VLOOKUP(CONCATENATE($A120,"_",BB$1),SP_ACQ_Lib[],MATCH(BB$2,SP_ACQ_Lib[#Headers],0),FALSE),0)</f>
        <v>0</v>
      </c>
      <c r="BC120" s="231">
        <f>IFERROR(VLOOKUP($A120,SP_AcqTract_DB[],MATCH(BC$2,SP_AcqTract_DB[#Headers],0),FALSE),"")</f>
        <v>0</v>
      </c>
      <c r="BD120" s="231">
        <f>IFERROR(VLOOKUP($A120,SP_AcqTract_DB[],MATCH(BD$2,SP_AcqTract_DB[#Headers],0),FALSE),"")</f>
        <v>0</v>
      </c>
      <c r="BE120" s="249" t="str">
        <f>IFERROR(IF(VLOOKUP(CONCATENATE($A120,"_",BE$1),SP_ACQ_Lib[],MATCH(BE$2,SP_ACQ_Lib[#Headers],0),FALSE)=0,"",VLOOKUP(CONCATENATE($A120,"_",BE$1),SP_ACQ_Lib[],MATCH(BE$2,SP_ACQ_Lib[#Headers],0),FALSE)),"")</f>
        <v/>
      </c>
      <c r="BF120" s="249" t="str">
        <f>IFERROR(IF(VLOOKUP(CONCATENATE($A120,"_",BF$1),SP_ACQ_Lib[],MATCH(BF$2,SP_ACQ_Lib[#Headers],0),FALSE)=0,"",VLOOKUP(CONCATENATE($A120,"_",BF$1),SP_ACQ_Lib[],MATCH(BF$2,SP_ACQ_Lib[#Headers],0),FALSE)),"")</f>
        <v/>
      </c>
      <c r="BG120" s="249" t="str">
        <f>IFERROR(IF(VLOOKUP(CONCATENATE($A120,"_",BG$1),SP_ACQ_Lib[],MATCH(BG$2,SP_ACQ_Lib[#Headers],0),FALSE)=0,"",VLOOKUP(CONCATENATE($A120,"_",BG$1),SP_ACQ_Lib[],MATCH(BG$2,SP_ACQ_Lib[#Headers],0),FALSE)),"")</f>
        <v/>
      </c>
      <c r="BH120" s="249" t="str">
        <f>IFERROR(IF(VLOOKUP(CONCATENATE($A120,"_",BH$1),SP_ACQ_Lib[],MATCH(BH$2,SP_ACQ_Lib[#Headers],0),FALSE)=0,"",VLOOKUP(CONCATENATE($A120,"_",BH$1),SP_ACQ_Lib[],MATCH(BH$2,SP_ACQ_Lib[#Headers],0),FALSE)),"")</f>
        <v/>
      </c>
      <c r="BI120" s="249" t="str">
        <f>IFERROR(IF(VLOOKUP(CONCATENATE($A120,"_",BI$1),SP_ACQ_Lib[],MATCH(BI$2,SP_ACQ_Lib[#Headers],0),FALSE)=0,"",VLOOKUP(CONCATENATE($A120,"_",BI$1),SP_ACQ_Lib[],MATCH(BI$2,SP_ACQ_Lib[#Headers],0),FALSE)),"")</f>
        <v/>
      </c>
      <c r="BJ120" s="249" t="str">
        <f>IFERROR(IF(VLOOKUP(CONCATENATE($A120,"_",BJ$1),SP_ACQ_Lib[],MATCH(BJ$2,SP_ACQ_Lib[#Headers],0),FALSE)=0,"",VLOOKUP(CONCATENATE($A120,"_",BJ$1),SP_ACQ_Lib[],MATCH(BJ$2,SP_ACQ_Lib[#Headers],0),FALSE)),"")</f>
        <v/>
      </c>
      <c r="BK120" s="250" t="str">
        <f>IFERROR(IF(VLOOKUP(CONCATENATE($A120,"_",BK$1),SP_ACQ_Lib[],MATCH(BK$2,SP_ACQ_Lib[#Headers],0),FALSE)=0,"",VLOOKUP(CONCATENATE($A120,"_",BK$1),SP_ACQ_Lib[],MATCH(BK$2,SP_ACQ_Lib[#Headers],0),FALSE)),"")</f>
        <v/>
      </c>
      <c r="BL120" s="249" t="str">
        <f>IFERROR(IF(VLOOKUP(CONCATENATE($A120,"_",BL$1),SP_ACQ_Lib[],MATCH(BL$2,SP_ACQ_Lib[#Headers],0),FALSE)=0,"",VLOOKUP(CONCATENATE($A120,"_",BL$1),SP_ACQ_Lib[],MATCH(BL$2,SP_ACQ_Lib[#Headers],0),FALSE)),"")</f>
        <v/>
      </c>
      <c r="BM120" s="249" t="str">
        <f>IFERROR(IF(VLOOKUP(CONCATENATE($A120,"_",BM$1),SP_ACQ_Lib[],MATCH(BM$2,SP_ACQ_Lib[#Headers],0),FALSE)=0,"",VLOOKUP(CONCATENATE($A120,"_",BM$1),SP_ACQ_Lib[],MATCH(BM$2,SP_ACQ_Lib[#Headers],0),FALSE)),"")</f>
        <v/>
      </c>
      <c r="BN120" s="249" t="str">
        <f>IFERROR(IF(VLOOKUP(CONCATENATE($A120,"_",BN$1),SP_ACQ_Lib[],MATCH(BN$2,SP_ACQ_Lib[#Headers],0),FALSE)=0,"",VLOOKUP(CONCATENATE($A120,"_",BN$1),SP_ACQ_Lib[],MATCH(BN$2,SP_ACQ_Lib[#Headers],0),FALSE)),"")</f>
        <v/>
      </c>
    </row>
    <row r="121" spans="1:66" s="226" customFormat="1" ht="15.75" x14ac:dyDescent="0.2">
      <c r="A121" s="192" t="s">
        <v>5358</v>
      </c>
      <c r="B121" s="227" t="str">
        <f>IFERROR(VLOOKUP($A121,SP_AcqTract_DB[],MATCH(B$2,SP_AcqTract_DB[#Headers],0),FALSE),"")</f>
        <v>R070099</v>
      </c>
      <c r="C121" s="228" t="str">
        <f>IFERROR(VLOOKUP($A121,SP_AcqTract_DB[],MATCH(C$2,SP_AcqTract_DB[#Headers],0),FALSE),"")</f>
        <v>PH2</v>
      </c>
      <c r="D121" s="208" t="str">
        <f>IFERROR(VLOOKUP($A121,SP_AcqTract_DB[],MATCH(D$2,SP_AcqTract_DB[#Headers],0),FALSE),"")</f>
        <v>Active</v>
      </c>
      <c r="E121" s="208">
        <f>IFERROR(VLOOKUP($A121,SP_AcqTract_DB[],MATCH(E$2,SP_AcqTract_DB[#Headers],0),FALSE),"")</f>
        <v>0</v>
      </c>
      <c r="F121" s="227">
        <f>IFERROR(VLOOKUP($A121,SP_AcqTract_DB[],MATCH(F$2,SP_AcqTract_DB[#Headers],0),FALSE),"")</f>
        <v>0</v>
      </c>
      <c r="G121" s="227">
        <f>IFERROR(VLOOKUP($A121,SP_AcqTract_DB[],MATCH(G$2,SP_AcqTract_DB[#Headers],0),FALSE),"")</f>
        <v>0</v>
      </c>
      <c r="H121" s="250" t="str">
        <f>IFERROR(IF(VLOOKUP(CONCATENATE($A121,"_",H$1),SP_ACQ_Lib[],MATCH(H$2,SP_ACQ_Lib[#Headers],0),FALSE)=0,"",VLOOKUP(CONCATENATE($A121,"_",H$1),SP_ACQ_Lib[],MATCH(H$2,SP_ACQ_Lib[#Headers],0),FALSE)),"")</f>
        <v/>
      </c>
      <c r="I121" s="227" t="str">
        <f>IFERROR(VLOOKUP($A121,SP_AcqTract_DB[],MATCH(I$2,SP_AcqTract_DB[#Headers],0),FALSE),"")</f>
        <v>Lisa A Pauciello</v>
      </c>
      <c r="J121" s="227">
        <f>IFERROR(VLOOKUP($A121,SP_AcqTract_DB[],MATCH(J$2,SP_AcqTract_DB[#Headers],0),FALSE),"")</f>
        <v>0</v>
      </c>
      <c r="K121" s="227">
        <f>IFERROR(VLOOKUP($A121,SP_AcqTract_DB[],MATCH(K$2,SP_AcqTract_DB[#Headers],0),FALSE),"")</f>
        <v>0</v>
      </c>
      <c r="L121" s="227">
        <f>IFERROR(VLOOKUP($A121,SP_AcqTract_DB[],MATCH(L$2,SP_AcqTract_DB[#Headers],0),FALSE),"")</f>
        <v>0</v>
      </c>
      <c r="M121" s="208">
        <f>IFERROR(VLOOKUP($A121,SP_AcqTract_DB[],MATCH(M$2,SP_AcqTract_DB[#Headers],0),FALSE),"")</f>
        <v>0</v>
      </c>
      <c r="N121" s="227" t="str">
        <f>IFERROR(VLOOKUP($A121,SP_AcqTract_DB[],MATCH(N$2,SP_AcqTract_DB[#Headers],0),FALSE),"")</f>
        <v>715 CR 241</v>
      </c>
      <c r="O121" s="220">
        <f>IFERROR(VLOOKUP($A121,SP_AcqTract_DB[],MATCH(O$2,SP_AcqTract_DB[#Headers],0),FALSE),"")</f>
        <v>0</v>
      </c>
      <c r="P121" s="220">
        <f>IFERROR(VLOOKUP($A121,SP_AcqTract_DB[],MATCH(P$2,SP_AcqTract_DB[#Headers],0),FALSE),"")</f>
        <v>0</v>
      </c>
      <c r="Q121" s="208">
        <f>IFERROR(VLOOKUP($A121,SP_AcqTract_DB[],MATCH(Q$2,SP_AcqTract_DB[#Headers],0),FALSE),"")</f>
        <v>0</v>
      </c>
      <c r="R121" s="250" t="str">
        <f>IFERROR(IF(VLOOKUP(CONCATENATE($A121,"_",R$1),SP_ACQ_Lib[],MATCH(R$2,SP_ACQ_Lib[#Headers],0),FALSE)=0,"",VLOOKUP(CONCATENATE($A121,"_",R$1),SP_ACQ_Lib[],MATCH(R$2,SP_ACQ_Lib[#Headers],0),FALSE)),"")</f>
        <v/>
      </c>
      <c r="S121" s="253" t="str">
        <f>IFERROR(IF(VLOOKUP(CONCATENATE($A121,"_",S$1),SP_ACQ_Lib[],MATCH(S$2,SP_ACQ_Lib[#Headers],0),FALSE)=0,"",VLOOKUP(CONCATENATE($A121,"_",S$1),SP_ACQ_Lib[],MATCH(S$2,SP_ACQ_Lib[#Headers],0),FALSE)),"")</f>
        <v/>
      </c>
      <c r="T121" s="205">
        <f>IFERROR(VLOOKUP(CONCATENATE($A121,"_",T$1),SP_ACQ_Lib[],MATCH(T$2,SP_ACQ_Lib[#Headers],0),FALSE),0)</f>
        <v>0</v>
      </c>
      <c r="U121" s="250" t="str">
        <f>IFERROR(IF(VLOOKUP(CONCATENATE($A121,"_",U$1),SP_ACQ_Lib[],MATCH(U$2,SP_ACQ_Lib[#Headers],0),FALSE)=0,"",VLOOKUP(CONCATENATE($A121,"_",U$1),SP_ACQ_Lib[],MATCH(U$2,SP_ACQ_Lib[#Headers],0),FALSE)),"")</f>
        <v/>
      </c>
      <c r="V121" s="205" t="str">
        <f>IFERROR(VLOOKUP(CONCATENATE($A121,"_",V$1),SP_ACQ_Lib[],MATCH(V$2,SP_ACQ_Lib[#Headers],0),FALSE),0)</f>
        <v>Accepted</v>
      </c>
      <c r="W121" s="209">
        <f>IFERROR(VLOOKUP(CONCATENATE($A121,"_",W$1),SP_ACQ_Lib[],MATCH(W$2,SP_ACQ_Lib[#Headers],0),FALSE),0)</f>
        <v>0</v>
      </c>
      <c r="X121" s="250">
        <f>IFERROR(VLOOKUP($A121,SP_AcqTract_DB[],MATCH(X$2,SP_AcqTract_DB[#Headers],0),FALSE),"")</f>
        <v>0</v>
      </c>
      <c r="Y121" s="237">
        <f>IFERROR(VLOOKUP($A121,SP_AcqTract_DB[],MATCH(Y$2,SP_AcqTract_DB[#Headers],0),FALSE),"")</f>
        <v>0</v>
      </c>
      <c r="Z121" s="229">
        <f>IFERROR(VLOOKUP($A121,SP_AcqTract_DB[],MATCH(Z$2,SP_AcqTract_DB[#Headers],0),FALSE),"")</f>
        <v>0</v>
      </c>
      <c r="AA121" s="229">
        <f>IFERROR(VLOOKUP($A121,SP_AcqTract_DB[],MATCH(AA$2,SP_AcqTract_DB[#Headers],0),FALSE),"")</f>
        <v>0</v>
      </c>
      <c r="AB121" s="250" t="str">
        <f>IFERROR(IF(VLOOKUP(CONCATENATE($A121,"_",AB$1),SP_ACQ_Lib[],MATCH(AB$2,SP_ACQ_Lib[#Headers],0),FALSE)=0,"",VLOOKUP(CONCATENATE($A121,"_",AB$1),SP_ACQ_Lib[],MATCH(AB$2,SP_ACQ_Lib[#Headers],0),FALSE)),"")</f>
        <v/>
      </c>
      <c r="AC121" s="250" t="str">
        <f>IFERROR(IF(VLOOKUP(CONCATENATE($A121,"_",AC$1),SP_ACQ_Lib[],MATCH(AC$2,SP_ACQ_Lib[#Headers],0),FALSE)=0,"",VLOOKUP(CONCATENATE($A121,"_",AC$1),SP_ACQ_Lib[],MATCH(AC$2,SP_ACQ_Lib[#Headers],0),FALSE)),"")</f>
        <v/>
      </c>
      <c r="AD121" s="229">
        <f>IFERROR(VLOOKUP($A121,SP_AcqTract_DB[],MATCH(AD$2,SP_AcqTract_DB[#Headers],0),FALSE),"")</f>
        <v>0</v>
      </c>
      <c r="AE121" s="250" t="str">
        <f>IFERROR(IF(VLOOKUP(CONCATENATE($A121,"_",AE$1),SP_ACQ_Lib[],MATCH(AE$2,SP_ACQ_Lib[#Headers],0),FALSE)=0,"",VLOOKUP(CONCATENATE($A121,"_",AE$1),SP_ACQ_Lib[],MATCH(AE$2,SP_ACQ_Lib[#Headers],0),FALSE)),"")</f>
        <v/>
      </c>
      <c r="AF121" s="250" t="str">
        <f>IFERROR(IF(VLOOKUP(CONCATENATE($A121,"_",AF$1),SP_ACQ_Lib[],MATCH(AF$2,SP_ACQ_Lib[#Headers],0),FALSE)=0,"",VLOOKUP(CONCATENATE($A121,"_",AF$1),SP_ACQ_Lib[],MATCH(AF$2,SP_ACQ_Lib[#Headers],0),FALSE)),"")</f>
        <v/>
      </c>
      <c r="AG121" s="250" t="str">
        <f>IFERROR(IF(VLOOKUP(CONCATENATE($A121,"_",AG$1),SP_ACQ_Lib[],MATCH(AG$2,SP_ACQ_Lib[#Headers],0),FALSE)=0,"",VLOOKUP(CONCATENATE($A121,"_",AG$1),SP_ACQ_Lib[],MATCH(AG$2,SP_ACQ_Lib[#Headers],0),FALSE)),"")</f>
        <v/>
      </c>
      <c r="AH121" s="250" t="str">
        <f>IFERROR(IF(VLOOKUP(CONCATENATE($A121,"_",AH$1),SP_ACQ_Lib[],MATCH(AH$2,SP_ACQ_Lib[#Headers],0),FALSE)=0,"",VLOOKUP(CONCATENATE($A121,"_",AH$1),SP_ACQ_Lib[],MATCH(AH$2,SP_ACQ_Lib[#Headers],0),FALSE)),"")</f>
        <v/>
      </c>
      <c r="AI121" s="249" t="str">
        <f>IFERROR(IF(VLOOKUP(CONCATENATE($A121,"_",AI$1),SP_ACQ_Lib[],MATCH(AI$2,SP_ACQ_Lib[#Headers],0),FALSE)=0,"",VLOOKUP(CONCATENATE($A121,"_",AI$1),SP_ACQ_Lib[],MATCH(AI$2,SP_ACQ_Lib[#Headers],0),FALSE)),"")</f>
        <v/>
      </c>
      <c r="AJ121" s="249">
        <f>IFERROR(IF(VLOOKUP(CONCATENATE($A121,"_",AJ$1),SP_ACQ_Lib[],MATCH(AJ$2,SP_ACQ_Lib[#Headers],0),FALSE)=0,"",VLOOKUP(CONCATENATE($A121,"_",AJ$1),SP_ACQ_Lib[],MATCH(AJ$2,SP_ACQ_Lib[#Headers],0),FALSE)),"")</f>
        <v>43741</v>
      </c>
      <c r="AK121" s="249">
        <f>IFERROR(IF(VLOOKUP(CONCATENATE($A121,"_",AK$1),SP_ACQ_Lib[],MATCH(AK$2,SP_ACQ_Lib[#Headers],0),FALSE)=0,"",VLOOKUP(CONCATENATE($A121,"_",AK$1),SP_ACQ_Lib[],MATCH(AK$2,SP_ACQ_Lib[#Headers],0),FALSE)),"")</f>
        <v>44168</v>
      </c>
      <c r="AL121" s="249">
        <f>IFERROR(VLOOKUP($A121,SP_AcqTract_DB[],MATCH(AL$2,SP_AcqTract_DB[#Headers],0),FALSE),"")</f>
        <v>0</v>
      </c>
      <c r="AM121" s="227">
        <f>IFERROR(VLOOKUP($A121,SP_AcqTract_DB[],MATCH(AM$2,SP_AcqTract_DB[#Headers],0),FALSE),"")</f>
        <v>0</v>
      </c>
      <c r="AN121" s="227">
        <f>IFERROR(VLOOKUP($A121,SP_AcqTract_DB[],MATCH(AN$2,SP_AcqTract_DB[#Headers],0),FALSE),"")</f>
        <v>0</v>
      </c>
      <c r="AO121" s="228">
        <f>IFERROR(VLOOKUP($A121,SP_AcqTract_DB[],MATCH(AO$2,SP_AcqTract_DB[#Headers],0),FALSE),"")</f>
        <v>0</v>
      </c>
      <c r="AP121" s="210">
        <f>IFERROR(VLOOKUP($A121,SP_AcqTract_DB[],MATCH(AP$2,SP_AcqTract_DB[#Headers],0),FALSE),"")</f>
        <v>0</v>
      </c>
      <c r="AQ121" s="252" t="str">
        <f>IFERROR(IF(VLOOKUP(CONCATENATE($A121,"_",AQ$1),SP_ACQ_Lib[],MATCH(AQ$2,SP_ACQ_Lib[#Headers],0),FALSE)=0,"",VLOOKUP(CONCATENATE($A121,"_",AQ$1),SP_ACQ_Lib[],MATCH(AQ$2,SP_ACQ_Lib[#Headers],0),FALSE)),"")</f>
        <v/>
      </c>
      <c r="AR121" s="250" t="str">
        <f>IFERROR(IF(VLOOKUP(CONCATENATE($A121,"_",AR$1),SP_ACQ_Lib[],MATCH(AR$2,SP_ACQ_Lib[#Headers],0),FALSE)=0,"",VLOOKUP(CONCATENATE($A121,"_",AR$1),SP_ACQ_Lib[],MATCH(AR$2,SP_ACQ_Lib[#Headers],0),FALSE)),"")</f>
        <v/>
      </c>
      <c r="AS121" s="249" t="str">
        <f>IFERROR(IF(VLOOKUP(CONCATENATE($A121,"_",AS$1),SP_ACQ_Lib[],MATCH(AS$2,SP_ACQ_Lib[#Headers],0),FALSE)=0,"",VLOOKUP(CONCATENATE($A121,"_",AS$1),SP_ACQ_Lib[],MATCH(AS$2,SP_ACQ_Lib[#Headers],0),FALSE)),"")</f>
        <v/>
      </c>
      <c r="AT121" s="251" t="str">
        <f>IFERROR(IF(VLOOKUP(CONCATENATE($A121,"_",AT$1),SP_ACQ_Lib[],MATCH(AT$2,SP_ACQ_Lib[#Headers],0),FALSE)=0,"",VLOOKUP(CONCATENATE($A121,"_",AT$1),SP_ACQ_Lib[],MATCH(AT$2,SP_ACQ_Lib[#Headers],0),FALSE)),"")</f>
        <v/>
      </c>
      <c r="AU121" s="251" t="str">
        <f>IFERROR(IF(VLOOKUP(CONCATENATE($A121,"_",AU$1),SP_ACQ_Lib[],MATCH(AU$2,SP_ACQ_Lib[#Headers],0),FALSE)=0,"",VLOOKUP(CONCATENATE($A121,"_",AU$1),SP_ACQ_Lib[],MATCH(AU$2,SP_ACQ_Lib[#Headers],0),FALSE)),"")</f>
        <v/>
      </c>
      <c r="AV121" s="225" t="str">
        <f>IFERROR(IF(VLOOKUP(CONCATENATE($A121,"_",AV$1),SP_ACQ_Lib[],MATCH(AV$2,SP_ACQ_Lib[#Headers],0),FALSE)=0,"",VLOOKUP(CONCATENATE($A121,"_",AV$1),SP_ACQ_Lib[],MATCH(AV$2,SP_ACQ_Lib[#Headers],0),FALSE)),"")</f>
        <v/>
      </c>
      <c r="AW121" s="251" t="str">
        <f>IFERROR(IF(VLOOKUP(CONCATENATE($A121,"_",AW$1),SP_ACQ_Lib[],MATCH(AW$2,SP_ACQ_Lib[#Headers],0),FALSE)=0,"",VLOOKUP(CONCATENATE($A121,"_",AW$1),SP_ACQ_Lib[],MATCH(AW$2,SP_ACQ_Lib[#Headers],0),FALSE)),"")</f>
        <v/>
      </c>
      <c r="AX121" s="251" t="str">
        <f>IFERROR(IF(VLOOKUP(CONCATENATE($A121,"_",AX$1),SP_ACQ_Lib[],MATCH(AX$2,SP_ACQ_Lib[#Headers],0),FALSE)=0,"",VLOOKUP(CONCATENATE($A121,"_",AX$1),SP_ACQ_Lib[],MATCH(AX$2,SP_ACQ_Lib[#Headers],0),FALSE)),"")</f>
        <v/>
      </c>
      <c r="AY121" s="251" t="str">
        <f>IFERROR(IF(VLOOKUP(CONCATENATE($A121,"_",AY$1),SP_ACQ_Lib[],MATCH(AY$2,SP_ACQ_Lib[#Headers],0),FALSE)=0,"",VLOOKUP(CONCATENATE($A121,"_",AY$1),SP_ACQ_Lib[],MATCH(AY$2,SP_ACQ_Lib[#Headers],0),FALSE)),"")</f>
        <v/>
      </c>
      <c r="AZ121" s="251" t="str">
        <f>IFERROR(IF(VLOOKUP(CONCATENATE($A121,"_",AZ$1),SP_ACQ_Lib[],MATCH(AZ$2,SP_ACQ_Lib[#Headers],0),FALSE)=0,"",VLOOKUP(CONCATENATE($A121,"_",AZ$1),SP_ACQ_Lib[],MATCH(AZ$2,SP_ACQ_Lib[#Headers],0),FALSE)),"")</f>
        <v/>
      </c>
      <c r="BA121" s="251" t="str">
        <f>IFERROR(IF(VLOOKUP(CONCATENATE($A121,"_",BA$1),SP_ACQ_Lib[],MATCH(BA$2,SP_ACQ_Lib[#Headers],0),FALSE)=0,"",VLOOKUP(CONCATENATE($A121,"_",BA$1),SP_ACQ_Lib[],MATCH(BA$2,SP_ACQ_Lib[#Headers],0),FALSE)),"")</f>
        <v/>
      </c>
      <c r="BB121" s="224">
        <f>IFERROR(VLOOKUP(CONCATENATE($A121,"_",BB$1),SP_ACQ_Lib[],MATCH(BB$2,SP_ACQ_Lib[#Headers],0),FALSE),0)</f>
        <v>0</v>
      </c>
      <c r="BC121" s="231">
        <f>IFERROR(VLOOKUP($A121,SP_AcqTract_DB[],MATCH(BC$2,SP_AcqTract_DB[#Headers],0),FALSE),"")</f>
        <v>0</v>
      </c>
      <c r="BD121" s="231">
        <f>IFERROR(VLOOKUP($A121,SP_AcqTract_DB[],MATCH(BD$2,SP_AcqTract_DB[#Headers],0),FALSE),"")</f>
        <v>0</v>
      </c>
      <c r="BE121" s="249" t="str">
        <f>IFERROR(IF(VLOOKUP(CONCATENATE($A121,"_",BE$1),SP_ACQ_Lib[],MATCH(BE$2,SP_ACQ_Lib[#Headers],0),FALSE)=0,"",VLOOKUP(CONCATENATE($A121,"_",BE$1),SP_ACQ_Lib[],MATCH(BE$2,SP_ACQ_Lib[#Headers],0),FALSE)),"")</f>
        <v/>
      </c>
      <c r="BF121" s="249" t="str">
        <f>IFERROR(IF(VLOOKUP(CONCATENATE($A121,"_",BF$1),SP_ACQ_Lib[],MATCH(BF$2,SP_ACQ_Lib[#Headers],0),FALSE)=0,"",VLOOKUP(CONCATENATE($A121,"_",BF$1),SP_ACQ_Lib[],MATCH(BF$2,SP_ACQ_Lib[#Headers],0),FALSE)),"")</f>
        <v/>
      </c>
      <c r="BG121" s="249" t="str">
        <f>IFERROR(IF(VLOOKUP(CONCATENATE($A121,"_",BG$1),SP_ACQ_Lib[],MATCH(BG$2,SP_ACQ_Lib[#Headers],0),FALSE)=0,"",VLOOKUP(CONCATENATE($A121,"_",BG$1),SP_ACQ_Lib[],MATCH(BG$2,SP_ACQ_Lib[#Headers],0),FALSE)),"")</f>
        <v/>
      </c>
      <c r="BH121" s="249" t="str">
        <f>IFERROR(IF(VLOOKUP(CONCATENATE($A121,"_",BH$1),SP_ACQ_Lib[],MATCH(BH$2,SP_ACQ_Lib[#Headers],0),FALSE)=0,"",VLOOKUP(CONCATENATE($A121,"_",BH$1),SP_ACQ_Lib[],MATCH(BH$2,SP_ACQ_Lib[#Headers],0),FALSE)),"")</f>
        <v/>
      </c>
      <c r="BI121" s="249" t="str">
        <f>IFERROR(IF(VLOOKUP(CONCATENATE($A121,"_",BI$1),SP_ACQ_Lib[],MATCH(BI$2,SP_ACQ_Lib[#Headers],0),FALSE)=0,"",VLOOKUP(CONCATENATE($A121,"_",BI$1),SP_ACQ_Lib[],MATCH(BI$2,SP_ACQ_Lib[#Headers],0),FALSE)),"")</f>
        <v/>
      </c>
      <c r="BJ121" s="249" t="str">
        <f>IFERROR(IF(VLOOKUP(CONCATENATE($A121,"_",BJ$1),SP_ACQ_Lib[],MATCH(BJ$2,SP_ACQ_Lib[#Headers],0),FALSE)=0,"",VLOOKUP(CONCATENATE($A121,"_",BJ$1),SP_ACQ_Lib[],MATCH(BJ$2,SP_ACQ_Lib[#Headers],0),FALSE)),"")</f>
        <v/>
      </c>
      <c r="BK121" s="250" t="str">
        <f>IFERROR(IF(VLOOKUP(CONCATENATE($A121,"_",BK$1),SP_ACQ_Lib[],MATCH(BK$2,SP_ACQ_Lib[#Headers],0),FALSE)=0,"",VLOOKUP(CONCATENATE($A121,"_",BK$1),SP_ACQ_Lib[],MATCH(BK$2,SP_ACQ_Lib[#Headers],0),FALSE)),"")</f>
        <v/>
      </c>
      <c r="BL121" s="249" t="str">
        <f>IFERROR(IF(VLOOKUP(CONCATENATE($A121,"_",BL$1),SP_ACQ_Lib[],MATCH(BL$2,SP_ACQ_Lib[#Headers],0),FALSE)=0,"",VLOOKUP(CONCATENATE($A121,"_",BL$1),SP_ACQ_Lib[],MATCH(BL$2,SP_ACQ_Lib[#Headers],0),FALSE)),"")</f>
        <v/>
      </c>
      <c r="BM121" s="249" t="str">
        <f>IFERROR(IF(VLOOKUP(CONCATENATE($A121,"_",BM$1),SP_ACQ_Lib[],MATCH(BM$2,SP_ACQ_Lib[#Headers],0),FALSE)=0,"",VLOOKUP(CONCATENATE($A121,"_",BM$1),SP_ACQ_Lib[],MATCH(BM$2,SP_ACQ_Lib[#Headers],0),FALSE)),"")</f>
        <v/>
      </c>
      <c r="BN121" s="249" t="str">
        <f>IFERROR(IF(VLOOKUP(CONCATENATE($A121,"_",BN$1),SP_ACQ_Lib[],MATCH(BN$2,SP_ACQ_Lib[#Headers],0),FALSE)=0,"",VLOOKUP(CONCATENATE($A121,"_",BN$1),SP_ACQ_Lib[],MATCH(BN$2,SP_ACQ_Lib[#Headers],0),FALSE)),"")</f>
        <v/>
      </c>
    </row>
    <row r="122" spans="1:66" s="226" customFormat="1" ht="15.75" x14ac:dyDescent="0.2">
      <c r="A122" s="192" t="s">
        <v>5256</v>
      </c>
      <c r="B122" s="227" t="str">
        <f>IFERROR(VLOOKUP($A122,SP_AcqTract_DB[],MATCH(B$2,SP_AcqTract_DB[#Headers],0),FALSE),"")</f>
        <v>R070101</v>
      </c>
      <c r="C122" s="228" t="str">
        <f>IFERROR(VLOOKUP($A122,SP_AcqTract_DB[],MATCH(C$2,SP_AcqTract_DB[#Headers],0),FALSE),"")</f>
        <v>PH2</v>
      </c>
      <c r="D122" s="208" t="str">
        <f>IFERROR(VLOOKUP($A122,SP_AcqTract_DB[],MATCH(D$2,SP_AcqTract_DB[#Headers],0),FALSE),"")</f>
        <v>Active</v>
      </c>
      <c r="E122" s="208">
        <f>IFERROR(VLOOKUP($A122,SP_AcqTract_DB[],MATCH(E$2,SP_AcqTract_DB[#Headers],0),FALSE),"")</f>
        <v>0</v>
      </c>
      <c r="F122" s="227">
        <f>IFERROR(VLOOKUP($A122,SP_AcqTract_DB[],MATCH(F$2,SP_AcqTract_DB[#Headers],0),FALSE),"")</f>
        <v>0</v>
      </c>
      <c r="G122" s="227" t="str">
        <f>IFERROR(VLOOKUP($A122,SP_AcqTract_DB[],MATCH(G$2,SP_AcqTract_DB[#Headers],0),FALSE),"")</f>
        <v>Stateside</v>
      </c>
      <c r="H122" s="250" t="str">
        <f>IFERROR(IF(VLOOKUP(CONCATENATE($A122,"_",H$1),SP_ACQ_Lib[],MATCH(H$2,SP_ACQ_Lib[#Headers],0),FALSE)=0,"",VLOOKUP(CONCATENATE($A122,"_",H$1),SP_ACQ_Lib[],MATCH(H$2,SP_ACQ_Lib[#Headers],0),FALSE)),"")</f>
        <v/>
      </c>
      <c r="I122" s="227" t="str">
        <f>IFERROR(VLOOKUP($A122,SP_AcqTract_DB[],MATCH(I$2,SP_AcqTract_DB[#Headers],0),FALSE),"")</f>
        <v>David Hudlow</v>
      </c>
      <c r="J122" s="227">
        <f>IFERROR(VLOOKUP($A122,SP_AcqTract_DB[],MATCH(J$2,SP_AcqTract_DB[#Headers],0),FALSE),"")</f>
        <v>0</v>
      </c>
      <c r="K122" s="227">
        <f>IFERROR(VLOOKUP($A122,SP_AcqTract_DB[],MATCH(K$2,SP_AcqTract_DB[#Headers],0),FALSE),"")</f>
        <v>0</v>
      </c>
      <c r="L122" s="227">
        <f>IFERROR(VLOOKUP($A122,SP_AcqTract_DB[],MATCH(L$2,SP_AcqTract_DB[#Headers],0),FALSE),"")</f>
        <v>0</v>
      </c>
      <c r="M122" s="208">
        <f>IFERROR(VLOOKUP($A122,SP_AcqTract_DB[],MATCH(M$2,SP_AcqTract_DB[#Headers],0),FALSE),"")</f>
        <v>0</v>
      </c>
      <c r="N122" s="227" t="str">
        <f>IFERROR(VLOOKUP($A122,SP_AcqTract_DB[],MATCH(N$2,SP_AcqTract_DB[#Headers],0),FALSE),"")</f>
        <v>677 CR 241</v>
      </c>
      <c r="O122" s="220">
        <f>IFERROR(VLOOKUP($A122,SP_AcqTract_DB[],MATCH(O$2,SP_AcqTract_DB[#Headers],0),FALSE),"")</f>
        <v>0</v>
      </c>
      <c r="P122" s="220">
        <f>IFERROR(VLOOKUP($A122,SP_AcqTract_DB[],MATCH(P$2,SP_AcqTract_DB[#Headers],0),FALSE),"")</f>
        <v>0</v>
      </c>
      <c r="Q122" s="208">
        <f>IFERROR(VLOOKUP($A122,SP_AcqTract_DB[],MATCH(Q$2,SP_AcqTract_DB[#Headers],0),FALSE),"")</f>
        <v>0</v>
      </c>
      <c r="R122" s="250" t="str">
        <f>IFERROR(IF(VLOOKUP(CONCATENATE($A122,"_",R$1),SP_ACQ_Lib[],MATCH(R$2,SP_ACQ_Lib[#Headers],0),FALSE)=0,"",VLOOKUP(CONCATENATE($A122,"_",R$1),SP_ACQ_Lib[],MATCH(R$2,SP_ACQ_Lib[#Headers],0),FALSE)),"")</f>
        <v/>
      </c>
      <c r="S122" s="253" t="str">
        <f>IFERROR(IF(VLOOKUP(CONCATENATE($A122,"_",S$1),SP_ACQ_Lib[],MATCH(S$2,SP_ACQ_Lib[#Headers],0),FALSE)=0,"",VLOOKUP(CONCATENATE($A122,"_",S$1),SP_ACQ_Lib[],MATCH(S$2,SP_ACQ_Lib[#Headers],0),FALSE)),"")</f>
        <v/>
      </c>
      <c r="T122" s="205">
        <f>IFERROR(VLOOKUP(CONCATENATE($A122,"_",T$1),SP_ACQ_Lib[],MATCH(T$2,SP_ACQ_Lib[#Headers],0),FALSE),0)</f>
        <v>0</v>
      </c>
      <c r="U122" s="250" t="str">
        <f>IFERROR(IF(VLOOKUP(CONCATENATE($A122,"_",U$1),SP_ACQ_Lib[],MATCH(U$2,SP_ACQ_Lib[#Headers],0),FALSE)=0,"",VLOOKUP(CONCATENATE($A122,"_",U$1),SP_ACQ_Lib[],MATCH(U$2,SP_ACQ_Lib[#Headers],0),FALSE)),"")</f>
        <v/>
      </c>
      <c r="V122" s="205" t="str">
        <f>IFERROR(VLOOKUP(CONCATENATE($A122,"_",V$1),SP_ACQ_Lib[],MATCH(V$2,SP_ACQ_Lib[#Headers],0),FALSE),0)</f>
        <v>Accepted</v>
      </c>
      <c r="W122" s="209">
        <f>IFERROR(VLOOKUP(CONCATENATE($A122,"_",W$1),SP_ACQ_Lib[],MATCH(W$2,SP_ACQ_Lib[#Headers],0),FALSE),0)</f>
        <v>0</v>
      </c>
      <c r="X122" s="250">
        <f>IFERROR(VLOOKUP($A122,SP_AcqTract_DB[],MATCH(X$2,SP_AcqTract_DB[#Headers],0),FALSE),"")</f>
        <v>0</v>
      </c>
      <c r="Y122" s="237">
        <f>IFERROR(VLOOKUP($A122,SP_AcqTract_DB[],MATCH(Y$2,SP_AcqTract_DB[#Headers],0),FALSE),"")</f>
        <v>0</v>
      </c>
      <c r="Z122" s="229">
        <f>IFERROR(VLOOKUP($A122,SP_AcqTract_DB[],MATCH(Z$2,SP_AcqTract_DB[#Headers],0),FALSE),"")</f>
        <v>0</v>
      </c>
      <c r="AA122" s="229">
        <f>IFERROR(VLOOKUP($A122,SP_AcqTract_DB[],MATCH(AA$2,SP_AcqTract_DB[#Headers],0),FALSE),"")</f>
        <v>0</v>
      </c>
      <c r="AB122" s="250" t="str">
        <f>IFERROR(IF(VLOOKUP(CONCATENATE($A122,"_",AB$1),SP_ACQ_Lib[],MATCH(AB$2,SP_ACQ_Lib[#Headers],0),FALSE)=0,"",VLOOKUP(CONCATENATE($A122,"_",AB$1),SP_ACQ_Lib[],MATCH(AB$2,SP_ACQ_Lib[#Headers],0),FALSE)),"")</f>
        <v/>
      </c>
      <c r="AC122" s="250" t="str">
        <f>IFERROR(IF(VLOOKUP(CONCATENATE($A122,"_",AC$1),SP_ACQ_Lib[],MATCH(AC$2,SP_ACQ_Lib[#Headers],0),FALSE)=0,"",VLOOKUP(CONCATENATE($A122,"_",AC$1),SP_ACQ_Lib[],MATCH(AC$2,SP_ACQ_Lib[#Headers],0),FALSE)),"")</f>
        <v/>
      </c>
      <c r="AD122" s="229">
        <f>IFERROR(VLOOKUP($A122,SP_AcqTract_DB[],MATCH(AD$2,SP_AcqTract_DB[#Headers],0),FALSE),"")</f>
        <v>0</v>
      </c>
      <c r="AE122" s="250" t="str">
        <f>IFERROR(IF(VLOOKUP(CONCATENATE($A122,"_",AE$1),SP_ACQ_Lib[],MATCH(AE$2,SP_ACQ_Lib[#Headers],0),FALSE)=0,"",VLOOKUP(CONCATENATE($A122,"_",AE$1),SP_ACQ_Lib[],MATCH(AE$2,SP_ACQ_Lib[#Headers],0),FALSE)),"")</f>
        <v/>
      </c>
      <c r="AF122" s="250" t="str">
        <f>IFERROR(IF(VLOOKUP(CONCATENATE($A122,"_",AF$1),SP_ACQ_Lib[],MATCH(AF$2,SP_ACQ_Lib[#Headers],0),FALSE)=0,"",VLOOKUP(CONCATENATE($A122,"_",AF$1),SP_ACQ_Lib[],MATCH(AF$2,SP_ACQ_Lib[#Headers],0),FALSE)),"")</f>
        <v/>
      </c>
      <c r="AG122" s="250" t="str">
        <f>IFERROR(IF(VLOOKUP(CONCATENATE($A122,"_",AG$1),SP_ACQ_Lib[],MATCH(AG$2,SP_ACQ_Lib[#Headers],0),FALSE)=0,"",VLOOKUP(CONCATENATE($A122,"_",AG$1),SP_ACQ_Lib[],MATCH(AG$2,SP_ACQ_Lib[#Headers],0),FALSE)),"")</f>
        <v/>
      </c>
      <c r="AH122" s="250" t="str">
        <f>IFERROR(IF(VLOOKUP(CONCATENATE($A122,"_",AH$1),SP_ACQ_Lib[],MATCH(AH$2,SP_ACQ_Lib[#Headers],0),FALSE)=0,"",VLOOKUP(CONCATENATE($A122,"_",AH$1),SP_ACQ_Lib[],MATCH(AH$2,SP_ACQ_Lib[#Headers],0),FALSE)),"")</f>
        <v/>
      </c>
      <c r="AI122" s="249" t="str">
        <f>IFERROR(IF(VLOOKUP(CONCATENATE($A122,"_",AI$1),SP_ACQ_Lib[],MATCH(AI$2,SP_ACQ_Lib[#Headers],0),FALSE)=0,"",VLOOKUP(CONCATENATE($A122,"_",AI$1),SP_ACQ_Lib[],MATCH(AI$2,SP_ACQ_Lib[#Headers],0),FALSE)),"")</f>
        <v/>
      </c>
      <c r="AJ122" s="249">
        <f>IFERROR(IF(VLOOKUP(CONCATENATE($A122,"_",AJ$1),SP_ACQ_Lib[],MATCH(AJ$2,SP_ACQ_Lib[#Headers],0),FALSE)=0,"",VLOOKUP(CONCATENATE($A122,"_",AJ$1),SP_ACQ_Lib[],MATCH(AJ$2,SP_ACQ_Lib[#Headers],0),FALSE)),"")</f>
        <v>43517</v>
      </c>
      <c r="AK122" s="249">
        <f>IFERROR(IF(VLOOKUP(CONCATENATE($A122,"_",AK$1),SP_ACQ_Lib[],MATCH(AK$2,SP_ACQ_Lib[#Headers],0),FALSE)=0,"",VLOOKUP(CONCATENATE($A122,"_",AK$1),SP_ACQ_Lib[],MATCH(AK$2,SP_ACQ_Lib[#Headers],0),FALSE)),"")</f>
        <v>44248</v>
      </c>
      <c r="AL122" s="249">
        <f>IFERROR(VLOOKUP($A122,SP_AcqTract_DB[],MATCH(AL$2,SP_AcqTract_DB[#Headers],0),FALSE),"")</f>
        <v>0</v>
      </c>
      <c r="AM122" s="227">
        <f>IFERROR(VLOOKUP($A122,SP_AcqTract_DB[],MATCH(AM$2,SP_AcqTract_DB[#Headers],0),FALSE),"")</f>
        <v>0</v>
      </c>
      <c r="AN122" s="227">
        <f>IFERROR(VLOOKUP($A122,SP_AcqTract_DB[],MATCH(AN$2,SP_AcqTract_DB[#Headers],0),FALSE),"")</f>
        <v>0</v>
      </c>
      <c r="AO122" s="228">
        <f>IFERROR(VLOOKUP($A122,SP_AcqTract_DB[],MATCH(AO$2,SP_AcqTract_DB[#Headers],0),FALSE),"")</f>
        <v>0</v>
      </c>
      <c r="AP122" s="210">
        <f>IFERROR(VLOOKUP($A122,SP_AcqTract_DB[],MATCH(AP$2,SP_AcqTract_DB[#Headers],0),FALSE),"")</f>
        <v>0</v>
      </c>
      <c r="AQ122" s="252" t="str">
        <f>IFERROR(IF(VLOOKUP(CONCATENATE($A122,"_",AQ$1),SP_ACQ_Lib[],MATCH(AQ$2,SP_ACQ_Lib[#Headers],0),FALSE)=0,"",VLOOKUP(CONCATENATE($A122,"_",AQ$1),SP_ACQ_Lib[],MATCH(AQ$2,SP_ACQ_Lib[#Headers],0),FALSE)),"")</f>
        <v/>
      </c>
      <c r="AR122" s="250" t="str">
        <f>IFERROR(IF(VLOOKUP(CONCATENATE($A122,"_",AR$1),SP_ACQ_Lib[],MATCH(AR$2,SP_ACQ_Lib[#Headers],0),FALSE)=0,"",VLOOKUP(CONCATENATE($A122,"_",AR$1),SP_ACQ_Lib[],MATCH(AR$2,SP_ACQ_Lib[#Headers],0),FALSE)),"")</f>
        <v/>
      </c>
      <c r="AS122" s="249" t="str">
        <f>IFERROR(IF(VLOOKUP(CONCATENATE($A122,"_",AS$1),SP_ACQ_Lib[],MATCH(AS$2,SP_ACQ_Lib[#Headers],0),FALSE)=0,"",VLOOKUP(CONCATENATE($A122,"_",AS$1),SP_ACQ_Lib[],MATCH(AS$2,SP_ACQ_Lib[#Headers],0),FALSE)),"")</f>
        <v/>
      </c>
      <c r="AT122" s="251" t="str">
        <f>IFERROR(IF(VLOOKUP(CONCATENATE($A122,"_",AT$1),SP_ACQ_Lib[],MATCH(AT$2,SP_ACQ_Lib[#Headers],0),FALSE)=0,"",VLOOKUP(CONCATENATE($A122,"_",AT$1),SP_ACQ_Lib[],MATCH(AT$2,SP_ACQ_Lib[#Headers],0),FALSE)),"")</f>
        <v/>
      </c>
      <c r="AU122" s="251" t="str">
        <f>IFERROR(IF(VLOOKUP(CONCATENATE($A122,"_",AU$1),SP_ACQ_Lib[],MATCH(AU$2,SP_ACQ_Lib[#Headers],0),FALSE)=0,"",VLOOKUP(CONCATENATE($A122,"_",AU$1),SP_ACQ_Lib[],MATCH(AU$2,SP_ACQ_Lib[#Headers],0),FALSE)),"")</f>
        <v/>
      </c>
      <c r="AV122" s="225" t="str">
        <f>IFERROR(IF(VLOOKUP(CONCATENATE($A122,"_",AV$1),SP_ACQ_Lib[],MATCH(AV$2,SP_ACQ_Lib[#Headers],0),FALSE)=0,"",VLOOKUP(CONCATENATE($A122,"_",AV$1),SP_ACQ_Lib[],MATCH(AV$2,SP_ACQ_Lib[#Headers],0),FALSE)),"")</f>
        <v/>
      </c>
      <c r="AW122" s="251" t="str">
        <f>IFERROR(IF(VLOOKUP(CONCATENATE($A122,"_",AW$1),SP_ACQ_Lib[],MATCH(AW$2,SP_ACQ_Lib[#Headers],0),FALSE)=0,"",VLOOKUP(CONCATENATE($A122,"_",AW$1),SP_ACQ_Lib[],MATCH(AW$2,SP_ACQ_Lib[#Headers],0),FALSE)),"")</f>
        <v/>
      </c>
      <c r="AX122" s="251" t="str">
        <f>IFERROR(IF(VLOOKUP(CONCATENATE($A122,"_",AX$1),SP_ACQ_Lib[],MATCH(AX$2,SP_ACQ_Lib[#Headers],0),FALSE)=0,"",VLOOKUP(CONCATENATE($A122,"_",AX$1),SP_ACQ_Lib[],MATCH(AX$2,SP_ACQ_Lib[#Headers],0),FALSE)),"")</f>
        <v/>
      </c>
      <c r="AY122" s="251" t="str">
        <f>IFERROR(IF(VLOOKUP(CONCATENATE($A122,"_",AY$1),SP_ACQ_Lib[],MATCH(AY$2,SP_ACQ_Lib[#Headers],0),FALSE)=0,"",VLOOKUP(CONCATENATE($A122,"_",AY$1),SP_ACQ_Lib[],MATCH(AY$2,SP_ACQ_Lib[#Headers],0),FALSE)),"")</f>
        <v/>
      </c>
      <c r="AZ122" s="251" t="str">
        <f>IFERROR(IF(VLOOKUP(CONCATENATE($A122,"_",AZ$1),SP_ACQ_Lib[],MATCH(AZ$2,SP_ACQ_Lib[#Headers],0),FALSE)=0,"",VLOOKUP(CONCATENATE($A122,"_",AZ$1),SP_ACQ_Lib[],MATCH(AZ$2,SP_ACQ_Lib[#Headers],0),FALSE)),"")</f>
        <v/>
      </c>
      <c r="BA122" s="251" t="str">
        <f>IFERROR(IF(VLOOKUP(CONCATENATE($A122,"_",BA$1),SP_ACQ_Lib[],MATCH(BA$2,SP_ACQ_Lib[#Headers],0),FALSE)=0,"",VLOOKUP(CONCATENATE($A122,"_",BA$1),SP_ACQ_Lib[],MATCH(BA$2,SP_ACQ_Lib[#Headers],0),FALSE)),"")</f>
        <v/>
      </c>
      <c r="BB122" s="224">
        <f>IFERROR(VLOOKUP(CONCATENATE($A122,"_",BB$1),SP_ACQ_Lib[],MATCH(BB$2,SP_ACQ_Lib[#Headers],0),FALSE),0)</f>
        <v>0</v>
      </c>
      <c r="BC122" s="231">
        <f>IFERROR(VLOOKUP($A122,SP_AcqTract_DB[],MATCH(BC$2,SP_AcqTract_DB[#Headers],0),FALSE),"")</f>
        <v>0</v>
      </c>
      <c r="BD122" s="231">
        <f>IFERROR(VLOOKUP($A122,SP_AcqTract_DB[],MATCH(BD$2,SP_AcqTract_DB[#Headers],0),FALSE),"")</f>
        <v>0</v>
      </c>
      <c r="BE122" s="249" t="str">
        <f>IFERROR(IF(VLOOKUP(CONCATENATE($A122,"_",BE$1),SP_ACQ_Lib[],MATCH(BE$2,SP_ACQ_Lib[#Headers],0),FALSE)=0,"",VLOOKUP(CONCATENATE($A122,"_",BE$1),SP_ACQ_Lib[],MATCH(BE$2,SP_ACQ_Lib[#Headers],0),FALSE)),"")</f>
        <v/>
      </c>
      <c r="BF122" s="249" t="str">
        <f>IFERROR(IF(VLOOKUP(CONCATENATE($A122,"_",BF$1),SP_ACQ_Lib[],MATCH(BF$2,SP_ACQ_Lib[#Headers],0),FALSE)=0,"",VLOOKUP(CONCATENATE($A122,"_",BF$1),SP_ACQ_Lib[],MATCH(BF$2,SP_ACQ_Lib[#Headers],0),FALSE)),"")</f>
        <v/>
      </c>
      <c r="BG122" s="249" t="str">
        <f>IFERROR(IF(VLOOKUP(CONCATENATE($A122,"_",BG$1),SP_ACQ_Lib[],MATCH(BG$2,SP_ACQ_Lib[#Headers],0),FALSE)=0,"",VLOOKUP(CONCATENATE($A122,"_",BG$1),SP_ACQ_Lib[],MATCH(BG$2,SP_ACQ_Lib[#Headers],0),FALSE)),"")</f>
        <v/>
      </c>
      <c r="BH122" s="249" t="str">
        <f>IFERROR(IF(VLOOKUP(CONCATENATE($A122,"_",BH$1),SP_ACQ_Lib[],MATCH(BH$2,SP_ACQ_Lib[#Headers],0),FALSE)=0,"",VLOOKUP(CONCATENATE($A122,"_",BH$1),SP_ACQ_Lib[],MATCH(BH$2,SP_ACQ_Lib[#Headers],0),FALSE)),"")</f>
        <v/>
      </c>
      <c r="BI122" s="249" t="str">
        <f>IFERROR(IF(VLOOKUP(CONCATENATE($A122,"_",BI$1),SP_ACQ_Lib[],MATCH(BI$2,SP_ACQ_Lib[#Headers],0),FALSE)=0,"",VLOOKUP(CONCATENATE($A122,"_",BI$1),SP_ACQ_Lib[],MATCH(BI$2,SP_ACQ_Lib[#Headers],0),FALSE)),"")</f>
        <v/>
      </c>
      <c r="BJ122" s="249">
        <f>IFERROR(IF(VLOOKUP(CONCATENATE($A122,"_",BJ$1),SP_ACQ_Lib[],MATCH(BJ$2,SP_ACQ_Lib[#Headers],0),FALSE)=0,"",VLOOKUP(CONCATENATE($A122,"_",BJ$1),SP_ACQ_Lib[],MATCH(BJ$2,SP_ACQ_Lib[#Headers],0),FALSE)),"")</f>
        <v>43815</v>
      </c>
      <c r="BK122" s="250" t="str">
        <f>IFERROR(IF(VLOOKUP(CONCATENATE($A122,"_",BK$1),SP_ACQ_Lib[],MATCH(BK$2,SP_ACQ_Lib[#Headers],0),FALSE)=0,"",VLOOKUP(CONCATENATE($A122,"_",BK$1),SP_ACQ_Lib[],MATCH(BK$2,SP_ACQ_Lib[#Headers],0),FALSE)),"")</f>
        <v/>
      </c>
      <c r="BL122" s="249" t="str">
        <f>IFERROR(IF(VLOOKUP(CONCATENATE($A122,"_",BL$1),SP_ACQ_Lib[],MATCH(BL$2,SP_ACQ_Lib[#Headers],0),FALSE)=0,"",VLOOKUP(CONCATENATE($A122,"_",BL$1),SP_ACQ_Lib[],MATCH(BL$2,SP_ACQ_Lib[#Headers],0),FALSE)),"")</f>
        <v/>
      </c>
      <c r="BM122" s="249" t="str">
        <f>IFERROR(IF(VLOOKUP(CONCATENATE($A122,"_",BM$1),SP_ACQ_Lib[],MATCH(BM$2,SP_ACQ_Lib[#Headers],0),FALSE)=0,"",VLOOKUP(CONCATENATE($A122,"_",BM$1),SP_ACQ_Lib[],MATCH(BM$2,SP_ACQ_Lib[#Headers],0),FALSE)),"")</f>
        <v/>
      </c>
      <c r="BN122" s="249" t="str">
        <f>IFERROR(IF(VLOOKUP(CONCATENATE($A122,"_",BN$1),SP_ACQ_Lib[],MATCH(BN$2,SP_ACQ_Lib[#Headers],0),FALSE)=0,"",VLOOKUP(CONCATENATE($A122,"_",BN$1),SP_ACQ_Lib[],MATCH(BN$2,SP_ACQ_Lib[#Headers],0),FALSE)),"")</f>
        <v/>
      </c>
    </row>
    <row r="123" spans="1:66" s="226" customFormat="1" ht="15.75" x14ac:dyDescent="0.2">
      <c r="A123" s="192" t="s">
        <v>5361</v>
      </c>
      <c r="B123" s="227" t="str">
        <f>IFERROR(VLOOKUP($A123,SP_AcqTract_DB[],MATCH(B$2,SP_AcqTract_DB[#Headers],0),FALSE),"")</f>
        <v>R072725</v>
      </c>
      <c r="C123" s="228" t="str">
        <f>IFERROR(VLOOKUP($A123,SP_AcqTract_DB[],MATCH(C$2,SP_AcqTract_DB[#Headers],0),FALSE),"")</f>
        <v>PH2</v>
      </c>
      <c r="D123" s="208" t="str">
        <f>IFERROR(VLOOKUP($A123,SP_AcqTract_DB[],MATCH(D$2,SP_AcqTract_DB[#Headers],0),FALSE),"")</f>
        <v>Active</v>
      </c>
      <c r="E123" s="208">
        <f>IFERROR(VLOOKUP($A123,SP_AcqTract_DB[],MATCH(E$2,SP_AcqTract_DB[#Headers],0),FALSE),"")</f>
        <v>0</v>
      </c>
      <c r="F123" s="227">
        <f>IFERROR(VLOOKUP($A123,SP_AcqTract_DB[],MATCH(F$2,SP_AcqTract_DB[#Headers],0),FALSE),"")</f>
        <v>0</v>
      </c>
      <c r="G123" s="227" t="str">
        <f>IFERROR(VLOOKUP($A123,SP_AcqTract_DB[],MATCH(G$2,SP_AcqTract_DB[#Headers],0),FALSE),"")</f>
        <v>Darlene Snow</v>
      </c>
      <c r="H123" s="250">
        <f>IFERROR(IF(VLOOKUP(CONCATENATE($A123,"_",H$1),SP_ACQ_Lib[],MATCH(H$2,SP_ACQ_Lib[#Headers],0),FALSE)=0,"",VLOOKUP(CONCATENATE($A123,"_",H$1),SP_ACQ_Lib[],MATCH(H$2,SP_ACQ_Lib[#Headers],0),FALSE)),"")</f>
        <v>44007.880729166667</v>
      </c>
      <c r="I123" s="227" t="str">
        <f>IFERROR(VLOOKUP($A123,SP_AcqTract_DB[],MATCH(I$2,SP_AcqTract_DB[#Headers],0),FALSE),"")</f>
        <v>Sorrella Switch LLC</v>
      </c>
      <c r="J123" s="227">
        <f>IFERROR(VLOOKUP($A123,SP_AcqTract_DB[],MATCH(J$2,SP_AcqTract_DB[#Headers],0),FALSE),"")</f>
        <v>0</v>
      </c>
      <c r="K123" s="227">
        <f>IFERROR(VLOOKUP($A123,SP_AcqTract_DB[],MATCH(K$2,SP_AcqTract_DB[#Headers],0),FALSE),"")</f>
        <v>0</v>
      </c>
      <c r="L123" s="227">
        <f>IFERROR(VLOOKUP($A123,SP_AcqTract_DB[],MATCH(L$2,SP_AcqTract_DB[#Headers],0),FALSE),"")</f>
        <v>0</v>
      </c>
      <c r="M123" s="208">
        <f>IFERROR(VLOOKUP($A123,SP_AcqTract_DB[],MATCH(M$2,SP_AcqTract_DB[#Headers],0),FALSE),"")</f>
        <v>0</v>
      </c>
      <c r="N123" s="227" t="str">
        <f>IFERROR(VLOOKUP($A123,SP_AcqTract_DB[],MATCH(N$2,SP_AcqTract_DB[#Headers],0),FALSE),"")</f>
        <v>4814 FM 102</v>
      </c>
      <c r="O123" s="220">
        <f>IFERROR(VLOOKUP($A123,SP_AcqTract_DB[],MATCH(O$2,SP_AcqTract_DB[#Headers],0),FALSE),"")</f>
        <v>0</v>
      </c>
      <c r="P123" s="220">
        <f>IFERROR(VLOOKUP($A123,SP_AcqTract_DB[],MATCH(P$2,SP_AcqTract_DB[#Headers],0),FALSE),"")</f>
        <v>0</v>
      </c>
      <c r="Q123" s="208">
        <f>IFERROR(VLOOKUP($A123,SP_AcqTract_DB[],MATCH(Q$2,SP_AcqTract_DB[#Headers],0),FALSE),"")</f>
        <v>0</v>
      </c>
      <c r="R123" s="250" t="str">
        <f>IFERROR(IF(VLOOKUP(CONCATENATE($A123,"_",R$1),SP_ACQ_Lib[],MATCH(R$2,SP_ACQ_Lib[#Headers],0),FALSE)=0,"",VLOOKUP(CONCATENATE($A123,"_",R$1),SP_ACQ_Lib[],MATCH(R$2,SP_ACQ_Lib[#Headers],0),FALSE)),"")</f>
        <v/>
      </c>
      <c r="S123" s="253" t="str">
        <f>IFERROR(IF(VLOOKUP(CONCATENATE($A123,"_",S$1),SP_ACQ_Lib[],MATCH(S$2,SP_ACQ_Lib[#Headers],0),FALSE)=0,"",VLOOKUP(CONCATENATE($A123,"_",S$1),SP_ACQ_Lib[],MATCH(S$2,SP_ACQ_Lib[#Headers],0),FALSE)),"")</f>
        <v/>
      </c>
      <c r="T123" s="205">
        <f>IFERROR(VLOOKUP(CONCATENATE($A123,"_",T$1),SP_ACQ_Lib[],MATCH(T$2,SP_ACQ_Lib[#Headers],0),FALSE),0)</f>
        <v>0</v>
      </c>
      <c r="U123" s="250" t="str">
        <f>IFERROR(IF(VLOOKUP(CONCATENATE($A123,"_",U$1),SP_ACQ_Lib[],MATCH(U$2,SP_ACQ_Lib[#Headers],0),FALSE)=0,"",VLOOKUP(CONCATENATE($A123,"_",U$1),SP_ACQ_Lib[],MATCH(U$2,SP_ACQ_Lib[#Headers],0),FALSE)),"")</f>
        <v/>
      </c>
      <c r="V123" s="205" t="str">
        <f>IFERROR(VLOOKUP(CONCATENATE($A123,"_",V$1),SP_ACQ_Lib[],MATCH(V$2,SP_ACQ_Lib[#Headers],0),FALSE),0)</f>
        <v>Accepted</v>
      </c>
      <c r="W123" s="209">
        <f>IFERROR(VLOOKUP(CONCATENATE($A123,"_",W$1),SP_ACQ_Lib[],MATCH(W$2,SP_ACQ_Lib[#Headers],0),FALSE),0)</f>
        <v>0</v>
      </c>
      <c r="X123" s="250">
        <f>IFERROR(VLOOKUP($A123,SP_AcqTract_DB[],MATCH(X$2,SP_AcqTract_DB[#Headers],0),FALSE),"")</f>
        <v>0</v>
      </c>
      <c r="Y123" s="237">
        <f>IFERROR(VLOOKUP($A123,SP_AcqTract_DB[],MATCH(Y$2,SP_AcqTract_DB[#Headers],0),FALSE),"")</f>
        <v>0</v>
      </c>
      <c r="Z123" s="229">
        <f>IFERROR(VLOOKUP($A123,SP_AcqTract_DB[],MATCH(Z$2,SP_AcqTract_DB[#Headers],0),FALSE),"")</f>
        <v>0</v>
      </c>
      <c r="AA123" s="229">
        <f>IFERROR(VLOOKUP($A123,SP_AcqTract_DB[],MATCH(AA$2,SP_AcqTract_DB[#Headers],0),FALSE),"")</f>
        <v>0</v>
      </c>
      <c r="AB123" s="250" t="str">
        <f>IFERROR(IF(VLOOKUP(CONCATENATE($A123,"_",AB$1),SP_ACQ_Lib[],MATCH(AB$2,SP_ACQ_Lib[#Headers],0),FALSE)=0,"",VLOOKUP(CONCATENATE($A123,"_",AB$1),SP_ACQ_Lib[],MATCH(AB$2,SP_ACQ_Lib[#Headers],0),FALSE)),"")</f>
        <v/>
      </c>
      <c r="AC123" s="250" t="str">
        <f>IFERROR(IF(VLOOKUP(CONCATENATE($A123,"_",AC$1),SP_ACQ_Lib[],MATCH(AC$2,SP_ACQ_Lib[#Headers],0),FALSE)=0,"",VLOOKUP(CONCATENATE($A123,"_",AC$1),SP_ACQ_Lib[],MATCH(AC$2,SP_ACQ_Lib[#Headers],0),FALSE)),"")</f>
        <v/>
      </c>
      <c r="AD123" s="229">
        <f>IFERROR(VLOOKUP($A123,SP_AcqTract_DB[],MATCH(AD$2,SP_AcqTract_DB[#Headers],0),FALSE),"")</f>
        <v>0</v>
      </c>
      <c r="AE123" s="250" t="str">
        <f>IFERROR(IF(VLOOKUP(CONCATENATE($A123,"_",AE$1),SP_ACQ_Lib[],MATCH(AE$2,SP_ACQ_Lib[#Headers],0),FALSE)=0,"",VLOOKUP(CONCATENATE($A123,"_",AE$1),SP_ACQ_Lib[],MATCH(AE$2,SP_ACQ_Lib[#Headers],0),FALSE)),"")</f>
        <v/>
      </c>
      <c r="AF123" s="250" t="str">
        <f>IFERROR(IF(VLOOKUP(CONCATENATE($A123,"_",AF$1),SP_ACQ_Lib[],MATCH(AF$2,SP_ACQ_Lib[#Headers],0),FALSE)=0,"",VLOOKUP(CONCATENATE($A123,"_",AF$1),SP_ACQ_Lib[],MATCH(AF$2,SP_ACQ_Lib[#Headers],0),FALSE)),"")</f>
        <v/>
      </c>
      <c r="AG123" s="250" t="str">
        <f>IFERROR(IF(VLOOKUP(CONCATENATE($A123,"_",AG$1),SP_ACQ_Lib[],MATCH(AG$2,SP_ACQ_Lib[#Headers],0),FALSE)=0,"",VLOOKUP(CONCATENATE($A123,"_",AG$1),SP_ACQ_Lib[],MATCH(AG$2,SP_ACQ_Lib[#Headers],0),FALSE)),"")</f>
        <v/>
      </c>
      <c r="AH123" s="250" t="str">
        <f>IFERROR(IF(VLOOKUP(CONCATENATE($A123,"_",AH$1),SP_ACQ_Lib[],MATCH(AH$2,SP_ACQ_Lib[#Headers],0),FALSE)=0,"",VLOOKUP(CONCATENATE($A123,"_",AH$1),SP_ACQ_Lib[],MATCH(AH$2,SP_ACQ_Lib[#Headers],0),FALSE)),"")</f>
        <v/>
      </c>
      <c r="AI123" s="249">
        <f>IFERROR(IF(VLOOKUP(CONCATENATE($A123,"_",AI$1),SP_ACQ_Lib[],MATCH(AI$2,SP_ACQ_Lib[#Headers],0),FALSE)=0,"",VLOOKUP(CONCATENATE($A123,"_",AI$1),SP_ACQ_Lib[],MATCH(AI$2,SP_ACQ_Lib[#Headers],0),FALSE)),"")</f>
        <v>43985</v>
      </c>
      <c r="AJ123" s="249">
        <f>IFERROR(IF(VLOOKUP(CONCATENATE($A123,"_",AJ$1),SP_ACQ_Lib[],MATCH(AJ$2,SP_ACQ_Lib[#Headers],0),FALSE)=0,"",VLOOKUP(CONCATENATE($A123,"_",AJ$1),SP_ACQ_Lib[],MATCH(AJ$2,SP_ACQ_Lib[#Headers],0),FALSE)),"")</f>
        <v>44004</v>
      </c>
      <c r="AK123" s="249">
        <f>IFERROR(IF(VLOOKUP(CONCATENATE($A123,"_",AK$1),SP_ACQ_Lib[],MATCH(AK$2,SP_ACQ_Lib[#Headers],0),FALSE)=0,"",VLOOKUP(CONCATENATE($A123,"_",AK$1),SP_ACQ_Lib[],MATCH(AK$2,SP_ACQ_Lib[#Headers],0),FALSE)),"")</f>
        <v>44187</v>
      </c>
      <c r="AL123" s="249">
        <f>IFERROR(VLOOKUP($A123,SP_AcqTract_DB[],MATCH(AL$2,SP_AcqTract_DB[#Headers],0),FALSE),"")</f>
        <v>0</v>
      </c>
      <c r="AM123" s="227">
        <f>IFERROR(VLOOKUP($A123,SP_AcqTract_DB[],MATCH(AM$2,SP_AcqTract_DB[#Headers],0),FALSE),"")</f>
        <v>0</v>
      </c>
      <c r="AN123" s="227">
        <f>IFERROR(VLOOKUP($A123,SP_AcqTract_DB[],MATCH(AN$2,SP_AcqTract_DB[#Headers],0),FALSE),"")</f>
        <v>0</v>
      </c>
      <c r="AO123" s="228">
        <f>IFERROR(VLOOKUP($A123,SP_AcqTract_DB[],MATCH(AO$2,SP_AcqTract_DB[#Headers],0),FALSE),"")</f>
        <v>0</v>
      </c>
      <c r="AP123" s="210">
        <f>IFERROR(VLOOKUP($A123,SP_AcqTract_DB[],MATCH(AP$2,SP_AcqTract_DB[#Headers],0),FALSE),"")</f>
        <v>0</v>
      </c>
      <c r="AQ123" s="252" t="str">
        <f>IFERROR(IF(VLOOKUP(CONCATENATE($A123,"_",AQ$1),SP_ACQ_Lib[],MATCH(AQ$2,SP_ACQ_Lib[#Headers],0),FALSE)=0,"",VLOOKUP(CONCATENATE($A123,"_",AQ$1),SP_ACQ_Lib[],MATCH(AQ$2,SP_ACQ_Lib[#Headers],0),FALSE)),"")</f>
        <v/>
      </c>
      <c r="AR123" s="250" t="str">
        <f>IFERROR(IF(VLOOKUP(CONCATENATE($A123,"_",AR$1),SP_ACQ_Lib[],MATCH(AR$2,SP_ACQ_Lib[#Headers],0),FALSE)=0,"",VLOOKUP(CONCATENATE($A123,"_",AR$1),SP_ACQ_Lib[],MATCH(AR$2,SP_ACQ_Lib[#Headers],0),FALSE)),"")</f>
        <v/>
      </c>
      <c r="AS123" s="249" t="str">
        <f>IFERROR(IF(VLOOKUP(CONCATENATE($A123,"_",AS$1),SP_ACQ_Lib[],MATCH(AS$2,SP_ACQ_Lib[#Headers],0),FALSE)=0,"",VLOOKUP(CONCATENATE($A123,"_",AS$1),SP_ACQ_Lib[],MATCH(AS$2,SP_ACQ_Lib[#Headers],0),FALSE)),"")</f>
        <v/>
      </c>
      <c r="AT123" s="251" t="str">
        <f>IFERROR(IF(VLOOKUP(CONCATENATE($A123,"_",AT$1),SP_ACQ_Lib[],MATCH(AT$2,SP_ACQ_Lib[#Headers],0),FALSE)=0,"",VLOOKUP(CONCATENATE($A123,"_",AT$1),SP_ACQ_Lib[],MATCH(AT$2,SP_ACQ_Lib[#Headers],0),FALSE)),"")</f>
        <v/>
      </c>
      <c r="AU123" s="251" t="str">
        <f>IFERROR(IF(VLOOKUP(CONCATENATE($A123,"_",AU$1),SP_ACQ_Lib[],MATCH(AU$2,SP_ACQ_Lib[#Headers],0),FALSE)=0,"",VLOOKUP(CONCATENATE($A123,"_",AU$1),SP_ACQ_Lib[],MATCH(AU$2,SP_ACQ_Lib[#Headers],0),FALSE)),"")</f>
        <v/>
      </c>
      <c r="AV123" s="225" t="str">
        <f>IFERROR(IF(VLOOKUP(CONCATENATE($A123,"_",AV$1),SP_ACQ_Lib[],MATCH(AV$2,SP_ACQ_Lib[#Headers],0),FALSE)=0,"",VLOOKUP(CONCATENATE($A123,"_",AV$1),SP_ACQ_Lib[],MATCH(AV$2,SP_ACQ_Lib[#Headers],0),FALSE)),"")</f>
        <v/>
      </c>
      <c r="AW123" s="251" t="str">
        <f>IFERROR(IF(VLOOKUP(CONCATENATE($A123,"_",AW$1),SP_ACQ_Lib[],MATCH(AW$2,SP_ACQ_Lib[#Headers],0),FALSE)=0,"",VLOOKUP(CONCATENATE($A123,"_",AW$1),SP_ACQ_Lib[],MATCH(AW$2,SP_ACQ_Lib[#Headers],0),FALSE)),"")</f>
        <v/>
      </c>
      <c r="AX123" s="251" t="str">
        <f>IFERROR(IF(VLOOKUP(CONCATENATE($A123,"_",AX$1),SP_ACQ_Lib[],MATCH(AX$2,SP_ACQ_Lib[#Headers],0),FALSE)=0,"",VLOOKUP(CONCATENATE($A123,"_",AX$1),SP_ACQ_Lib[],MATCH(AX$2,SP_ACQ_Lib[#Headers],0),FALSE)),"")</f>
        <v/>
      </c>
      <c r="AY123" s="251" t="str">
        <f>IFERROR(IF(VLOOKUP(CONCATENATE($A123,"_",AY$1),SP_ACQ_Lib[],MATCH(AY$2,SP_ACQ_Lib[#Headers],0),FALSE)=0,"",VLOOKUP(CONCATENATE($A123,"_",AY$1),SP_ACQ_Lib[],MATCH(AY$2,SP_ACQ_Lib[#Headers],0),FALSE)),"")</f>
        <v/>
      </c>
      <c r="AZ123" s="251" t="str">
        <f>IFERROR(IF(VLOOKUP(CONCATENATE($A123,"_",AZ$1),SP_ACQ_Lib[],MATCH(AZ$2,SP_ACQ_Lib[#Headers],0),FALSE)=0,"",VLOOKUP(CONCATENATE($A123,"_",AZ$1),SP_ACQ_Lib[],MATCH(AZ$2,SP_ACQ_Lib[#Headers],0),FALSE)),"")</f>
        <v/>
      </c>
      <c r="BA123" s="251" t="str">
        <f>IFERROR(IF(VLOOKUP(CONCATENATE($A123,"_",BA$1),SP_ACQ_Lib[],MATCH(BA$2,SP_ACQ_Lib[#Headers],0),FALSE)=0,"",VLOOKUP(CONCATENATE($A123,"_",BA$1),SP_ACQ_Lib[],MATCH(BA$2,SP_ACQ_Lib[#Headers],0),FALSE)),"")</f>
        <v/>
      </c>
      <c r="BB123" s="224">
        <f>IFERROR(VLOOKUP(CONCATENATE($A123,"_",BB$1),SP_ACQ_Lib[],MATCH(BB$2,SP_ACQ_Lib[#Headers],0),FALSE),0)</f>
        <v>0</v>
      </c>
      <c r="BC123" s="231">
        <f>IFERROR(VLOOKUP($A123,SP_AcqTract_DB[],MATCH(BC$2,SP_AcqTract_DB[#Headers],0),FALSE),"")</f>
        <v>0</v>
      </c>
      <c r="BD123" s="231">
        <f>IFERROR(VLOOKUP($A123,SP_AcqTract_DB[],MATCH(BD$2,SP_AcqTract_DB[#Headers],0),FALSE),"")</f>
        <v>0</v>
      </c>
      <c r="BE123" s="249" t="str">
        <f>IFERROR(IF(VLOOKUP(CONCATENATE($A123,"_",BE$1),SP_ACQ_Lib[],MATCH(BE$2,SP_ACQ_Lib[#Headers],0),FALSE)=0,"",VLOOKUP(CONCATENATE($A123,"_",BE$1),SP_ACQ_Lib[],MATCH(BE$2,SP_ACQ_Lib[#Headers],0),FALSE)),"")</f>
        <v/>
      </c>
      <c r="BF123" s="249" t="str">
        <f>IFERROR(IF(VLOOKUP(CONCATENATE($A123,"_",BF$1),SP_ACQ_Lib[],MATCH(BF$2,SP_ACQ_Lib[#Headers],0),FALSE)=0,"",VLOOKUP(CONCATENATE($A123,"_",BF$1),SP_ACQ_Lib[],MATCH(BF$2,SP_ACQ_Lib[#Headers],0),FALSE)),"")</f>
        <v/>
      </c>
      <c r="BG123" s="249" t="str">
        <f>IFERROR(IF(VLOOKUP(CONCATENATE($A123,"_",BG$1),SP_ACQ_Lib[],MATCH(BG$2,SP_ACQ_Lib[#Headers],0),FALSE)=0,"",VLOOKUP(CONCATENATE($A123,"_",BG$1),SP_ACQ_Lib[],MATCH(BG$2,SP_ACQ_Lib[#Headers],0),FALSE)),"")</f>
        <v/>
      </c>
      <c r="BH123" s="249" t="str">
        <f>IFERROR(IF(VLOOKUP(CONCATENATE($A123,"_",BH$1),SP_ACQ_Lib[],MATCH(BH$2,SP_ACQ_Lib[#Headers],0),FALSE)=0,"",VLOOKUP(CONCATENATE($A123,"_",BH$1),SP_ACQ_Lib[],MATCH(BH$2,SP_ACQ_Lib[#Headers],0),FALSE)),"")</f>
        <v/>
      </c>
      <c r="BI123" s="249" t="str">
        <f>IFERROR(IF(VLOOKUP(CONCATENATE($A123,"_",BI$1),SP_ACQ_Lib[],MATCH(BI$2,SP_ACQ_Lib[#Headers],0),FALSE)=0,"",VLOOKUP(CONCATENATE($A123,"_",BI$1),SP_ACQ_Lib[],MATCH(BI$2,SP_ACQ_Lib[#Headers],0),FALSE)),"")</f>
        <v/>
      </c>
      <c r="BJ123" s="249" t="str">
        <f>IFERROR(IF(VLOOKUP(CONCATENATE($A123,"_",BJ$1),SP_ACQ_Lib[],MATCH(BJ$2,SP_ACQ_Lib[#Headers],0),FALSE)=0,"",VLOOKUP(CONCATENATE($A123,"_",BJ$1),SP_ACQ_Lib[],MATCH(BJ$2,SP_ACQ_Lib[#Headers],0),FALSE)),"")</f>
        <v/>
      </c>
      <c r="BK123" s="250" t="str">
        <f>IFERROR(IF(VLOOKUP(CONCATENATE($A123,"_",BK$1),SP_ACQ_Lib[],MATCH(BK$2,SP_ACQ_Lib[#Headers],0),FALSE)=0,"",VLOOKUP(CONCATENATE($A123,"_",BK$1),SP_ACQ_Lib[],MATCH(BK$2,SP_ACQ_Lib[#Headers],0),FALSE)),"")</f>
        <v/>
      </c>
      <c r="BL123" s="249" t="str">
        <f>IFERROR(IF(VLOOKUP(CONCATENATE($A123,"_",BL$1),SP_ACQ_Lib[],MATCH(BL$2,SP_ACQ_Lib[#Headers],0),FALSE)=0,"",VLOOKUP(CONCATENATE($A123,"_",BL$1),SP_ACQ_Lib[],MATCH(BL$2,SP_ACQ_Lib[#Headers],0),FALSE)),"")</f>
        <v/>
      </c>
      <c r="BM123" s="249" t="str">
        <f>IFERROR(IF(VLOOKUP(CONCATENATE($A123,"_",BM$1),SP_ACQ_Lib[],MATCH(BM$2,SP_ACQ_Lib[#Headers],0),FALSE)=0,"",VLOOKUP(CONCATENATE($A123,"_",BM$1),SP_ACQ_Lib[],MATCH(BM$2,SP_ACQ_Lib[#Headers],0),FALSE)),"")</f>
        <v/>
      </c>
      <c r="BN123" s="249" t="str">
        <f>IFERROR(IF(VLOOKUP(CONCATENATE($A123,"_",BN$1),SP_ACQ_Lib[],MATCH(BN$2,SP_ACQ_Lib[#Headers],0),FALSE)=0,"",VLOOKUP(CONCATENATE($A123,"_",BN$1),SP_ACQ_Lib[],MATCH(BN$2,SP_ACQ_Lib[#Headers],0),FALSE)),"")</f>
        <v/>
      </c>
    </row>
    <row r="124" spans="1:66" s="226" customFormat="1" ht="15.75" x14ac:dyDescent="0.2">
      <c r="A124" s="192" t="s">
        <v>5363</v>
      </c>
      <c r="B124" s="227" t="str">
        <f>IFERROR(VLOOKUP($A124,SP_AcqTract_DB[],MATCH(B$2,SP_AcqTract_DB[#Headers],0),FALSE),"")</f>
        <v>R073362</v>
      </c>
      <c r="C124" s="228" t="str">
        <f>IFERROR(VLOOKUP($A124,SP_AcqTract_DB[],MATCH(C$2,SP_AcqTract_DB[#Headers],0),FALSE),"")</f>
        <v>PH2</v>
      </c>
      <c r="D124" s="208" t="str">
        <f>IFERROR(VLOOKUP($A124,SP_AcqTract_DB[],MATCH(D$2,SP_AcqTract_DB[#Headers],0),FALSE),"")</f>
        <v>Active</v>
      </c>
      <c r="E124" s="208">
        <f>IFERROR(VLOOKUP($A124,SP_AcqTract_DB[],MATCH(E$2,SP_AcqTract_DB[#Headers],0),FALSE),"")</f>
        <v>0</v>
      </c>
      <c r="F124" s="227">
        <f>IFERROR(VLOOKUP($A124,SP_AcqTract_DB[],MATCH(F$2,SP_AcqTract_DB[#Headers],0),FALSE),"")</f>
        <v>0</v>
      </c>
      <c r="G124" s="227" t="str">
        <f>IFERROR(VLOOKUP($A124,SP_AcqTract_DB[],MATCH(G$2,SP_AcqTract_DB[#Headers],0),FALSE),"")</f>
        <v>Melissa DeLeon</v>
      </c>
      <c r="H124" s="250">
        <f>IFERROR(IF(VLOOKUP(CONCATENATE($A124,"_",H$1),SP_ACQ_Lib[],MATCH(H$2,SP_ACQ_Lib[#Headers],0),FALSE)=0,"",VLOOKUP(CONCATENATE($A124,"_",H$1),SP_ACQ_Lib[],MATCH(H$2,SP_ACQ_Lib[#Headers],0),FALSE)),"")</f>
        <v>44011.966064814813</v>
      </c>
      <c r="I124" s="227" t="str">
        <f>IFERROR(VLOOKUP($A124,SP_AcqTract_DB[],MATCH(I$2,SP_AcqTract_DB[#Headers],0),FALSE),"")</f>
        <v>Kocian Adam &amp; Kerry Jo</v>
      </c>
      <c r="J124" s="227">
        <f>IFERROR(VLOOKUP($A124,SP_AcqTract_DB[],MATCH(J$2,SP_AcqTract_DB[#Headers],0),FALSE),"")</f>
        <v>0</v>
      </c>
      <c r="K124" s="227">
        <f>IFERROR(VLOOKUP($A124,SP_AcqTract_DB[],MATCH(K$2,SP_AcqTract_DB[#Headers],0),FALSE),"")</f>
        <v>0</v>
      </c>
      <c r="L124" s="227">
        <f>IFERROR(VLOOKUP($A124,SP_AcqTract_DB[],MATCH(L$2,SP_AcqTract_DB[#Headers],0),FALSE),"")</f>
        <v>0</v>
      </c>
      <c r="M124" s="208">
        <f>IFERROR(VLOOKUP($A124,SP_AcqTract_DB[],MATCH(M$2,SP_AcqTract_DB[#Headers],0),FALSE),"")</f>
        <v>0</v>
      </c>
      <c r="N124" s="227" t="str">
        <f>IFERROR(VLOOKUP($A124,SP_AcqTract_DB[],MATCH(N$2,SP_AcqTract_DB[#Headers],0),FALSE),"")</f>
        <v>439 CR 150</v>
      </c>
      <c r="O124" s="220">
        <f>IFERROR(VLOOKUP($A124,SP_AcqTract_DB[],MATCH(O$2,SP_AcqTract_DB[#Headers],0),FALSE),"")</f>
        <v>0</v>
      </c>
      <c r="P124" s="220">
        <f>IFERROR(VLOOKUP($A124,SP_AcqTract_DB[],MATCH(P$2,SP_AcqTract_DB[#Headers],0),FALSE),"")</f>
        <v>0</v>
      </c>
      <c r="Q124" s="208">
        <f>IFERROR(VLOOKUP($A124,SP_AcqTract_DB[],MATCH(Q$2,SP_AcqTract_DB[#Headers],0),FALSE),"")</f>
        <v>0</v>
      </c>
      <c r="R124" s="250" t="str">
        <f>IFERROR(IF(VLOOKUP(CONCATENATE($A124,"_",R$1),SP_ACQ_Lib[],MATCH(R$2,SP_ACQ_Lib[#Headers],0),FALSE)=0,"",VLOOKUP(CONCATENATE($A124,"_",R$1),SP_ACQ_Lib[],MATCH(R$2,SP_ACQ_Lib[#Headers],0),FALSE)),"")</f>
        <v/>
      </c>
      <c r="S124" s="253" t="str">
        <f>IFERROR(IF(VLOOKUP(CONCATENATE($A124,"_",S$1),SP_ACQ_Lib[],MATCH(S$2,SP_ACQ_Lib[#Headers],0),FALSE)=0,"",VLOOKUP(CONCATENATE($A124,"_",S$1),SP_ACQ_Lib[],MATCH(S$2,SP_ACQ_Lib[#Headers],0),FALSE)),"")</f>
        <v/>
      </c>
      <c r="T124" s="205">
        <f>IFERROR(VLOOKUP(CONCATENATE($A124,"_",T$1),SP_ACQ_Lib[],MATCH(T$2,SP_ACQ_Lib[#Headers],0),FALSE),0)</f>
        <v>0</v>
      </c>
      <c r="U124" s="250" t="str">
        <f>IFERROR(IF(VLOOKUP(CONCATENATE($A124,"_",U$1),SP_ACQ_Lib[],MATCH(U$2,SP_ACQ_Lib[#Headers],0),FALSE)=0,"",VLOOKUP(CONCATENATE($A124,"_",U$1),SP_ACQ_Lib[],MATCH(U$2,SP_ACQ_Lib[#Headers],0),FALSE)),"")</f>
        <v/>
      </c>
      <c r="V124" s="205" t="str">
        <f>IFERROR(VLOOKUP(CONCATENATE($A124,"_",V$1),SP_ACQ_Lib[],MATCH(V$2,SP_ACQ_Lib[#Headers],0),FALSE),0)</f>
        <v>Accepted</v>
      </c>
      <c r="W124" s="209">
        <f>IFERROR(VLOOKUP(CONCATENATE($A124,"_",W$1),SP_ACQ_Lib[],MATCH(W$2,SP_ACQ_Lib[#Headers],0),FALSE),0)</f>
        <v>0</v>
      </c>
      <c r="X124" s="250">
        <f>IFERROR(VLOOKUP($A124,SP_AcqTract_DB[],MATCH(X$2,SP_AcqTract_DB[#Headers],0),FALSE),"")</f>
        <v>0</v>
      </c>
      <c r="Y124" s="237">
        <f>IFERROR(VLOOKUP($A124,SP_AcqTract_DB[],MATCH(Y$2,SP_AcqTract_DB[#Headers],0),FALSE),"")</f>
        <v>0</v>
      </c>
      <c r="Z124" s="229">
        <f>IFERROR(VLOOKUP($A124,SP_AcqTract_DB[],MATCH(Z$2,SP_AcqTract_DB[#Headers],0),FALSE),"")</f>
        <v>0</v>
      </c>
      <c r="AA124" s="229">
        <f>IFERROR(VLOOKUP($A124,SP_AcqTract_DB[],MATCH(AA$2,SP_AcqTract_DB[#Headers],0),FALSE),"")</f>
        <v>0</v>
      </c>
      <c r="AB124" s="250" t="str">
        <f>IFERROR(IF(VLOOKUP(CONCATENATE($A124,"_",AB$1),SP_ACQ_Lib[],MATCH(AB$2,SP_ACQ_Lib[#Headers],0),FALSE)=0,"",VLOOKUP(CONCATENATE($A124,"_",AB$1),SP_ACQ_Lib[],MATCH(AB$2,SP_ACQ_Lib[#Headers],0),FALSE)),"")</f>
        <v/>
      </c>
      <c r="AC124" s="250" t="str">
        <f>IFERROR(IF(VLOOKUP(CONCATENATE($A124,"_",AC$1),SP_ACQ_Lib[],MATCH(AC$2,SP_ACQ_Lib[#Headers],0),FALSE)=0,"",VLOOKUP(CONCATENATE($A124,"_",AC$1),SP_ACQ_Lib[],MATCH(AC$2,SP_ACQ_Lib[#Headers],0),FALSE)),"")</f>
        <v/>
      </c>
      <c r="AD124" s="229">
        <f>IFERROR(VLOOKUP($A124,SP_AcqTract_DB[],MATCH(AD$2,SP_AcqTract_DB[#Headers],0),FALSE),"")</f>
        <v>0</v>
      </c>
      <c r="AE124" s="250" t="str">
        <f>IFERROR(IF(VLOOKUP(CONCATENATE($A124,"_",AE$1),SP_ACQ_Lib[],MATCH(AE$2,SP_ACQ_Lib[#Headers],0),FALSE)=0,"",VLOOKUP(CONCATENATE($A124,"_",AE$1),SP_ACQ_Lib[],MATCH(AE$2,SP_ACQ_Lib[#Headers],0),FALSE)),"")</f>
        <v/>
      </c>
      <c r="AF124" s="250" t="str">
        <f>IFERROR(IF(VLOOKUP(CONCATENATE($A124,"_",AF$1),SP_ACQ_Lib[],MATCH(AF$2,SP_ACQ_Lib[#Headers],0),FALSE)=0,"",VLOOKUP(CONCATENATE($A124,"_",AF$1),SP_ACQ_Lib[],MATCH(AF$2,SP_ACQ_Lib[#Headers],0),FALSE)),"")</f>
        <v/>
      </c>
      <c r="AG124" s="250" t="str">
        <f>IFERROR(IF(VLOOKUP(CONCATENATE($A124,"_",AG$1),SP_ACQ_Lib[],MATCH(AG$2,SP_ACQ_Lib[#Headers],0),FALSE)=0,"",VLOOKUP(CONCATENATE($A124,"_",AG$1),SP_ACQ_Lib[],MATCH(AG$2,SP_ACQ_Lib[#Headers],0),FALSE)),"")</f>
        <v/>
      </c>
      <c r="AH124" s="250" t="str">
        <f>IFERROR(IF(VLOOKUP(CONCATENATE($A124,"_",AH$1),SP_ACQ_Lib[],MATCH(AH$2,SP_ACQ_Lib[#Headers],0),FALSE)=0,"",VLOOKUP(CONCATENATE($A124,"_",AH$1),SP_ACQ_Lib[],MATCH(AH$2,SP_ACQ_Lib[#Headers],0),FALSE)),"")</f>
        <v/>
      </c>
      <c r="AI124" s="249">
        <f>IFERROR(IF(VLOOKUP(CONCATENATE($A124,"_",AI$1),SP_ACQ_Lib[],MATCH(AI$2,SP_ACQ_Lib[#Headers],0),FALSE)=0,"",VLOOKUP(CONCATENATE($A124,"_",AI$1),SP_ACQ_Lib[],MATCH(AI$2,SP_ACQ_Lib[#Headers],0),FALSE)),"")</f>
        <v>43985</v>
      </c>
      <c r="AJ124" s="249" t="str">
        <f>IFERROR(IF(VLOOKUP(CONCATENATE($A124,"_",AJ$1),SP_ACQ_Lib[],MATCH(AJ$2,SP_ACQ_Lib[#Headers],0),FALSE)=0,"",VLOOKUP(CONCATENATE($A124,"_",AJ$1),SP_ACQ_Lib[],MATCH(AJ$2,SP_ACQ_Lib[#Headers],0),FALSE)),"")</f>
        <v/>
      </c>
      <c r="AK124" s="249" t="str">
        <f>IFERROR(IF(VLOOKUP(CONCATENATE($A124,"_",AK$1),SP_ACQ_Lib[],MATCH(AK$2,SP_ACQ_Lib[#Headers],0),FALSE)=0,"",VLOOKUP(CONCATENATE($A124,"_",AK$1),SP_ACQ_Lib[],MATCH(AK$2,SP_ACQ_Lib[#Headers],0),FALSE)),"")</f>
        <v/>
      </c>
      <c r="AL124" s="249">
        <f>IFERROR(VLOOKUP($A124,SP_AcqTract_DB[],MATCH(AL$2,SP_AcqTract_DB[#Headers],0),FALSE),"")</f>
        <v>0</v>
      </c>
      <c r="AM124" s="227">
        <f>IFERROR(VLOOKUP($A124,SP_AcqTract_DB[],MATCH(AM$2,SP_AcqTract_DB[#Headers],0),FALSE),"")</f>
        <v>0</v>
      </c>
      <c r="AN124" s="227">
        <f>IFERROR(VLOOKUP($A124,SP_AcqTract_DB[],MATCH(AN$2,SP_AcqTract_DB[#Headers],0),FALSE),"")</f>
        <v>0</v>
      </c>
      <c r="AO124" s="228">
        <f>IFERROR(VLOOKUP($A124,SP_AcqTract_DB[],MATCH(AO$2,SP_AcqTract_DB[#Headers],0),FALSE),"")</f>
        <v>0</v>
      </c>
      <c r="AP124" s="210">
        <f>IFERROR(VLOOKUP($A124,SP_AcqTract_DB[],MATCH(AP$2,SP_AcqTract_DB[#Headers],0),FALSE),"")</f>
        <v>0</v>
      </c>
      <c r="AQ124" s="252" t="str">
        <f>IFERROR(IF(VLOOKUP(CONCATENATE($A124,"_",AQ$1),SP_ACQ_Lib[],MATCH(AQ$2,SP_ACQ_Lib[#Headers],0),FALSE)=0,"",VLOOKUP(CONCATENATE($A124,"_",AQ$1),SP_ACQ_Lib[],MATCH(AQ$2,SP_ACQ_Lib[#Headers],0),FALSE)),"")</f>
        <v/>
      </c>
      <c r="AR124" s="250" t="str">
        <f>IFERROR(IF(VLOOKUP(CONCATENATE($A124,"_",AR$1),SP_ACQ_Lib[],MATCH(AR$2,SP_ACQ_Lib[#Headers],0),FALSE)=0,"",VLOOKUP(CONCATENATE($A124,"_",AR$1),SP_ACQ_Lib[],MATCH(AR$2,SP_ACQ_Lib[#Headers],0),FALSE)),"")</f>
        <v/>
      </c>
      <c r="AS124" s="249" t="str">
        <f>IFERROR(IF(VLOOKUP(CONCATENATE($A124,"_",AS$1),SP_ACQ_Lib[],MATCH(AS$2,SP_ACQ_Lib[#Headers],0),FALSE)=0,"",VLOOKUP(CONCATENATE($A124,"_",AS$1),SP_ACQ_Lib[],MATCH(AS$2,SP_ACQ_Lib[#Headers],0),FALSE)),"")</f>
        <v/>
      </c>
      <c r="AT124" s="251" t="str">
        <f>IFERROR(IF(VLOOKUP(CONCATENATE($A124,"_",AT$1),SP_ACQ_Lib[],MATCH(AT$2,SP_ACQ_Lib[#Headers],0),FALSE)=0,"",VLOOKUP(CONCATENATE($A124,"_",AT$1),SP_ACQ_Lib[],MATCH(AT$2,SP_ACQ_Lib[#Headers],0),FALSE)),"")</f>
        <v/>
      </c>
      <c r="AU124" s="251" t="str">
        <f>IFERROR(IF(VLOOKUP(CONCATENATE($A124,"_",AU$1),SP_ACQ_Lib[],MATCH(AU$2,SP_ACQ_Lib[#Headers],0),FALSE)=0,"",VLOOKUP(CONCATENATE($A124,"_",AU$1),SP_ACQ_Lib[],MATCH(AU$2,SP_ACQ_Lib[#Headers],0),FALSE)),"")</f>
        <v/>
      </c>
      <c r="AV124" s="225" t="str">
        <f>IFERROR(IF(VLOOKUP(CONCATENATE($A124,"_",AV$1),SP_ACQ_Lib[],MATCH(AV$2,SP_ACQ_Lib[#Headers],0),FALSE)=0,"",VLOOKUP(CONCATENATE($A124,"_",AV$1),SP_ACQ_Lib[],MATCH(AV$2,SP_ACQ_Lib[#Headers],0),FALSE)),"")</f>
        <v/>
      </c>
      <c r="AW124" s="251" t="str">
        <f>IFERROR(IF(VLOOKUP(CONCATENATE($A124,"_",AW$1),SP_ACQ_Lib[],MATCH(AW$2,SP_ACQ_Lib[#Headers],0),FALSE)=0,"",VLOOKUP(CONCATENATE($A124,"_",AW$1),SP_ACQ_Lib[],MATCH(AW$2,SP_ACQ_Lib[#Headers],0),FALSE)),"")</f>
        <v/>
      </c>
      <c r="AX124" s="251" t="str">
        <f>IFERROR(IF(VLOOKUP(CONCATENATE($A124,"_",AX$1),SP_ACQ_Lib[],MATCH(AX$2,SP_ACQ_Lib[#Headers],0),FALSE)=0,"",VLOOKUP(CONCATENATE($A124,"_",AX$1),SP_ACQ_Lib[],MATCH(AX$2,SP_ACQ_Lib[#Headers],0),FALSE)),"")</f>
        <v/>
      </c>
      <c r="AY124" s="251" t="str">
        <f>IFERROR(IF(VLOOKUP(CONCATENATE($A124,"_",AY$1),SP_ACQ_Lib[],MATCH(AY$2,SP_ACQ_Lib[#Headers],0),FALSE)=0,"",VLOOKUP(CONCATENATE($A124,"_",AY$1),SP_ACQ_Lib[],MATCH(AY$2,SP_ACQ_Lib[#Headers],0),FALSE)),"")</f>
        <v/>
      </c>
      <c r="AZ124" s="251" t="str">
        <f>IFERROR(IF(VLOOKUP(CONCATENATE($A124,"_",AZ$1),SP_ACQ_Lib[],MATCH(AZ$2,SP_ACQ_Lib[#Headers],0),FALSE)=0,"",VLOOKUP(CONCATENATE($A124,"_",AZ$1),SP_ACQ_Lib[],MATCH(AZ$2,SP_ACQ_Lib[#Headers],0),FALSE)),"")</f>
        <v/>
      </c>
      <c r="BA124" s="251" t="str">
        <f>IFERROR(IF(VLOOKUP(CONCATENATE($A124,"_",BA$1),SP_ACQ_Lib[],MATCH(BA$2,SP_ACQ_Lib[#Headers],0),FALSE)=0,"",VLOOKUP(CONCATENATE($A124,"_",BA$1),SP_ACQ_Lib[],MATCH(BA$2,SP_ACQ_Lib[#Headers],0),FALSE)),"")</f>
        <v/>
      </c>
      <c r="BB124" s="224">
        <f>IFERROR(VLOOKUP(CONCATENATE($A124,"_",BB$1),SP_ACQ_Lib[],MATCH(BB$2,SP_ACQ_Lib[#Headers],0),FALSE),0)</f>
        <v>0</v>
      </c>
      <c r="BC124" s="231">
        <f>IFERROR(VLOOKUP($A124,SP_AcqTract_DB[],MATCH(BC$2,SP_AcqTract_DB[#Headers],0),FALSE),"")</f>
        <v>0</v>
      </c>
      <c r="BD124" s="231">
        <f>IFERROR(VLOOKUP($A124,SP_AcqTract_DB[],MATCH(BD$2,SP_AcqTract_DB[#Headers],0),FALSE),"")</f>
        <v>0</v>
      </c>
      <c r="BE124" s="249" t="str">
        <f>IFERROR(IF(VLOOKUP(CONCATENATE($A124,"_",BE$1),SP_ACQ_Lib[],MATCH(BE$2,SP_ACQ_Lib[#Headers],0),FALSE)=0,"",VLOOKUP(CONCATENATE($A124,"_",BE$1),SP_ACQ_Lib[],MATCH(BE$2,SP_ACQ_Lib[#Headers],0),FALSE)),"")</f>
        <v/>
      </c>
      <c r="BF124" s="249" t="str">
        <f>IFERROR(IF(VLOOKUP(CONCATENATE($A124,"_",BF$1),SP_ACQ_Lib[],MATCH(BF$2,SP_ACQ_Lib[#Headers],0),FALSE)=0,"",VLOOKUP(CONCATENATE($A124,"_",BF$1),SP_ACQ_Lib[],MATCH(BF$2,SP_ACQ_Lib[#Headers],0),FALSE)),"")</f>
        <v/>
      </c>
      <c r="BG124" s="249" t="str">
        <f>IFERROR(IF(VLOOKUP(CONCATENATE($A124,"_",BG$1),SP_ACQ_Lib[],MATCH(BG$2,SP_ACQ_Lib[#Headers],0),FALSE)=0,"",VLOOKUP(CONCATENATE($A124,"_",BG$1),SP_ACQ_Lib[],MATCH(BG$2,SP_ACQ_Lib[#Headers],0),FALSE)),"")</f>
        <v/>
      </c>
      <c r="BH124" s="249" t="str">
        <f>IFERROR(IF(VLOOKUP(CONCATENATE($A124,"_",BH$1),SP_ACQ_Lib[],MATCH(BH$2,SP_ACQ_Lib[#Headers],0),FALSE)=0,"",VLOOKUP(CONCATENATE($A124,"_",BH$1),SP_ACQ_Lib[],MATCH(BH$2,SP_ACQ_Lib[#Headers],0),FALSE)),"")</f>
        <v/>
      </c>
      <c r="BI124" s="249" t="str">
        <f>IFERROR(IF(VLOOKUP(CONCATENATE($A124,"_",BI$1),SP_ACQ_Lib[],MATCH(BI$2,SP_ACQ_Lib[#Headers],0),FALSE)=0,"",VLOOKUP(CONCATENATE($A124,"_",BI$1),SP_ACQ_Lib[],MATCH(BI$2,SP_ACQ_Lib[#Headers],0),FALSE)),"")</f>
        <v/>
      </c>
      <c r="BJ124" s="249" t="str">
        <f>IFERROR(IF(VLOOKUP(CONCATENATE($A124,"_",BJ$1),SP_ACQ_Lib[],MATCH(BJ$2,SP_ACQ_Lib[#Headers],0),FALSE)=0,"",VLOOKUP(CONCATENATE($A124,"_",BJ$1),SP_ACQ_Lib[],MATCH(BJ$2,SP_ACQ_Lib[#Headers],0),FALSE)),"")</f>
        <v/>
      </c>
      <c r="BK124" s="250" t="str">
        <f>IFERROR(IF(VLOOKUP(CONCATENATE($A124,"_",BK$1),SP_ACQ_Lib[],MATCH(BK$2,SP_ACQ_Lib[#Headers],0),FALSE)=0,"",VLOOKUP(CONCATENATE($A124,"_",BK$1),SP_ACQ_Lib[],MATCH(BK$2,SP_ACQ_Lib[#Headers],0),FALSE)),"")</f>
        <v/>
      </c>
      <c r="BL124" s="249" t="str">
        <f>IFERROR(IF(VLOOKUP(CONCATENATE($A124,"_",BL$1),SP_ACQ_Lib[],MATCH(BL$2,SP_ACQ_Lib[#Headers],0),FALSE)=0,"",VLOOKUP(CONCATENATE($A124,"_",BL$1),SP_ACQ_Lib[],MATCH(BL$2,SP_ACQ_Lib[#Headers],0),FALSE)),"")</f>
        <v/>
      </c>
      <c r="BM124" s="249" t="str">
        <f>IFERROR(IF(VLOOKUP(CONCATENATE($A124,"_",BM$1),SP_ACQ_Lib[],MATCH(BM$2,SP_ACQ_Lib[#Headers],0),FALSE)=0,"",VLOOKUP(CONCATENATE($A124,"_",BM$1),SP_ACQ_Lib[],MATCH(BM$2,SP_ACQ_Lib[#Headers],0),FALSE)),"")</f>
        <v/>
      </c>
      <c r="BN124" s="249" t="str">
        <f>IFERROR(IF(VLOOKUP(CONCATENATE($A124,"_",BN$1),SP_ACQ_Lib[],MATCH(BN$2,SP_ACQ_Lib[#Headers],0),FALSE)=0,"",VLOOKUP(CONCATENATE($A124,"_",BN$1),SP_ACQ_Lib[],MATCH(BN$2,SP_ACQ_Lib[#Headers],0),FALSE)),"")</f>
        <v/>
      </c>
    </row>
    <row r="125" spans="1:66" s="226" customFormat="1" ht="38.25" x14ac:dyDescent="0.2">
      <c r="A125" s="192" t="s">
        <v>5365</v>
      </c>
      <c r="B125" s="227" t="str">
        <f>IFERROR(VLOOKUP($A125,SP_AcqTract_DB[],MATCH(B$2,SP_AcqTract_DB[#Headers],0),FALSE),"")</f>
        <v>R020854</v>
      </c>
      <c r="C125" s="228" t="str">
        <f>IFERROR(VLOOKUP($A125,SP_AcqTract_DB[],MATCH(C$2,SP_AcqTract_DB[#Headers],0),FALSE),"")</f>
        <v>PH2</v>
      </c>
      <c r="D125" s="208" t="str">
        <f>IFERROR(VLOOKUP($A125,SP_AcqTract_DB[],MATCH(D$2,SP_AcqTract_DB[#Headers],0),FALSE),"")</f>
        <v>Active</v>
      </c>
      <c r="E125" s="208">
        <f>IFERROR(VLOOKUP($A125,SP_AcqTract_DB[],MATCH(E$2,SP_AcqTract_DB[#Headers],0),FALSE),"")</f>
        <v>0</v>
      </c>
      <c r="F125" s="227" t="str">
        <f>IFERROR(VLOOKUP($A125,SP_AcqTract_DB[],MATCH(F$2,SP_AcqTract_DB[#Headers],0),FALSE),"")</f>
        <v>FEE / EASEMENT</v>
      </c>
      <c r="G125" s="227" t="str">
        <f>IFERROR(VLOOKUP($A125,SP_AcqTract_DB[],MATCH(G$2,SP_AcqTract_DB[#Headers],0),FALSE),"")</f>
        <v>Elizabeth Taylor</v>
      </c>
      <c r="H125" s="250">
        <f>IFERROR(IF(VLOOKUP(CONCATENATE($A125,"_",H$1),SP_ACQ_Lib[],MATCH(H$2,SP_ACQ_Lib[#Headers],0),FALSE)=0,"",VLOOKUP(CONCATENATE($A125,"_",H$1),SP_ACQ_Lib[],MATCH(H$2,SP_ACQ_Lib[#Headers],0),FALSE)),"")</f>
        <v>44019.680891203701</v>
      </c>
      <c r="I125" s="227" t="str">
        <f>IFERROR(VLOOKUP($A125,SP_AcqTract_DB[],MATCH(I$2,SP_AcqTract_DB[#Headers],0),FALSE),"")</f>
        <v>Rivera Natividad Guadalupe Rios &amp; Gutierrez Maria</v>
      </c>
      <c r="J125" s="227" t="str">
        <f>IFERROR(VLOOKUP($A125,SP_AcqTract_DB[],MATCH(J$2,SP_AcqTract_DB[#Headers],0),FALSE),"")</f>
        <v>IRWA</v>
      </c>
      <c r="K125" s="227" t="str">
        <f>IFERROR(VLOOKUP($A125,SP_AcqTract_DB[],MATCH(K$2,SP_AcqTract_DB[#Headers],0),FALSE),"")</f>
        <v>RIVERA NATIVIDAD GUADALUPE RIOS &amp; GUTIERREZ MARIA</v>
      </c>
      <c r="L125" s="227" t="str">
        <f>IFERROR(VLOOKUP($A125,SP_AcqTract_DB[],MATCH(L$2,SP_AcqTract_DB[#Headers],0),FALSE),"")</f>
        <v>634 MURPHY</v>
      </c>
      <c r="M125" s="208" t="str">
        <f>IFERROR(VLOOKUP($A125,SP_AcqTract_DB[],MATCH(M$2,SP_AcqTract_DB[#Headers],0),FALSE),"")</f>
        <v>WHARTON</v>
      </c>
      <c r="N125" s="227" t="str">
        <f>IFERROR(VLOOKUP($A125,SP_AcqTract_DB[],MATCH(N$2,SP_AcqTract_DB[#Headers],0),FALSE),"")</f>
        <v>634 MURPHY</v>
      </c>
      <c r="O125" s="220">
        <f>IFERROR(VLOOKUP($A125,SP_AcqTract_DB[],MATCH(O$2,SP_AcqTract_DB[#Headers],0),FALSE),"")</f>
        <v>0</v>
      </c>
      <c r="P125" s="220">
        <f>IFERROR(VLOOKUP($A125,SP_AcqTract_DB[],MATCH(P$2,SP_AcqTract_DB[#Headers],0),FALSE),"")</f>
        <v>0</v>
      </c>
      <c r="Q125" s="208">
        <f>IFERROR(VLOOKUP($A125,SP_AcqTract_DB[],MATCH(Q$2,SP_AcqTract_DB[#Headers],0),FALSE),"")</f>
        <v>0</v>
      </c>
      <c r="R125" s="250" t="str">
        <f>IFERROR(IF(VLOOKUP(CONCATENATE($A125,"_",R$1),SP_ACQ_Lib[],MATCH(R$2,SP_ACQ_Lib[#Headers],0),FALSE)=0,"",VLOOKUP(CONCATENATE($A125,"_",R$1),SP_ACQ_Lib[],MATCH(R$2,SP_ACQ_Lib[#Headers],0),FALSE)),"")</f>
        <v/>
      </c>
      <c r="S125" s="253" t="str">
        <f>IFERROR(IF(VLOOKUP(CONCATENATE($A125,"_",S$1),SP_ACQ_Lib[],MATCH(S$2,SP_ACQ_Lib[#Headers],0),FALSE)=0,"",VLOOKUP(CONCATENATE($A125,"_",S$1),SP_ACQ_Lib[],MATCH(S$2,SP_ACQ_Lib[#Headers],0),FALSE)),"")</f>
        <v/>
      </c>
      <c r="T125" s="205">
        <f>IFERROR(VLOOKUP(CONCATENATE($A125,"_",T$1),SP_ACQ_Lib[],MATCH(T$2,SP_ACQ_Lib[#Headers],0),FALSE),0)</f>
        <v>0</v>
      </c>
      <c r="U125" s="250" t="str">
        <f>IFERROR(IF(VLOOKUP(CONCATENATE($A125,"_",U$1),SP_ACQ_Lib[],MATCH(U$2,SP_ACQ_Lib[#Headers],0),FALSE)=0,"",VLOOKUP(CONCATENATE($A125,"_",U$1),SP_ACQ_Lib[],MATCH(U$2,SP_ACQ_Lib[#Headers],0),FALSE)),"")</f>
        <v/>
      </c>
      <c r="V125" s="205">
        <f>IFERROR(VLOOKUP(CONCATENATE($A125,"_",V$1),SP_ACQ_Lib[],MATCH(V$2,SP_ACQ_Lib[#Headers],0),FALSE),0)</f>
        <v>0</v>
      </c>
      <c r="W125" s="209">
        <f>IFERROR(VLOOKUP(CONCATENATE($A125,"_",W$1),SP_ACQ_Lib[],MATCH(W$2,SP_ACQ_Lib[#Headers],0),FALSE),0)</f>
        <v>0</v>
      </c>
      <c r="X125" s="250">
        <f>IFERROR(VLOOKUP($A125,SP_AcqTract_DB[],MATCH(X$2,SP_AcqTract_DB[#Headers],0),FALSE),"")</f>
        <v>0</v>
      </c>
      <c r="Y125" s="237">
        <f>IFERROR(VLOOKUP($A125,SP_AcqTract_DB[],MATCH(Y$2,SP_AcqTract_DB[#Headers],0),FALSE),"")</f>
        <v>0</v>
      </c>
      <c r="Z125" s="229">
        <f>IFERROR(VLOOKUP($A125,SP_AcqTract_DB[],MATCH(Z$2,SP_AcqTract_DB[#Headers],0),FALSE),"")</f>
        <v>0</v>
      </c>
      <c r="AA125" s="229">
        <f>IFERROR(VLOOKUP($A125,SP_AcqTract_DB[],MATCH(AA$2,SP_AcqTract_DB[#Headers],0),FALSE),"")</f>
        <v>0</v>
      </c>
      <c r="AB125" s="250" t="str">
        <f>IFERROR(IF(VLOOKUP(CONCATENATE($A125,"_",AB$1),SP_ACQ_Lib[],MATCH(AB$2,SP_ACQ_Lib[#Headers],0),FALSE)=0,"",VLOOKUP(CONCATENATE($A125,"_",AB$1),SP_ACQ_Lib[],MATCH(AB$2,SP_ACQ_Lib[#Headers],0),FALSE)),"")</f>
        <v/>
      </c>
      <c r="AC125" s="250" t="str">
        <f>IFERROR(IF(VLOOKUP(CONCATENATE($A125,"_",AC$1),SP_ACQ_Lib[],MATCH(AC$2,SP_ACQ_Lib[#Headers],0),FALSE)=0,"",VLOOKUP(CONCATENATE($A125,"_",AC$1),SP_ACQ_Lib[],MATCH(AC$2,SP_ACQ_Lib[#Headers],0),FALSE)),"")</f>
        <v/>
      </c>
      <c r="AD125" s="229">
        <f>IFERROR(VLOOKUP($A125,SP_AcqTract_DB[],MATCH(AD$2,SP_AcqTract_DB[#Headers],0),FALSE),"")</f>
        <v>0</v>
      </c>
      <c r="AE125" s="250" t="str">
        <f>IFERROR(IF(VLOOKUP(CONCATENATE($A125,"_",AE$1),SP_ACQ_Lib[],MATCH(AE$2,SP_ACQ_Lib[#Headers],0),FALSE)=0,"",VLOOKUP(CONCATENATE($A125,"_",AE$1),SP_ACQ_Lib[],MATCH(AE$2,SP_ACQ_Lib[#Headers],0),FALSE)),"")</f>
        <v/>
      </c>
      <c r="AF125" s="250" t="str">
        <f>IFERROR(IF(VLOOKUP(CONCATENATE($A125,"_",AF$1),SP_ACQ_Lib[],MATCH(AF$2,SP_ACQ_Lib[#Headers],0),FALSE)=0,"",VLOOKUP(CONCATENATE($A125,"_",AF$1),SP_ACQ_Lib[],MATCH(AF$2,SP_ACQ_Lib[#Headers],0),FALSE)),"")</f>
        <v/>
      </c>
      <c r="AG125" s="250" t="str">
        <f>IFERROR(IF(VLOOKUP(CONCATENATE($A125,"_",AG$1),SP_ACQ_Lib[],MATCH(AG$2,SP_ACQ_Lib[#Headers],0),FALSE)=0,"",VLOOKUP(CONCATENATE($A125,"_",AG$1),SP_ACQ_Lib[],MATCH(AG$2,SP_ACQ_Lib[#Headers],0),FALSE)),"")</f>
        <v/>
      </c>
      <c r="AH125" s="250" t="str">
        <f>IFERROR(IF(VLOOKUP(CONCATENATE($A125,"_",AH$1),SP_ACQ_Lib[],MATCH(AH$2,SP_ACQ_Lib[#Headers],0),FALSE)=0,"",VLOOKUP(CONCATENATE($A125,"_",AH$1),SP_ACQ_Lib[],MATCH(AH$2,SP_ACQ_Lib[#Headers],0),FALSE)),"")</f>
        <v/>
      </c>
      <c r="AI125" s="249">
        <f>IFERROR(IF(VLOOKUP(CONCATENATE($A125,"_",AI$1),SP_ACQ_Lib[],MATCH(AI$2,SP_ACQ_Lib[#Headers],0),FALSE)=0,"",VLOOKUP(CONCATENATE($A125,"_",AI$1),SP_ACQ_Lib[],MATCH(AI$2,SP_ACQ_Lib[#Headers],0),FALSE)),"")</f>
        <v>43985</v>
      </c>
      <c r="AJ125" s="249" t="str">
        <f>IFERROR(IF(VLOOKUP(CONCATENATE($A125,"_",AJ$1),SP_ACQ_Lib[],MATCH(AJ$2,SP_ACQ_Lib[#Headers],0),FALSE)=0,"",VLOOKUP(CONCATENATE($A125,"_",AJ$1),SP_ACQ_Lib[],MATCH(AJ$2,SP_ACQ_Lib[#Headers],0),FALSE)),"")</f>
        <v/>
      </c>
      <c r="AK125" s="249" t="str">
        <f>IFERROR(IF(VLOOKUP(CONCATENATE($A125,"_",AK$1),SP_ACQ_Lib[],MATCH(AK$2,SP_ACQ_Lib[#Headers],0),FALSE)=0,"",VLOOKUP(CONCATENATE($A125,"_",AK$1),SP_ACQ_Lib[],MATCH(AK$2,SP_ACQ_Lib[#Headers],0),FALSE)),"")</f>
        <v/>
      </c>
      <c r="AL125" s="249">
        <f>IFERROR(VLOOKUP($A125,SP_AcqTract_DB[],MATCH(AL$2,SP_AcqTract_DB[#Headers],0),FALSE),"")</f>
        <v>0</v>
      </c>
      <c r="AM125" s="227">
        <f>IFERROR(VLOOKUP($A125,SP_AcqTract_DB[],MATCH(AM$2,SP_AcqTract_DB[#Headers],0),FALSE),"")</f>
        <v>0</v>
      </c>
      <c r="AN125" s="227">
        <f>IFERROR(VLOOKUP($A125,SP_AcqTract_DB[],MATCH(AN$2,SP_AcqTract_DB[#Headers],0),FALSE),"")</f>
        <v>0</v>
      </c>
      <c r="AO125" s="228">
        <f>IFERROR(VLOOKUP($A125,SP_AcqTract_DB[],MATCH(AO$2,SP_AcqTract_DB[#Headers],0),FALSE),"")</f>
        <v>0</v>
      </c>
      <c r="AP125" s="210" t="str">
        <f>IFERROR(VLOOKUP($A125,SP_AcqTract_DB[],MATCH(AP$2,SP_AcqTract_DB[#Headers],0),FALSE),"")</f>
        <v>R</v>
      </c>
      <c r="AQ125" s="252" t="str">
        <f>IFERROR(IF(VLOOKUP(CONCATENATE($A125,"_",AQ$1),SP_ACQ_Lib[],MATCH(AQ$2,SP_ACQ_Lib[#Headers],0),FALSE)=0,"",VLOOKUP(CONCATENATE($A125,"_",AQ$1),SP_ACQ_Lib[],MATCH(AQ$2,SP_ACQ_Lib[#Headers],0),FALSE)),"")</f>
        <v/>
      </c>
      <c r="AR125" s="250" t="str">
        <f>IFERROR(IF(VLOOKUP(CONCATENATE($A125,"_",AR$1),SP_ACQ_Lib[],MATCH(AR$2,SP_ACQ_Lib[#Headers],0),FALSE)=0,"",VLOOKUP(CONCATENATE($A125,"_",AR$1),SP_ACQ_Lib[],MATCH(AR$2,SP_ACQ_Lib[#Headers],0),FALSE)),"")</f>
        <v/>
      </c>
      <c r="AS125" s="249" t="str">
        <f>IFERROR(IF(VLOOKUP(CONCATENATE($A125,"_",AS$1),SP_ACQ_Lib[],MATCH(AS$2,SP_ACQ_Lib[#Headers],0),FALSE)=0,"",VLOOKUP(CONCATENATE($A125,"_",AS$1),SP_ACQ_Lib[],MATCH(AS$2,SP_ACQ_Lib[#Headers],0),FALSE)),"")</f>
        <v/>
      </c>
      <c r="AT125" s="251" t="str">
        <f>IFERROR(IF(VLOOKUP(CONCATENATE($A125,"_",AT$1),SP_ACQ_Lib[],MATCH(AT$2,SP_ACQ_Lib[#Headers],0),FALSE)=0,"",VLOOKUP(CONCATENATE($A125,"_",AT$1),SP_ACQ_Lib[],MATCH(AT$2,SP_ACQ_Lib[#Headers],0),FALSE)),"")</f>
        <v/>
      </c>
      <c r="AU125" s="251" t="str">
        <f>IFERROR(IF(VLOOKUP(CONCATENATE($A125,"_",AU$1),SP_ACQ_Lib[],MATCH(AU$2,SP_ACQ_Lib[#Headers],0),FALSE)=0,"",VLOOKUP(CONCATENATE($A125,"_",AU$1),SP_ACQ_Lib[],MATCH(AU$2,SP_ACQ_Lib[#Headers],0),FALSE)),"")</f>
        <v/>
      </c>
      <c r="AV125" s="225" t="str">
        <f>IFERROR(IF(VLOOKUP(CONCATENATE($A125,"_",AV$1),SP_ACQ_Lib[],MATCH(AV$2,SP_ACQ_Lib[#Headers],0),FALSE)=0,"",VLOOKUP(CONCATENATE($A125,"_",AV$1),SP_ACQ_Lib[],MATCH(AV$2,SP_ACQ_Lib[#Headers],0),FALSE)),"")</f>
        <v/>
      </c>
      <c r="AW125" s="251" t="str">
        <f>IFERROR(IF(VLOOKUP(CONCATENATE($A125,"_",AW$1),SP_ACQ_Lib[],MATCH(AW$2,SP_ACQ_Lib[#Headers],0),FALSE)=0,"",VLOOKUP(CONCATENATE($A125,"_",AW$1),SP_ACQ_Lib[],MATCH(AW$2,SP_ACQ_Lib[#Headers],0),FALSE)),"")</f>
        <v/>
      </c>
      <c r="AX125" s="251" t="str">
        <f>IFERROR(IF(VLOOKUP(CONCATENATE($A125,"_",AX$1),SP_ACQ_Lib[],MATCH(AX$2,SP_ACQ_Lib[#Headers],0),FALSE)=0,"",VLOOKUP(CONCATENATE($A125,"_",AX$1),SP_ACQ_Lib[],MATCH(AX$2,SP_ACQ_Lib[#Headers],0),FALSE)),"")</f>
        <v/>
      </c>
      <c r="AY125" s="251" t="str">
        <f>IFERROR(IF(VLOOKUP(CONCATENATE($A125,"_",AY$1),SP_ACQ_Lib[],MATCH(AY$2,SP_ACQ_Lib[#Headers],0),FALSE)=0,"",VLOOKUP(CONCATENATE($A125,"_",AY$1),SP_ACQ_Lib[],MATCH(AY$2,SP_ACQ_Lib[#Headers],0),FALSE)),"")</f>
        <v/>
      </c>
      <c r="AZ125" s="251" t="str">
        <f>IFERROR(IF(VLOOKUP(CONCATENATE($A125,"_",AZ$1),SP_ACQ_Lib[],MATCH(AZ$2,SP_ACQ_Lib[#Headers],0),FALSE)=0,"",VLOOKUP(CONCATENATE($A125,"_",AZ$1),SP_ACQ_Lib[],MATCH(AZ$2,SP_ACQ_Lib[#Headers],0),FALSE)),"")</f>
        <v/>
      </c>
      <c r="BA125" s="251" t="str">
        <f>IFERROR(IF(VLOOKUP(CONCATENATE($A125,"_",BA$1),SP_ACQ_Lib[],MATCH(BA$2,SP_ACQ_Lib[#Headers],0),FALSE)=0,"",VLOOKUP(CONCATENATE($A125,"_",BA$1),SP_ACQ_Lib[],MATCH(BA$2,SP_ACQ_Lib[#Headers],0),FALSE)),"")</f>
        <v/>
      </c>
      <c r="BB125" s="224">
        <f>IFERROR(VLOOKUP(CONCATENATE($A125,"_",BB$1),SP_ACQ_Lib[],MATCH(BB$2,SP_ACQ_Lib[#Headers],0),FALSE),0)</f>
        <v>0</v>
      </c>
      <c r="BC125" s="231">
        <f>IFERROR(VLOOKUP($A125,SP_AcqTract_DB[],MATCH(BC$2,SP_AcqTract_DB[#Headers],0),FALSE),"")</f>
        <v>0</v>
      </c>
      <c r="BD125" s="231">
        <f>IFERROR(VLOOKUP($A125,SP_AcqTract_DB[],MATCH(BD$2,SP_AcqTract_DB[#Headers],0),FALSE),"")</f>
        <v>0</v>
      </c>
      <c r="BE125" s="249" t="str">
        <f>IFERROR(IF(VLOOKUP(CONCATENATE($A125,"_",BE$1),SP_ACQ_Lib[],MATCH(BE$2,SP_ACQ_Lib[#Headers],0),FALSE)=0,"",VLOOKUP(CONCATENATE($A125,"_",BE$1),SP_ACQ_Lib[],MATCH(BE$2,SP_ACQ_Lib[#Headers],0),FALSE)),"")</f>
        <v/>
      </c>
      <c r="BF125" s="249" t="str">
        <f>IFERROR(IF(VLOOKUP(CONCATENATE($A125,"_",BF$1),SP_ACQ_Lib[],MATCH(BF$2,SP_ACQ_Lib[#Headers],0),FALSE)=0,"",VLOOKUP(CONCATENATE($A125,"_",BF$1),SP_ACQ_Lib[],MATCH(BF$2,SP_ACQ_Lib[#Headers],0),FALSE)),"")</f>
        <v/>
      </c>
      <c r="BG125" s="249" t="str">
        <f>IFERROR(IF(VLOOKUP(CONCATENATE($A125,"_",BG$1),SP_ACQ_Lib[],MATCH(BG$2,SP_ACQ_Lib[#Headers],0),FALSE)=0,"",VLOOKUP(CONCATENATE($A125,"_",BG$1),SP_ACQ_Lib[],MATCH(BG$2,SP_ACQ_Lib[#Headers],0),FALSE)),"")</f>
        <v/>
      </c>
      <c r="BH125" s="249" t="str">
        <f>IFERROR(IF(VLOOKUP(CONCATENATE($A125,"_",BH$1),SP_ACQ_Lib[],MATCH(BH$2,SP_ACQ_Lib[#Headers],0),FALSE)=0,"",VLOOKUP(CONCATENATE($A125,"_",BH$1),SP_ACQ_Lib[],MATCH(BH$2,SP_ACQ_Lib[#Headers],0),FALSE)),"")</f>
        <v/>
      </c>
      <c r="BI125" s="249" t="str">
        <f>IFERROR(IF(VLOOKUP(CONCATENATE($A125,"_",BI$1),SP_ACQ_Lib[],MATCH(BI$2,SP_ACQ_Lib[#Headers],0),FALSE)=0,"",VLOOKUP(CONCATENATE($A125,"_",BI$1),SP_ACQ_Lib[],MATCH(BI$2,SP_ACQ_Lib[#Headers],0),FALSE)),"")</f>
        <v/>
      </c>
      <c r="BJ125" s="249" t="str">
        <f>IFERROR(IF(VLOOKUP(CONCATENATE($A125,"_",BJ$1),SP_ACQ_Lib[],MATCH(BJ$2,SP_ACQ_Lib[#Headers],0),FALSE)=0,"",VLOOKUP(CONCATENATE($A125,"_",BJ$1),SP_ACQ_Lib[],MATCH(BJ$2,SP_ACQ_Lib[#Headers],0),FALSE)),"")</f>
        <v/>
      </c>
      <c r="BK125" s="250" t="str">
        <f>IFERROR(IF(VLOOKUP(CONCATENATE($A125,"_",BK$1),SP_ACQ_Lib[],MATCH(BK$2,SP_ACQ_Lib[#Headers],0),FALSE)=0,"",VLOOKUP(CONCATENATE($A125,"_",BK$1),SP_ACQ_Lib[],MATCH(BK$2,SP_ACQ_Lib[#Headers],0),FALSE)),"")</f>
        <v/>
      </c>
      <c r="BL125" s="249" t="str">
        <f>IFERROR(IF(VLOOKUP(CONCATENATE($A125,"_",BL$1),SP_ACQ_Lib[],MATCH(BL$2,SP_ACQ_Lib[#Headers],0),FALSE)=0,"",VLOOKUP(CONCATENATE($A125,"_",BL$1),SP_ACQ_Lib[],MATCH(BL$2,SP_ACQ_Lib[#Headers],0),FALSE)),"")</f>
        <v/>
      </c>
      <c r="BM125" s="249" t="str">
        <f>IFERROR(IF(VLOOKUP(CONCATENATE($A125,"_",BM$1),SP_ACQ_Lib[],MATCH(BM$2,SP_ACQ_Lib[#Headers],0),FALSE)=0,"",VLOOKUP(CONCATENATE($A125,"_",BM$1),SP_ACQ_Lib[],MATCH(BM$2,SP_ACQ_Lib[#Headers],0),FALSE)),"")</f>
        <v/>
      </c>
      <c r="BN125" s="249" t="str">
        <f>IFERROR(IF(VLOOKUP(CONCATENATE($A125,"_",BN$1),SP_ACQ_Lib[],MATCH(BN$2,SP_ACQ_Lib[#Headers],0),FALSE)=0,"",VLOOKUP(CONCATENATE($A125,"_",BN$1),SP_ACQ_Lib[],MATCH(BN$2,SP_ACQ_Lib[#Headers],0),FALSE)),"")</f>
        <v/>
      </c>
    </row>
    <row r="126" spans="1:66" s="226" customFormat="1" ht="25.5" x14ac:dyDescent="0.2">
      <c r="A126" s="192" t="s">
        <v>5367</v>
      </c>
      <c r="B126" s="227" t="str">
        <f>IFERROR(VLOOKUP($A126,SP_AcqTract_DB[],MATCH(B$2,SP_AcqTract_DB[#Headers],0),FALSE),"")</f>
        <v>R020855</v>
      </c>
      <c r="C126" s="228" t="str">
        <f>IFERROR(VLOOKUP($A126,SP_AcqTract_DB[],MATCH(C$2,SP_AcqTract_DB[#Headers],0),FALSE),"")</f>
        <v>PH2</v>
      </c>
      <c r="D126" s="208" t="str">
        <f>IFERROR(VLOOKUP($A126,SP_AcqTract_DB[],MATCH(D$2,SP_AcqTract_DB[#Headers],0),FALSE),"")</f>
        <v>Active</v>
      </c>
      <c r="E126" s="208">
        <f>IFERROR(VLOOKUP($A126,SP_AcqTract_DB[],MATCH(E$2,SP_AcqTract_DB[#Headers],0),FALSE),"")</f>
        <v>0</v>
      </c>
      <c r="F126" s="227" t="str">
        <f>IFERROR(VLOOKUP($A126,SP_AcqTract_DB[],MATCH(F$2,SP_AcqTract_DB[#Headers],0),FALSE),"")</f>
        <v>FEE / EASEMENT</v>
      </c>
      <c r="G126" s="227" t="str">
        <f>IFERROR(VLOOKUP($A126,SP_AcqTract_DB[],MATCH(G$2,SP_AcqTract_DB[#Headers],0),FALSE),"")</f>
        <v>Elizabeth Taylor</v>
      </c>
      <c r="H126" s="250">
        <f>IFERROR(IF(VLOOKUP(CONCATENATE($A126,"_",H$1),SP_ACQ_Lib[],MATCH(H$2,SP_ACQ_Lib[#Headers],0),FALSE)=0,"",VLOOKUP(CONCATENATE($A126,"_",H$1),SP_ACQ_Lib[],MATCH(H$2,SP_ACQ_Lib[#Headers],0),FALSE)),"")</f>
        <v>44019.680775462963</v>
      </c>
      <c r="I126" s="227" t="str">
        <f>IFERROR(VLOOKUP($A126,SP_AcqTract_DB[],MATCH(I$2,SP_AcqTract_DB[#Headers],0),FALSE),"")</f>
        <v>Gutierrez Maria Griselda Garcia</v>
      </c>
      <c r="J126" s="227">
        <f>IFERROR(VLOOKUP($A126,SP_AcqTract_DB[],MATCH(J$2,SP_AcqTract_DB[#Headers],0),FALSE),"")</f>
        <v>0</v>
      </c>
      <c r="K126" s="227" t="str">
        <f>IFERROR(VLOOKUP($A126,SP_AcqTract_DB[],MATCH(K$2,SP_AcqTract_DB[#Headers],0),FALSE),"")</f>
        <v>GUTIERREZ MARIA GRISELDA GARCIA</v>
      </c>
      <c r="L126" s="227" t="str">
        <f>IFERROR(VLOOKUP($A126,SP_AcqTract_DB[],MATCH(L$2,SP_AcqTract_DB[#Headers],0),FALSE),"")</f>
        <v>628 MURPHY</v>
      </c>
      <c r="M126" s="208" t="str">
        <f>IFERROR(VLOOKUP($A126,SP_AcqTract_DB[],MATCH(M$2,SP_AcqTract_DB[#Headers],0),FALSE),"")</f>
        <v>WHARTON, TX 77488</v>
      </c>
      <c r="N126" s="227" t="str">
        <f>IFERROR(VLOOKUP($A126,SP_AcqTract_DB[],MATCH(N$2,SP_AcqTract_DB[#Headers],0),FALSE),"")</f>
        <v>628 MURPHY</v>
      </c>
      <c r="O126" s="220">
        <f>IFERROR(VLOOKUP($A126,SP_AcqTract_DB[],MATCH(O$2,SP_AcqTract_DB[#Headers],0),FALSE),"")</f>
        <v>0</v>
      </c>
      <c r="P126" s="220">
        <f>IFERROR(VLOOKUP($A126,SP_AcqTract_DB[],MATCH(P$2,SP_AcqTract_DB[#Headers],0),FALSE),"")</f>
        <v>0</v>
      </c>
      <c r="Q126" s="208">
        <f>IFERROR(VLOOKUP($A126,SP_AcqTract_DB[],MATCH(Q$2,SP_AcqTract_DB[#Headers],0),FALSE),"")</f>
        <v>0</v>
      </c>
      <c r="R126" s="250" t="str">
        <f>IFERROR(IF(VLOOKUP(CONCATENATE($A126,"_",R$1),SP_ACQ_Lib[],MATCH(R$2,SP_ACQ_Lib[#Headers],0),FALSE)=0,"",VLOOKUP(CONCATENATE($A126,"_",R$1),SP_ACQ_Lib[],MATCH(R$2,SP_ACQ_Lib[#Headers],0),FALSE)),"")</f>
        <v/>
      </c>
      <c r="S126" s="253" t="str">
        <f>IFERROR(IF(VLOOKUP(CONCATENATE($A126,"_",S$1),SP_ACQ_Lib[],MATCH(S$2,SP_ACQ_Lib[#Headers],0),FALSE)=0,"",VLOOKUP(CONCATENATE($A126,"_",S$1),SP_ACQ_Lib[],MATCH(S$2,SP_ACQ_Lib[#Headers],0),FALSE)),"")</f>
        <v/>
      </c>
      <c r="T126" s="205">
        <f>IFERROR(VLOOKUP(CONCATENATE($A126,"_",T$1),SP_ACQ_Lib[],MATCH(T$2,SP_ACQ_Lib[#Headers],0),FALSE),0)</f>
        <v>0</v>
      </c>
      <c r="U126" s="250" t="str">
        <f>IFERROR(IF(VLOOKUP(CONCATENATE($A126,"_",U$1),SP_ACQ_Lib[],MATCH(U$2,SP_ACQ_Lib[#Headers],0),FALSE)=0,"",VLOOKUP(CONCATENATE($A126,"_",U$1),SP_ACQ_Lib[],MATCH(U$2,SP_ACQ_Lib[#Headers],0),FALSE)),"")</f>
        <v/>
      </c>
      <c r="V126" s="205">
        <f>IFERROR(VLOOKUP(CONCATENATE($A126,"_",V$1),SP_ACQ_Lib[],MATCH(V$2,SP_ACQ_Lib[#Headers],0),FALSE),0)</f>
        <v>0</v>
      </c>
      <c r="W126" s="209">
        <f>IFERROR(VLOOKUP(CONCATENATE($A126,"_",W$1),SP_ACQ_Lib[],MATCH(W$2,SP_ACQ_Lib[#Headers],0),FALSE),0)</f>
        <v>0</v>
      </c>
      <c r="X126" s="250">
        <f>IFERROR(VLOOKUP($A126,SP_AcqTract_DB[],MATCH(X$2,SP_AcqTract_DB[#Headers],0),FALSE),"")</f>
        <v>0</v>
      </c>
      <c r="Y126" s="237">
        <f>IFERROR(VLOOKUP($A126,SP_AcqTract_DB[],MATCH(Y$2,SP_AcqTract_DB[#Headers],0),FALSE),"")</f>
        <v>0</v>
      </c>
      <c r="Z126" s="229">
        <f>IFERROR(VLOOKUP($A126,SP_AcqTract_DB[],MATCH(Z$2,SP_AcqTract_DB[#Headers],0),FALSE),"")</f>
        <v>0</v>
      </c>
      <c r="AA126" s="229">
        <f>IFERROR(VLOOKUP($A126,SP_AcqTract_DB[],MATCH(AA$2,SP_AcqTract_DB[#Headers],0),FALSE),"")</f>
        <v>0</v>
      </c>
      <c r="AB126" s="250" t="str">
        <f>IFERROR(IF(VLOOKUP(CONCATENATE($A126,"_",AB$1),SP_ACQ_Lib[],MATCH(AB$2,SP_ACQ_Lib[#Headers],0),FALSE)=0,"",VLOOKUP(CONCATENATE($A126,"_",AB$1),SP_ACQ_Lib[],MATCH(AB$2,SP_ACQ_Lib[#Headers],0),FALSE)),"")</f>
        <v/>
      </c>
      <c r="AC126" s="250" t="str">
        <f>IFERROR(IF(VLOOKUP(CONCATENATE($A126,"_",AC$1),SP_ACQ_Lib[],MATCH(AC$2,SP_ACQ_Lib[#Headers],0),FALSE)=0,"",VLOOKUP(CONCATENATE($A126,"_",AC$1),SP_ACQ_Lib[],MATCH(AC$2,SP_ACQ_Lib[#Headers],0),FALSE)),"")</f>
        <v/>
      </c>
      <c r="AD126" s="229">
        <f>IFERROR(VLOOKUP($A126,SP_AcqTract_DB[],MATCH(AD$2,SP_AcqTract_DB[#Headers],0),FALSE),"")</f>
        <v>0</v>
      </c>
      <c r="AE126" s="250" t="str">
        <f>IFERROR(IF(VLOOKUP(CONCATENATE($A126,"_",AE$1),SP_ACQ_Lib[],MATCH(AE$2,SP_ACQ_Lib[#Headers],0),FALSE)=0,"",VLOOKUP(CONCATENATE($A126,"_",AE$1),SP_ACQ_Lib[],MATCH(AE$2,SP_ACQ_Lib[#Headers],0),FALSE)),"")</f>
        <v/>
      </c>
      <c r="AF126" s="250" t="str">
        <f>IFERROR(IF(VLOOKUP(CONCATENATE($A126,"_",AF$1),SP_ACQ_Lib[],MATCH(AF$2,SP_ACQ_Lib[#Headers],0),FALSE)=0,"",VLOOKUP(CONCATENATE($A126,"_",AF$1),SP_ACQ_Lib[],MATCH(AF$2,SP_ACQ_Lib[#Headers],0),FALSE)),"")</f>
        <v/>
      </c>
      <c r="AG126" s="250" t="str">
        <f>IFERROR(IF(VLOOKUP(CONCATENATE($A126,"_",AG$1),SP_ACQ_Lib[],MATCH(AG$2,SP_ACQ_Lib[#Headers],0),FALSE)=0,"",VLOOKUP(CONCATENATE($A126,"_",AG$1),SP_ACQ_Lib[],MATCH(AG$2,SP_ACQ_Lib[#Headers],0),FALSE)),"")</f>
        <v/>
      </c>
      <c r="AH126" s="250" t="str">
        <f>IFERROR(IF(VLOOKUP(CONCATENATE($A126,"_",AH$1),SP_ACQ_Lib[],MATCH(AH$2,SP_ACQ_Lib[#Headers],0),FALSE)=0,"",VLOOKUP(CONCATENATE($A126,"_",AH$1),SP_ACQ_Lib[],MATCH(AH$2,SP_ACQ_Lib[#Headers],0),FALSE)),"")</f>
        <v/>
      </c>
      <c r="AI126" s="249">
        <f>IFERROR(IF(VLOOKUP(CONCATENATE($A126,"_",AI$1),SP_ACQ_Lib[],MATCH(AI$2,SP_ACQ_Lib[#Headers],0),FALSE)=0,"",VLOOKUP(CONCATENATE($A126,"_",AI$1),SP_ACQ_Lib[],MATCH(AI$2,SP_ACQ_Lib[#Headers],0),FALSE)),"")</f>
        <v>43985</v>
      </c>
      <c r="AJ126" s="249" t="str">
        <f>IFERROR(IF(VLOOKUP(CONCATENATE($A126,"_",AJ$1),SP_ACQ_Lib[],MATCH(AJ$2,SP_ACQ_Lib[#Headers],0),FALSE)=0,"",VLOOKUP(CONCATENATE($A126,"_",AJ$1),SP_ACQ_Lib[],MATCH(AJ$2,SP_ACQ_Lib[#Headers],0),FALSE)),"")</f>
        <v/>
      </c>
      <c r="AK126" s="249" t="str">
        <f>IFERROR(IF(VLOOKUP(CONCATENATE($A126,"_",AK$1),SP_ACQ_Lib[],MATCH(AK$2,SP_ACQ_Lib[#Headers],0),FALSE)=0,"",VLOOKUP(CONCATENATE($A126,"_",AK$1),SP_ACQ_Lib[],MATCH(AK$2,SP_ACQ_Lib[#Headers],0),FALSE)),"")</f>
        <v/>
      </c>
      <c r="AL126" s="249">
        <f>IFERROR(VLOOKUP($A126,SP_AcqTract_DB[],MATCH(AL$2,SP_AcqTract_DB[#Headers],0),FALSE),"")</f>
        <v>0</v>
      </c>
      <c r="AM126" s="227">
        <f>IFERROR(VLOOKUP($A126,SP_AcqTract_DB[],MATCH(AM$2,SP_AcqTract_DB[#Headers],0),FALSE),"")</f>
        <v>0</v>
      </c>
      <c r="AN126" s="227">
        <f>IFERROR(VLOOKUP($A126,SP_AcqTract_DB[],MATCH(AN$2,SP_AcqTract_DB[#Headers],0),FALSE),"")</f>
        <v>0</v>
      </c>
      <c r="AO126" s="228">
        <f>IFERROR(VLOOKUP($A126,SP_AcqTract_DB[],MATCH(AO$2,SP_AcqTract_DB[#Headers],0),FALSE),"")</f>
        <v>0</v>
      </c>
      <c r="AP126" s="210" t="str">
        <f>IFERROR(VLOOKUP($A126,SP_AcqTract_DB[],MATCH(AP$2,SP_AcqTract_DB[#Headers],0),FALSE),"")</f>
        <v>R</v>
      </c>
      <c r="AQ126" s="252" t="str">
        <f>IFERROR(IF(VLOOKUP(CONCATENATE($A126,"_",AQ$1),SP_ACQ_Lib[],MATCH(AQ$2,SP_ACQ_Lib[#Headers],0),FALSE)=0,"",VLOOKUP(CONCATENATE($A126,"_",AQ$1),SP_ACQ_Lib[],MATCH(AQ$2,SP_ACQ_Lib[#Headers],0),FALSE)),"")</f>
        <v/>
      </c>
      <c r="AR126" s="250" t="str">
        <f>IFERROR(IF(VLOOKUP(CONCATENATE($A126,"_",AR$1),SP_ACQ_Lib[],MATCH(AR$2,SP_ACQ_Lib[#Headers],0),FALSE)=0,"",VLOOKUP(CONCATENATE($A126,"_",AR$1),SP_ACQ_Lib[],MATCH(AR$2,SP_ACQ_Lib[#Headers],0),FALSE)),"")</f>
        <v/>
      </c>
      <c r="AS126" s="249" t="str">
        <f>IFERROR(IF(VLOOKUP(CONCATENATE($A126,"_",AS$1),SP_ACQ_Lib[],MATCH(AS$2,SP_ACQ_Lib[#Headers],0),FALSE)=0,"",VLOOKUP(CONCATENATE($A126,"_",AS$1),SP_ACQ_Lib[],MATCH(AS$2,SP_ACQ_Lib[#Headers],0),FALSE)),"")</f>
        <v/>
      </c>
      <c r="AT126" s="251" t="str">
        <f>IFERROR(IF(VLOOKUP(CONCATENATE($A126,"_",AT$1),SP_ACQ_Lib[],MATCH(AT$2,SP_ACQ_Lib[#Headers],0),FALSE)=0,"",VLOOKUP(CONCATENATE($A126,"_",AT$1),SP_ACQ_Lib[],MATCH(AT$2,SP_ACQ_Lib[#Headers],0),FALSE)),"")</f>
        <v/>
      </c>
      <c r="AU126" s="251" t="str">
        <f>IFERROR(IF(VLOOKUP(CONCATENATE($A126,"_",AU$1),SP_ACQ_Lib[],MATCH(AU$2,SP_ACQ_Lib[#Headers],0),FALSE)=0,"",VLOOKUP(CONCATENATE($A126,"_",AU$1),SP_ACQ_Lib[],MATCH(AU$2,SP_ACQ_Lib[#Headers],0),FALSE)),"")</f>
        <v/>
      </c>
      <c r="AV126" s="225" t="str">
        <f>IFERROR(IF(VLOOKUP(CONCATENATE($A126,"_",AV$1),SP_ACQ_Lib[],MATCH(AV$2,SP_ACQ_Lib[#Headers],0),FALSE)=0,"",VLOOKUP(CONCATENATE($A126,"_",AV$1),SP_ACQ_Lib[],MATCH(AV$2,SP_ACQ_Lib[#Headers],0),FALSE)),"")</f>
        <v/>
      </c>
      <c r="AW126" s="251" t="str">
        <f>IFERROR(IF(VLOOKUP(CONCATENATE($A126,"_",AW$1),SP_ACQ_Lib[],MATCH(AW$2,SP_ACQ_Lib[#Headers],0),FALSE)=0,"",VLOOKUP(CONCATENATE($A126,"_",AW$1),SP_ACQ_Lib[],MATCH(AW$2,SP_ACQ_Lib[#Headers],0),FALSE)),"")</f>
        <v/>
      </c>
      <c r="AX126" s="251" t="str">
        <f>IFERROR(IF(VLOOKUP(CONCATENATE($A126,"_",AX$1),SP_ACQ_Lib[],MATCH(AX$2,SP_ACQ_Lib[#Headers],0),FALSE)=0,"",VLOOKUP(CONCATENATE($A126,"_",AX$1),SP_ACQ_Lib[],MATCH(AX$2,SP_ACQ_Lib[#Headers],0),FALSE)),"")</f>
        <v/>
      </c>
      <c r="AY126" s="251" t="str">
        <f>IFERROR(IF(VLOOKUP(CONCATENATE($A126,"_",AY$1),SP_ACQ_Lib[],MATCH(AY$2,SP_ACQ_Lib[#Headers],0),FALSE)=0,"",VLOOKUP(CONCATENATE($A126,"_",AY$1),SP_ACQ_Lib[],MATCH(AY$2,SP_ACQ_Lib[#Headers],0),FALSE)),"")</f>
        <v/>
      </c>
      <c r="AZ126" s="251" t="str">
        <f>IFERROR(IF(VLOOKUP(CONCATENATE($A126,"_",AZ$1),SP_ACQ_Lib[],MATCH(AZ$2,SP_ACQ_Lib[#Headers],0),FALSE)=0,"",VLOOKUP(CONCATENATE($A126,"_",AZ$1),SP_ACQ_Lib[],MATCH(AZ$2,SP_ACQ_Lib[#Headers],0),FALSE)),"")</f>
        <v/>
      </c>
      <c r="BA126" s="251" t="str">
        <f>IFERROR(IF(VLOOKUP(CONCATENATE($A126,"_",BA$1),SP_ACQ_Lib[],MATCH(BA$2,SP_ACQ_Lib[#Headers],0),FALSE)=0,"",VLOOKUP(CONCATENATE($A126,"_",BA$1),SP_ACQ_Lib[],MATCH(BA$2,SP_ACQ_Lib[#Headers],0),FALSE)),"")</f>
        <v/>
      </c>
      <c r="BB126" s="224">
        <f>IFERROR(VLOOKUP(CONCATENATE($A126,"_",BB$1),SP_ACQ_Lib[],MATCH(BB$2,SP_ACQ_Lib[#Headers],0),FALSE),0)</f>
        <v>0</v>
      </c>
      <c r="BC126" s="231">
        <f>IFERROR(VLOOKUP($A126,SP_AcqTract_DB[],MATCH(BC$2,SP_AcqTract_DB[#Headers],0),FALSE),"")</f>
        <v>0</v>
      </c>
      <c r="BD126" s="231">
        <f>IFERROR(VLOOKUP($A126,SP_AcqTract_DB[],MATCH(BD$2,SP_AcqTract_DB[#Headers],0),FALSE),"")</f>
        <v>0</v>
      </c>
      <c r="BE126" s="249" t="str">
        <f>IFERROR(IF(VLOOKUP(CONCATENATE($A126,"_",BE$1),SP_ACQ_Lib[],MATCH(BE$2,SP_ACQ_Lib[#Headers],0),FALSE)=0,"",VLOOKUP(CONCATENATE($A126,"_",BE$1),SP_ACQ_Lib[],MATCH(BE$2,SP_ACQ_Lib[#Headers],0),FALSE)),"")</f>
        <v/>
      </c>
      <c r="BF126" s="249" t="str">
        <f>IFERROR(IF(VLOOKUP(CONCATENATE($A126,"_",BF$1),SP_ACQ_Lib[],MATCH(BF$2,SP_ACQ_Lib[#Headers],0),FALSE)=0,"",VLOOKUP(CONCATENATE($A126,"_",BF$1),SP_ACQ_Lib[],MATCH(BF$2,SP_ACQ_Lib[#Headers],0),FALSE)),"")</f>
        <v/>
      </c>
      <c r="BG126" s="249" t="str">
        <f>IFERROR(IF(VLOOKUP(CONCATENATE($A126,"_",BG$1),SP_ACQ_Lib[],MATCH(BG$2,SP_ACQ_Lib[#Headers],0),FALSE)=0,"",VLOOKUP(CONCATENATE($A126,"_",BG$1),SP_ACQ_Lib[],MATCH(BG$2,SP_ACQ_Lib[#Headers],0),FALSE)),"")</f>
        <v/>
      </c>
      <c r="BH126" s="249" t="str">
        <f>IFERROR(IF(VLOOKUP(CONCATENATE($A126,"_",BH$1),SP_ACQ_Lib[],MATCH(BH$2,SP_ACQ_Lib[#Headers],0),FALSE)=0,"",VLOOKUP(CONCATENATE($A126,"_",BH$1),SP_ACQ_Lib[],MATCH(BH$2,SP_ACQ_Lib[#Headers],0),FALSE)),"")</f>
        <v/>
      </c>
      <c r="BI126" s="249" t="str">
        <f>IFERROR(IF(VLOOKUP(CONCATENATE($A126,"_",BI$1),SP_ACQ_Lib[],MATCH(BI$2,SP_ACQ_Lib[#Headers],0),FALSE)=0,"",VLOOKUP(CONCATENATE($A126,"_",BI$1),SP_ACQ_Lib[],MATCH(BI$2,SP_ACQ_Lib[#Headers],0),FALSE)),"")</f>
        <v/>
      </c>
      <c r="BJ126" s="249" t="str">
        <f>IFERROR(IF(VLOOKUP(CONCATENATE($A126,"_",BJ$1),SP_ACQ_Lib[],MATCH(BJ$2,SP_ACQ_Lib[#Headers],0),FALSE)=0,"",VLOOKUP(CONCATENATE($A126,"_",BJ$1),SP_ACQ_Lib[],MATCH(BJ$2,SP_ACQ_Lib[#Headers],0),FALSE)),"")</f>
        <v/>
      </c>
      <c r="BK126" s="250" t="str">
        <f>IFERROR(IF(VLOOKUP(CONCATENATE($A126,"_",BK$1),SP_ACQ_Lib[],MATCH(BK$2,SP_ACQ_Lib[#Headers],0),FALSE)=0,"",VLOOKUP(CONCATENATE($A126,"_",BK$1),SP_ACQ_Lib[],MATCH(BK$2,SP_ACQ_Lib[#Headers],0),FALSE)),"")</f>
        <v/>
      </c>
      <c r="BL126" s="249" t="str">
        <f>IFERROR(IF(VLOOKUP(CONCATENATE($A126,"_",BL$1),SP_ACQ_Lib[],MATCH(BL$2,SP_ACQ_Lib[#Headers],0),FALSE)=0,"",VLOOKUP(CONCATENATE($A126,"_",BL$1),SP_ACQ_Lib[],MATCH(BL$2,SP_ACQ_Lib[#Headers],0),FALSE)),"")</f>
        <v/>
      </c>
      <c r="BM126" s="249" t="str">
        <f>IFERROR(IF(VLOOKUP(CONCATENATE($A126,"_",BM$1),SP_ACQ_Lib[],MATCH(BM$2,SP_ACQ_Lib[#Headers],0),FALSE)=0,"",VLOOKUP(CONCATENATE($A126,"_",BM$1),SP_ACQ_Lib[],MATCH(BM$2,SP_ACQ_Lib[#Headers],0),FALSE)),"")</f>
        <v/>
      </c>
      <c r="BN126" s="249" t="str">
        <f>IFERROR(IF(VLOOKUP(CONCATENATE($A126,"_",BN$1),SP_ACQ_Lib[],MATCH(BN$2,SP_ACQ_Lib[#Headers],0),FALSE)=0,"",VLOOKUP(CONCATENATE($A126,"_",BN$1),SP_ACQ_Lib[],MATCH(BN$2,SP_ACQ_Lib[#Headers],0),FALSE)),"")</f>
        <v/>
      </c>
    </row>
    <row r="127" spans="1:66" s="226" customFormat="1" ht="25.5" x14ac:dyDescent="0.2">
      <c r="A127" s="192" t="s">
        <v>5369</v>
      </c>
      <c r="B127" s="227" t="str">
        <f>IFERROR(VLOOKUP($A127,SP_AcqTract_DB[],MATCH(B$2,SP_AcqTract_DB[#Headers],0),FALSE),"")</f>
        <v>R020856</v>
      </c>
      <c r="C127" s="228" t="str">
        <f>IFERROR(VLOOKUP($A127,SP_AcqTract_DB[],MATCH(C$2,SP_AcqTract_DB[#Headers],0),FALSE),"")</f>
        <v>PH2</v>
      </c>
      <c r="D127" s="208" t="str">
        <f>IFERROR(VLOOKUP($A127,SP_AcqTract_DB[],MATCH(D$2,SP_AcqTract_DB[#Headers],0),FALSE),"")</f>
        <v>Active</v>
      </c>
      <c r="E127" s="208">
        <f>IFERROR(VLOOKUP($A127,SP_AcqTract_DB[],MATCH(E$2,SP_AcqTract_DB[#Headers],0),FALSE),"")</f>
        <v>0</v>
      </c>
      <c r="F127" s="227" t="str">
        <f>IFERROR(VLOOKUP($A127,SP_AcqTract_DB[],MATCH(F$2,SP_AcqTract_DB[#Headers],0),FALSE),"")</f>
        <v>FEE / EASEMENT</v>
      </c>
      <c r="G127" s="227" t="str">
        <f>IFERROR(VLOOKUP($A127,SP_AcqTract_DB[],MATCH(G$2,SP_AcqTract_DB[#Headers],0),FALSE),"")</f>
        <v>Melissa DeLeon</v>
      </c>
      <c r="H127" s="250">
        <f>IFERROR(IF(VLOOKUP(CONCATENATE($A127,"_",H$1),SP_ACQ_Lib[],MATCH(H$2,SP_ACQ_Lib[#Headers],0),FALSE)=0,"",VLOOKUP(CONCATENATE($A127,"_",H$1),SP_ACQ_Lib[],MATCH(H$2,SP_ACQ_Lib[#Headers],0),FALSE)),"")</f>
        <v>44011.97415509259</v>
      </c>
      <c r="I127" s="227" t="str">
        <f>IFERROR(VLOOKUP($A127,SP_AcqTract_DB[],MATCH(I$2,SP_AcqTract_DB[#Headers],0),FALSE),"")</f>
        <v>Rodriguez Amelia</v>
      </c>
      <c r="J127" s="227">
        <f>IFERROR(VLOOKUP($A127,SP_AcqTract_DB[],MATCH(J$2,SP_AcqTract_DB[#Headers],0),FALSE),"")</f>
        <v>0</v>
      </c>
      <c r="K127" s="227">
        <f>IFERROR(VLOOKUP($A127,SP_AcqTract_DB[],MATCH(K$2,SP_AcqTract_DB[#Headers],0),FALSE),"")</f>
        <v>0</v>
      </c>
      <c r="L127" s="227" t="str">
        <f>IFERROR(VLOOKUP($A127,SP_AcqTract_DB[],MATCH(L$2,SP_AcqTract_DB[#Headers],0),FALSE),"")</f>
        <v>624 MURPHY</v>
      </c>
      <c r="M127" s="208" t="str">
        <f>IFERROR(VLOOKUP($A127,SP_AcqTract_DB[],MATCH(M$2,SP_AcqTract_DB[#Headers],0),FALSE),"")</f>
        <v>WHARTON, TX 77488</v>
      </c>
      <c r="N127" s="227" t="str">
        <f>IFERROR(VLOOKUP($A127,SP_AcqTract_DB[],MATCH(N$2,SP_AcqTract_DB[#Headers],0),FALSE),"")</f>
        <v>624 MURPHY</v>
      </c>
      <c r="O127" s="220">
        <f>IFERROR(VLOOKUP($A127,SP_AcqTract_DB[],MATCH(O$2,SP_AcqTract_DB[#Headers],0),FALSE),"")</f>
        <v>0</v>
      </c>
      <c r="P127" s="220">
        <f>IFERROR(VLOOKUP($A127,SP_AcqTract_DB[],MATCH(P$2,SP_AcqTract_DB[#Headers],0),FALSE),"")</f>
        <v>0</v>
      </c>
      <c r="Q127" s="208">
        <f>IFERROR(VLOOKUP($A127,SP_AcqTract_DB[],MATCH(Q$2,SP_AcqTract_DB[#Headers],0),FALSE),"")</f>
        <v>0</v>
      </c>
      <c r="R127" s="250" t="str">
        <f>IFERROR(IF(VLOOKUP(CONCATENATE($A127,"_",R$1),SP_ACQ_Lib[],MATCH(R$2,SP_ACQ_Lib[#Headers],0),FALSE)=0,"",VLOOKUP(CONCATENATE($A127,"_",R$1),SP_ACQ_Lib[],MATCH(R$2,SP_ACQ_Lib[#Headers],0),FALSE)),"")</f>
        <v/>
      </c>
      <c r="S127" s="253" t="str">
        <f>IFERROR(IF(VLOOKUP(CONCATENATE($A127,"_",S$1),SP_ACQ_Lib[],MATCH(S$2,SP_ACQ_Lib[#Headers],0),FALSE)=0,"",VLOOKUP(CONCATENATE($A127,"_",S$1),SP_ACQ_Lib[],MATCH(S$2,SP_ACQ_Lib[#Headers],0),FALSE)),"")</f>
        <v/>
      </c>
      <c r="T127" s="205">
        <f>IFERROR(VLOOKUP(CONCATENATE($A127,"_",T$1),SP_ACQ_Lib[],MATCH(T$2,SP_ACQ_Lib[#Headers],0),FALSE),0)</f>
        <v>0</v>
      </c>
      <c r="U127" s="250" t="str">
        <f>IFERROR(IF(VLOOKUP(CONCATENATE($A127,"_",U$1),SP_ACQ_Lib[],MATCH(U$2,SP_ACQ_Lib[#Headers],0),FALSE)=0,"",VLOOKUP(CONCATENATE($A127,"_",U$1),SP_ACQ_Lib[],MATCH(U$2,SP_ACQ_Lib[#Headers],0),FALSE)),"")</f>
        <v/>
      </c>
      <c r="V127" s="205">
        <f>IFERROR(VLOOKUP(CONCATENATE($A127,"_",V$1),SP_ACQ_Lib[],MATCH(V$2,SP_ACQ_Lib[#Headers],0),FALSE),0)</f>
        <v>0</v>
      </c>
      <c r="W127" s="209">
        <f>IFERROR(VLOOKUP(CONCATENATE($A127,"_",W$1),SP_ACQ_Lib[],MATCH(W$2,SP_ACQ_Lib[#Headers],0),FALSE),0)</f>
        <v>0</v>
      </c>
      <c r="X127" s="250">
        <f>IFERROR(VLOOKUP($A127,SP_AcqTract_DB[],MATCH(X$2,SP_AcqTract_DB[#Headers],0),FALSE),"")</f>
        <v>0</v>
      </c>
      <c r="Y127" s="237">
        <f>IFERROR(VLOOKUP($A127,SP_AcqTract_DB[],MATCH(Y$2,SP_AcqTract_DB[#Headers],0),FALSE),"")</f>
        <v>0</v>
      </c>
      <c r="Z127" s="229">
        <f>IFERROR(VLOOKUP($A127,SP_AcqTract_DB[],MATCH(Z$2,SP_AcqTract_DB[#Headers],0),FALSE),"")</f>
        <v>0</v>
      </c>
      <c r="AA127" s="229">
        <f>IFERROR(VLOOKUP($A127,SP_AcqTract_DB[],MATCH(AA$2,SP_AcqTract_DB[#Headers],0),FALSE),"")</f>
        <v>0</v>
      </c>
      <c r="AB127" s="250" t="str">
        <f>IFERROR(IF(VLOOKUP(CONCATENATE($A127,"_",AB$1),SP_ACQ_Lib[],MATCH(AB$2,SP_ACQ_Lib[#Headers],0),FALSE)=0,"",VLOOKUP(CONCATENATE($A127,"_",AB$1),SP_ACQ_Lib[],MATCH(AB$2,SP_ACQ_Lib[#Headers],0),FALSE)),"")</f>
        <v/>
      </c>
      <c r="AC127" s="250" t="str">
        <f>IFERROR(IF(VLOOKUP(CONCATENATE($A127,"_",AC$1),SP_ACQ_Lib[],MATCH(AC$2,SP_ACQ_Lib[#Headers],0),FALSE)=0,"",VLOOKUP(CONCATENATE($A127,"_",AC$1),SP_ACQ_Lib[],MATCH(AC$2,SP_ACQ_Lib[#Headers],0),FALSE)),"")</f>
        <v/>
      </c>
      <c r="AD127" s="229">
        <f>IFERROR(VLOOKUP($A127,SP_AcqTract_DB[],MATCH(AD$2,SP_AcqTract_DB[#Headers],0),FALSE),"")</f>
        <v>0</v>
      </c>
      <c r="AE127" s="250" t="str">
        <f>IFERROR(IF(VLOOKUP(CONCATENATE($A127,"_",AE$1),SP_ACQ_Lib[],MATCH(AE$2,SP_ACQ_Lib[#Headers],0),FALSE)=0,"",VLOOKUP(CONCATENATE($A127,"_",AE$1),SP_ACQ_Lib[],MATCH(AE$2,SP_ACQ_Lib[#Headers],0),FALSE)),"")</f>
        <v/>
      </c>
      <c r="AF127" s="250" t="str">
        <f>IFERROR(IF(VLOOKUP(CONCATENATE($A127,"_",AF$1),SP_ACQ_Lib[],MATCH(AF$2,SP_ACQ_Lib[#Headers],0),FALSE)=0,"",VLOOKUP(CONCATENATE($A127,"_",AF$1),SP_ACQ_Lib[],MATCH(AF$2,SP_ACQ_Lib[#Headers],0),FALSE)),"")</f>
        <v/>
      </c>
      <c r="AG127" s="250" t="str">
        <f>IFERROR(IF(VLOOKUP(CONCATENATE($A127,"_",AG$1),SP_ACQ_Lib[],MATCH(AG$2,SP_ACQ_Lib[#Headers],0),FALSE)=0,"",VLOOKUP(CONCATENATE($A127,"_",AG$1),SP_ACQ_Lib[],MATCH(AG$2,SP_ACQ_Lib[#Headers],0),FALSE)),"")</f>
        <v/>
      </c>
      <c r="AH127" s="250" t="str">
        <f>IFERROR(IF(VLOOKUP(CONCATENATE($A127,"_",AH$1),SP_ACQ_Lib[],MATCH(AH$2,SP_ACQ_Lib[#Headers],0),FALSE)=0,"",VLOOKUP(CONCATENATE($A127,"_",AH$1),SP_ACQ_Lib[],MATCH(AH$2,SP_ACQ_Lib[#Headers],0),FALSE)),"")</f>
        <v/>
      </c>
      <c r="AI127" s="249">
        <f>IFERROR(IF(VLOOKUP(CONCATENATE($A127,"_",AI$1),SP_ACQ_Lib[],MATCH(AI$2,SP_ACQ_Lib[#Headers],0),FALSE)=0,"",VLOOKUP(CONCATENATE($A127,"_",AI$1),SP_ACQ_Lib[],MATCH(AI$2,SP_ACQ_Lib[#Headers],0),FALSE)),"")</f>
        <v>43985</v>
      </c>
      <c r="AJ127" s="249">
        <f>IFERROR(IF(VLOOKUP(CONCATENATE($A127,"_",AJ$1),SP_ACQ_Lib[],MATCH(AJ$2,SP_ACQ_Lib[#Headers],0),FALSE)=0,"",VLOOKUP(CONCATENATE($A127,"_",AJ$1),SP_ACQ_Lib[],MATCH(AJ$2,SP_ACQ_Lib[#Headers],0),FALSE)),"")</f>
        <v>43998</v>
      </c>
      <c r="AK127" s="249">
        <f>IFERROR(IF(VLOOKUP(CONCATENATE($A127,"_",AK$1),SP_ACQ_Lib[],MATCH(AK$2,SP_ACQ_Lib[#Headers],0),FALSE)=0,"",VLOOKUP(CONCATENATE($A127,"_",AK$1),SP_ACQ_Lib[],MATCH(AK$2,SP_ACQ_Lib[#Headers],0),FALSE)),"")</f>
        <v>44181</v>
      </c>
      <c r="AL127" s="249">
        <f>IFERROR(VLOOKUP($A127,SP_AcqTract_DB[],MATCH(AL$2,SP_AcqTract_DB[#Headers],0),FALSE),"")</f>
        <v>0</v>
      </c>
      <c r="AM127" s="227">
        <f>IFERROR(VLOOKUP($A127,SP_AcqTract_DB[],MATCH(AM$2,SP_AcqTract_DB[#Headers],0),FALSE),"")</f>
        <v>0</v>
      </c>
      <c r="AN127" s="227">
        <f>IFERROR(VLOOKUP($A127,SP_AcqTract_DB[],MATCH(AN$2,SP_AcqTract_DB[#Headers],0),FALSE),"")</f>
        <v>0</v>
      </c>
      <c r="AO127" s="228">
        <f>IFERROR(VLOOKUP($A127,SP_AcqTract_DB[],MATCH(AO$2,SP_AcqTract_DB[#Headers],0),FALSE),"")</f>
        <v>0</v>
      </c>
      <c r="AP127" s="210" t="str">
        <f>IFERROR(VLOOKUP($A127,SP_AcqTract_DB[],MATCH(AP$2,SP_AcqTract_DB[#Headers],0),FALSE),"")</f>
        <v>R</v>
      </c>
      <c r="AQ127" s="252" t="str">
        <f>IFERROR(IF(VLOOKUP(CONCATENATE($A127,"_",AQ$1),SP_ACQ_Lib[],MATCH(AQ$2,SP_ACQ_Lib[#Headers],0),FALSE)=0,"",VLOOKUP(CONCATENATE($A127,"_",AQ$1),SP_ACQ_Lib[],MATCH(AQ$2,SP_ACQ_Lib[#Headers],0),FALSE)),"")</f>
        <v/>
      </c>
      <c r="AR127" s="250" t="str">
        <f>IFERROR(IF(VLOOKUP(CONCATENATE($A127,"_",AR$1),SP_ACQ_Lib[],MATCH(AR$2,SP_ACQ_Lib[#Headers],0),FALSE)=0,"",VLOOKUP(CONCATENATE($A127,"_",AR$1),SP_ACQ_Lib[],MATCH(AR$2,SP_ACQ_Lib[#Headers],0),FALSE)),"")</f>
        <v/>
      </c>
      <c r="AS127" s="249" t="str">
        <f>IFERROR(IF(VLOOKUP(CONCATENATE($A127,"_",AS$1),SP_ACQ_Lib[],MATCH(AS$2,SP_ACQ_Lib[#Headers],0),FALSE)=0,"",VLOOKUP(CONCATENATE($A127,"_",AS$1),SP_ACQ_Lib[],MATCH(AS$2,SP_ACQ_Lib[#Headers],0),FALSE)),"")</f>
        <v/>
      </c>
      <c r="AT127" s="251" t="str">
        <f>IFERROR(IF(VLOOKUP(CONCATENATE($A127,"_",AT$1),SP_ACQ_Lib[],MATCH(AT$2,SP_ACQ_Lib[#Headers],0),FALSE)=0,"",VLOOKUP(CONCATENATE($A127,"_",AT$1),SP_ACQ_Lib[],MATCH(AT$2,SP_ACQ_Lib[#Headers],0),FALSE)),"")</f>
        <v/>
      </c>
      <c r="AU127" s="251" t="str">
        <f>IFERROR(IF(VLOOKUP(CONCATENATE($A127,"_",AU$1),SP_ACQ_Lib[],MATCH(AU$2,SP_ACQ_Lib[#Headers],0),FALSE)=0,"",VLOOKUP(CONCATENATE($A127,"_",AU$1),SP_ACQ_Lib[],MATCH(AU$2,SP_ACQ_Lib[#Headers],0),FALSE)),"")</f>
        <v/>
      </c>
      <c r="AV127" s="225" t="str">
        <f>IFERROR(IF(VLOOKUP(CONCATENATE($A127,"_",AV$1),SP_ACQ_Lib[],MATCH(AV$2,SP_ACQ_Lib[#Headers],0),FALSE)=0,"",VLOOKUP(CONCATENATE($A127,"_",AV$1),SP_ACQ_Lib[],MATCH(AV$2,SP_ACQ_Lib[#Headers],0),FALSE)),"")</f>
        <v/>
      </c>
      <c r="AW127" s="251" t="str">
        <f>IFERROR(IF(VLOOKUP(CONCATENATE($A127,"_",AW$1),SP_ACQ_Lib[],MATCH(AW$2,SP_ACQ_Lib[#Headers],0),FALSE)=0,"",VLOOKUP(CONCATENATE($A127,"_",AW$1),SP_ACQ_Lib[],MATCH(AW$2,SP_ACQ_Lib[#Headers],0),FALSE)),"")</f>
        <v/>
      </c>
      <c r="AX127" s="251" t="str">
        <f>IFERROR(IF(VLOOKUP(CONCATENATE($A127,"_",AX$1),SP_ACQ_Lib[],MATCH(AX$2,SP_ACQ_Lib[#Headers],0),FALSE)=0,"",VLOOKUP(CONCATENATE($A127,"_",AX$1),SP_ACQ_Lib[],MATCH(AX$2,SP_ACQ_Lib[#Headers],0),FALSE)),"")</f>
        <v/>
      </c>
      <c r="AY127" s="251" t="str">
        <f>IFERROR(IF(VLOOKUP(CONCATENATE($A127,"_",AY$1),SP_ACQ_Lib[],MATCH(AY$2,SP_ACQ_Lib[#Headers],0),FALSE)=0,"",VLOOKUP(CONCATENATE($A127,"_",AY$1),SP_ACQ_Lib[],MATCH(AY$2,SP_ACQ_Lib[#Headers],0),FALSE)),"")</f>
        <v/>
      </c>
      <c r="AZ127" s="251" t="str">
        <f>IFERROR(IF(VLOOKUP(CONCATENATE($A127,"_",AZ$1),SP_ACQ_Lib[],MATCH(AZ$2,SP_ACQ_Lib[#Headers],0),FALSE)=0,"",VLOOKUP(CONCATENATE($A127,"_",AZ$1),SP_ACQ_Lib[],MATCH(AZ$2,SP_ACQ_Lib[#Headers],0),FALSE)),"")</f>
        <v/>
      </c>
      <c r="BA127" s="251" t="str">
        <f>IFERROR(IF(VLOOKUP(CONCATENATE($A127,"_",BA$1),SP_ACQ_Lib[],MATCH(BA$2,SP_ACQ_Lib[#Headers],0),FALSE)=0,"",VLOOKUP(CONCATENATE($A127,"_",BA$1),SP_ACQ_Lib[],MATCH(BA$2,SP_ACQ_Lib[#Headers],0),FALSE)),"")</f>
        <v/>
      </c>
      <c r="BB127" s="224">
        <f>IFERROR(VLOOKUP(CONCATENATE($A127,"_",BB$1),SP_ACQ_Lib[],MATCH(BB$2,SP_ACQ_Lib[#Headers],0),FALSE),0)</f>
        <v>0</v>
      </c>
      <c r="BC127" s="231">
        <f>IFERROR(VLOOKUP($A127,SP_AcqTract_DB[],MATCH(BC$2,SP_AcqTract_DB[#Headers],0),FALSE),"")</f>
        <v>0</v>
      </c>
      <c r="BD127" s="231">
        <f>IFERROR(VLOOKUP($A127,SP_AcqTract_DB[],MATCH(BD$2,SP_AcqTract_DB[#Headers],0),FALSE),"")</f>
        <v>0</v>
      </c>
      <c r="BE127" s="249" t="str">
        <f>IFERROR(IF(VLOOKUP(CONCATENATE($A127,"_",BE$1),SP_ACQ_Lib[],MATCH(BE$2,SP_ACQ_Lib[#Headers],0),FALSE)=0,"",VLOOKUP(CONCATENATE($A127,"_",BE$1),SP_ACQ_Lib[],MATCH(BE$2,SP_ACQ_Lib[#Headers],0),FALSE)),"")</f>
        <v/>
      </c>
      <c r="BF127" s="249" t="str">
        <f>IFERROR(IF(VLOOKUP(CONCATENATE($A127,"_",BF$1),SP_ACQ_Lib[],MATCH(BF$2,SP_ACQ_Lib[#Headers],0),FALSE)=0,"",VLOOKUP(CONCATENATE($A127,"_",BF$1),SP_ACQ_Lib[],MATCH(BF$2,SP_ACQ_Lib[#Headers],0),FALSE)),"")</f>
        <v/>
      </c>
      <c r="BG127" s="249" t="str">
        <f>IFERROR(IF(VLOOKUP(CONCATENATE($A127,"_",BG$1),SP_ACQ_Lib[],MATCH(BG$2,SP_ACQ_Lib[#Headers],0),FALSE)=0,"",VLOOKUP(CONCATENATE($A127,"_",BG$1),SP_ACQ_Lib[],MATCH(BG$2,SP_ACQ_Lib[#Headers],0),FALSE)),"")</f>
        <v/>
      </c>
      <c r="BH127" s="249" t="str">
        <f>IFERROR(IF(VLOOKUP(CONCATENATE($A127,"_",BH$1),SP_ACQ_Lib[],MATCH(BH$2,SP_ACQ_Lib[#Headers],0),FALSE)=0,"",VLOOKUP(CONCATENATE($A127,"_",BH$1),SP_ACQ_Lib[],MATCH(BH$2,SP_ACQ_Lib[#Headers],0),FALSE)),"")</f>
        <v/>
      </c>
      <c r="BI127" s="249" t="str">
        <f>IFERROR(IF(VLOOKUP(CONCATENATE($A127,"_",BI$1),SP_ACQ_Lib[],MATCH(BI$2,SP_ACQ_Lib[#Headers],0),FALSE)=0,"",VLOOKUP(CONCATENATE($A127,"_",BI$1),SP_ACQ_Lib[],MATCH(BI$2,SP_ACQ_Lib[#Headers],0),FALSE)),"")</f>
        <v/>
      </c>
      <c r="BJ127" s="249" t="str">
        <f>IFERROR(IF(VLOOKUP(CONCATENATE($A127,"_",BJ$1),SP_ACQ_Lib[],MATCH(BJ$2,SP_ACQ_Lib[#Headers],0),FALSE)=0,"",VLOOKUP(CONCATENATE($A127,"_",BJ$1),SP_ACQ_Lib[],MATCH(BJ$2,SP_ACQ_Lib[#Headers],0),FALSE)),"")</f>
        <v/>
      </c>
      <c r="BK127" s="250" t="str">
        <f>IFERROR(IF(VLOOKUP(CONCATENATE($A127,"_",BK$1),SP_ACQ_Lib[],MATCH(BK$2,SP_ACQ_Lib[#Headers],0),FALSE)=0,"",VLOOKUP(CONCATENATE($A127,"_",BK$1),SP_ACQ_Lib[],MATCH(BK$2,SP_ACQ_Lib[#Headers],0),FALSE)),"")</f>
        <v/>
      </c>
      <c r="BL127" s="249" t="str">
        <f>IFERROR(IF(VLOOKUP(CONCATENATE($A127,"_",BL$1),SP_ACQ_Lib[],MATCH(BL$2,SP_ACQ_Lib[#Headers],0),FALSE)=0,"",VLOOKUP(CONCATENATE($A127,"_",BL$1),SP_ACQ_Lib[],MATCH(BL$2,SP_ACQ_Lib[#Headers],0),FALSE)),"")</f>
        <v/>
      </c>
      <c r="BM127" s="249" t="str">
        <f>IFERROR(IF(VLOOKUP(CONCATENATE($A127,"_",BM$1),SP_ACQ_Lib[],MATCH(BM$2,SP_ACQ_Lib[#Headers],0),FALSE)=0,"",VLOOKUP(CONCATENATE($A127,"_",BM$1),SP_ACQ_Lib[],MATCH(BM$2,SP_ACQ_Lib[#Headers],0),FALSE)),"")</f>
        <v/>
      </c>
      <c r="BN127" s="249" t="str">
        <f>IFERROR(IF(VLOOKUP(CONCATENATE($A127,"_",BN$1),SP_ACQ_Lib[],MATCH(BN$2,SP_ACQ_Lib[#Headers],0),FALSE)=0,"",VLOOKUP(CONCATENATE($A127,"_",BN$1),SP_ACQ_Lib[],MATCH(BN$2,SP_ACQ_Lib[#Headers],0),FALSE)),"")</f>
        <v/>
      </c>
    </row>
    <row r="128" spans="1:66" s="226" customFormat="1" ht="38.25" x14ac:dyDescent="0.2">
      <c r="A128" s="192" t="s">
        <v>5371</v>
      </c>
      <c r="B128" s="227" t="str">
        <f>IFERROR(VLOOKUP($A128,SP_AcqTract_DB[],MATCH(B$2,SP_AcqTract_DB[#Headers],0),FALSE),"")</f>
        <v>R031201</v>
      </c>
      <c r="C128" s="228" t="str">
        <f>IFERROR(VLOOKUP($A128,SP_AcqTract_DB[],MATCH(C$2,SP_AcqTract_DB[#Headers],0),FALSE),"")</f>
        <v>PH2</v>
      </c>
      <c r="D128" s="208" t="str">
        <f>IFERROR(VLOOKUP($A128,SP_AcqTract_DB[],MATCH(D$2,SP_AcqTract_DB[#Headers],0),FALSE),"")</f>
        <v>Active</v>
      </c>
      <c r="E128" s="208">
        <f>IFERROR(VLOOKUP($A128,SP_AcqTract_DB[],MATCH(E$2,SP_AcqTract_DB[#Headers],0),FALSE),"")</f>
        <v>0</v>
      </c>
      <c r="F128" s="227" t="str">
        <f>IFERROR(VLOOKUP($A128,SP_AcqTract_DB[],MATCH(F$2,SP_AcqTract_DB[#Headers],0),FALSE),"")</f>
        <v>FEE / EASEMENT</v>
      </c>
      <c r="G128" s="227">
        <f>IFERROR(VLOOKUP($A128,SP_AcqTract_DB[],MATCH(G$2,SP_AcqTract_DB[#Headers],0),FALSE),"")</f>
        <v>0</v>
      </c>
      <c r="H128" s="250" t="str">
        <f>IFERROR(IF(VLOOKUP(CONCATENATE($A128,"_",H$1),SP_ACQ_Lib[],MATCH(H$2,SP_ACQ_Lib[#Headers],0),FALSE)=0,"",VLOOKUP(CONCATENATE($A128,"_",H$1),SP_ACQ_Lib[],MATCH(H$2,SP_ACQ_Lib[#Headers],0),FALSE)),"")</f>
        <v/>
      </c>
      <c r="I128" s="227" t="str">
        <f>IFERROR(VLOOKUP($A128,SP_AcqTract_DB[],MATCH(I$2,SP_AcqTract_DB[#Headers],0),FALSE),"")</f>
        <v>Harrison Agriculture LTD</v>
      </c>
      <c r="J128" s="227" t="str">
        <f>IFERROR(VLOOKUP($A128,SP_AcqTract_DB[],MATCH(J$2,SP_AcqTract_DB[#Headers],0),FALSE),"")</f>
        <v>HARRISON AGRICULTURE LTD</v>
      </c>
      <c r="K128" s="227">
        <f>IFERROR(VLOOKUP($A128,SP_AcqTract_DB[],MATCH(K$2,SP_AcqTract_DB[#Headers],0),FALSE),"")</f>
        <v>0</v>
      </c>
      <c r="L128" s="227" t="str">
        <f>IFERROR(VLOOKUP($A128,SP_AcqTract_DB[],MATCH(L$2,SP_AcqTract_DB[#Headers],0),FALSE),"")</f>
        <v>5318 INWOOD</v>
      </c>
      <c r="M128" s="208" t="str">
        <f>IFERROR(VLOOKUP($A128,SP_AcqTract_DB[],MATCH(M$2,SP_AcqTract_DB[#Headers],0),FALSE),"")</f>
        <v>HOUSTON, TX 77056-0000</v>
      </c>
      <c r="N128" s="227" t="str">
        <f>IFERROR(VLOOKUP($A128,SP_AcqTract_DB[],MATCH(N$2,SP_AcqTract_DB[#Headers],0),FALSE),"")</f>
        <v>FM 102</v>
      </c>
      <c r="O128" s="220">
        <f>IFERROR(VLOOKUP($A128,SP_AcqTract_DB[],MATCH(O$2,SP_AcqTract_DB[#Headers],0),FALSE),"")</f>
        <v>0</v>
      </c>
      <c r="P128" s="220">
        <f>IFERROR(VLOOKUP($A128,SP_AcqTract_DB[],MATCH(P$2,SP_AcqTract_DB[#Headers],0),FALSE),"")</f>
        <v>0</v>
      </c>
      <c r="Q128" s="208">
        <f>IFERROR(VLOOKUP($A128,SP_AcqTract_DB[],MATCH(Q$2,SP_AcqTract_DB[#Headers],0),FALSE),"")</f>
        <v>0</v>
      </c>
      <c r="R128" s="250" t="str">
        <f>IFERROR(IF(VLOOKUP(CONCATENATE($A128,"_",R$1),SP_ACQ_Lib[],MATCH(R$2,SP_ACQ_Lib[#Headers],0),FALSE)=0,"",VLOOKUP(CONCATENATE($A128,"_",R$1),SP_ACQ_Lib[],MATCH(R$2,SP_ACQ_Lib[#Headers],0),FALSE)),"")</f>
        <v/>
      </c>
      <c r="S128" s="253" t="str">
        <f>IFERROR(IF(VLOOKUP(CONCATENATE($A128,"_",S$1),SP_ACQ_Lib[],MATCH(S$2,SP_ACQ_Lib[#Headers],0),FALSE)=0,"",VLOOKUP(CONCATENATE($A128,"_",S$1),SP_ACQ_Lib[],MATCH(S$2,SP_ACQ_Lib[#Headers],0),FALSE)),"")</f>
        <v/>
      </c>
      <c r="T128" s="205">
        <f>IFERROR(VLOOKUP(CONCATENATE($A128,"_",T$1),SP_ACQ_Lib[],MATCH(T$2,SP_ACQ_Lib[#Headers],0),FALSE),0)</f>
        <v>0</v>
      </c>
      <c r="U128" s="250" t="str">
        <f>IFERROR(IF(VLOOKUP(CONCATENATE($A128,"_",U$1),SP_ACQ_Lib[],MATCH(U$2,SP_ACQ_Lib[#Headers],0),FALSE)=0,"",VLOOKUP(CONCATENATE($A128,"_",U$1),SP_ACQ_Lib[],MATCH(U$2,SP_ACQ_Lib[#Headers],0),FALSE)),"")</f>
        <v/>
      </c>
      <c r="V128" s="205">
        <f>IFERROR(VLOOKUP(CONCATENATE($A128,"_",V$1),SP_ACQ_Lib[],MATCH(V$2,SP_ACQ_Lib[#Headers],0),FALSE),0)</f>
        <v>0</v>
      </c>
      <c r="W128" s="209">
        <f>IFERROR(VLOOKUP(CONCATENATE($A128,"_",W$1),SP_ACQ_Lib[],MATCH(W$2,SP_ACQ_Lib[#Headers],0),FALSE),0)</f>
        <v>0</v>
      </c>
      <c r="X128" s="250">
        <f>IFERROR(VLOOKUP($A128,SP_AcqTract_DB[],MATCH(X$2,SP_AcqTract_DB[#Headers],0),FALSE),"")</f>
        <v>0</v>
      </c>
      <c r="Y128" s="237">
        <f>IFERROR(VLOOKUP($A128,SP_AcqTract_DB[],MATCH(Y$2,SP_AcqTract_DB[#Headers],0),FALSE),"")</f>
        <v>0</v>
      </c>
      <c r="Z128" s="229">
        <f>IFERROR(VLOOKUP($A128,SP_AcqTract_DB[],MATCH(Z$2,SP_AcqTract_DB[#Headers],0),FALSE),"")</f>
        <v>0</v>
      </c>
      <c r="AA128" s="229">
        <f>IFERROR(VLOOKUP($A128,SP_AcqTract_DB[],MATCH(AA$2,SP_AcqTract_DB[#Headers],0),FALSE),"")</f>
        <v>0</v>
      </c>
      <c r="AB128" s="250" t="str">
        <f>IFERROR(IF(VLOOKUP(CONCATENATE($A128,"_",AB$1),SP_ACQ_Lib[],MATCH(AB$2,SP_ACQ_Lib[#Headers],0),FALSE)=0,"",VLOOKUP(CONCATENATE($A128,"_",AB$1),SP_ACQ_Lib[],MATCH(AB$2,SP_ACQ_Lib[#Headers],0),FALSE)),"")</f>
        <v/>
      </c>
      <c r="AC128" s="250" t="str">
        <f>IFERROR(IF(VLOOKUP(CONCATENATE($A128,"_",AC$1),SP_ACQ_Lib[],MATCH(AC$2,SP_ACQ_Lib[#Headers],0),FALSE)=0,"",VLOOKUP(CONCATENATE($A128,"_",AC$1),SP_ACQ_Lib[],MATCH(AC$2,SP_ACQ_Lib[#Headers],0),FALSE)),"")</f>
        <v/>
      </c>
      <c r="AD128" s="229">
        <f>IFERROR(VLOOKUP($A128,SP_AcqTract_DB[],MATCH(AD$2,SP_AcqTract_DB[#Headers],0),FALSE),"")</f>
        <v>0</v>
      </c>
      <c r="AE128" s="250" t="str">
        <f>IFERROR(IF(VLOOKUP(CONCATENATE($A128,"_",AE$1),SP_ACQ_Lib[],MATCH(AE$2,SP_ACQ_Lib[#Headers],0),FALSE)=0,"",VLOOKUP(CONCATENATE($A128,"_",AE$1),SP_ACQ_Lib[],MATCH(AE$2,SP_ACQ_Lib[#Headers],0),FALSE)),"")</f>
        <v/>
      </c>
      <c r="AF128" s="250" t="str">
        <f>IFERROR(IF(VLOOKUP(CONCATENATE($A128,"_",AF$1),SP_ACQ_Lib[],MATCH(AF$2,SP_ACQ_Lib[#Headers],0),FALSE)=0,"",VLOOKUP(CONCATENATE($A128,"_",AF$1),SP_ACQ_Lib[],MATCH(AF$2,SP_ACQ_Lib[#Headers],0),FALSE)),"")</f>
        <v/>
      </c>
      <c r="AG128" s="250" t="str">
        <f>IFERROR(IF(VLOOKUP(CONCATENATE($A128,"_",AG$1),SP_ACQ_Lib[],MATCH(AG$2,SP_ACQ_Lib[#Headers],0),FALSE)=0,"",VLOOKUP(CONCATENATE($A128,"_",AG$1),SP_ACQ_Lib[],MATCH(AG$2,SP_ACQ_Lib[#Headers],0),FALSE)),"")</f>
        <v/>
      </c>
      <c r="AH128" s="250" t="str">
        <f>IFERROR(IF(VLOOKUP(CONCATENATE($A128,"_",AH$1),SP_ACQ_Lib[],MATCH(AH$2,SP_ACQ_Lib[#Headers],0),FALSE)=0,"",VLOOKUP(CONCATENATE($A128,"_",AH$1),SP_ACQ_Lib[],MATCH(AH$2,SP_ACQ_Lib[#Headers],0),FALSE)),"")</f>
        <v/>
      </c>
      <c r="AI128" s="249" t="str">
        <f>IFERROR(IF(VLOOKUP(CONCATENATE($A128,"_",AI$1),SP_ACQ_Lib[],MATCH(AI$2,SP_ACQ_Lib[#Headers],0),FALSE)=0,"",VLOOKUP(CONCATENATE($A128,"_",AI$1),SP_ACQ_Lib[],MATCH(AI$2,SP_ACQ_Lib[#Headers],0),FALSE)),"")</f>
        <v/>
      </c>
      <c r="AJ128" s="249" t="str">
        <f>IFERROR(IF(VLOOKUP(CONCATENATE($A128,"_",AJ$1),SP_ACQ_Lib[],MATCH(AJ$2,SP_ACQ_Lib[#Headers],0),FALSE)=0,"",VLOOKUP(CONCATENATE($A128,"_",AJ$1),SP_ACQ_Lib[],MATCH(AJ$2,SP_ACQ_Lib[#Headers],0),FALSE)),"")</f>
        <v/>
      </c>
      <c r="AK128" s="249" t="str">
        <f>IFERROR(IF(VLOOKUP(CONCATENATE($A128,"_",AK$1),SP_ACQ_Lib[],MATCH(AK$2,SP_ACQ_Lib[#Headers],0),FALSE)=0,"",VLOOKUP(CONCATENATE($A128,"_",AK$1),SP_ACQ_Lib[],MATCH(AK$2,SP_ACQ_Lib[#Headers],0),FALSE)),"")</f>
        <v/>
      </c>
      <c r="AL128" s="249">
        <f>IFERROR(VLOOKUP($A128,SP_AcqTract_DB[],MATCH(AL$2,SP_AcqTract_DB[#Headers],0),FALSE),"")</f>
        <v>0</v>
      </c>
      <c r="AM128" s="227">
        <f>IFERROR(VLOOKUP($A128,SP_AcqTract_DB[],MATCH(AM$2,SP_AcqTract_DB[#Headers],0),FALSE),"")</f>
        <v>0</v>
      </c>
      <c r="AN128" s="227">
        <f>IFERROR(VLOOKUP($A128,SP_AcqTract_DB[],MATCH(AN$2,SP_AcqTract_DB[#Headers],0),FALSE),"")</f>
        <v>0</v>
      </c>
      <c r="AO128" s="228">
        <f>IFERROR(VLOOKUP($A128,SP_AcqTract_DB[],MATCH(AO$2,SP_AcqTract_DB[#Headers],0),FALSE),"")</f>
        <v>0</v>
      </c>
      <c r="AP128" s="210" t="str">
        <f>IFERROR(VLOOKUP($A128,SP_AcqTract_DB[],MATCH(AP$2,SP_AcqTract_DB[#Headers],0),FALSE),"")</f>
        <v>A</v>
      </c>
      <c r="AQ128" s="252" t="str">
        <f>IFERROR(IF(VLOOKUP(CONCATENATE($A128,"_",AQ$1),SP_ACQ_Lib[],MATCH(AQ$2,SP_ACQ_Lib[#Headers],0),FALSE)=0,"",VLOOKUP(CONCATENATE($A128,"_",AQ$1),SP_ACQ_Lib[],MATCH(AQ$2,SP_ACQ_Lib[#Headers],0),FALSE)),"")</f>
        <v/>
      </c>
      <c r="AR128" s="250" t="str">
        <f>IFERROR(IF(VLOOKUP(CONCATENATE($A128,"_",AR$1),SP_ACQ_Lib[],MATCH(AR$2,SP_ACQ_Lib[#Headers],0),FALSE)=0,"",VLOOKUP(CONCATENATE($A128,"_",AR$1),SP_ACQ_Lib[],MATCH(AR$2,SP_ACQ_Lib[#Headers],0),FALSE)),"")</f>
        <v/>
      </c>
      <c r="AS128" s="249" t="str">
        <f>IFERROR(IF(VLOOKUP(CONCATENATE($A128,"_",AS$1),SP_ACQ_Lib[],MATCH(AS$2,SP_ACQ_Lib[#Headers],0),FALSE)=0,"",VLOOKUP(CONCATENATE($A128,"_",AS$1),SP_ACQ_Lib[],MATCH(AS$2,SP_ACQ_Lib[#Headers],0),FALSE)),"")</f>
        <v/>
      </c>
      <c r="AT128" s="251" t="str">
        <f>IFERROR(IF(VLOOKUP(CONCATENATE($A128,"_",AT$1),SP_ACQ_Lib[],MATCH(AT$2,SP_ACQ_Lib[#Headers],0),FALSE)=0,"",VLOOKUP(CONCATENATE($A128,"_",AT$1),SP_ACQ_Lib[],MATCH(AT$2,SP_ACQ_Lib[#Headers],0),FALSE)),"")</f>
        <v/>
      </c>
      <c r="AU128" s="251" t="str">
        <f>IFERROR(IF(VLOOKUP(CONCATENATE($A128,"_",AU$1),SP_ACQ_Lib[],MATCH(AU$2,SP_ACQ_Lib[#Headers],0),FALSE)=0,"",VLOOKUP(CONCATENATE($A128,"_",AU$1),SP_ACQ_Lib[],MATCH(AU$2,SP_ACQ_Lib[#Headers],0),FALSE)),"")</f>
        <v/>
      </c>
      <c r="AV128" s="225" t="str">
        <f>IFERROR(IF(VLOOKUP(CONCATENATE($A128,"_",AV$1),SP_ACQ_Lib[],MATCH(AV$2,SP_ACQ_Lib[#Headers],0),FALSE)=0,"",VLOOKUP(CONCATENATE($A128,"_",AV$1),SP_ACQ_Lib[],MATCH(AV$2,SP_ACQ_Lib[#Headers],0),FALSE)),"")</f>
        <v/>
      </c>
      <c r="AW128" s="251" t="str">
        <f>IFERROR(IF(VLOOKUP(CONCATENATE($A128,"_",AW$1),SP_ACQ_Lib[],MATCH(AW$2,SP_ACQ_Lib[#Headers],0),FALSE)=0,"",VLOOKUP(CONCATENATE($A128,"_",AW$1),SP_ACQ_Lib[],MATCH(AW$2,SP_ACQ_Lib[#Headers],0),FALSE)),"")</f>
        <v/>
      </c>
      <c r="AX128" s="251" t="str">
        <f>IFERROR(IF(VLOOKUP(CONCATENATE($A128,"_",AX$1),SP_ACQ_Lib[],MATCH(AX$2,SP_ACQ_Lib[#Headers],0),FALSE)=0,"",VLOOKUP(CONCATENATE($A128,"_",AX$1),SP_ACQ_Lib[],MATCH(AX$2,SP_ACQ_Lib[#Headers],0),FALSE)),"")</f>
        <v/>
      </c>
      <c r="AY128" s="251" t="str">
        <f>IFERROR(IF(VLOOKUP(CONCATENATE($A128,"_",AY$1),SP_ACQ_Lib[],MATCH(AY$2,SP_ACQ_Lib[#Headers],0),FALSE)=0,"",VLOOKUP(CONCATENATE($A128,"_",AY$1),SP_ACQ_Lib[],MATCH(AY$2,SP_ACQ_Lib[#Headers],0),FALSE)),"")</f>
        <v/>
      </c>
      <c r="AZ128" s="251" t="str">
        <f>IFERROR(IF(VLOOKUP(CONCATENATE($A128,"_",AZ$1),SP_ACQ_Lib[],MATCH(AZ$2,SP_ACQ_Lib[#Headers],0),FALSE)=0,"",VLOOKUP(CONCATENATE($A128,"_",AZ$1),SP_ACQ_Lib[],MATCH(AZ$2,SP_ACQ_Lib[#Headers],0),FALSE)),"")</f>
        <v/>
      </c>
      <c r="BA128" s="251" t="str">
        <f>IFERROR(IF(VLOOKUP(CONCATENATE($A128,"_",BA$1),SP_ACQ_Lib[],MATCH(BA$2,SP_ACQ_Lib[#Headers],0),FALSE)=0,"",VLOOKUP(CONCATENATE($A128,"_",BA$1),SP_ACQ_Lib[],MATCH(BA$2,SP_ACQ_Lib[#Headers],0),FALSE)),"")</f>
        <v/>
      </c>
      <c r="BB128" s="224">
        <f>IFERROR(VLOOKUP(CONCATENATE($A128,"_",BB$1),SP_ACQ_Lib[],MATCH(BB$2,SP_ACQ_Lib[#Headers],0),FALSE),0)</f>
        <v>0</v>
      </c>
      <c r="BC128" s="231">
        <f>IFERROR(VLOOKUP($A128,SP_AcqTract_DB[],MATCH(BC$2,SP_AcqTract_DB[#Headers],0),FALSE),"")</f>
        <v>0</v>
      </c>
      <c r="BD128" s="231">
        <f>IFERROR(VLOOKUP($A128,SP_AcqTract_DB[],MATCH(BD$2,SP_AcqTract_DB[#Headers],0),FALSE),"")</f>
        <v>0</v>
      </c>
      <c r="BE128" s="249" t="str">
        <f>IFERROR(IF(VLOOKUP(CONCATENATE($A128,"_",BE$1),SP_ACQ_Lib[],MATCH(BE$2,SP_ACQ_Lib[#Headers],0),FALSE)=0,"",VLOOKUP(CONCATENATE($A128,"_",BE$1),SP_ACQ_Lib[],MATCH(BE$2,SP_ACQ_Lib[#Headers],0),FALSE)),"")</f>
        <v/>
      </c>
      <c r="BF128" s="249" t="str">
        <f>IFERROR(IF(VLOOKUP(CONCATENATE($A128,"_",BF$1),SP_ACQ_Lib[],MATCH(BF$2,SP_ACQ_Lib[#Headers],0),FALSE)=0,"",VLOOKUP(CONCATENATE($A128,"_",BF$1),SP_ACQ_Lib[],MATCH(BF$2,SP_ACQ_Lib[#Headers],0),FALSE)),"")</f>
        <v/>
      </c>
      <c r="BG128" s="249" t="str">
        <f>IFERROR(IF(VLOOKUP(CONCATENATE($A128,"_",BG$1),SP_ACQ_Lib[],MATCH(BG$2,SP_ACQ_Lib[#Headers],0),FALSE)=0,"",VLOOKUP(CONCATENATE($A128,"_",BG$1),SP_ACQ_Lib[],MATCH(BG$2,SP_ACQ_Lib[#Headers],0),FALSE)),"")</f>
        <v/>
      </c>
      <c r="BH128" s="249" t="str">
        <f>IFERROR(IF(VLOOKUP(CONCATENATE($A128,"_",BH$1),SP_ACQ_Lib[],MATCH(BH$2,SP_ACQ_Lib[#Headers],0),FALSE)=0,"",VLOOKUP(CONCATENATE($A128,"_",BH$1),SP_ACQ_Lib[],MATCH(BH$2,SP_ACQ_Lib[#Headers],0),FALSE)),"")</f>
        <v/>
      </c>
      <c r="BI128" s="249" t="str">
        <f>IFERROR(IF(VLOOKUP(CONCATENATE($A128,"_",BI$1),SP_ACQ_Lib[],MATCH(BI$2,SP_ACQ_Lib[#Headers],0),FALSE)=0,"",VLOOKUP(CONCATENATE($A128,"_",BI$1),SP_ACQ_Lib[],MATCH(BI$2,SP_ACQ_Lib[#Headers],0),FALSE)),"")</f>
        <v/>
      </c>
      <c r="BJ128" s="249" t="str">
        <f>IFERROR(IF(VLOOKUP(CONCATENATE($A128,"_",BJ$1),SP_ACQ_Lib[],MATCH(BJ$2,SP_ACQ_Lib[#Headers],0),FALSE)=0,"",VLOOKUP(CONCATENATE($A128,"_",BJ$1),SP_ACQ_Lib[],MATCH(BJ$2,SP_ACQ_Lib[#Headers],0),FALSE)),"")</f>
        <v/>
      </c>
      <c r="BK128" s="250" t="str">
        <f>IFERROR(IF(VLOOKUP(CONCATENATE($A128,"_",BK$1),SP_ACQ_Lib[],MATCH(BK$2,SP_ACQ_Lib[#Headers],0),FALSE)=0,"",VLOOKUP(CONCATENATE($A128,"_",BK$1),SP_ACQ_Lib[],MATCH(BK$2,SP_ACQ_Lib[#Headers],0),FALSE)),"")</f>
        <v/>
      </c>
      <c r="BL128" s="249" t="str">
        <f>IFERROR(IF(VLOOKUP(CONCATENATE($A128,"_",BL$1),SP_ACQ_Lib[],MATCH(BL$2,SP_ACQ_Lib[#Headers],0),FALSE)=0,"",VLOOKUP(CONCATENATE($A128,"_",BL$1),SP_ACQ_Lib[],MATCH(BL$2,SP_ACQ_Lib[#Headers],0),FALSE)),"")</f>
        <v/>
      </c>
      <c r="BM128" s="249" t="str">
        <f>IFERROR(IF(VLOOKUP(CONCATENATE($A128,"_",BM$1),SP_ACQ_Lib[],MATCH(BM$2,SP_ACQ_Lib[#Headers],0),FALSE)=0,"",VLOOKUP(CONCATENATE($A128,"_",BM$1),SP_ACQ_Lib[],MATCH(BM$2,SP_ACQ_Lib[#Headers],0),FALSE)),"")</f>
        <v/>
      </c>
      <c r="BN128" s="249" t="str">
        <f>IFERROR(IF(VLOOKUP(CONCATENATE($A128,"_",BN$1),SP_ACQ_Lib[],MATCH(BN$2,SP_ACQ_Lib[#Headers],0),FALSE)=0,"",VLOOKUP(CONCATENATE($A128,"_",BN$1),SP_ACQ_Lib[],MATCH(BN$2,SP_ACQ_Lib[#Headers],0),FALSE)),"")</f>
        <v/>
      </c>
    </row>
    <row r="129" spans="1:66" s="226" customFormat="1" ht="38.25" x14ac:dyDescent="0.2">
      <c r="A129" s="192" t="s">
        <v>5373</v>
      </c>
      <c r="B129" s="227" t="str">
        <f>IFERROR(VLOOKUP($A129,SP_AcqTract_DB[],MATCH(B$2,SP_AcqTract_DB[#Headers],0),FALSE),"")</f>
        <v>R032035</v>
      </c>
      <c r="C129" s="228" t="str">
        <f>IFERROR(VLOOKUP($A129,SP_AcqTract_DB[],MATCH(C$2,SP_AcqTract_DB[#Headers],0),FALSE),"")</f>
        <v>PH2</v>
      </c>
      <c r="D129" s="208" t="str">
        <f>IFERROR(VLOOKUP($A129,SP_AcqTract_DB[],MATCH(D$2,SP_AcqTract_DB[#Headers],0),FALSE),"")</f>
        <v>Active</v>
      </c>
      <c r="E129" s="208">
        <f>IFERROR(VLOOKUP($A129,SP_AcqTract_DB[],MATCH(E$2,SP_AcqTract_DB[#Headers],0),FALSE),"")</f>
        <v>0</v>
      </c>
      <c r="F129" s="227" t="str">
        <f>IFERROR(VLOOKUP($A129,SP_AcqTract_DB[],MATCH(F$2,SP_AcqTract_DB[#Headers],0),FALSE),"")</f>
        <v>FEE / EASEMENT</v>
      </c>
      <c r="G129" s="227">
        <f>IFERROR(VLOOKUP($A129,SP_AcqTract_DB[],MATCH(G$2,SP_AcqTract_DB[#Headers],0),FALSE),"")</f>
        <v>0</v>
      </c>
      <c r="H129" s="250" t="str">
        <f>IFERROR(IF(VLOOKUP(CONCATENATE($A129,"_",H$1),SP_ACQ_Lib[],MATCH(H$2,SP_ACQ_Lib[#Headers],0),FALSE)=0,"",VLOOKUP(CONCATENATE($A129,"_",H$1),SP_ACQ_Lib[],MATCH(H$2,SP_ACQ_Lib[#Headers],0),FALSE)),"")</f>
        <v/>
      </c>
      <c r="I129" s="227" t="str">
        <f>IFERROR(VLOOKUP($A129,SP_AcqTract_DB[],MATCH(I$2,SP_AcqTract_DB[#Headers],0),FALSE),"")</f>
        <v>Harrison Agriculture LTD</v>
      </c>
      <c r="J129" s="227" t="str">
        <f>IFERROR(VLOOKUP($A129,SP_AcqTract_DB[],MATCH(J$2,SP_AcqTract_DB[#Headers],0),FALSE),"")</f>
        <v>HARRISON AGRICULTURE LTD</v>
      </c>
      <c r="K129" s="227">
        <f>IFERROR(VLOOKUP($A129,SP_AcqTract_DB[],MATCH(K$2,SP_AcqTract_DB[#Headers],0),FALSE),"")</f>
        <v>0</v>
      </c>
      <c r="L129" s="227" t="str">
        <f>IFERROR(VLOOKUP($A129,SP_AcqTract_DB[],MATCH(L$2,SP_AcqTract_DB[#Headers],0),FALSE),"")</f>
        <v>5318 INWOOD</v>
      </c>
      <c r="M129" s="208" t="str">
        <f>IFERROR(VLOOKUP($A129,SP_AcqTract_DB[],MATCH(M$2,SP_AcqTract_DB[#Headers],0),FALSE),"")</f>
        <v>HOUSTON, TX 77056-0000</v>
      </c>
      <c r="N129" s="227" t="str">
        <f>IFERROR(VLOOKUP($A129,SP_AcqTract_DB[],MATCH(N$2,SP_AcqTract_DB[#Headers],0),FALSE),"")</f>
        <v>1219 FM 102</v>
      </c>
      <c r="O129" s="220">
        <f>IFERROR(VLOOKUP($A129,SP_AcqTract_DB[],MATCH(O$2,SP_AcqTract_DB[#Headers],0),FALSE),"")</f>
        <v>0</v>
      </c>
      <c r="P129" s="220">
        <f>IFERROR(VLOOKUP($A129,SP_AcqTract_DB[],MATCH(P$2,SP_AcqTract_DB[#Headers],0),FALSE),"")</f>
        <v>0</v>
      </c>
      <c r="Q129" s="208">
        <f>IFERROR(VLOOKUP($A129,SP_AcqTract_DB[],MATCH(Q$2,SP_AcqTract_DB[#Headers],0),FALSE),"")</f>
        <v>0</v>
      </c>
      <c r="R129" s="250" t="str">
        <f>IFERROR(IF(VLOOKUP(CONCATENATE($A129,"_",R$1),SP_ACQ_Lib[],MATCH(R$2,SP_ACQ_Lib[#Headers],0),FALSE)=0,"",VLOOKUP(CONCATENATE($A129,"_",R$1),SP_ACQ_Lib[],MATCH(R$2,SP_ACQ_Lib[#Headers],0),FALSE)),"")</f>
        <v/>
      </c>
      <c r="S129" s="253" t="str">
        <f>IFERROR(IF(VLOOKUP(CONCATENATE($A129,"_",S$1),SP_ACQ_Lib[],MATCH(S$2,SP_ACQ_Lib[#Headers],0),FALSE)=0,"",VLOOKUP(CONCATENATE($A129,"_",S$1),SP_ACQ_Lib[],MATCH(S$2,SP_ACQ_Lib[#Headers],0),FALSE)),"")</f>
        <v/>
      </c>
      <c r="T129" s="205">
        <f>IFERROR(VLOOKUP(CONCATENATE($A129,"_",T$1),SP_ACQ_Lib[],MATCH(T$2,SP_ACQ_Lib[#Headers],0),FALSE),0)</f>
        <v>0</v>
      </c>
      <c r="U129" s="250" t="str">
        <f>IFERROR(IF(VLOOKUP(CONCATENATE($A129,"_",U$1),SP_ACQ_Lib[],MATCH(U$2,SP_ACQ_Lib[#Headers],0),FALSE)=0,"",VLOOKUP(CONCATENATE($A129,"_",U$1),SP_ACQ_Lib[],MATCH(U$2,SP_ACQ_Lib[#Headers],0),FALSE)),"")</f>
        <v/>
      </c>
      <c r="V129" s="205">
        <f>IFERROR(VLOOKUP(CONCATENATE($A129,"_",V$1),SP_ACQ_Lib[],MATCH(V$2,SP_ACQ_Lib[#Headers],0),FALSE),0)</f>
        <v>0</v>
      </c>
      <c r="W129" s="209">
        <f>IFERROR(VLOOKUP(CONCATENATE($A129,"_",W$1),SP_ACQ_Lib[],MATCH(W$2,SP_ACQ_Lib[#Headers],0),FALSE),0)</f>
        <v>0</v>
      </c>
      <c r="X129" s="250">
        <f>IFERROR(VLOOKUP($A129,SP_AcqTract_DB[],MATCH(X$2,SP_AcqTract_DB[#Headers],0),FALSE),"")</f>
        <v>0</v>
      </c>
      <c r="Y129" s="237">
        <f>IFERROR(VLOOKUP($A129,SP_AcqTract_DB[],MATCH(Y$2,SP_AcqTract_DB[#Headers],0),FALSE),"")</f>
        <v>0</v>
      </c>
      <c r="Z129" s="229">
        <f>IFERROR(VLOOKUP($A129,SP_AcqTract_DB[],MATCH(Z$2,SP_AcqTract_DB[#Headers],0),FALSE),"")</f>
        <v>0</v>
      </c>
      <c r="AA129" s="229">
        <f>IFERROR(VLOOKUP($A129,SP_AcqTract_DB[],MATCH(AA$2,SP_AcqTract_DB[#Headers],0),FALSE),"")</f>
        <v>0</v>
      </c>
      <c r="AB129" s="250" t="str">
        <f>IFERROR(IF(VLOOKUP(CONCATENATE($A129,"_",AB$1),SP_ACQ_Lib[],MATCH(AB$2,SP_ACQ_Lib[#Headers],0),FALSE)=0,"",VLOOKUP(CONCATENATE($A129,"_",AB$1),SP_ACQ_Lib[],MATCH(AB$2,SP_ACQ_Lib[#Headers],0),FALSE)),"")</f>
        <v/>
      </c>
      <c r="AC129" s="250" t="str">
        <f>IFERROR(IF(VLOOKUP(CONCATENATE($A129,"_",AC$1),SP_ACQ_Lib[],MATCH(AC$2,SP_ACQ_Lib[#Headers],0),FALSE)=0,"",VLOOKUP(CONCATENATE($A129,"_",AC$1),SP_ACQ_Lib[],MATCH(AC$2,SP_ACQ_Lib[#Headers],0),FALSE)),"")</f>
        <v/>
      </c>
      <c r="AD129" s="229">
        <f>IFERROR(VLOOKUP($A129,SP_AcqTract_DB[],MATCH(AD$2,SP_AcqTract_DB[#Headers],0),FALSE),"")</f>
        <v>0</v>
      </c>
      <c r="AE129" s="250" t="str">
        <f>IFERROR(IF(VLOOKUP(CONCATENATE($A129,"_",AE$1),SP_ACQ_Lib[],MATCH(AE$2,SP_ACQ_Lib[#Headers],0),FALSE)=0,"",VLOOKUP(CONCATENATE($A129,"_",AE$1),SP_ACQ_Lib[],MATCH(AE$2,SP_ACQ_Lib[#Headers],0),FALSE)),"")</f>
        <v/>
      </c>
      <c r="AF129" s="250" t="str">
        <f>IFERROR(IF(VLOOKUP(CONCATENATE($A129,"_",AF$1),SP_ACQ_Lib[],MATCH(AF$2,SP_ACQ_Lib[#Headers],0),FALSE)=0,"",VLOOKUP(CONCATENATE($A129,"_",AF$1),SP_ACQ_Lib[],MATCH(AF$2,SP_ACQ_Lib[#Headers],0),FALSE)),"")</f>
        <v/>
      </c>
      <c r="AG129" s="250" t="str">
        <f>IFERROR(IF(VLOOKUP(CONCATENATE($A129,"_",AG$1),SP_ACQ_Lib[],MATCH(AG$2,SP_ACQ_Lib[#Headers],0),FALSE)=0,"",VLOOKUP(CONCATENATE($A129,"_",AG$1),SP_ACQ_Lib[],MATCH(AG$2,SP_ACQ_Lib[#Headers],0),FALSE)),"")</f>
        <v/>
      </c>
      <c r="AH129" s="250" t="str">
        <f>IFERROR(IF(VLOOKUP(CONCATENATE($A129,"_",AH$1),SP_ACQ_Lib[],MATCH(AH$2,SP_ACQ_Lib[#Headers],0),FALSE)=0,"",VLOOKUP(CONCATENATE($A129,"_",AH$1),SP_ACQ_Lib[],MATCH(AH$2,SP_ACQ_Lib[#Headers],0),FALSE)),"")</f>
        <v/>
      </c>
      <c r="AI129" s="249" t="str">
        <f>IFERROR(IF(VLOOKUP(CONCATENATE($A129,"_",AI$1),SP_ACQ_Lib[],MATCH(AI$2,SP_ACQ_Lib[#Headers],0),FALSE)=0,"",VLOOKUP(CONCATENATE($A129,"_",AI$1),SP_ACQ_Lib[],MATCH(AI$2,SP_ACQ_Lib[#Headers],0),FALSE)),"")</f>
        <v/>
      </c>
      <c r="AJ129" s="249" t="str">
        <f>IFERROR(IF(VLOOKUP(CONCATENATE($A129,"_",AJ$1),SP_ACQ_Lib[],MATCH(AJ$2,SP_ACQ_Lib[#Headers],0),FALSE)=0,"",VLOOKUP(CONCATENATE($A129,"_",AJ$1),SP_ACQ_Lib[],MATCH(AJ$2,SP_ACQ_Lib[#Headers],0),FALSE)),"")</f>
        <v/>
      </c>
      <c r="AK129" s="249" t="str">
        <f>IFERROR(IF(VLOOKUP(CONCATENATE($A129,"_",AK$1),SP_ACQ_Lib[],MATCH(AK$2,SP_ACQ_Lib[#Headers],0),FALSE)=0,"",VLOOKUP(CONCATENATE($A129,"_",AK$1),SP_ACQ_Lib[],MATCH(AK$2,SP_ACQ_Lib[#Headers],0),FALSE)),"")</f>
        <v/>
      </c>
      <c r="AL129" s="249">
        <f>IFERROR(VLOOKUP($A129,SP_AcqTract_DB[],MATCH(AL$2,SP_AcqTract_DB[#Headers],0),FALSE),"")</f>
        <v>0</v>
      </c>
      <c r="AM129" s="227">
        <f>IFERROR(VLOOKUP($A129,SP_AcqTract_DB[],MATCH(AM$2,SP_AcqTract_DB[#Headers],0),FALSE),"")</f>
        <v>0</v>
      </c>
      <c r="AN129" s="227">
        <f>IFERROR(VLOOKUP($A129,SP_AcqTract_DB[],MATCH(AN$2,SP_AcqTract_DB[#Headers],0),FALSE),"")</f>
        <v>0</v>
      </c>
      <c r="AO129" s="228">
        <f>IFERROR(VLOOKUP($A129,SP_AcqTract_DB[],MATCH(AO$2,SP_AcqTract_DB[#Headers],0),FALSE),"")</f>
        <v>0</v>
      </c>
      <c r="AP129" s="210" t="str">
        <f>IFERROR(VLOOKUP($A129,SP_AcqTract_DB[],MATCH(AP$2,SP_AcqTract_DB[#Headers],0),FALSE),"")</f>
        <v>A</v>
      </c>
      <c r="AQ129" s="252" t="str">
        <f>IFERROR(IF(VLOOKUP(CONCATENATE($A129,"_",AQ$1),SP_ACQ_Lib[],MATCH(AQ$2,SP_ACQ_Lib[#Headers],0),FALSE)=0,"",VLOOKUP(CONCATENATE($A129,"_",AQ$1),SP_ACQ_Lib[],MATCH(AQ$2,SP_ACQ_Lib[#Headers],0),FALSE)),"")</f>
        <v/>
      </c>
      <c r="AR129" s="250" t="str">
        <f>IFERROR(IF(VLOOKUP(CONCATENATE($A129,"_",AR$1),SP_ACQ_Lib[],MATCH(AR$2,SP_ACQ_Lib[#Headers],0),FALSE)=0,"",VLOOKUP(CONCATENATE($A129,"_",AR$1),SP_ACQ_Lib[],MATCH(AR$2,SP_ACQ_Lib[#Headers],0),FALSE)),"")</f>
        <v/>
      </c>
      <c r="AS129" s="249" t="str">
        <f>IFERROR(IF(VLOOKUP(CONCATENATE($A129,"_",AS$1),SP_ACQ_Lib[],MATCH(AS$2,SP_ACQ_Lib[#Headers],0),FALSE)=0,"",VLOOKUP(CONCATENATE($A129,"_",AS$1),SP_ACQ_Lib[],MATCH(AS$2,SP_ACQ_Lib[#Headers],0),FALSE)),"")</f>
        <v/>
      </c>
      <c r="AT129" s="251" t="str">
        <f>IFERROR(IF(VLOOKUP(CONCATENATE($A129,"_",AT$1),SP_ACQ_Lib[],MATCH(AT$2,SP_ACQ_Lib[#Headers],0),FALSE)=0,"",VLOOKUP(CONCATENATE($A129,"_",AT$1),SP_ACQ_Lib[],MATCH(AT$2,SP_ACQ_Lib[#Headers],0),FALSE)),"")</f>
        <v/>
      </c>
      <c r="AU129" s="251" t="str">
        <f>IFERROR(IF(VLOOKUP(CONCATENATE($A129,"_",AU$1),SP_ACQ_Lib[],MATCH(AU$2,SP_ACQ_Lib[#Headers],0),FALSE)=0,"",VLOOKUP(CONCATENATE($A129,"_",AU$1),SP_ACQ_Lib[],MATCH(AU$2,SP_ACQ_Lib[#Headers],0),FALSE)),"")</f>
        <v/>
      </c>
      <c r="AV129" s="225" t="str">
        <f>IFERROR(IF(VLOOKUP(CONCATENATE($A129,"_",AV$1),SP_ACQ_Lib[],MATCH(AV$2,SP_ACQ_Lib[#Headers],0),FALSE)=0,"",VLOOKUP(CONCATENATE($A129,"_",AV$1),SP_ACQ_Lib[],MATCH(AV$2,SP_ACQ_Lib[#Headers],0),FALSE)),"")</f>
        <v/>
      </c>
      <c r="AW129" s="251" t="str">
        <f>IFERROR(IF(VLOOKUP(CONCATENATE($A129,"_",AW$1),SP_ACQ_Lib[],MATCH(AW$2,SP_ACQ_Lib[#Headers],0),FALSE)=0,"",VLOOKUP(CONCATENATE($A129,"_",AW$1),SP_ACQ_Lib[],MATCH(AW$2,SP_ACQ_Lib[#Headers],0),FALSE)),"")</f>
        <v/>
      </c>
      <c r="AX129" s="251" t="str">
        <f>IFERROR(IF(VLOOKUP(CONCATENATE($A129,"_",AX$1),SP_ACQ_Lib[],MATCH(AX$2,SP_ACQ_Lib[#Headers],0),FALSE)=0,"",VLOOKUP(CONCATENATE($A129,"_",AX$1),SP_ACQ_Lib[],MATCH(AX$2,SP_ACQ_Lib[#Headers],0),FALSE)),"")</f>
        <v/>
      </c>
      <c r="AY129" s="251" t="str">
        <f>IFERROR(IF(VLOOKUP(CONCATENATE($A129,"_",AY$1),SP_ACQ_Lib[],MATCH(AY$2,SP_ACQ_Lib[#Headers],0),FALSE)=0,"",VLOOKUP(CONCATENATE($A129,"_",AY$1),SP_ACQ_Lib[],MATCH(AY$2,SP_ACQ_Lib[#Headers],0),FALSE)),"")</f>
        <v/>
      </c>
      <c r="AZ129" s="251" t="str">
        <f>IFERROR(IF(VLOOKUP(CONCATENATE($A129,"_",AZ$1),SP_ACQ_Lib[],MATCH(AZ$2,SP_ACQ_Lib[#Headers],0),FALSE)=0,"",VLOOKUP(CONCATENATE($A129,"_",AZ$1),SP_ACQ_Lib[],MATCH(AZ$2,SP_ACQ_Lib[#Headers],0),FALSE)),"")</f>
        <v/>
      </c>
      <c r="BA129" s="251" t="str">
        <f>IFERROR(IF(VLOOKUP(CONCATENATE($A129,"_",BA$1),SP_ACQ_Lib[],MATCH(BA$2,SP_ACQ_Lib[#Headers],0),FALSE)=0,"",VLOOKUP(CONCATENATE($A129,"_",BA$1),SP_ACQ_Lib[],MATCH(BA$2,SP_ACQ_Lib[#Headers],0),FALSE)),"")</f>
        <v/>
      </c>
      <c r="BB129" s="224">
        <f>IFERROR(VLOOKUP(CONCATENATE($A129,"_",BB$1),SP_ACQ_Lib[],MATCH(BB$2,SP_ACQ_Lib[#Headers],0),FALSE),0)</f>
        <v>0</v>
      </c>
      <c r="BC129" s="231">
        <f>IFERROR(VLOOKUP($A129,SP_AcqTract_DB[],MATCH(BC$2,SP_AcqTract_DB[#Headers],0),FALSE),"")</f>
        <v>0</v>
      </c>
      <c r="BD129" s="231">
        <f>IFERROR(VLOOKUP($A129,SP_AcqTract_DB[],MATCH(BD$2,SP_AcqTract_DB[#Headers],0),FALSE),"")</f>
        <v>0</v>
      </c>
      <c r="BE129" s="249" t="str">
        <f>IFERROR(IF(VLOOKUP(CONCATENATE($A129,"_",BE$1),SP_ACQ_Lib[],MATCH(BE$2,SP_ACQ_Lib[#Headers],0),FALSE)=0,"",VLOOKUP(CONCATENATE($A129,"_",BE$1),SP_ACQ_Lib[],MATCH(BE$2,SP_ACQ_Lib[#Headers],0),FALSE)),"")</f>
        <v/>
      </c>
      <c r="BF129" s="249" t="str">
        <f>IFERROR(IF(VLOOKUP(CONCATENATE($A129,"_",BF$1),SP_ACQ_Lib[],MATCH(BF$2,SP_ACQ_Lib[#Headers],0),FALSE)=0,"",VLOOKUP(CONCATENATE($A129,"_",BF$1),SP_ACQ_Lib[],MATCH(BF$2,SP_ACQ_Lib[#Headers],0),FALSE)),"")</f>
        <v/>
      </c>
      <c r="BG129" s="249" t="str">
        <f>IFERROR(IF(VLOOKUP(CONCATENATE($A129,"_",BG$1),SP_ACQ_Lib[],MATCH(BG$2,SP_ACQ_Lib[#Headers],0),FALSE)=0,"",VLOOKUP(CONCATENATE($A129,"_",BG$1),SP_ACQ_Lib[],MATCH(BG$2,SP_ACQ_Lib[#Headers],0),FALSE)),"")</f>
        <v/>
      </c>
      <c r="BH129" s="249" t="str">
        <f>IFERROR(IF(VLOOKUP(CONCATENATE($A129,"_",BH$1),SP_ACQ_Lib[],MATCH(BH$2,SP_ACQ_Lib[#Headers],0),FALSE)=0,"",VLOOKUP(CONCATENATE($A129,"_",BH$1),SP_ACQ_Lib[],MATCH(BH$2,SP_ACQ_Lib[#Headers],0),FALSE)),"")</f>
        <v/>
      </c>
      <c r="BI129" s="249" t="str">
        <f>IFERROR(IF(VLOOKUP(CONCATENATE($A129,"_",BI$1),SP_ACQ_Lib[],MATCH(BI$2,SP_ACQ_Lib[#Headers],0),FALSE)=0,"",VLOOKUP(CONCATENATE($A129,"_",BI$1),SP_ACQ_Lib[],MATCH(BI$2,SP_ACQ_Lib[#Headers],0),FALSE)),"")</f>
        <v/>
      </c>
      <c r="BJ129" s="249" t="str">
        <f>IFERROR(IF(VLOOKUP(CONCATENATE($A129,"_",BJ$1),SP_ACQ_Lib[],MATCH(BJ$2,SP_ACQ_Lib[#Headers],0),FALSE)=0,"",VLOOKUP(CONCATENATE($A129,"_",BJ$1),SP_ACQ_Lib[],MATCH(BJ$2,SP_ACQ_Lib[#Headers],0),FALSE)),"")</f>
        <v/>
      </c>
      <c r="BK129" s="250" t="str">
        <f>IFERROR(IF(VLOOKUP(CONCATENATE($A129,"_",BK$1),SP_ACQ_Lib[],MATCH(BK$2,SP_ACQ_Lib[#Headers],0),FALSE)=0,"",VLOOKUP(CONCATENATE($A129,"_",BK$1),SP_ACQ_Lib[],MATCH(BK$2,SP_ACQ_Lib[#Headers],0),FALSE)),"")</f>
        <v/>
      </c>
      <c r="BL129" s="249" t="str">
        <f>IFERROR(IF(VLOOKUP(CONCATENATE($A129,"_",BL$1),SP_ACQ_Lib[],MATCH(BL$2,SP_ACQ_Lib[#Headers],0),FALSE)=0,"",VLOOKUP(CONCATENATE($A129,"_",BL$1),SP_ACQ_Lib[],MATCH(BL$2,SP_ACQ_Lib[#Headers],0),FALSE)),"")</f>
        <v/>
      </c>
      <c r="BM129" s="249" t="str">
        <f>IFERROR(IF(VLOOKUP(CONCATENATE($A129,"_",BM$1),SP_ACQ_Lib[],MATCH(BM$2,SP_ACQ_Lib[#Headers],0),FALSE)=0,"",VLOOKUP(CONCATENATE($A129,"_",BM$1),SP_ACQ_Lib[],MATCH(BM$2,SP_ACQ_Lib[#Headers],0),FALSE)),"")</f>
        <v/>
      </c>
      <c r="BN129" s="249" t="str">
        <f>IFERROR(IF(VLOOKUP(CONCATENATE($A129,"_",BN$1),SP_ACQ_Lib[],MATCH(BN$2,SP_ACQ_Lib[#Headers],0),FALSE)=0,"",VLOOKUP(CONCATENATE($A129,"_",BN$1),SP_ACQ_Lib[],MATCH(BN$2,SP_ACQ_Lib[#Headers],0),FALSE)),"")</f>
        <v/>
      </c>
    </row>
    <row r="130" spans="1:66" s="226" customFormat="1" ht="25.5" x14ac:dyDescent="0.2">
      <c r="A130" s="192" t="s">
        <v>5375</v>
      </c>
      <c r="B130" s="227" t="str">
        <f>IFERROR(VLOOKUP($A130,SP_AcqTract_DB[],MATCH(B$2,SP_AcqTract_DB[#Headers],0),FALSE),"")</f>
        <v>R032147</v>
      </c>
      <c r="C130" s="228" t="str">
        <f>IFERROR(VLOOKUP($A130,SP_AcqTract_DB[],MATCH(C$2,SP_AcqTract_DB[#Headers],0),FALSE),"")</f>
        <v>PH2</v>
      </c>
      <c r="D130" s="208" t="str">
        <f>IFERROR(VLOOKUP($A130,SP_AcqTract_DB[],MATCH(D$2,SP_AcqTract_DB[#Headers],0),FALSE),"")</f>
        <v>Active</v>
      </c>
      <c r="E130" s="208">
        <f>IFERROR(VLOOKUP($A130,SP_AcqTract_DB[],MATCH(E$2,SP_AcqTract_DB[#Headers],0),FALSE),"")</f>
        <v>0</v>
      </c>
      <c r="F130" s="227" t="str">
        <f>IFERROR(VLOOKUP($A130,SP_AcqTract_DB[],MATCH(F$2,SP_AcqTract_DB[#Headers],0),FALSE),"")</f>
        <v>FEE / EASEMENT</v>
      </c>
      <c r="G130" s="227" t="str">
        <f>IFERROR(VLOOKUP($A130,SP_AcqTract_DB[],MATCH(G$2,SP_AcqTract_DB[#Headers],0),FALSE),"")</f>
        <v>Darlene Snow</v>
      </c>
      <c r="H130" s="250">
        <f>IFERROR(IF(VLOOKUP(CONCATENATE($A130,"_",H$1),SP_ACQ_Lib[],MATCH(H$2,SP_ACQ_Lib[#Headers],0),FALSE)=0,"",VLOOKUP(CONCATENATE($A130,"_",H$1),SP_ACQ_Lib[],MATCH(H$2,SP_ACQ_Lib[#Headers],0),FALSE)),"")</f>
        <v>44014.483020833337</v>
      </c>
      <c r="I130" s="227" t="str">
        <f>IFERROR(VLOOKUP($A130,SP_AcqTract_DB[],MATCH(I$2,SP_AcqTract_DB[#Headers],0),FALSE),"")</f>
        <v>Torres Curtis M</v>
      </c>
      <c r="J130" s="227">
        <f>IFERROR(VLOOKUP($A130,SP_AcqTract_DB[],MATCH(J$2,SP_AcqTract_DB[#Headers],0),FALSE),"")</f>
        <v>0</v>
      </c>
      <c r="K130" s="227">
        <f>IFERROR(VLOOKUP($A130,SP_AcqTract_DB[],MATCH(K$2,SP_AcqTract_DB[#Headers],0),FALSE),"")</f>
        <v>0</v>
      </c>
      <c r="L130" s="227" t="str">
        <f>IFERROR(VLOOKUP($A130,SP_AcqTract_DB[],MATCH(L$2,SP_AcqTract_DB[#Headers],0),FALSE),"")</f>
        <v>3618 N FULTON</v>
      </c>
      <c r="M130" s="208" t="str">
        <f>IFERROR(VLOOKUP($A130,SP_AcqTract_DB[],MATCH(M$2,SP_AcqTract_DB[#Headers],0),FALSE),"")</f>
        <v>WHARTON, TX 77488</v>
      </c>
      <c r="N130" s="227" t="str">
        <f>IFERROR(VLOOKUP($A130,SP_AcqTract_DB[],MATCH(N$2,SP_AcqTract_DB[#Headers],0),FALSE),"")</f>
        <v>3618 N FULTON</v>
      </c>
      <c r="O130" s="220">
        <f>IFERROR(VLOOKUP($A130,SP_AcqTract_DB[],MATCH(O$2,SP_AcqTract_DB[#Headers],0),FALSE),"")</f>
        <v>0</v>
      </c>
      <c r="P130" s="220">
        <f>IFERROR(VLOOKUP($A130,SP_AcqTract_DB[],MATCH(P$2,SP_AcqTract_DB[#Headers],0),FALSE),"")</f>
        <v>0</v>
      </c>
      <c r="Q130" s="208">
        <f>IFERROR(VLOOKUP($A130,SP_AcqTract_DB[],MATCH(Q$2,SP_AcqTract_DB[#Headers],0),FALSE),"")</f>
        <v>0</v>
      </c>
      <c r="R130" s="250" t="str">
        <f>IFERROR(IF(VLOOKUP(CONCATENATE($A130,"_",R$1),SP_ACQ_Lib[],MATCH(R$2,SP_ACQ_Lib[#Headers],0),FALSE)=0,"",VLOOKUP(CONCATENATE($A130,"_",R$1),SP_ACQ_Lib[],MATCH(R$2,SP_ACQ_Lib[#Headers],0),FALSE)),"")</f>
        <v/>
      </c>
      <c r="S130" s="253" t="str">
        <f>IFERROR(IF(VLOOKUP(CONCATENATE($A130,"_",S$1),SP_ACQ_Lib[],MATCH(S$2,SP_ACQ_Lib[#Headers],0),FALSE)=0,"",VLOOKUP(CONCATENATE($A130,"_",S$1),SP_ACQ_Lib[],MATCH(S$2,SP_ACQ_Lib[#Headers],0),FALSE)),"")</f>
        <v/>
      </c>
      <c r="T130" s="205">
        <f>IFERROR(VLOOKUP(CONCATENATE($A130,"_",T$1),SP_ACQ_Lib[],MATCH(T$2,SP_ACQ_Lib[#Headers],0),FALSE),0)</f>
        <v>0</v>
      </c>
      <c r="U130" s="250" t="str">
        <f>IFERROR(IF(VLOOKUP(CONCATENATE($A130,"_",U$1),SP_ACQ_Lib[],MATCH(U$2,SP_ACQ_Lib[#Headers],0),FALSE)=0,"",VLOOKUP(CONCATENATE($A130,"_",U$1),SP_ACQ_Lib[],MATCH(U$2,SP_ACQ_Lib[#Headers],0),FALSE)),"")</f>
        <v/>
      </c>
      <c r="V130" s="205">
        <f>IFERROR(VLOOKUP(CONCATENATE($A130,"_",V$1),SP_ACQ_Lib[],MATCH(V$2,SP_ACQ_Lib[#Headers],0),FALSE),0)</f>
        <v>0</v>
      </c>
      <c r="W130" s="209">
        <f>IFERROR(VLOOKUP(CONCATENATE($A130,"_",W$1),SP_ACQ_Lib[],MATCH(W$2,SP_ACQ_Lib[#Headers],0),FALSE),0)</f>
        <v>0</v>
      </c>
      <c r="X130" s="250">
        <f>IFERROR(VLOOKUP($A130,SP_AcqTract_DB[],MATCH(X$2,SP_AcqTract_DB[#Headers],0),FALSE),"")</f>
        <v>0</v>
      </c>
      <c r="Y130" s="237">
        <f>IFERROR(VLOOKUP($A130,SP_AcqTract_DB[],MATCH(Y$2,SP_AcqTract_DB[#Headers],0),FALSE),"")</f>
        <v>0</v>
      </c>
      <c r="Z130" s="229">
        <f>IFERROR(VLOOKUP($A130,SP_AcqTract_DB[],MATCH(Z$2,SP_AcqTract_DB[#Headers],0),FALSE),"")</f>
        <v>0</v>
      </c>
      <c r="AA130" s="229">
        <f>IFERROR(VLOOKUP($A130,SP_AcqTract_DB[],MATCH(AA$2,SP_AcqTract_DB[#Headers],0),FALSE),"")</f>
        <v>0</v>
      </c>
      <c r="AB130" s="250" t="str">
        <f>IFERROR(IF(VLOOKUP(CONCATENATE($A130,"_",AB$1),SP_ACQ_Lib[],MATCH(AB$2,SP_ACQ_Lib[#Headers],0),FALSE)=0,"",VLOOKUP(CONCATENATE($A130,"_",AB$1),SP_ACQ_Lib[],MATCH(AB$2,SP_ACQ_Lib[#Headers],0),FALSE)),"")</f>
        <v/>
      </c>
      <c r="AC130" s="250" t="str">
        <f>IFERROR(IF(VLOOKUP(CONCATENATE($A130,"_",AC$1),SP_ACQ_Lib[],MATCH(AC$2,SP_ACQ_Lib[#Headers],0),FALSE)=0,"",VLOOKUP(CONCATENATE($A130,"_",AC$1),SP_ACQ_Lib[],MATCH(AC$2,SP_ACQ_Lib[#Headers],0),FALSE)),"")</f>
        <v/>
      </c>
      <c r="AD130" s="229">
        <f>IFERROR(VLOOKUP($A130,SP_AcqTract_DB[],MATCH(AD$2,SP_AcqTract_DB[#Headers],0),FALSE),"")</f>
        <v>0</v>
      </c>
      <c r="AE130" s="250" t="str">
        <f>IFERROR(IF(VLOOKUP(CONCATENATE($A130,"_",AE$1),SP_ACQ_Lib[],MATCH(AE$2,SP_ACQ_Lib[#Headers],0),FALSE)=0,"",VLOOKUP(CONCATENATE($A130,"_",AE$1),SP_ACQ_Lib[],MATCH(AE$2,SP_ACQ_Lib[#Headers],0),FALSE)),"")</f>
        <v/>
      </c>
      <c r="AF130" s="250" t="str">
        <f>IFERROR(IF(VLOOKUP(CONCATENATE($A130,"_",AF$1),SP_ACQ_Lib[],MATCH(AF$2,SP_ACQ_Lib[#Headers],0),FALSE)=0,"",VLOOKUP(CONCATENATE($A130,"_",AF$1),SP_ACQ_Lib[],MATCH(AF$2,SP_ACQ_Lib[#Headers],0),FALSE)),"")</f>
        <v/>
      </c>
      <c r="AG130" s="250" t="str">
        <f>IFERROR(IF(VLOOKUP(CONCATENATE($A130,"_",AG$1),SP_ACQ_Lib[],MATCH(AG$2,SP_ACQ_Lib[#Headers],0),FALSE)=0,"",VLOOKUP(CONCATENATE($A130,"_",AG$1),SP_ACQ_Lib[],MATCH(AG$2,SP_ACQ_Lib[#Headers],0),FALSE)),"")</f>
        <v/>
      </c>
      <c r="AH130" s="250" t="str">
        <f>IFERROR(IF(VLOOKUP(CONCATENATE($A130,"_",AH$1),SP_ACQ_Lib[],MATCH(AH$2,SP_ACQ_Lib[#Headers],0),FALSE)=0,"",VLOOKUP(CONCATENATE($A130,"_",AH$1),SP_ACQ_Lib[],MATCH(AH$2,SP_ACQ_Lib[#Headers],0),FALSE)),"")</f>
        <v/>
      </c>
      <c r="AI130" s="249">
        <f>IFERROR(IF(VLOOKUP(CONCATENATE($A130,"_",AI$1),SP_ACQ_Lib[],MATCH(AI$2,SP_ACQ_Lib[#Headers],0),FALSE)=0,"",VLOOKUP(CONCATENATE($A130,"_",AI$1),SP_ACQ_Lib[],MATCH(AI$2,SP_ACQ_Lib[#Headers],0),FALSE)),"")</f>
        <v>43985</v>
      </c>
      <c r="AJ130" s="249">
        <f>IFERROR(IF(VLOOKUP(CONCATENATE($A130,"_",AJ$1),SP_ACQ_Lib[],MATCH(AJ$2,SP_ACQ_Lib[#Headers],0),FALSE)=0,"",VLOOKUP(CONCATENATE($A130,"_",AJ$1),SP_ACQ_Lib[],MATCH(AJ$2,SP_ACQ_Lib[#Headers],0),FALSE)),"")</f>
        <v>44014</v>
      </c>
      <c r="AK130" s="249">
        <f>IFERROR(IF(VLOOKUP(CONCATENATE($A130,"_",AK$1),SP_ACQ_Lib[],MATCH(AK$2,SP_ACQ_Lib[#Headers],0),FALSE)=0,"",VLOOKUP(CONCATENATE($A130,"_",AK$1),SP_ACQ_Lib[],MATCH(AK$2,SP_ACQ_Lib[#Headers],0),FALSE)),"")</f>
        <v>44198</v>
      </c>
      <c r="AL130" s="249">
        <f>IFERROR(VLOOKUP($A130,SP_AcqTract_DB[],MATCH(AL$2,SP_AcqTract_DB[#Headers],0),FALSE),"")</f>
        <v>0</v>
      </c>
      <c r="AM130" s="227">
        <f>IFERROR(VLOOKUP($A130,SP_AcqTract_DB[],MATCH(AM$2,SP_AcqTract_DB[#Headers],0),FALSE),"")</f>
        <v>0</v>
      </c>
      <c r="AN130" s="227">
        <f>IFERROR(VLOOKUP($A130,SP_AcqTract_DB[],MATCH(AN$2,SP_AcqTract_DB[#Headers],0),FALSE),"")</f>
        <v>0</v>
      </c>
      <c r="AO130" s="228">
        <f>IFERROR(VLOOKUP($A130,SP_AcqTract_DB[],MATCH(AO$2,SP_AcqTract_DB[#Headers],0),FALSE),"")</f>
        <v>0</v>
      </c>
      <c r="AP130" s="210" t="str">
        <f>IFERROR(VLOOKUP($A130,SP_AcqTract_DB[],MATCH(AP$2,SP_AcqTract_DB[#Headers],0),FALSE),"")</f>
        <v>R</v>
      </c>
      <c r="AQ130" s="252" t="str">
        <f>IFERROR(IF(VLOOKUP(CONCATENATE($A130,"_",AQ$1),SP_ACQ_Lib[],MATCH(AQ$2,SP_ACQ_Lib[#Headers],0),FALSE)=0,"",VLOOKUP(CONCATENATE($A130,"_",AQ$1),SP_ACQ_Lib[],MATCH(AQ$2,SP_ACQ_Lib[#Headers],0),FALSE)),"")</f>
        <v/>
      </c>
      <c r="AR130" s="250" t="str">
        <f>IFERROR(IF(VLOOKUP(CONCATENATE($A130,"_",AR$1),SP_ACQ_Lib[],MATCH(AR$2,SP_ACQ_Lib[#Headers],0),FALSE)=0,"",VLOOKUP(CONCATENATE($A130,"_",AR$1),SP_ACQ_Lib[],MATCH(AR$2,SP_ACQ_Lib[#Headers],0),FALSE)),"")</f>
        <v/>
      </c>
      <c r="AS130" s="249" t="str">
        <f>IFERROR(IF(VLOOKUP(CONCATENATE($A130,"_",AS$1),SP_ACQ_Lib[],MATCH(AS$2,SP_ACQ_Lib[#Headers],0),FALSE)=0,"",VLOOKUP(CONCATENATE($A130,"_",AS$1),SP_ACQ_Lib[],MATCH(AS$2,SP_ACQ_Lib[#Headers],0),FALSE)),"")</f>
        <v/>
      </c>
      <c r="AT130" s="251" t="str">
        <f>IFERROR(IF(VLOOKUP(CONCATENATE($A130,"_",AT$1),SP_ACQ_Lib[],MATCH(AT$2,SP_ACQ_Lib[#Headers],0),FALSE)=0,"",VLOOKUP(CONCATENATE($A130,"_",AT$1),SP_ACQ_Lib[],MATCH(AT$2,SP_ACQ_Lib[#Headers],0),FALSE)),"")</f>
        <v/>
      </c>
      <c r="AU130" s="251" t="str">
        <f>IFERROR(IF(VLOOKUP(CONCATENATE($A130,"_",AU$1),SP_ACQ_Lib[],MATCH(AU$2,SP_ACQ_Lib[#Headers],0),FALSE)=0,"",VLOOKUP(CONCATENATE($A130,"_",AU$1),SP_ACQ_Lib[],MATCH(AU$2,SP_ACQ_Lib[#Headers],0),FALSE)),"")</f>
        <v/>
      </c>
      <c r="AV130" s="225" t="str">
        <f>IFERROR(IF(VLOOKUP(CONCATENATE($A130,"_",AV$1),SP_ACQ_Lib[],MATCH(AV$2,SP_ACQ_Lib[#Headers],0),FALSE)=0,"",VLOOKUP(CONCATENATE($A130,"_",AV$1),SP_ACQ_Lib[],MATCH(AV$2,SP_ACQ_Lib[#Headers],0),FALSE)),"")</f>
        <v/>
      </c>
      <c r="AW130" s="251" t="str">
        <f>IFERROR(IF(VLOOKUP(CONCATENATE($A130,"_",AW$1),SP_ACQ_Lib[],MATCH(AW$2,SP_ACQ_Lib[#Headers],0),FALSE)=0,"",VLOOKUP(CONCATENATE($A130,"_",AW$1),SP_ACQ_Lib[],MATCH(AW$2,SP_ACQ_Lib[#Headers],0),FALSE)),"")</f>
        <v/>
      </c>
      <c r="AX130" s="251" t="str">
        <f>IFERROR(IF(VLOOKUP(CONCATENATE($A130,"_",AX$1),SP_ACQ_Lib[],MATCH(AX$2,SP_ACQ_Lib[#Headers],0),FALSE)=0,"",VLOOKUP(CONCATENATE($A130,"_",AX$1),SP_ACQ_Lib[],MATCH(AX$2,SP_ACQ_Lib[#Headers],0),FALSE)),"")</f>
        <v/>
      </c>
      <c r="AY130" s="251" t="str">
        <f>IFERROR(IF(VLOOKUP(CONCATENATE($A130,"_",AY$1),SP_ACQ_Lib[],MATCH(AY$2,SP_ACQ_Lib[#Headers],0),FALSE)=0,"",VLOOKUP(CONCATENATE($A130,"_",AY$1),SP_ACQ_Lib[],MATCH(AY$2,SP_ACQ_Lib[#Headers],0),FALSE)),"")</f>
        <v/>
      </c>
      <c r="AZ130" s="251" t="str">
        <f>IFERROR(IF(VLOOKUP(CONCATENATE($A130,"_",AZ$1),SP_ACQ_Lib[],MATCH(AZ$2,SP_ACQ_Lib[#Headers],0),FALSE)=0,"",VLOOKUP(CONCATENATE($A130,"_",AZ$1),SP_ACQ_Lib[],MATCH(AZ$2,SP_ACQ_Lib[#Headers],0),FALSE)),"")</f>
        <v/>
      </c>
      <c r="BA130" s="251" t="str">
        <f>IFERROR(IF(VLOOKUP(CONCATENATE($A130,"_",BA$1),SP_ACQ_Lib[],MATCH(BA$2,SP_ACQ_Lib[#Headers],0),FALSE)=0,"",VLOOKUP(CONCATENATE($A130,"_",BA$1),SP_ACQ_Lib[],MATCH(BA$2,SP_ACQ_Lib[#Headers],0),FALSE)),"")</f>
        <v/>
      </c>
      <c r="BB130" s="224">
        <f>IFERROR(VLOOKUP(CONCATENATE($A130,"_",BB$1),SP_ACQ_Lib[],MATCH(BB$2,SP_ACQ_Lib[#Headers],0),FALSE),0)</f>
        <v>0</v>
      </c>
      <c r="BC130" s="231">
        <f>IFERROR(VLOOKUP($A130,SP_AcqTract_DB[],MATCH(BC$2,SP_AcqTract_DB[#Headers],0),FALSE),"")</f>
        <v>0</v>
      </c>
      <c r="BD130" s="231">
        <f>IFERROR(VLOOKUP($A130,SP_AcqTract_DB[],MATCH(BD$2,SP_AcqTract_DB[#Headers],0),FALSE),"")</f>
        <v>0</v>
      </c>
      <c r="BE130" s="249" t="str">
        <f>IFERROR(IF(VLOOKUP(CONCATENATE($A130,"_",BE$1),SP_ACQ_Lib[],MATCH(BE$2,SP_ACQ_Lib[#Headers],0),FALSE)=0,"",VLOOKUP(CONCATENATE($A130,"_",BE$1),SP_ACQ_Lib[],MATCH(BE$2,SP_ACQ_Lib[#Headers],0),FALSE)),"")</f>
        <v/>
      </c>
      <c r="BF130" s="249" t="str">
        <f>IFERROR(IF(VLOOKUP(CONCATENATE($A130,"_",BF$1),SP_ACQ_Lib[],MATCH(BF$2,SP_ACQ_Lib[#Headers],0),FALSE)=0,"",VLOOKUP(CONCATENATE($A130,"_",BF$1),SP_ACQ_Lib[],MATCH(BF$2,SP_ACQ_Lib[#Headers],0),FALSE)),"")</f>
        <v/>
      </c>
      <c r="BG130" s="249" t="str">
        <f>IFERROR(IF(VLOOKUP(CONCATENATE($A130,"_",BG$1),SP_ACQ_Lib[],MATCH(BG$2,SP_ACQ_Lib[#Headers],0),FALSE)=0,"",VLOOKUP(CONCATENATE($A130,"_",BG$1),SP_ACQ_Lib[],MATCH(BG$2,SP_ACQ_Lib[#Headers],0),FALSE)),"")</f>
        <v/>
      </c>
      <c r="BH130" s="249" t="str">
        <f>IFERROR(IF(VLOOKUP(CONCATENATE($A130,"_",BH$1),SP_ACQ_Lib[],MATCH(BH$2,SP_ACQ_Lib[#Headers],0),FALSE)=0,"",VLOOKUP(CONCATENATE($A130,"_",BH$1),SP_ACQ_Lib[],MATCH(BH$2,SP_ACQ_Lib[#Headers],0),FALSE)),"")</f>
        <v/>
      </c>
      <c r="BI130" s="249" t="str">
        <f>IFERROR(IF(VLOOKUP(CONCATENATE($A130,"_",BI$1),SP_ACQ_Lib[],MATCH(BI$2,SP_ACQ_Lib[#Headers],0),FALSE)=0,"",VLOOKUP(CONCATENATE($A130,"_",BI$1),SP_ACQ_Lib[],MATCH(BI$2,SP_ACQ_Lib[#Headers],0),FALSE)),"")</f>
        <v/>
      </c>
      <c r="BJ130" s="249" t="str">
        <f>IFERROR(IF(VLOOKUP(CONCATENATE($A130,"_",BJ$1),SP_ACQ_Lib[],MATCH(BJ$2,SP_ACQ_Lib[#Headers],0),FALSE)=0,"",VLOOKUP(CONCATENATE($A130,"_",BJ$1),SP_ACQ_Lib[],MATCH(BJ$2,SP_ACQ_Lib[#Headers],0),FALSE)),"")</f>
        <v/>
      </c>
      <c r="BK130" s="250" t="str">
        <f>IFERROR(IF(VLOOKUP(CONCATENATE($A130,"_",BK$1),SP_ACQ_Lib[],MATCH(BK$2,SP_ACQ_Lib[#Headers],0),FALSE)=0,"",VLOOKUP(CONCATENATE($A130,"_",BK$1),SP_ACQ_Lib[],MATCH(BK$2,SP_ACQ_Lib[#Headers],0),FALSE)),"")</f>
        <v/>
      </c>
      <c r="BL130" s="249" t="str">
        <f>IFERROR(IF(VLOOKUP(CONCATENATE($A130,"_",BL$1),SP_ACQ_Lib[],MATCH(BL$2,SP_ACQ_Lib[#Headers],0),FALSE)=0,"",VLOOKUP(CONCATENATE($A130,"_",BL$1),SP_ACQ_Lib[],MATCH(BL$2,SP_ACQ_Lib[#Headers],0),FALSE)),"")</f>
        <v/>
      </c>
      <c r="BM130" s="249" t="str">
        <f>IFERROR(IF(VLOOKUP(CONCATENATE($A130,"_",BM$1),SP_ACQ_Lib[],MATCH(BM$2,SP_ACQ_Lib[#Headers],0),FALSE)=0,"",VLOOKUP(CONCATENATE($A130,"_",BM$1),SP_ACQ_Lib[],MATCH(BM$2,SP_ACQ_Lib[#Headers],0),FALSE)),"")</f>
        <v/>
      </c>
      <c r="BN130" s="249" t="str">
        <f>IFERROR(IF(VLOOKUP(CONCATENATE($A130,"_",BN$1),SP_ACQ_Lib[],MATCH(BN$2,SP_ACQ_Lib[#Headers],0),FALSE)=0,"",VLOOKUP(CONCATENATE($A130,"_",BN$1),SP_ACQ_Lib[],MATCH(BN$2,SP_ACQ_Lib[#Headers],0),FALSE)),"")</f>
        <v/>
      </c>
    </row>
    <row r="131" spans="1:66" s="226" customFormat="1" ht="25.5" x14ac:dyDescent="0.2">
      <c r="A131" s="192" t="s">
        <v>5377</v>
      </c>
      <c r="B131" s="227" t="str">
        <f>IFERROR(VLOOKUP($A131,SP_AcqTract_DB[],MATCH(B$2,SP_AcqTract_DB[#Headers],0),FALSE),"")</f>
        <v>R032148</v>
      </c>
      <c r="C131" s="228" t="str">
        <f>IFERROR(VLOOKUP($A131,SP_AcqTract_DB[],MATCH(C$2,SP_AcqTract_DB[#Headers],0),FALSE),"")</f>
        <v>PH2</v>
      </c>
      <c r="D131" s="208" t="str">
        <f>IFERROR(VLOOKUP($A131,SP_AcqTract_DB[],MATCH(D$2,SP_AcqTract_DB[#Headers],0),FALSE),"")</f>
        <v>Active</v>
      </c>
      <c r="E131" s="208">
        <f>IFERROR(VLOOKUP($A131,SP_AcqTract_DB[],MATCH(E$2,SP_AcqTract_DB[#Headers],0),FALSE),"")</f>
        <v>0</v>
      </c>
      <c r="F131" s="227" t="str">
        <f>IFERROR(VLOOKUP($A131,SP_AcqTract_DB[],MATCH(F$2,SP_AcqTract_DB[#Headers],0),FALSE),"")</f>
        <v>FEE / EASEMENT</v>
      </c>
      <c r="G131" s="227" t="str">
        <f>IFERROR(VLOOKUP($A131,SP_AcqTract_DB[],MATCH(G$2,SP_AcqTract_DB[#Headers],0),FALSE),"")</f>
        <v>Darlene Snow</v>
      </c>
      <c r="H131" s="250">
        <f>IFERROR(IF(VLOOKUP(CONCATENATE($A131,"_",H$1),SP_ACQ_Lib[],MATCH(H$2,SP_ACQ_Lib[#Headers],0),FALSE)=0,"",VLOOKUP(CONCATENATE($A131,"_",H$1),SP_ACQ_Lib[],MATCH(H$2,SP_ACQ_Lib[#Headers],0),FALSE)),"")</f>
        <v>44013.335636574076</v>
      </c>
      <c r="I131" s="227" t="str">
        <f>IFERROR(VLOOKUP($A131,SP_AcqTract_DB[],MATCH(I$2,SP_AcqTract_DB[#Headers],0),FALSE),"")</f>
        <v>Garcia Lionel Jr &amp; Rachel M</v>
      </c>
      <c r="J131" s="227">
        <f>IFERROR(VLOOKUP($A131,SP_AcqTract_DB[],MATCH(J$2,SP_AcqTract_DB[#Headers],0),FALSE),"")</f>
        <v>0</v>
      </c>
      <c r="K131" s="227">
        <f>IFERROR(VLOOKUP($A131,SP_AcqTract_DB[],MATCH(K$2,SP_AcqTract_DB[#Headers],0),FALSE),"")</f>
        <v>0</v>
      </c>
      <c r="L131" s="227" t="str">
        <f>IFERROR(VLOOKUP($A131,SP_AcqTract_DB[],MATCH(L$2,SP_AcqTract_DB[#Headers],0),FALSE),"")</f>
        <v>3702 N FULTON</v>
      </c>
      <c r="M131" s="208" t="str">
        <f>IFERROR(VLOOKUP($A131,SP_AcqTract_DB[],MATCH(M$2,SP_AcqTract_DB[#Headers],0),FALSE),"")</f>
        <v>WHARTON, TX 77488</v>
      </c>
      <c r="N131" s="227" t="str">
        <f>IFERROR(VLOOKUP($A131,SP_AcqTract_DB[],MATCH(N$2,SP_AcqTract_DB[#Headers],0),FALSE),"")</f>
        <v>3702 N FULTON</v>
      </c>
      <c r="O131" s="220">
        <f>IFERROR(VLOOKUP($A131,SP_AcqTract_DB[],MATCH(O$2,SP_AcqTract_DB[#Headers],0),FALSE),"")</f>
        <v>0</v>
      </c>
      <c r="P131" s="220">
        <f>IFERROR(VLOOKUP($A131,SP_AcqTract_DB[],MATCH(P$2,SP_AcqTract_DB[#Headers],0),FALSE),"")</f>
        <v>0</v>
      </c>
      <c r="Q131" s="208">
        <f>IFERROR(VLOOKUP($A131,SP_AcqTract_DB[],MATCH(Q$2,SP_AcqTract_DB[#Headers],0),FALSE),"")</f>
        <v>0</v>
      </c>
      <c r="R131" s="250" t="str">
        <f>IFERROR(IF(VLOOKUP(CONCATENATE($A131,"_",R$1),SP_ACQ_Lib[],MATCH(R$2,SP_ACQ_Lib[#Headers],0),FALSE)=0,"",VLOOKUP(CONCATENATE($A131,"_",R$1),SP_ACQ_Lib[],MATCH(R$2,SP_ACQ_Lib[#Headers],0),FALSE)),"")</f>
        <v/>
      </c>
      <c r="S131" s="253" t="str">
        <f>IFERROR(IF(VLOOKUP(CONCATENATE($A131,"_",S$1),SP_ACQ_Lib[],MATCH(S$2,SP_ACQ_Lib[#Headers],0),FALSE)=0,"",VLOOKUP(CONCATENATE($A131,"_",S$1),SP_ACQ_Lib[],MATCH(S$2,SP_ACQ_Lib[#Headers],0),FALSE)),"")</f>
        <v/>
      </c>
      <c r="T131" s="205">
        <f>IFERROR(VLOOKUP(CONCATENATE($A131,"_",T$1),SP_ACQ_Lib[],MATCH(T$2,SP_ACQ_Lib[#Headers],0),FALSE),0)</f>
        <v>0</v>
      </c>
      <c r="U131" s="250" t="str">
        <f>IFERROR(IF(VLOOKUP(CONCATENATE($A131,"_",U$1),SP_ACQ_Lib[],MATCH(U$2,SP_ACQ_Lib[#Headers],0),FALSE)=0,"",VLOOKUP(CONCATENATE($A131,"_",U$1),SP_ACQ_Lib[],MATCH(U$2,SP_ACQ_Lib[#Headers],0),FALSE)),"")</f>
        <v/>
      </c>
      <c r="V131" s="205">
        <f>IFERROR(VLOOKUP(CONCATENATE($A131,"_",V$1),SP_ACQ_Lib[],MATCH(V$2,SP_ACQ_Lib[#Headers],0),FALSE),0)</f>
        <v>0</v>
      </c>
      <c r="W131" s="209">
        <f>IFERROR(VLOOKUP(CONCATENATE($A131,"_",W$1),SP_ACQ_Lib[],MATCH(W$2,SP_ACQ_Lib[#Headers],0),FALSE),0)</f>
        <v>0</v>
      </c>
      <c r="X131" s="250">
        <f>IFERROR(VLOOKUP($A131,SP_AcqTract_DB[],MATCH(X$2,SP_AcqTract_DB[#Headers],0),FALSE),"")</f>
        <v>0</v>
      </c>
      <c r="Y131" s="237">
        <f>IFERROR(VLOOKUP($A131,SP_AcqTract_DB[],MATCH(Y$2,SP_AcqTract_DB[#Headers],0),FALSE),"")</f>
        <v>0</v>
      </c>
      <c r="Z131" s="229">
        <f>IFERROR(VLOOKUP($A131,SP_AcqTract_DB[],MATCH(Z$2,SP_AcqTract_DB[#Headers],0),FALSE),"")</f>
        <v>0</v>
      </c>
      <c r="AA131" s="229">
        <f>IFERROR(VLOOKUP($A131,SP_AcqTract_DB[],MATCH(AA$2,SP_AcqTract_DB[#Headers],0),FALSE),"")</f>
        <v>0</v>
      </c>
      <c r="AB131" s="250" t="str">
        <f>IFERROR(IF(VLOOKUP(CONCATENATE($A131,"_",AB$1),SP_ACQ_Lib[],MATCH(AB$2,SP_ACQ_Lib[#Headers],0),FALSE)=0,"",VLOOKUP(CONCATENATE($A131,"_",AB$1),SP_ACQ_Lib[],MATCH(AB$2,SP_ACQ_Lib[#Headers],0),FALSE)),"")</f>
        <v/>
      </c>
      <c r="AC131" s="250" t="str">
        <f>IFERROR(IF(VLOOKUP(CONCATENATE($A131,"_",AC$1),SP_ACQ_Lib[],MATCH(AC$2,SP_ACQ_Lib[#Headers],0),FALSE)=0,"",VLOOKUP(CONCATENATE($A131,"_",AC$1),SP_ACQ_Lib[],MATCH(AC$2,SP_ACQ_Lib[#Headers],0),FALSE)),"")</f>
        <v/>
      </c>
      <c r="AD131" s="229">
        <f>IFERROR(VLOOKUP($A131,SP_AcqTract_DB[],MATCH(AD$2,SP_AcqTract_DB[#Headers],0),FALSE),"")</f>
        <v>0</v>
      </c>
      <c r="AE131" s="250" t="str">
        <f>IFERROR(IF(VLOOKUP(CONCATENATE($A131,"_",AE$1),SP_ACQ_Lib[],MATCH(AE$2,SP_ACQ_Lib[#Headers],0),FALSE)=0,"",VLOOKUP(CONCATENATE($A131,"_",AE$1),SP_ACQ_Lib[],MATCH(AE$2,SP_ACQ_Lib[#Headers],0),FALSE)),"")</f>
        <v/>
      </c>
      <c r="AF131" s="250" t="str">
        <f>IFERROR(IF(VLOOKUP(CONCATENATE($A131,"_",AF$1),SP_ACQ_Lib[],MATCH(AF$2,SP_ACQ_Lib[#Headers],0),FALSE)=0,"",VLOOKUP(CONCATENATE($A131,"_",AF$1),SP_ACQ_Lib[],MATCH(AF$2,SP_ACQ_Lib[#Headers],0),FALSE)),"")</f>
        <v/>
      </c>
      <c r="AG131" s="250" t="str">
        <f>IFERROR(IF(VLOOKUP(CONCATENATE($A131,"_",AG$1),SP_ACQ_Lib[],MATCH(AG$2,SP_ACQ_Lib[#Headers],0),FALSE)=0,"",VLOOKUP(CONCATENATE($A131,"_",AG$1),SP_ACQ_Lib[],MATCH(AG$2,SP_ACQ_Lib[#Headers],0),FALSE)),"")</f>
        <v/>
      </c>
      <c r="AH131" s="250" t="str">
        <f>IFERROR(IF(VLOOKUP(CONCATENATE($A131,"_",AH$1),SP_ACQ_Lib[],MATCH(AH$2,SP_ACQ_Lib[#Headers],0),FALSE)=0,"",VLOOKUP(CONCATENATE($A131,"_",AH$1),SP_ACQ_Lib[],MATCH(AH$2,SP_ACQ_Lib[#Headers],0),FALSE)),"")</f>
        <v/>
      </c>
      <c r="AI131" s="249">
        <f>IFERROR(IF(VLOOKUP(CONCATENATE($A131,"_",AI$1),SP_ACQ_Lib[],MATCH(AI$2,SP_ACQ_Lib[#Headers],0),FALSE)=0,"",VLOOKUP(CONCATENATE($A131,"_",AI$1),SP_ACQ_Lib[],MATCH(AI$2,SP_ACQ_Lib[#Headers],0),FALSE)),"")</f>
        <v>43985</v>
      </c>
      <c r="AJ131" s="249">
        <f>IFERROR(IF(VLOOKUP(CONCATENATE($A131,"_",AJ$1),SP_ACQ_Lib[],MATCH(AJ$2,SP_ACQ_Lib[#Headers],0),FALSE)=0,"",VLOOKUP(CONCATENATE($A131,"_",AJ$1),SP_ACQ_Lib[],MATCH(AJ$2,SP_ACQ_Lib[#Headers],0),FALSE)),"")</f>
        <v>44014</v>
      </c>
      <c r="AK131" s="249">
        <f>IFERROR(IF(VLOOKUP(CONCATENATE($A131,"_",AK$1),SP_ACQ_Lib[],MATCH(AK$2,SP_ACQ_Lib[#Headers],0),FALSE)=0,"",VLOOKUP(CONCATENATE($A131,"_",AK$1),SP_ACQ_Lib[],MATCH(AK$2,SP_ACQ_Lib[#Headers],0),FALSE)),"")</f>
        <v>44198</v>
      </c>
      <c r="AL131" s="249">
        <f>IFERROR(VLOOKUP($A131,SP_AcqTract_DB[],MATCH(AL$2,SP_AcqTract_DB[#Headers],0),FALSE),"")</f>
        <v>0</v>
      </c>
      <c r="AM131" s="227">
        <f>IFERROR(VLOOKUP($A131,SP_AcqTract_DB[],MATCH(AM$2,SP_AcqTract_DB[#Headers],0),FALSE),"")</f>
        <v>0</v>
      </c>
      <c r="AN131" s="227">
        <f>IFERROR(VLOOKUP($A131,SP_AcqTract_DB[],MATCH(AN$2,SP_AcqTract_DB[#Headers],0),FALSE),"")</f>
        <v>0</v>
      </c>
      <c r="AO131" s="228">
        <f>IFERROR(VLOOKUP($A131,SP_AcqTract_DB[],MATCH(AO$2,SP_AcqTract_DB[#Headers],0),FALSE),"")</f>
        <v>0</v>
      </c>
      <c r="AP131" s="210" t="str">
        <f>IFERROR(VLOOKUP($A131,SP_AcqTract_DB[],MATCH(AP$2,SP_AcqTract_DB[#Headers],0),FALSE),"")</f>
        <v>R</v>
      </c>
      <c r="AQ131" s="252" t="str">
        <f>IFERROR(IF(VLOOKUP(CONCATENATE($A131,"_",AQ$1),SP_ACQ_Lib[],MATCH(AQ$2,SP_ACQ_Lib[#Headers],0),FALSE)=0,"",VLOOKUP(CONCATENATE($A131,"_",AQ$1),SP_ACQ_Lib[],MATCH(AQ$2,SP_ACQ_Lib[#Headers],0),FALSE)),"")</f>
        <v/>
      </c>
      <c r="AR131" s="250" t="str">
        <f>IFERROR(IF(VLOOKUP(CONCATENATE($A131,"_",AR$1),SP_ACQ_Lib[],MATCH(AR$2,SP_ACQ_Lib[#Headers],0),FALSE)=0,"",VLOOKUP(CONCATENATE($A131,"_",AR$1),SP_ACQ_Lib[],MATCH(AR$2,SP_ACQ_Lib[#Headers],0),FALSE)),"")</f>
        <v/>
      </c>
      <c r="AS131" s="249" t="str">
        <f>IFERROR(IF(VLOOKUP(CONCATENATE($A131,"_",AS$1),SP_ACQ_Lib[],MATCH(AS$2,SP_ACQ_Lib[#Headers],0),FALSE)=0,"",VLOOKUP(CONCATENATE($A131,"_",AS$1),SP_ACQ_Lib[],MATCH(AS$2,SP_ACQ_Lib[#Headers],0),FALSE)),"")</f>
        <v/>
      </c>
      <c r="AT131" s="251" t="str">
        <f>IFERROR(IF(VLOOKUP(CONCATENATE($A131,"_",AT$1),SP_ACQ_Lib[],MATCH(AT$2,SP_ACQ_Lib[#Headers],0),FALSE)=0,"",VLOOKUP(CONCATENATE($A131,"_",AT$1),SP_ACQ_Lib[],MATCH(AT$2,SP_ACQ_Lib[#Headers],0),FALSE)),"")</f>
        <v/>
      </c>
      <c r="AU131" s="251" t="str">
        <f>IFERROR(IF(VLOOKUP(CONCATENATE($A131,"_",AU$1),SP_ACQ_Lib[],MATCH(AU$2,SP_ACQ_Lib[#Headers],0),FALSE)=0,"",VLOOKUP(CONCATENATE($A131,"_",AU$1),SP_ACQ_Lib[],MATCH(AU$2,SP_ACQ_Lib[#Headers],0),FALSE)),"")</f>
        <v/>
      </c>
      <c r="AV131" s="225" t="str">
        <f>IFERROR(IF(VLOOKUP(CONCATENATE($A131,"_",AV$1),SP_ACQ_Lib[],MATCH(AV$2,SP_ACQ_Lib[#Headers],0),FALSE)=0,"",VLOOKUP(CONCATENATE($A131,"_",AV$1),SP_ACQ_Lib[],MATCH(AV$2,SP_ACQ_Lib[#Headers],0),FALSE)),"")</f>
        <v/>
      </c>
      <c r="AW131" s="251" t="str">
        <f>IFERROR(IF(VLOOKUP(CONCATENATE($A131,"_",AW$1),SP_ACQ_Lib[],MATCH(AW$2,SP_ACQ_Lib[#Headers],0),FALSE)=0,"",VLOOKUP(CONCATENATE($A131,"_",AW$1),SP_ACQ_Lib[],MATCH(AW$2,SP_ACQ_Lib[#Headers],0),FALSE)),"")</f>
        <v/>
      </c>
      <c r="AX131" s="251" t="str">
        <f>IFERROR(IF(VLOOKUP(CONCATENATE($A131,"_",AX$1),SP_ACQ_Lib[],MATCH(AX$2,SP_ACQ_Lib[#Headers],0),FALSE)=0,"",VLOOKUP(CONCATENATE($A131,"_",AX$1),SP_ACQ_Lib[],MATCH(AX$2,SP_ACQ_Lib[#Headers],0),FALSE)),"")</f>
        <v/>
      </c>
      <c r="AY131" s="251" t="str">
        <f>IFERROR(IF(VLOOKUP(CONCATENATE($A131,"_",AY$1),SP_ACQ_Lib[],MATCH(AY$2,SP_ACQ_Lib[#Headers],0),FALSE)=0,"",VLOOKUP(CONCATENATE($A131,"_",AY$1),SP_ACQ_Lib[],MATCH(AY$2,SP_ACQ_Lib[#Headers],0),FALSE)),"")</f>
        <v/>
      </c>
      <c r="AZ131" s="251" t="str">
        <f>IFERROR(IF(VLOOKUP(CONCATENATE($A131,"_",AZ$1),SP_ACQ_Lib[],MATCH(AZ$2,SP_ACQ_Lib[#Headers],0),FALSE)=0,"",VLOOKUP(CONCATENATE($A131,"_",AZ$1),SP_ACQ_Lib[],MATCH(AZ$2,SP_ACQ_Lib[#Headers],0),FALSE)),"")</f>
        <v/>
      </c>
      <c r="BA131" s="251" t="str">
        <f>IFERROR(IF(VLOOKUP(CONCATENATE($A131,"_",BA$1),SP_ACQ_Lib[],MATCH(BA$2,SP_ACQ_Lib[#Headers],0),FALSE)=0,"",VLOOKUP(CONCATENATE($A131,"_",BA$1),SP_ACQ_Lib[],MATCH(BA$2,SP_ACQ_Lib[#Headers],0),FALSE)),"")</f>
        <v/>
      </c>
      <c r="BB131" s="224">
        <f>IFERROR(VLOOKUP(CONCATENATE($A131,"_",BB$1),SP_ACQ_Lib[],MATCH(BB$2,SP_ACQ_Lib[#Headers],0),FALSE),0)</f>
        <v>0</v>
      </c>
      <c r="BC131" s="231">
        <f>IFERROR(VLOOKUP($A131,SP_AcqTract_DB[],MATCH(BC$2,SP_AcqTract_DB[#Headers],0),FALSE),"")</f>
        <v>0</v>
      </c>
      <c r="BD131" s="231">
        <f>IFERROR(VLOOKUP($A131,SP_AcqTract_DB[],MATCH(BD$2,SP_AcqTract_DB[#Headers],0),FALSE),"")</f>
        <v>0</v>
      </c>
      <c r="BE131" s="249" t="str">
        <f>IFERROR(IF(VLOOKUP(CONCATENATE($A131,"_",BE$1),SP_ACQ_Lib[],MATCH(BE$2,SP_ACQ_Lib[#Headers],0),FALSE)=0,"",VLOOKUP(CONCATENATE($A131,"_",BE$1),SP_ACQ_Lib[],MATCH(BE$2,SP_ACQ_Lib[#Headers],0),FALSE)),"")</f>
        <v/>
      </c>
      <c r="BF131" s="249" t="str">
        <f>IFERROR(IF(VLOOKUP(CONCATENATE($A131,"_",BF$1),SP_ACQ_Lib[],MATCH(BF$2,SP_ACQ_Lib[#Headers],0),FALSE)=0,"",VLOOKUP(CONCATENATE($A131,"_",BF$1),SP_ACQ_Lib[],MATCH(BF$2,SP_ACQ_Lib[#Headers],0),FALSE)),"")</f>
        <v/>
      </c>
      <c r="BG131" s="249" t="str">
        <f>IFERROR(IF(VLOOKUP(CONCATENATE($A131,"_",BG$1),SP_ACQ_Lib[],MATCH(BG$2,SP_ACQ_Lib[#Headers],0),FALSE)=0,"",VLOOKUP(CONCATENATE($A131,"_",BG$1),SP_ACQ_Lib[],MATCH(BG$2,SP_ACQ_Lib[#Headers],0),FALSE)),"")</f>
        <v/>
      </c>
      <c r="BH131" s="249" t="str">
        <f>IFERROR(IF(VLOOKUP(CONCATENATE($A131,"_",BH$1),SP_ACQ_Lib[],MATCH(BH$2,SP_ACQ_Lib[#Headers],0),FALSE)=0,"",VLOOKUP(CONCATENATE($A131,"_",BH$1),SP_ACQ_Lib[],MATCH(BH$2,SP_ACQ_Lib[#Headers],0),FALSE)),"")</f>
        <v/>
      </c>
      <c r="BI131" s="249" t="str">
        <f>IFERROR(IF(VLOOKUP(CONCATENATE($A131,"_",BI$1),SP_ACQ_Lib[],MATCH(BI$2,SP_ACQ_Lib[#Headers],0),FALSE)=0,"",VLOOKUP(CONCATENATE($A131,"_",BI$1),SP_ACQ_Lib[],MATCH(BI$2,SP_ACQ_Lib[#Headers],0),FALSE)),"")</f>
        <v/>
      </c>
      <c r="BJ131" s="249" t="str">
        <f>IFERROR(IF(VLOOKUP(CONCATENATE($A131,"_",BJ$1),SP_ACQ_Lib[],MATCH(BJ$2,SP_ACQ_Lib[#Headers],0),FALSE)=0,"",VLOOKUP(CONCATENATE($A131,"_",BJ$1),SP_ACQ_Lib[],MATCH(BJ$2,SP_ACQ_Lib[#Headers],0),FALSE)),"")</f>
        <v/>
      </c>
      <c r="BK131" s="250" t="str">
        <f>IFERROR(IF(VLOOKUP(CONCATENATE($A131,"_",BK$1),SP_ACQ_Lib[],MATCH(BK$2,SP_ACQ_Lib[#Headers],0),FALSE)=0,"",VLOOKUP(CONCATENATE($A131,"_",BK$1),SP_ACQ_Lib[],MATCH(BK$2,SP_ACQ_Lib[#Headers],0),FALSE)),"")</f>
        <v/>
      </c>
      <c r="BL131" s="249" t="str">
        <f>IFERROR(IF(VLOOKUP(CONCATENATE($A131,"_",BL$1),SP_ACQ_Lib[],MATCH(BL$2,SP_ACQ_Lib[#Headers],0),FALSE)=0,"",VLOOKUP(CONCATENATE($A131,"_",BL$1),SP_ACQ_Lib[],MATCH(BL$2,SP_ACQ_Lib[#Headers],0),FALSE)),"")</f>
        <v/>
      </c>
      <c r="BM131" s="249" t="str">
        <f>IFERROR(IF(VLOOKUP(CONCATENATE($A131,"_",BM$1),SP_ACQ_Lib[],MATCH(BM$2,SP_ACQ_Lib[#Headers],0),FALSE)=0,"",VLOOKUP(CONCATENATE($A131,"_",BM$1),SP_ACQ_Lib[],MATCH(BM$2,SP_ACQ_Lib[#Headers],0),FALSE)),"")</f>
        <v/>
      </c>
      <c r="BN131" s="249" t="str">
        <f>IFERROR(IF(VLOOKUP(CONCATENATE($A131,"_",BN$1),SP_ACQ_Lib[],MATCH(BN$2,SP_ACQ_Lib[#Headers],0),FALSE)=0,"",VLOOKUP(CONCATENATE($A131,"_",BN$1),SP_ACQ_Lib[],MATCH(BN$2,SP_ACQ_Lib[#Headers],0),FALSE)),"")</f>
        <v/>
      </c>
    </row>
    <row r="132" spans="1:66" s="226" customFormat="1" ht="25.5" x14ac:dyDescent="0.2">
      <c r="A132" s="192" t="s">
        <v>5379</v>
      </c>
      <c r="B132" s="227" t="str">
        <f>IFERROR(VLOOKUP($A132,SP_AcqTract_DB[],MATCH(B$2,SP_AcqTract_DB[#Headers],0),FALSE),"")</f>
        <v>R032149</v>
      </c>
      <c r="C132" s="228" t="str">
        <f>IFERROR(VLOOKUP($A132,SP_AcqTract_DB[],MATCH(C$2,SP_AcqTract_DB[#Headers],0),FALSE),"")</f>
        <v>PH2</v>
      </c>
      <c r="D132" s="208" t="str">
        <f>IFERROR(VLOOKUP($A132,SP_AcqTract_DB[],MATCH(D$2,SP_AcqTract_DB[#Headers],0),FALSE),"")</f>
        <v>Active</v>
      </c>
      <c r="E132" s="208">
        <f>IFERROR(VLOOKUP($A132,SP_AcqTract_DB[],MATCH(E$2,SP_AcqTract_DB[#Headers],0),FALSE),"")</f>
        <v>0</v>
      </c>
      <c r="F132" s="227" t="str">
        <f>IFERROR(VLOOKUP($A132,SP_AcqTract_DB[],MATCH(F$2,SP_AcqTract_DB[#Headers],0),FALSE),"")</f>
        <v>FEE / EASEMENT</v>
      </c>
      <c r="G132" s="227" t="str">
        <f>IFERROR(VLOOKUP($A132,SP_AcqTract_DB[],MATCH(G$2,SP_AcqTract_DB[#Headers],0),FALSE),"")</f>
        <v>Darlene Snow</v>
      </c>
      <c r="H132" s="250">
        <f>IFERROR(IF(VLOOKUP(CONCATENATE($A132,"_",H$1),SP_ACQ_Lib[],MATCH(H$2,SP_ACQ_Lib[#Headers],0),FALSE)=0,"",VLOOKUP(CONCATENATE($A132,"_",H$1),SP_ACQ_Lib[],MATCH(H$2,SP_ACQ_Lib[#Headers],0),FALSE)),"")</f>
        <v>44000.453379629631</v>
      </c>
      <c r="I132" s="227" t="str">
        <f>IFERROR(VLOOKUP($A132,SP_AcqTract_DB[],MATCH(I$2,SP_AcqTract_DB[#Headers],0),FALSE),"")</f>
        <v>Canales Frank</v>
      </c>
      <c r="J132" s="227">
        <f>IFERROR(VLOOKUP($A132,SP_AcqTract_DB[],MATCH(J$2,SP_AcqTract_DB[#Headers],0),FALSE),"")</f>
        <v>0</v>
      </c>
      <c r="K132" s="227">
        <f>IFERROR(VLOOKUP($A132,SP_AcqTract_DB[],MATCH(K$2,SP_AcqTract_DB[#Headers],0),FALSE),"")</f>
        <v>0</v>
      </c>
      <c r="L132" s="227" t="str">
        <f>IFERROR(VLOOKUP($A132,SP_AcqTract_DB[],MATCH(L$2,SP_AcqTract_DB[#Headers],0),FALSE),"")</f>
        <v>3710 N FULTON</v>
      </c>
      <c r="M132" s="208" t="str">
        <f>IFERROR(VLOOKUP($A132,SP_AcqTract_DB[],MATCH(M$2,SP_AcqTract_DB[#Headers],0),FALSE),"")</f>
        <v>WHARTON, TX 77488</v>
      </c>
      <c r="N132" s="227" t="str">
        <f>IFERROR(VLOOKUP($A132,SP_AcqTract_DB[],MATCH(N$2,SP_AcqTract_DB[#Headers],0),FALSE),"")</f>
        <v>3710 N FULTON</v>
      </c>
      <c r="O132" s="220">
        <f>IFERROR(VLOOKUP($A132,SP_AcqTract_DB[],MATCH(O$2,SP_AcqTract_DB[#Headers],0),FALSE),"")</f>
        <v>0</v>
      </c>
      <c r="P132" s="220">
        <f>IFERROR(VLOOKUP($A132,SP_AcqTract_DB[],MATCH(P$2,SP_AcqTract_DB[#Headers],0),FALSE),"")</f>
        <v>0</v>
      </c>
      <c r="Q132" s="208">
        <f>IFERROR(VLOOKUP($A132,SP_AcqTract_DB[],MATCH(Q$2,SP_AcqTract_DB[#Headers],0),FALSE),"")</f>
        <v>0</v>
      </c>
      <c r="R132" s="250" t="str">
        <f>IFERROR(IF(VLOOKUP(CONCATENATE($A132,"_",R$1),SP_ACQ_Lib[],MATCH(R$2,SP_ACQ_Lib[#Headers],0),FALSE)=0,"",VLOOKUP(CONCATENATE($A132,"_",R$1),SP_ACQ_Lib[],MATCH(R$2,SP_ACQ_Lib[#Headers],0),FALSE)),"")</f>
        <v/>
      </c>
      <c r="S132" s="253" t="str">
        <f>IFERROR(IF(VLOOKUP(CONCATENATE($A132,"_",S$1),SP_ACQ_Lib[],MATCH(S$2,SP_ACQ_Lib[#Headers],0),FALSE)=0,"",VLOOKUP(CONCATENATE($A132,"_",S$1),SP_ACQ_Lib[],MATCH(S$2,SP_ACQ_Lib[#Headers],0),FALSE)),"")</f>
        <v/>
      </c>
      <c r="T132" s="205">
        <f>IFERROR(VLOOKUP(CONCATENATE($A132,"_",T$1),SP_ACQ_Lib[],MATCH(T$2,SP_ACQ_Lib[#Headers],0),FALSE),0)</f>
        <v>0</v>
      </c>
      <c r="U132" s="250" t="str">
        <f>IFERROR(IF(VLOOKUP(CONCATENATE($A132,"_",U$1),SP_ACQ_Lib[],MATCH(U$2,SP_ACQ_Lib[#Headers],0),FALSE)=0,"",VLOOKUP(CONCATENATE($A132,"_",U$1),SP_ACQ_Lib[],MATCH(U$2,SP_ACQ_Lib[#Headers],0),FALSE)),"")</f>
        <v/>
      </c>
      <c r="V132" s="205">
        <f>IFERROR(VLOOKUP(CONCATENATE($A132,"_",V$1),SP_ACQ_Lib[],MATCH(V$2,SP_ACQ_Lib[#Headers],0),FALSE),0)</f>
        <v>0</v>
      </c>
      <c r="W132" s="209">
        <f>IFERROR(VLOOKUP(CONCATENATE($A132,"_",W$1),SP_ACQ_Lib[],MATCH(W$2,SP_ACQ_Lib[#Headers],0),FALSE),0)</f>
        <v>0</v>
      </c>
      <c r="X132" s="250">
        <f>IFERROR(VLOOKUP($A132,SP_AcqTract_DB[],MATCH(X$2,SP_AcqTract_DB[#Headers],0),FALSE),"")</f>
        <v>0</v>
      </c>
      <c r="Y132" s="237">
        <f>IFERROR(VLOOKUP($A132,SP_AcqTract_DB[],MATCH(Y$2,SP_AcqTract_DB[#Headers],0),FALSE),"")</f>
        <v>0</v>
      </c>
      <c r="Z132" s="229">
        <f>IFERROR(VLOOKUP($A132,SP_AcqTract_DB[],MATCH(Z$2,SP_AcqTract_DB[#Headers],0),FALSE),"")</f>
        <v>0</v>
      </c>
      <c r="AA132" s="229">
        <f>IFERROR(VLOOKUP($A132,SP_AcqTract_DB[],MATCH(AA$2,SP_AcqTract_DB[#Headers],0),FALSE),"")</f>
        <v>0</v>
      </c>
      <c r="AB132" s="250" t="str">
        <f>IFERROR(IF(VLOOKUP(CONCATENATE($A132,"_",AB$1),SP_ACQ_Lib[],MATCH(AB$2,SP_ACQ_Lib[#Headers],0),FALSE)=0,"",VLOOKUP(CONCATENATE($A132,"_",AB$1),SP_ACQ_Lib[],MATCH(AB$2,SP_ACQ_Lib[#Headers],0),FALSE)),"")</f>
        <v/>
      </c>
      <c r="AC132" s="250" t="str">
        <f>IFERROR(IF(VLOOKUP(CONCATENATE($A132,"_",AC$1),SP_ACQ_Lib[],MATCH(AC$2,SP_ACQ_Lib[#Headers],0),FALSE)=0,"",VLOOKUP(CONCATENATE($A132,"_",AC$1),SP_ACQ_Lib[],MATCH(AC$2,SP_ACQ_Lib[#Headers],0),FALSE)),"")</f>
        <v/>
      </c>
      <c r="AD132" s="229">
        <f>IFERROR(VLOOKUP($A132,SP_AcqTract_DB[],MATCH(AD$2,SP_AcqTract_DB[#Headers],0),FALSE),"")</f>
        <v>0</v>
      </c>
      <c r="AE132" s="250" t="str">
        <f>IFERROR(IF(VLOOKUP(CONCATENATE($A132,"_",AE$1),SP_ACQ_Lib[],MATCH(AE$2,SP_ACQ_Lib[#Headers],0),FALSE)=0,"",VLOOKUP(CONCATENATE($A132,"_",AE$1),SP_ACQ_Lib[],MATCH(AE$2,SP_ACQ_Lib[#Headers],0),FALSE)),"")</f>
        <v/>
      </c>
      <c r="AF132" s="250" t="str">
        <f>IFERROR(IF(VLOOKUP(CONCATENATE($A132,"_",AF$1),SP_ACQ_Lib[],MATCH(AF$2,SP_ACQ_Lib[#Headers],0),FALSE)=0,"",VLOOKUP(CONCATENATE($A132,"_",AF$1),SP_ACQ_Lib[],MATCH(AF$2,SP_ACQ_Lib[#Headers],0),FALSE)),"")</f>
        <v/>
      </c>
      <c r="AG132" s="250" t="str">
        <f>IFERROR(IF(VLOOKUP(CONCATENATE($A132,"_",AG$1),SP_ACQ_Lib[],MATCH(AG$2,SP_ACQ_Lib[#Headers],0),FALSE)=0,"",VLOOKUP(CONCATENATE($A132,"_",AG$1),SP_ACQ_Lib[],MATCH(AG$2,SP_ACQ_Lib[#Headers],0),FALSE)),"")</f>
        <v/>
      </c>
      <c r="AH132" s="250" t="str">
        <f>IFERROR(IF(VLOOKUP(CONCATENATE($A132,"_",AH$1),SP_ACQ_Lib[],MATCH(AH$2,SP_ACQ_Lib[#Headers],0),FALSE)=0,"",VLOOKUP(CONCATENATE($A132,"_",AH$1),SP_ACQ_Lib[],MATCH(AH$2,SP_ACQ_Lib[#Headers],0),FALSE)),"")</f>
        <v/>
      </c>
      <c r="AI132" s="249">
        <f>IFERROR(IF(VLOOKUP(CONCATENATE($A132,"_",AI$1),SP_ACQ_Lib[],MATCH(AI$2,SP_ACQ_Lib[#Headers],0),FALSE)=0,"",VLOOKUP(CONCATENATE($A132,"_",AI$1),SP_ACQ_Lib[],MATCH(AI$2,SP_ACQ_Lib[#Headers],0),FALSE)),"")</f>
        <v>43985</v>
      </c>
      <c r="AJ132" s="249">
        <f>IFERROR(IF(VLOOKUP(CONCATENATE($A132,"_",AJ$1),SP_ACQ_Lib[],MATCH(AJ$2,SP_ACQ_Lib[#Headers],0),FALSE)=0,"",VLOOKUP(CONCATENATE($A132,"_",AJ$1),SP_ACQ_Lib[],MATCH(AJ$2,SP_ACQ_Lib[#Headers],0),FALSE)),"")</f>
        <v>43992</v>
      </c>
      <c r="AK132" s="249">
        <f>IFERROR(IF(VLOOKUP(CONCATENATE($A132,"_",AK$1),SP_ACQ_Lib[],MATCH(AK$2,SP_ACQ_Lib[#Headers],0),FALSE)=0,"",VLOOKUP(CONCATENATE($A132,"_",AK$1),SP_ACQ_Lib[],MATCH(AK$2,SP_ACQ_Lib[#Headers],0),FALSE)),"")</f>
        <v>43992</v>
      </c>
      <c r="AL132" s="249">
        <f>IFERROR(VLOOKUP($A132,SP_AcqTract_DB[],MATCH(AL$2,SP_AcqTract_DB[#Headers],0),FALSE),"")</f>
        <v>0</v>
      </c>
      <c r="AM132" s="227">
        <f>IFERROR(VLOOKUP($A132,SP_AcqTract_DB[],MATCH(AM$2,SP_AcqTract_DB[#Headers],0),FALSE),"")</f>
        <v>0</v>
      </c>
      <c r="AN132" s="227">
        <f>IFERROR(VLOOKUP($A132,SP_AcqTract_DB[],MATCH(AN$2,SP_AcqTract_DB[#Headers],0),FALSE),"")</f>
        <v>0</v>
      </c>
      <c r="AO132" s="228">
        <f>IFERROR(VLOOKUP($A132,SP_AcqTract_DB[],MATCH(AO$2,SP_AcqTract_DB[#Headers],0),FALSE),"")</f>
        <v>0</v>
      </c>
      <c r="AP132" s="210" t="str">
        <f>IFERROR(VLOOKUP($A132,SP_AcqTract_DB[],MATCH(AP$2,SP_AcqTract_DB[#Headers],0),FALSE),"")</f>
        <v>R</v>
      </c>
      <c r="AQ132" s="252" t="str">
        <f>IFERROR(IF(VLOOKUP(CONCATENATE($A132,"_",AQ$1),SP_ACQ_Lib[],MATCH(AQ$2,SP_ACQ_Lib[#Headers],0),FALSE)=0,"",VLOOKUP(CONCATENATE($A132,"_",AQ$1),SP_ACQ_Lib[],MATCH(AQ$2,SP_ACQ_Lib[#Headers],0),FALSE)),"")</f>
        <v/>
      </c>
      <c r="AR132" s="250" t="str">
        <f>IFERROR(IF(VLOOKUP(CONCATENATE($A132,"_",AR$1),SP_ACQ_Lib[],MATCH(AR$2,SP_ACQ_Lib[#Headers],0),FALSE)=0,"",VLOOKUP(CONCATENATE($A132,"_",AR$1),SP_ACQ_Lib[],MATCH(AR$2,SP_ACQ_Lib[#Headers],0),FALSE)),"")</f>
        <v/>
      </c>
      <c r="AS132" s="249" t="str">
        <f>IFERROR(IF(VLOOKUP(CONCATENATE($A132,"_",AS$1),SP_ACQ_Lib[],MATCH(AS$2,SP_ACQ_Lib[#Headers],0),FALSE)=0,"",VLOOKUP(CONCATENATE($A132,"_",AS$1),SP_ACQ_Lib[],MATCH(AS$2,SP_ACQ_Lib[#Headers],0),FALSE)),"")</f>
        <v/>
      </c>
      <c r="AT132" s="251" t="str">
        <f>IFERROR(IF(VLOOKUP(CONCATENATE($A132,"_",AT$1),SP_ACQ_Lib[],MATCH(AT$2,SP_ACQ_Lib[#Headers],0),FALSE)=0,"",VLOOKUP(CONCATENATE($A132,"_",AT$1),SP_ACQ_Lib[],MATCH(AT$2,SP_ACQ_Lib[#Headers],0),FALSE)),"")</f>
        <v/>
      </c>
      <c r="AU132" s="251" t="str">
        <f>IFERROR(IF(VLOOKUP(CONCATENATE($A132,"_",AU$1),SP_ACQ_Lib[],MATCH(AU$2,SP_ACQ_Lib[#Headers],0),FALSE)=0,"",VLOOKUP(CONCATENATE($A132,"_",AU$1),SP_ACQ_Lib[],MATCH(AU$2,SP_ACQ_Lib[#Headers],0),FALSE)),"")</f>
        <v/>
      </c>
      <c r="AV132" s="225" t="str">
        <f>IFERROR(IF(VLOOKUP(CONCATENATE($A132,"_",AV$1),SP_ACQ_Lib[],MATCH(AV$2,SP_ACQ_Lib[#Headers],0),FALSE)=0,"",VLOOKUP(CONCATENATE($A132,"_",AV$1),SP_ACQ_Lib[],MATCH(AV$2,SP_ACQ_Lib[#Headers],0),FALSE)),"")</f>
        <v/>
      </c>
      <c r="AW132" s="251" t="str">
        <f>IFERROR(IF(VLOOKUP(CONCATENATE($A132,"_",AW$1),SP_ACQ_Lib[],MATCH(AW$2,SP_ACQ_Lib[#Headers],0),FALSE)=0,"",VLOOKUP(CONCATENATE($A132,"_",AW$1),SP_ACQ_Lib[],MATCH(AW$2,SP_ACQ_Lib[#Headers],0),FALSE)),"")</f>
        <v/>
      </c>
      <c r="AX132" s="251" t="str">
        <f>IFERROR(IF(VLOOKUP(CONCATENATE($A132,"_",AX$1),SP_ACQ_Lib[],MATCH(AX$2,SP_ACQ_Lib[#Headers],0),FALSE)=0,"",VLOOKUP(CONCATENATE($A132,"_",AX$1),SP_ACQ_Lib[],MATCH(AX$2,SP_ACQ_Lib[#Headers],0),FALSE)),"")</f>
        <v/>
      </c>
      <c r="AY132" s="251" t="str">
        <f>IFERROR(IF(VLOOKUP(CONCATENATE($A132,"_",AY$1),SP_ACQ_Lib[],MATCH(AY$2,SP_ACQ_Lib[#Headers],0),FALSE)=0,"",VLOOKUP(CONCATENATE($A132,"_",AY$1),SP_ACQ_Lib[],MATCH(AY$2,SP_ACQ_Lib[#Headers],0),FALSE)),"")</f>
        <v/>
      </c>
      <c r="AZ132" s="251" t="str">
        <f>IFERROR(IF(VLOOKUP(CONCATENATE($A132,"_",AZ$1),SP_ACQ_Lib[],MATCH(AZ$2,SP_ACQ_Lib[#Headers],0),FALSE)=0,"",VLOOKUP(CONCATENATE($A132,"_",AZ$1),SP_ACQ_Lib[],MATCH(AZ$2,SP_ACQ_Lib[#Headers],0),FALSE)),"")</f>
        <v/>
      </c>
      <c r="BA132" s="251" t="str">
        <f>IFERROR(IF(VLOOKUP(CONCATENATE($A132,"_",BA$1),SP_ACQ_Lib[],MATCH(BA$2,SP_ACQ_Lib[#Headers],0),FALSE)=0,"",VLOOKUP(CONCATENATE($A132,"_",BA$1),SP_ACQ_Lib[],MATCH(BA$2,SP_ACQ_Lib[#Headers],0),FALSE)),"")</f>
        <v/>
      </c>
      <c r="BB132" s="224">
        <f>IFERROR(VLOOKUP(CONCATENATE($A132,"_",BB$1),SP_ACQ_Lib[],MATCH(BB$2,SP_ACQ_Lib[#Headers],0),FALSE),0)</f>
        <v>0</v>
      </c>
      <c r="BC132" s="231">
        <f>IFERROR(VLOOKUP($A132,SP_AcqTract_DB[],MATCH(BC$2,SP_AcqTract_DB[#Headers],0),FALSE),"")</f>
        <v>0</v>
      </c>
      <c r="BD132" s="231">
        <f>IFERROR(VLOOKUP($A132,SP_AcqTract_DB[],MATCH(BD$2,SP_AcqTract_DB[#Headers],0),FALSE),"")</f>
        <v>0</v>
      </c>
      <c r="BE132" s="249" t="str">
        <f>IFERROR(IF(VLOOKUP(CONCATENATE($A132,"_",BE$1),SP_ACQ_Lib[],MATCH(BE$2,SP_ACQ_Lib[#Headers],0),FALSE)=0,"",VLOOKUP(CONCATENATE($A132,"_",BE$1),SP_ACQ_Lib[],MATCH(BE$2,SP_ACQ_Lib[#Headers],0),FALSE)),"")</f>
        <v/>
      </c>
      <c r="BF132" s="249" t="str">
        <f>IFERROR(IF(VLOOKUP(CONCATENATE($A132,"_",BF$1),SP_ACQ_Lib[],MATCH(BF$2,SP_ACQ_Lib[#Headers],0),FALSE)=0,"",VLOOKUP(CONCATENATE($A132,"_",BF$1),SP_ACQ_Lib[],MATCH(BF$2,SP_ACQ_Lib[#Headers],0),FALSE)),"")</f>
        <v/>
      </c>
      <c r="BG132" s="249" t="str">
        <f>IFERROR(IF(VLOOKUP(CONCATENATE($A132,"_",BG$1),SP_ACQ_Lib[],MATCH(BG$2,SP_ACQ_Lib[#Headers],0),FALSE)=0,"",VLOOKUP(CONCATENATE($A132,"_",BG$1),SP_ACQ_Lib[],MATCH(BG$2,SP_ACQ_Lib[#Headers],0),FALSE)),"")</f>
        <v/>
      </c>
      <c r="BH132" s="249" t="str">
        <f>IFERROR(IF(VLOOKUP(CONCATENATE($A132,"_",BH$1),SP_ACQ_Lib[],MATCH(BH$2,SP_ACQ_Lib[#Headers],0),FALSE)=0,"",VLOOKUP(CONCATENATE($A132,"_",BH$1),SP_ACQ_Lib[],MATCH(BH$2,SP_ACQ_Lib[#Headers],0),FALSE)),"")</f>
        <v/>
      </c>
      <c r="BI132" s="249" t="str">
        <f>IFERROR(IF(VLOOKUP(CONCATENATE($A132,"_",BI$1),SP_ACQ_Lib[],MATCH(BI$2,SP_ACQ_Lib[#Headers],0),FALSE)=0,"",VLOOKUP(CONCATENATE($A132,"_",BI$1),SP_ACQ_Lib[],MATCH(BI$2,SP_ACQ_Lib[#Headers],0),FALSE)),"")</f>
        <v/>
      </c>
      <c r="BJ132" s="249" t="str">
        <f>IFERROR(IF(VLOOKUP(CONCATENATE($A132,"_",BJ$1),SP_ACQ_Lib[],MATCH(BJ$2,SP_ACQ_Lib[#Headers],0),FALSE)=0,"",VLOOKUP(CONCATENATE($A132,"_",BJ$1),SP_ACQ_Lib[],MATCH(BJ$2,SP_ACQ_Lib[#Headers],0),FALSE)),"")</f>
        <v/>
      </c>
      <c r="BK132" s="250" t="str">
        <f>IFERROR(IF(VLOOKUP(CONCATENATE($A132,"_",BK$1),SP_ACQ_Lib[],MATCH(BK$2,SP_ACQ_Lib[#Headers],0),FALSE)=0,"",VLOOKUP(CONCATENATE($A132,"_",BK$1),SP_ACQ_Lib[],MATCH(BK$2,SP_ACQ_Lib[#Headers],0),FALSE)),"")</f>
        <v/>
      </c>
      <c r="BL132" s="249" t="str">
        <f>IFERROR(IF(VLOOKUP(CONCATENATE($A132,"_",BL$1),SP_ACQ_Lib[],MATCH(BL$2,SP_ACQ_Lib[#Headers],0),FALSE)=0,"",VLOOKUP(CONCATENATE($A132,"_",BL$1),SP_ACQ_Lib[],MATCH(BL$2,SP_ACQ_Lib[#Headers],0),FALSE)),"")</f>
        <v/>
      </c>
      <c r="BM132" s="249" t="str">
        <f>IFERROR(IF(VLOOKUP(CONCATENATE($A132,"_",BM$1),SP_ACQ_Lib[],MATCH(BM$2,SP_ACQ_Lib[#Headers],0),FALSE)=0,"",VLOOKUP(CONCATENATE($A132,"_",BM$1),SP_ACQ_Lib[],MATCH(BM$2,SP_ACQ_Lib[#Headers],0),FALSE)),"")</f>
        <v/>
      </c>
      <c r="BN132" s="249" t="str">
        <f>IFERROR(IF(VLOOKUP(CONCATENATE($A132,"_",BN$1),SP_ACQ_Lib[],MATCH(BN$2,SP_ACQ_Lib[#Headers],0),FALSE)=0,"",VLOOKUP(CONCATENATE($A132,"_",BN$1),SP_ACQ_Lib[],MATCH(BN$2,SP_ACQ_Lib[#Headers],0),FALSE)),"")</f>
        <v/>
      </c>
    </row>
    <row r="133" spans="1:66" s="226" customFormat="1" ht="25.5" x14ac:dyDescent="0.2">
      <c r="A133" s="192" t="s">
        <v>5381</v>
      </c>
      <c r="B133" s="227" t="str">
        <f>IFERROR(VLOOKUP($A133,SP_AcqTract_DB[],MATCH(B$2,SP_AcqTract_DB[#Headers],0),FALSE),"")</f>
        <v>R058366</v>
      </c>
      <c r="C133" s="228" t="str">
        <f>IFERROR(VLOOKUP($A133,SP_AcqTract_DB[],MATCH(C$2,SP_AcqTract_DB[#Headers],0),FALSE),"")</f>
        <v>PH2</v>
      </c>
      <c r="D133" s="208" t="str">
        <f>IFERROR(VLOOKUP($A133,SP_AcqTract_DB[],MATCH(D$2,SP_AcqTract_DB[#Headers],0),FALSE),"")</f>
        <v>Active</v>
      </c>
      <c r="E133" s="208">
        <f>IFERROR(VLOOKUP($A133,SP_AcqTract_DB[],MATCH(E$2,SP_AcqTract_DB[#Headers],0),FALSE),"")</f>
        <v>0</v>
      </c>
      <c r="F133" s="227" t="str">
        <f>IFERROR(VLOOKUP($A133,SP_AcqTract_DB[],MATCH(F$2,SP_AcqTract_DB[#Headers],0),FALSE),"")</f>
        <v>FEE / EASEMENT</v>
      </c>
      <c r="G133" s="227">
        <f>IFERROR(VLOOKUP($A133,SP_AcqTract_DB[],MATCH(G$2,SP_AcqTract_DB[#Headers],0),FALSE),"")</f>
        <v>0</v>
      </c>
      <c r="H133" s="250" t="str">
        <f>IFERROR(IF(VLOOKUP(CONCATENATE($A133,"_",H$1),SP_ACQ_Lib[],MATCH(H$2,SP_ACQ_Lib[#Headers],0),FALSE)=0,"",VLOOKUP(CONCATENATE($A133,"_",H$1),SP_ACQ_Lib[],MATCH(H$2,SP_ACQ_Lib[#Headers],0),FALSE)),"")</f>
        <v/>
      </c>
      <c r="I133" s="227" t="str">
        <f>IFERROR(VLOOKUP($A133,SP_AcqTract_DB[],MATCH(I$2,SP_AcqTract_DB[#Headers],0),FALSE),"")</f>
        <v>Harrison Agriculture LTD</v>
      </c>
      <c r="J133" s="227">
        <f>IFERROR(VLOOKUP($A133,SP_AcqTract_DB[],MATCH(J$2,SP_AcqTract_DB[#Headers],0),FALSE),"")</f>
        <v>0</v>
      </c>
      <c r="K133" s="227">
        <f>IFERROR(VLOOKUP($A133,SP_AcqTract_DB[],MATCH(K$2,SP_AcqTract_DB[#Headers],0),FALSE),"")</f>
        <v>0</v>
      </c>
      <c r="L133" s="227" t="str">
        <f>IFERROR(VLOOKUP($A133,SP_AcqTract_DB[],MATCH(L$2,SP_AcqTract_DB[#Headers],0),FALSE),"")</f>
        <v>5318 INWOOD</v>
      </c>
      <c r="M133" s="208" t="str">
        <f>IFERROR(VLOOKUP($A133,SP_AcqTract_DB[],MATCH(M$2,SP_AcqTract_DB[#Headers],0),FALSE),"")</f>
        <v>HOUSTON, TX 77056-0000</v>
      </c>
      <c r="N133" s="227" t="str">
        <f>IFERROR(VLOOKUP($A133,SP_AcqTract_DB[],MATCH(N$2,SP_AcqTract_DB[#Headers],0),FALSE),"")</f>
        <v>CR 231</v>
      </c>
      <c r="O133" s="220">
        <f>IFERROR(VLOOKUP($A133,SP_AcqTract_DB[],MATCH(O$2,SP_AcqTract_DB[#Headers],0),FALSE),"")</f>
        <v>0</v>
      </c>
      <c r="P133" s="220">
        <f>IFERROR(VLOOKUP($A133,SP_AcqTract_DB[],MATCH(P$2,SP_AcqTract_DB[#Headers],0),FALSE),"")</f>
        <v>0</v>
      </c>
      <c r="Q133" s="208">
        <f>IFERROR(VLOOKUP($A133,SP_AcqTract_DB[],MATCH(Q$2,SP_AcqTract_DB[#Headers],0),FALSE),"")</f>
        <v>0</v>
      </c>
      <c r="R133" s="250" t="str">
        <f>IFERROR(IF(VLOOKUP(CONCATENATE($A133,"_",R$1),SP_ACQ_Lib[],MATCH(R$2,SP_ACQ_Lib[#Headers],0),FALSE)=0,"",VLOOKUP(CONCATENATE($A133,"_",R$1),SP_ACQ_Lib[],MATCH(R$2,SP_ACQ_Lib[#Headers],0),FALSE)),"")</f>
        <v/>
      </c>
      <c r="S133" s="253" t="str">
        <f>IFERROR(IF(VLOOKUP(CONCATENATE($A133,"_",S$1),SP_ACQ_Lib[],MATCH(S$2,SP_ACQ_Lib[#Headers],0),FALSE)=0,"",VLOOKUP(CONCATENATE($A133,"_",S$1),SP_ACQ_Lib[],MATCH(S$2,SP_ACQ_Lib[#Headers],0),FALSE)),"")</f>
        <v/>
      </c>
      <c r="T133" s="205">
        <f>IFERROR(VLOOKUP(CONCATENATE($A133,"_",T$1),SP_ACQ_Lib[],MATCH(T$2,SP_ACQ_Lib[#Headers],0),FALSE),0)</f>
        <v>0</v>
      </c>
      <c r="U133" s="250" t="str">
        <f>IFERROR(IF(VLOOKUP(CONCATENATE($A133,"_",U$1),SP_ACQ_Lib[],MATCH(U$2,SP_ACQ_Lib[#Headers],0),FALSE)=0,"",VLOOKUP(CONCATENATE($A133,"_",U$1),SP_ACQ_Lib[],MATCH(U$2,SP_ACQ_Lib[#Headers],0),FALSE)),"")</f>
        <v/>
      </c>
      <c r="V133" s="205">
        <f>IFERROR(VLOOKUP(CONCATENATE($A133,"_",V$1),SP_ACQ_Lib[],MATCH(V$2,SP_ACQ_Lib[#Headers],0),FALSE),0)</f>
        <v>0</v>
      </c>
      <c r="W133" s="209">
        <f>IFERROR(VLOOKUP(CONCATENATE($A133,"_",W$1),SP_ACQ_Lib[],MATCH(W$2,SP_ACQ_Lib[#Headers],0),FALSE),0)</f>
        <v>0</v>
      </c>
      <c r="X133" s="250">
        <f>IFERROR(VLOOKUP($A133,SP_AcqTract_DB[],MATCH(X$2,SP_AcqTract_DB[#Headers],0),FALSE),"")</f>
        <v>0</v>
      </c>
      <c r="Y133" s="237">
        <f>IFERROR(VLOOKUP($A133,SP_AcqTract_DB[],MATCH(Y$2,SP_AcqTract_DB[#Headers],0),FALSE),"")</f>
        <v>0</v>
      </c>
      <c r="Z133" s="229">
        <f>IFERROR(VLOOKUP($A133,SP_AcqTract_DB[],MATCH(Z$2,SP_AcqTract_DB[#Headers],0),FALSE),"")</f>
        <v>0</v>
      </c>
      <c r="AA133" s="229">
        <f>IFERROR(VLOOKUP($A133,SP_AcqTract_DB[],MATCH(AA$2,SP_AcqTract_DB[#Headers],0),FALSE),"")</f>
        <v>0</v>
      </c>
      <c r="AB133" s="250" t="str">
        <f>IFERROR(IF(VLOOKUP(CONCATENATE($A133,"_",AB$1),SP_ACQ_Lib[],MATCH(AB$2,SP_ACQ_Lib[#Headers],0),FALSE)=0,"",VLOOKUP(CONCATENATE($A133,"_",AB$1),SP_ACQ_Lib[],MATCH(AB$2,SP_ACQ_Lib[#Headers],0),FALSE)),"")</f>
        <v/>
      </c>
      <c r="AC133" s="250" t="str">
        <f>IFERROR(IF(VLOOKUP(CONCATENATE($A133,"_",AC$1),SP_ACQ_Lib[],MATCH(AC$2,SP_ACQ_Lib[#Headers],0),FALSE)=0,"",VLOOKUP(CONCATENATE($A133,"_",AC$1),SP_ACQ_Lib[],MATCH(AC$2,SP_ACQ_Lib[#Headers],0),FALSE)),"")</f>
        <v/>
      </c>
      <c r="AD133" s="229">
        <f>IFERROR(VLOOKUP($A133,SP_AcqTract_DB[],MATCH(AD$2,SP_AcqTract_DB[#Headers],0),FALSE),"")</f>
        <v>0</v>
      </c>
      <c r="AE133" s="250" t="str">
        <f>IFERROR(IF(VLOOKUP(CONCATENATE($A133,"_",AE$1),SP_ACQ_Lib[],MATCH(AE$2,SP_ACQ_Lib[#Headers],0),FALSE)=0,"",VLOOKUP(CONCATENATE($A133,"_",AE$1),SP_ACQ_Lib[],MATCH(AE$2,SP_ACQ_Lib[#Headers],0),FALSE)),"")</f>
        <v/>
      </c>
      <c r="AF133" s="250" t="str">
        <f>IFERROR(IF(VLOOKUP(CONCATENATE($A133,"_",AF$1),SP_ACQ_Lib[],MATCH(AF$2,SP_ACQ_Lib[#Headers],0),FALSE)=0,"",VLOOKUP(CONCATENATE($A133,"_",AF$1),SP_ACQ_Lib[],MATCH(AF$2,SP_ACQ_Lib[#Headers],0),FALSE)),"")</f>
        <v/>
      </c>
      <c r="AG133" s="250" t="str">
        <f>IFERROR(IF(VLOOKUP(CONCATENATE($A133,"_",AG$1),SP_ACQ_Lib[],MATCH(AG$2,SP_ACQ_Lib[#Headers],0),FALSE)=0,"",VLOOKUP(CONCATENATE($A133,"_",AG$1),SP_ACQ_Lib[],MATCH(AG$2,SP_ACQ_Lib[#Headers],0),FALSE)),"")</f>
        <v/>
      </c>
      <c r="AH133" s="250" t="str">
        <f>IFERROR(IF(VLOOKUP(CONCATENATE($A133,"_",AH$1),SP_ACQ_Lib[],MATCH(AH$2,SP_ACQ_Lib[#Headers],0),FALSE)=0,"",VLOOKUP(CONCATENATE($A133,"_",AH$1),SP_ACQ_Lib[],MATCH(AH$2,SP_ACQ_Lib[#Headers],0),FALSE)),"")</f>
        <v/>
      </c>
      <c r="AI133" s="249" t="str">
        <f>IFERROR(IF(VLOOKUP(CONCATENATE($A133,"_",AI$1),SP_ACQ_Lib[],MATCH(AI$2,SP_ACQ_Lib[#Headers],0),FALSE)=0,"",VLOOKUP(CONCATENATE($A133,"_",AI$1),SP_ACQ_Lib[],MATCH(AI$2,SP_ACQ_Lib[#Headers],0),FALSE)),"")</f>
        <v/>
      </c>
      <c r="AJ133" s="249" t="str">
        <f>IFERROR(IF(VLOOKUP(CONCATENATE($A133,"_",AJ$1),SP_ACQ_Lib[],MATCH(AJ$2,SP_ACQ_Lib[#Headers],0),FALSE)=0,"",VLOOKUP(CONCATENATE($A133,"_",AJ$1),SP_ACQ_Lib[],MATCH(AJ$2,SP_ACQ_Lib[#Headers],0),FALSE)),"")</f>
        <v/>
      </c>
      <c r="AK133" s="249" t="str">
        <f>IFERROR(IF(VLOOKUP(CONCATENATE($A133,"_",AK$1),SP_ACQ_Lib[],MATCH(AK$2,SP_ACQ_Lib[#Headers],0),FALSE)=0,"",VLOOKUP(CONCATENATE($A133,"_",AK$1),SP_ACQ_Lib[],MATCH(AK$2,SP_ACQ_Lib[#Headers],0),FALSE)),"")</f>
        <v/>
      </c>
      <c r="AL133" s="249">
        <f>IFERROR(VLOOKUP($A133,SP_AcqTract_DB[],MATCH(AL$2,SP_AcqTract_DB[#Headers],0),FALSE),"")</f>
        <v>0</v>
      </c>
      <c r="AM133" s="227">
        <f>IFERROR(VLOOKUP($A133,SP_AcqTract_DB[],MATCH(AM$2,SP_AcqTract_DB[#Headers],0),FALSE),"")</f>
        <v>0</v>
      </c>
      <c r="AN133" s="227">
        <f>IFERROR(VLOOKUP($A133,SP_AcqTract_DB[],MATCH(AN$2,SP_AcqTract_DB[#Headers],0),FALSE),"")</f>
        <v>0</v>
      </c>
      <c r="AO133" s="228">
        <f>IFERROR(VLOOKUP($A133,SP_AcqTract_DB[],MATCH(AO$2,SP_AcqTract_DB[#Headers],0),FALSE),"")</f>
        <v>0</v>
      </c>
      <c r="AP133" s="210" t="str">
        <f>IFERROR(VLOOKUP($A133,SP_AcqTract_DB[],MATCH(AP$2,SP_AcqTract_DB[#Headers],0),FALSE),"")</f>
        <v>A</v>
      </c>
      <c r="AQ133" s="252" t="str">
        <f>IFERROR(IF(VLOOKUP(CONCATENATE($A133,"_",AQ$1),SP_ACQ_Lib[],MATCH(AQ$2,SP_ACQ_Lib[#Headers],0),FALSE)=0,"",VLOOKUP(CONCATENATE($A133,"_",AQ$1),SP_ACQ_Lib[],MATCH(AQ$2,SP_ACQ_Lib[#Headers],0),FALSE)),"")</f>
        <v/>
      </c>
      <c r="AR133" s="250" t="str">
        <f>IFERROR(IF(VLOOKUP(CONCATENATE($A133,"_",AR$1),SP_ACQ_Lib[],MATCH(AR$2,SP_ACQ_Lib[#Headers],0),FALSE)=0,"",VLOOKUP(CONCATENATE($A133,"_",AR$1),SP_ACQ_Lib[],MATCH(AR$2,SP_ACQ_Lib[#Headers],0),FALSE)),"")</f>
        <v/>
      </c>
      <c r="AS133" s="249" t="str">
        <f>IFERROR(IF(VLOOKUP(CONCATENATE($A133,"_",AS$1),SP_ACQ_Lib[],MATCH(AS$2,SP_ACQ_Lib[#Headers],0),FALSE)=0,"",VLOOKUP(CONCATENATE($A133,"_",AS$1),SP_ACQ_Lib[],MATCH(AS$2,SP_ACQ_Lib[#Headers],0),FALSE)),"")</f>
        <v/>
      </c>
      <c r="AT133" s="251" t="str">
        <f>IFERROR(IF(VLOOKUP(CONCATENATE($A133,"_",AT$1),SP_ACQ_Lib[],MATCH(AT$2,SP_ACQ_Lib[#Headers],0),FALSE)=0,"",VLOOKUP(CONCATENATE($A133,"_",AT$1),SP_ACQ_Lib[],MATCH(AT$2,SP_ACQ_Lib[#Headers],0),FALSE)),"")</f>
        <v/>
      </c>
      <c r="AU133" s="251" t="str">
        <f>IFERROR(IF(VLOOKUP(CONCATENATE($A133,"_",AU$1),SP_ACQ_Lib[],MATCH(AU$2,SP_ACQ_Lib[#Headers],0),FALSE)=0,"",VLOOKUP(CONCATENATE($A133,"_",AU$1),SP_ACQ_Lib[],MATCH(AU$2,SP_ACQ_Lib[#Headers],0),FALSE)),"")</f>
        <v/>
      </c>
      <c r="AV133" s="225" t="str">
        <f>IFERROR(IF(VLOOKUP(CONCATENATE($A133,"_",AV$1),SP_ACQ_Lib[],MATCH(AV$2,SP_ACQ_Lib[#Headers],0),FALSE)=0,"",VLOOKUP(CONCATENATE($A133,"_",AV$1),SP_ACQ_Lib[],MATCH(AV$2,SP_ACQ_Lib[#Headers],0),FALSE)),"")</f>
        <v/>
      </c>
      <c r="AW133" s="251" t="str">
        <f>IFERROR(IF(VLOOKUP(CONCATENATE($A133,"_",AW$1),SP_ACQ_Lib[],MATCH(AW$2,SP_ACQ_Lib[#Headers],0),FALSE)=0,"",VLOOKUP(CONCATENATE($A133,"_",AW$1),SP_ACQ_Lib[],MATCH(AW$2,SP_ACQ_Lib[#Headers],0),FALSE)),"")</f>
        <v/>
      </c>
      <c r="AX133" s="251" t="str">
        <f>IFERROR(IF(VLOOKUP(CONCATENATE($A133,"_",AX$1),SP_ACQ_Lib[],MATCH(AX$2,SP_ACQ_Lib[#Headers],0),FALSE)=0,"",VLOOKUP(CONCATENATE($A133,"_",AX$1),SP_ACQ_Lib[],MATCH(AX$2,SP_ACQ_Lib[#Headers],0),FALSE)),"")</f>
        <v/>
      </c>
      <c r="AY133" s="251" t="str">
        <f>IFERROR(IF(VLOOKUP(CONCATENATE($A133,"_",AY$1),SP_ACQ_Lib[],MATCH(AY$2,SP_ACQ_Lib[#Headers],0),FALSE)=0,"",VLOOKUP(CONCATENATE($A133,"_",AY$1),SP_ACQ_Lib[],MATCH(AY$2,SP_ACQ_Lib[#Headers],0),FALSE)),"")</f>
        <v/>
      </c>
      <c r="AZ133" s="251" t="str">
        <f>IFERROR(IF(VLOOKUP(CONCATENATE($A133,"_",AZ$1),SP_ACQ_Lib[],MATCH(AZ$2,SP_ACQ_Lib[#Headers],0),FALSE)=0,"",VLOOKUP(CONCATENATE($A133,"_",AZ$1),SP_ACQ_Lib[],MATCH(AZ$2,SP_ACQ_Lib[#Headers],0),FALSE)),"")</f>
        <v/>
      </c>
      <c r="BA133" s="251" t="str">
        <f>IFERROR(IF(VLOOKUP(CONCATENATE($A133,"_",BA$1),SP_ACQ_Lib[],MATCH(BA$2,SP_ACQ_Lib[#Headers],0),FALSE)=0,"",VLOOKUP(CONCATENATE($A133,"_",BA$1),SP_ACQ_Lib[],MATCH(BA$2,SP_ACQ_Lib[#Headers],0),FALSE)),"")</f>
        <v/>
      </c>
      <c r="BB133" s="224">
        <f>IFERROR(VLOOKUP(CONCATENATE($A133,"_",BB$1),SP_ACQ_Lib[],MATCH(BB$2,SP_ACQ_Lib[#Headers],0),FALSE),0)</f>
        <v>0</v>
      </c>
      <c r="BC133" s="231">
        <f>IFERROR(VLOOKUP($A133,SP_AcqTract_DB[],MATCH(BC$2,SP_AcqTract_DB[#Headers],0),FALSE),"")</f>
        <v>0</v>
      </c>
      <c r="BD133" s="231">
        <f>IFERROR(VLOOKUP($A133,SP_AcqTract_DB[],MATCH(BD$2,SP_AcqTract_DB[#Headers],0),FALSE),"")</f>
        <v>0</v>
      </c>
      <c r="BE133" s="249" t="str">
        <f>IFERROR(IF(VLOOKUP(CONCATENATE($A133,"_",BE$1),SP_ACQ_Lib[],MATCH(BE$2,SP_ACQ_Lib[#Headers],0),FALSE)=0,"",VLOOKUP(CONCATENATE($A133,"_",BE$1),SP_ACQ_Lib[],MATCH(BE$2,SP_ACQ_Lib[#Headers],0),FALSE)),"")</f>
        <v/>
      </c>
      <c r="BF133" s="249" t="str">
        <f>IFERROR(IF(VLOOKUP(CONCATENATE($A133,"_",BF$1),SP_ACQ_Lib[],MATCH(BF$2,SP_ACQ_Lib[#Headers],0),FALSE)=0,"",VLOOKUP(CONCATENATE($A133,"_",BF$1),SP_ACQ_Lib[],MATCH(BF$2,SP_ACQ_Lib[#Headers],0),FALSE)),"")</f>
        <v/>
      </c>
      <c r="BG133" s="249" t="str">
        <f>IFERROR(IF(VLOOKUP(CONCATENATE($A133,"_",BG$1),SP_ACQ_Lib[],MATCH(BG$2,SP_ACQ_Lib[#Headers],0),FALSE)=0,"",VLOOKUP(CONCATENATE($A133,"_",BG$1),SP_ACQ_Lib[],MATCH(BG$2,SP_ACQ_Lib[#Headers],0),FALSE)),"")</f>
        <v/>
      </c>
      <c r="BH133" s="249" t="str">
        <f>IFERROR(IF(VLOOKUP(CONCATENATE($A133,"_",BH$1),SP_ACQ_Lib[],MATCH(BH$2,SP_ACQ_Lib[#Headers],0),FALSE)=0,"",VLOOKUP(CONCATENATE($A133,"_",BH$1),SP_ACQ_Lib[],MATCH(BH$2,SP_ACQ_Lib[#Headers],0),FALSE)),"")</f>
        <v/>
      </c>
      <c r="BI133" s="249" t="str">
        <f>IFERROR(IF(VLOOKUP(CONCATENATE($A133,"_",BI$1),SP_ACQ_Lib[],MATCH(BI$2,SP_ACQ_Lib[#Headers],0),FALSE)=0,"",VLOOKUP(CONCATENATE($A133,"_",BI$1),SP_ACQ_Lib[],MATCH(BI$2,SP_ACQ_Lib[#Headers],0),FALSE)),"")</f>
        <v/>
      </c>
      <c r="BJ133" s="249" t="str">
        <f>IFERROR(IF(VLOOKUP(CONCATENATE($A133,"_",BJ$1),SP_ACQ_Lib[],MATCH(BJ$2,SP_ACQ_Lib[#Headers],0),FALSE)=0,"",VLOOKUP(CONCATENATE($A133,"_",BJ$1),SP_ACQ_Lib[],MATCH(BJ$2,SP_ACQ_Lib[#Headers],0),FALSE)),"")</f>
        <v/>
      </c>
      <c r="BK133" s="250" t="str">
        <f>IFERROR(IF(VLOOKUP(CONCATENATE($A133,"_",BK$1),SP_ACQ_Lib[],MATCH(BK$2,SP_ACQ_Lib[#Headers],0),FALSE)=0,"",VLOOKUP(CONCATENATE($A133,"_",BK$1),SP_ACQ_Lib[],MATCH(BK$2,SP_ACQ_Lib[#Headers],0),FALSE)),"")</f>
        <v/>
      </c>
      <c r="BL133" s="249" t="str">
        <f>IFERROR(IF(VLOOKUP(CONCATENATE($A133,"_",BL$1),SP_ACQ_Lib[],MATCH(BL$2,SP_ACQ_Lib[#Headers],0),FALSE)=0,"",VLOOKUP(CONCATENATE($A133,"_",BL$1),SP_ACQ_Lib[],MATCH(BL$2,SP_ACQ_Lib[#Headers],0),FALSE)),"")</f>
        <v/>
      </c>
      <c r="BM133" s="249" t="str">
        <f>IFERROR(IF(VLOOKUP(CONCATENATE($A133,"_",BM$1),SP_ACQ_Lib[],MATCH(BM$2,SP_ACQ_Lib[#Headers],0),FALSE)=0,"",VLOOKUP(CONCATENATE($A133,"_",BM$1),SP_ACQ_Lib[],MATCH(BM$2,SP_ACQ_Lib[#Headers],0),FALSE)),"")</f>
        <v/>
      </c>
      <c r="BN133" s="249" t="str">
        <f>IFERROR(IF(VLOOKUP(CONCATENATE($A133,"_",BN$1),SP_ACQ_Lib[],MATCH(BN$2,SP_ACQ_Lib[#Headers],0),FALSE)=0,"",VLOOKUP(CONCATENATE($A133,"_",BN$1),SP_ACQ_Lib[],MATCH(BN$2,SP_ACQ_Lib[#Headers],0),FALSE)),"")</f>
        <v/>
      </c>
    </row>
    <row r="134" spans="1:66" s="226" customFormat="1" ht="38.25" x14ac:dyDescent="0.2">
      <c r="A134" s="192" t="s">
        <v>5383</v>
      </c>
      <c r="B134" s="227" t="str">
        <f>IFERROR(VLOOKUP($A134,SP_AcqTract_DB[],MATCH(B$2,SP_AcqTract_DB[#Headers],0),FALSE),"")</f>
        <v>Ro68875</v>
      </c>
      <c r="C134" s="228" t="str">
        <f>IFERROR(VLOOKUP($A134,SP_AcqTract_DB[],MATCH(C$2,SP_AcqTract_DB[#Headers],0),FALSE),"")</f>
        <v>PH2</v>
      </c>
      <c r="D134" s="208" t="str">
        <f>IFERROR(VLOOKUP($A134,SP_AcqTract_DB[],MATCH(D$2,SP_AcqTract_DB[#Headers],0),FALSE),"")</f>
        <v>Active</v>
      </c>
      <c r="E134" s="208">
        <f>IFERROR(VLOOKUP($A134,SP_AcqTract_DB[],MATCH(E$2,SP_AcqTract_DB[#Headers],0),FALSE),"")</f>
        <v>0</v>
      </c>
      <c r="F134" s="227">
        <f>IFERROR(VLOOKUP($A134,SP_AcqTract_DB[],MATCH(F$2,SP_AcqTract_DB[#Headers],0),FALSE),"")</f>
        <v>0</v>
      </c>
      <c r="G134" s="227">
        <f>IFERROR(VLOOKUP($A134,SP_AcqTract_DB[],MATCH(G$2,SP_AcqTract_DB[#Headers],0),FALSE),"")</f>
        <v>0</v>
      </c>
      <c r="H134" s="250" t="str">
        <f>IFERROR(IF(VLOOKUP(CONCATENATE($A134,"_",H$1),SP_ACQ_Lib[],MATCH(H$2,SP_ACQ_Lib[#Headers],0),FALSE)=0,"",VLOOKUP(CONCATENATE($A134,"_",H$1),SP_ACQ_Lib[],MATCH(H$2,SP_ACQ_Lib[#Headers],0),FALSE)),"")</f>
        <v/>
      </c>
      <c r="I134" s="227" t="str">
        <f>IFERROR(VLOOKUP($A134,SP_AcqTract_DB[],MATCH(I$2,SP_AcqTract_DB[#Headers],0),FALSE),"")</f>
        <v>Lloyd Rust Family Limited Partnership &amp; Rust TMLLC % Rosemary Rust</v>
      </c>
      <c r="J134" s="227">
        <f>IFERROR(VLOOKUP($A134,SP_AcqTract_DB[],MATCH(J$2,SP_AcqTract_DB[#Headers],0),FALSE),"")</f>
        <v>0</v>
      </c>
      <c r="K134" s="227">
        <f>IFERROR(VLOOKUP($A134,SP_AcqTract_DB[],MATCH(K$2,SP_AcqTract_DB[#Headers],0),FALSE),"")</f>
        <v>0</v>
      </c>
      <c r="L134" s="227">
        <f>IFERROR(VLOOKUP($A134,SP_AcqTract_DB[],MATCH(L$2,SP_AcqTract_DB[#Headers],0),FALSE),"")</f>
        <v>0</v>
      </c>
      <c r="M134" s="208">
        <f>IFERROR(VLOOKUP($A134,SP_AcqTract_DB[],MATCH(M$2,SP_AcqTract_DB[#Headers],0),FALSE),"")</f>
        <v>0</v>
      </c>
      <c r="N134" s="227" t="str">
        <f>IFERROR(VLOOKUP($A134,SP_AcqTract_DB[],MATCH(N$2,SP_AcqTract_DB[#Headers],0),FALSE),"")</f>
        <v>FM 102</v>
      </c>
      <c r="O134" s="220">
        <f>IFERROR(VLOOKUP($A134,SP_AcqTract_DB[],MATCH(O$2,SP_AcqTract_DB[#Headers],0),FALSE),"")</f>
        <v>0</v>
      </c>
      <c r="P134" s="220">
        <f>IFERROR(VLOOKUP($A134,SP_AcqTract_DB[],MATCH(P$2,SP_AcqTract_DB[#Headers],0),FALSE),"")</f>
        <v>0</v>
      </c>
      <c r="Q134" s="208">
        <f>IFERROR(VLOOKUP($A134,SP_AcqTract_DB[],MATCH(Q$2,SP_AcqTract_DB[#Headers],0),FALSE),"")</f>
        <v>0</v>
      </c>
      <c r="R134" s="250" t="str">
        <f>IFERROR(IF(VLOOKUP(CONCATENATE($A134,"_",R$1),SP_ACQ_Lib[],MATCH(R$2,SP_ACQ_Lib[#Headers],0),FALSE)=0,"",VLOOKUP(CONCATENATE($A134,"_",R$1),SP_ACQ_Lib[],MATCH(R$2,SP_ACQ_Lib[#Headers],0),FALSE)),"")</f>
        <v/>
      </c>
      <c r="S134" s="253" t="str">
        <f>IFERROR(IF(VLOOKUP(CONCATENATE($A134,"_",S$1),SP_ACQ_Lib[],MATCH(S$2,SP_ACQ_Lib[#Headers],0),FALSE)=0,"",VLOOKUP(CONCATENATE($A134,"_",S$1),SP_ACQ_Lib[],MATCH(S$2,SP_ACQ_Lib[#Headers],0),FALSE)),"")</f>
        <v/>
      </c>
      <c r="T134" s="205">
        <f>IFERROR(VLOOKUP(CONCATENATE($A134,"_",T$1),SP_ACQ_Lib[],MATCH(T$2,SP_ACQ_Lib[#Headers],0),FALSE),0)</f>
        <v>0</v>
      </c>
      <c r="U134" s="250" t="str">
        <f>IFERROR(IF(VLOOKUP(CONCATENATE($A134,"_",U$1),SP_ACQ_Lib[],MATCH(U$2,SP_ACQ_Lib[#Headers],0),FALSE)=0,"",VLOOKUP(CONCATENATE($A134,"_",U$1),SP_ACQ_Lib[],MATCH(U$2,SP_ACQ_Lib[#Headers],0),FALSE)),"")</f>
        <v/>
      </c>
      <c r="V134" s="205">
        <f>IFERROR(VLOOKUP(CONCATENATE($A134,"_",V$1),SP_ACQ_Lib[],MATCH(V$2,SP_ACQ_Lib[#Headers],0),FALSE),0)</f>
        <v>0</v>
      </c>
      <c r="W134" s="209">
        <f>IFERROR(VLOOKUP(CONCATENATE($A134,"_",W$1),SP_ACQ_Lib[],MATCH(W$2,SP_ACQ_Lib[#Headers],0),FALSE),0)</f>
        <v>0</v>
      </c>
      <c r="X134" s="250">
        <f>IFERROR(VLOOKUP($A134,SP_AcqTract_DB[],MATCH(X$2,SP_AcqTract_DB[#Headers],0),FALSE),"")</f>
        <v>0</v>
      </c>
      <c r="Y134" s="237">
        <f>IFERROR(VLOOKUP($A134,SP_AcqTract_DB[],MATCH(Y$2,SP_AcqTract_DB[#Headers],0),FALSE),"")</f>
        <v>0</v>
      </c>
      <c r="Z134" s="229">
        <f>IFERROR(VLOOKUP($A134,SP_AcqTract_DB[],MATCH(Z$2,SP_AcqTract_DB[#Headers],0),FALSE),"")</f>
        <v>0</v>
      </c>
      <c r="AA134" s="229">
        <f>IFERROR(VLOOKUP($A134,SP_AcqTract_DB[],MATCH(AA$2,SP_AcqTract_DB[#Headers],0),FALSE),"")</f>
        <v>0</v>
      </c>
      <c r="AB134" s="250" t="str">
        <f>IFERROR(IF(VLOOKUP(CONCATENATE($A134,"_",AB$1),SP_ACQ_Lib[],MATCH(AB$2,SP_ACQ_Lib[#Headers],0),FALSE)=0,"",VLOOKUP(CONCATENATE($A134,"_",AB$1),SP_ACQ_Lib[],MATCH(AB$2,SP_ACQ_Lib[#Headers],0),FALSE)),"")</f>
        <v/>
      </c>
      <c r="AC134" s="250" t="str">
        <f>IFERROR(IF(VLOOKUP(CONCATENATE($A134,"_",AC$1),SP_ACQ_Lib[],MATCH(AC$2,SP_ACQ_Lib[#Headers],0),FALSE)=0,"",VLOOKUP(CONCATENATE($A134,"_",AC$1),SP_ACQ_Lib[],MATCH(AC$2,SP_ACQ_Lib[#Headers],0),FALSE)),"")</f>
        <v/>
      </c>
      <c r="AD134" s="229">
        <f>IFERROR(VLOOKUP($A134,SP_AcqTract_DB[],MATCH(AD$2,SP_AcqTract_DB[#Headers],0),FALSE),"")</f>
        <v>0</v>
      </c>
      <c r="AE134" s="250" t="str">
        <f>IFERROR(IF(VLOOKUP(CONCATENATE($A134,"_",AE$1),SP_ACQ_Lib[],MATCH(AE$2,SP_ACQ_Lib[#Headers],0),FALSE)=0,"",VLOOKUP(CONCATENATE($A134,"_",AE$1),SP_ACQ_Lib[],MATCH(AE$2,SP_ACQ_Lib[#Headers],0),FALSE)),"")</f>
        <v/>
      </c>
      <c r="AF134" s="250" t="str">
        <f>IFERROR(IF(VLOOKUP(CONCATENATE($A134,"_",AF$1),SP_ACQ_Lib[],MATCH(AF$2,SP_ACQ_Lib[#Headers],0),FALSE)=0,"",VLOOKUP(CONCATENATE($A134,"_",AF$1),SP_ACQ_Lib[],MATCH(AF$2,SP_ACQ_Lib[#Headers],0),FALSE)),"")</f>
        <v/>
      </c>
      <c r="AG134" s="250" t="str">
        <f>IFERROR(IF(VLOOKUP(CONCATENATE($A134,"_",AG$1),SP_ACQ_Lib[],MATCH(AG$2,SP_ACQ_Lib[#Headers],0),FALSE)=0,"",VLOOKUP(CONCATENATE($A134,"_",AG$1),SP_ACQ_Lib[],MATCH(AG$2,SP_ACQ_Lib[#Headers],0),FALSE)),"")</f>
        <v/>
      </c>
      <c r="AH134" s="250" t="str">
        <f>IFERROR(IF(VLOOKUP(CONCATENATE($A134,"_",AH$1),SP_ACQ_Lib[],MATCH(AH$2,SP_ACQ_Lib[#Headers],0),FALSE)=0,"",VLOOKUP(CONCATENATE($A134,"_",AH$1),SP_ACQ_Lib[],MATCH(AH$2,SP_ACQ_Lib[#Headers],0),FALSE)),"")</f>
        <v/>
      </c>
      <c r="AI134" s="249" t="str">
        <f>IFERROR(IF(VLOOKUP(CONCATENATE($A134,"_",AI$1),SP_ACQ_Lib[],MATCH(AI$2,SP_ACQ_Lib[#Headers],0),FALSE)=0,"",VLOOKUP(CONCATENATE($A134,"_",AI$1),SP_ACQ_Lib[],MATCH(AI$2,SP_ACQ_Lib[#Headers],0),FALSE)),"")</f>
        <v/>
      </c>
      <c r="AJ134" s="249">
        <f>IFERROR(IF(VLOOKUP(CONCATENATE($A134,"_",AJ$1),SP_ACQ_Lib[],MATCH(AJ$2,SP_ACQ_Lib[#Headers],0),FALSE)=0,"",VLOOKUP(CONCATENATE($A134,"_",AJ$1),SP_ACQ_Lib[],MATCH(AJ$2,SP_ACQ_Lib[#Headers],0),FALSE)),"")</f>
        <v>43600</v>
      </c>
      <c r="AK134" s="249">
        <f>IFERROR(IF(VLOOKUP(CONCATENATE($A134,"_",AK$1),SP_ACQ_Lib[],MATCH(AK$2,SP_ACQ_Lib[#Headers],0),FALSE)=0,"",VLOOKUP(CONCATENATE($A134,"_",AK$1),SP_ACQ_Lib[],MATCH(AK$2,SP_ACQ_Lib[#Headers],0),FALSE)),"")</f>
        <v>44168</v>
      </c>
      <c r="AL134" s="249">
        <f>IFERROR(VLOOKUP($A134,SP_AcqTract_DB[],MATCH(AL$2,SP_AcqTract_DB[#Headers],0),FALSE),"")</f>
        <v>0</v>
      </c>
      <c r="AM134" s="227">
        <f>IFERROR(VLOOKUP($A134,SP_AcqTract_DB[],MATCH(AM$2,SP_AcqTract_DB[#Headers],0),FALSE),"")</f>
        <v>0</v>
      </c>
      <c r="AN134" s="227">
        <f>IFERROR(VLOOKUP($A134,SP_AcqTract_DB[],MATCH(AN$2,SP_AcqTract_DB[#Headers],0),FALSE),"")</f>
        <v>0</v>
      </c>
      <c r="AO134" s="228">
        <f>IFERROR(VLOOKUP($A134,SP_AcqTract_DB[],MATCH(AO$2,SP_AcqTract_DB[#Headers],0),FALSE),"")</f>
        <v>0</v>
      </c>
      <c r="AP134" s="210">
        <f>IFERROR(VLOOKUP($A134,SP_AcqTract_DB[],MATCH(AP$2,SP_AcqTract_DB[#Headers],0),FALSE),"")</f>
        <v>0</v>
      </c>
      <c r="AQ134" s="252" t="str">
        <f>IFERROR(IF(VLOOKUP(CONCATENATE($A134,"_",AQ$1),SP_ACQ_Lib[],MATCH(AQ$2,SP_ACQ_Lib[#Headers],0),FALSE)=0,"",VLOOKUP(CONCATENATE($A134,"_",AQ$1),SP_ACQ_Lib[],MATCH(AQ$2,SP_ACQ_Lib[#Headers],0),FALSE)),"")</f>
        <v/>
      </c>
      <c r="AR134" s="250" t="str">
        <f>IFERROR(IF(VLOOKUP(CONCATENATE($A134,"_",AR$1),SP_ACQ_Lib[],MATCH(AR$2,SP_ACQ_Lib[#Headers],0),FALSE)=0,"",VLOOKUP(CONCATENATE($A134,"_",AR$1),SP_ACQ_Lib[],MATCH(AR$2,SP_ACQ_Lib[#Headers],0),FALSE)),"")</f>
        <v/>
      </c>
      <c r="AS134" s="249" t="str">
        <f>IFERROR(IF(VLOOKUP(CONCATENATE($A134,"_",AS$1),SP_ACQ_Lib[],MATCH(AS$2,SP_ACQ_Lib[#Headers],0),FALSE)=0,"",VLOOKUP(CONCATENATE($A134,"_",AS$1),SP_ACQ_Lib[],MATCH(AS$2,SP_ACQ_Lib[#Headers],0),FALSE)),"")</f>
        <v/>
      </c>
      <c r="AT134" s="251" t="str">
        <f>IFERROR(IF(VLOOKUP(CONCATENATE($A134,"_",AT$1),SP_ACQ_Lib[],MATCH(AT$2,SP_ACQ_Lib[#Headers],0),FALSE)=0,"",VLOOKUP(CONCATENATE($A134,"_",AT$1),SP_ACQ_Lib[],MATCH(AT$2,SP_ACQ_Lib[#Headers],0),FALSE)),"")</f>
        <v/>
      </c>
      <c r="AU134" s="251" t="str">
        <f>IFERROR(IF(VLOOKUP(CONCATENATE($A134,"_",AU$1),SP_ACQ_Lib[],MATCH(AU$2,SP_ACQ_Lib[#Headers],0),FALSE)=0,"",VLOOKUP(CONCATENATE($A134,"_",AU$1),SP_ACQ_Lib[],MATCH(AU$2,SP_ACQ_Lib[#Headers],0),FALSE)),"")</f>
        <v/>
      </c>
      <c r="AV134" s="225" t="str">
        <f>IFERROR(IF(VLOOKUP(CONCATENATE($A134,"_",AV$1),SP_ACQ_Lib[],MATCH(AV$2,SP_ACQ_Lib[#Headers],0),FALSE)=0,"",VLOOKUP(CONCATENATE($A134,"_",AV$1),SP_ACQ_Lib[],MATCH(AV$2,SP_ACQ_Lib[#Headers],0),FALSE)),"")</f>
        <v/>
      </c>
      <c r="AW134" s="251" t="str">
        <f>IFERROR(IF(VLOOKUP(CONCATENATE($A134,"_",AW$1),SP_ACQ_Lib[],MATCH(AW$2,SP_ACQ_Lib[#Headers],0),FALSE)=0,"",VLOOKUP(CONCATENATE($A134,"_",AW$1),SP_ACQ_Lib[],MATCH(AW$2,SP_ACQ_Lib[#Headers],0),FALSE)),"")</f>
        <v/>
      </c>
      <c r="AX134" s="251" t="str">
        <f>IFERROR(IF(VLOOKUP(CONCATENATE($A134,"_",AX$1),SP_ACQ_Lib[],MATCH(AX$2,SP_ACQ_Lib[#Headers],0),FALSE)=0,"",VLOOKUP(CONCATENATE($A134,"_",AX$1),SP_ACQ_Lib[],MATCH(AX$2,SP_ACQ_Lib[#Headers],0),FALSE)),"")</f>
        <v/>
      </c>
      <c r="AY134" s="251" t="str">
        <f>IFERROR(IF(VLOOKUP(CONCATENATE($A134,"_",AY$1),SP_ACQ_Lib[],MATCH(AY$2,SP_ACQ_Lib[#Headers],0),FALSE)=0,"",VLOOKUP(CONCATENATE($A134,"_",AY$1),SP_ACQ_Lib[],MATCH(AY$2,SP_ACQ_Lib[#Headers],0),FALSE)),"")</f>
        <v/>
      </c>
      <c r="AZ134" s="251" t="str">
        <f>IFERROR(IF(VLOOKUP(CONCATENATE($A134,"_",AZ$1),SP_ACQ_Lib[],MATCH(AZ$2,SP_ACQ_Lib[#Headers],0),FALSE)=0,"",VLOOKUP(CONCATENATE($A134,"_",AZ$1),SP_ACQ_Lib[],MATCH(AZ$2,SP_ACQ_Lib[#Headers],0),FALSE)),"")</f>
        <v/>
      </c>
      <c r="BA134" s="251" t="str">
        <f>IFERROR(IF(VLOOKUP(CONCATENATE($A134,"_",BA$1),SP_ACQ_Lib[],MATCH(BA$2,SP_ACQ_Lib[#Headers],0),FALSE)=0,"",VLOOKUP(CONCATENATE($A134,"_",BA$1),SP_ACQ_Lib[],MATCH(BA$2,SP_ACQ_Lib[#Headers],0),FALSE)),"")</f>
        <v/>
      </c>
      <c r="BB134" s="224">
        <f>IFERROR(VLOOKUP(CONCATENATE($A134,"_",BB$1),SP_ACQ_Lib[],MATCH(BB$2,SP_ACQ_Lib[#Headers],0),FALSE),0)</f>
        <v>0</v>
      </c>
      <c r="BC134" s="231">
        <f>IFERROR(VLOOKUP($A134,SP_AcqTract_DB[],MATCH(BC$2,SP_AcqTract_DB[#Headers],0),FALSE),"")</f>
        <v>0</v>
      </c>
      <c r="BD134" s="231">
        <f>IFERROR(VLOOKUP($A134,SP_AcqTract_DB[],MATCH(BD$2,SP_AcqTract_DB[#Headers],0),FALSE),"")</f>
        <v>0</v>
      </c>
      <c r="BE134" s="249" t="str">
        <f>IFERROR(IF(VLOOKUP(CONCATENATE($A134,"_",BE$1),SP_ACQ_Lib[],MATCH(BE$2,SP_ACQ_Lib[#Headers],0),FALSE)=0,"",VLOOKUP(CONCATENATE($A134,"_",BE$1),SP_ACQ_Lib[],MATCH(BE$2,SP_ACQ_Lib[#Headers],0),FALSE)),"")</f>
        <v/>
      </c>
      <c r="BF134" s="249" t="str">
        <f>IFERROR(IF(VLOOKUP(CONCATENATE($A134,"_",BF$1),SP_ACQ_Lib[],MATCH(BF$2,SP_ACQ_Lib[#Headers],0),FALSE)=0,"",VLOOKUP(CONCATENATE($A134,"_",BF$1),SP_ACQ_Lib[],MATCH(BF$2,SP_ACQ_Lib[#Headers],0),FALSE)),"")</f>
        <v/>
      </c>
      <c r="BG134" s="249" t="str">
        <f>IFERROR(IF(VLOOKUP(CONCATENATE($A134,"_",BG$1),SP_ACQ_Lib[],MATCH(BG$2,SP_ACQ_Lib[#Headers],0),FALSE)=0,"",VLOOKUP(CONCATENATE($A134,"_",BG$1),SP_ACQ_Lib[],MATCH(BG$2,SP_ACQ_Lib[#Headers],0),FALSE)),"")</f>
        <v/>
      </c>
      <c r="BH134" s="249" t="str">
        <f>IFERROR(IF(VLOOKUP(CONCATENATE($A134,"_",BH$1),SP_ACQ_Lib[],MATCH(BH$2,SP_ACQ_Lib[#Headers],0),FALSE)=0,"",VLOOKUP(CONCATENATE($A134,"_",BH$1),SP_ACQ_Lib[],MATCH(BH$2,SP_ACQ_Lib[#Headers],0),FALSE)),"")</f>
        <v/>
      </c>
      <c r="BI134" s="249" t="str">
        <f>IFERROR(IF(VLOOKUP(CONCATENATE($A134,"_",BI$1),SP_ACQ_Lib[],MATCH(BI$2,SP_ACQ_Lib[#Headers],0),FALSE)=0,"",VLOOKUP(CONCATENATE($A134,"_",BI$1),SP_ACQ_Lib[],MATCH(BI$2,SP_ACQ_Lib[#Headers],0),FALSE)),"")</f>
        <v/>
      </c>
      <c r="BJ134" s="249" t="str">
        <f>IFERROR(IF(VLOOKUP(CONCATENATE($A134,"_",BJ$1),SP_ACQ_Lib[],MATCH(BJ$2,SP_ACQ_Lib[#Headers],0),FALSE)=0,"",VLOOKUP(CONCATENATE($A134,"_",BJ$1),SP_ACQ_Lib[],MATCH(BJ$2,SP_ACQ_Lib[#Headers],0),FALSE)),"")</f>
        <v/>
      </c>
      <c r="BK134" s="250" t="str">
        <f>IFERROR(IF(VLOOKUP(CONCATENATE($A134,"_",BK$1),SP_ACQ_Lib[],MATCH(BK$2,SP_ACQ_Lib[#Headers],0),FALSE)=0,"",VLOOKUP(CONCATENATE($A134,"_",BK$1),SP_ACQ_Lib[],MATCH(BK$2,SP_ACQ_Lib[#Headers],0),FALSE)),"")</f>
        <v/>
      </c>
      <c r="BL134" s="249" t="str">
        <f>IFERROR(IF(VLOOKUP(CONCATENATE($A134,"_",BL$1),SP_ACQ_Lib[],MATCH(BL$2,SP_ACQ_Lib[#Headers],0),FALSE)=0,"",VLOOKUP(CONCATENATE($A134,"_",BL$1),SP_ACQ_Lib[],MATCH(BL$2,SP_ACQ_Lib[#Headers],0),FALSE)),"")</f>
        <v/>
      </c>
      <c r="BM134" s="249" t="str">
        <f>IFERROR(IF(VLOOKUP(CONCATENATE($A134,"_",BM$1),SP_ACQ_Lib[],MATCH(BM$2,SP_ACQ_Lib[#Headers],0),FALSE)=0,"",VLOOKUP(CONCATENATE($A134,"_",BM$1),SP_ACQ_Lib[],MATCH(BM$2,SP_ACQ_Lib[#Headers],0),FALSE)),"")</f>
        <v/>
      </c>
      <c r="BN134" s="249" t="str">
        <f>IFERROR(IF(VLOOKUP(CONCATENATE($A134,"_",BN$1),SP_ACQ_Lib[],MATCH(BN$2,SP_ACQ_Lib[#Headers],0),FALSE)=0,"",VLOOKUP(CONCATENATE($A134,"_",BN$1),SP_ACQ_Lib[],MATCH(BN$2,SP_ACQ_Lib[#Headers],0),FALSE)),"")</f>
        <v/>
      </c>
    </row>
    <row r="135" spans="1:66" s="226" customFormat="1" ht="25.5" x14ac:dyDescent="0.2">
      <c r="A135" s="192" t="s">
        <v>5710</v>
      </c>
      <c r="B135" s="227" t="str">
        <f>IFERROR(VLOOKUP($A135,SP_AcqTract_DB[],MATCH(B$2,SP_AcqTract_DB[#Headers],0),FALSE),"")</f>
        <v>R068877</v>
      </c>
      <c r="C135" s="228" t="str">
        <f>IFERROR(VLOOKUP($A135,SP_AcqTract_DB[],MATCH(C$2,SP_AcqTract_DB[#Headers],0),FALSE),"")</f>
        <v>PH2</v>
      </c>
      <c r="D135" s="208" t="str">
        <f>IFERROR(VLOOKUP($A135,SP_AcqTract_DB[],MATCH(D$2,SP_AcqTract_DB[#Headers],0),FALSE),"")</f>
        <v>Active</v>
      </c>
      <c r="E135" s="208">
        <f>IFERROR(VLOOKUP($A135,SP_AcqTract_DB[],MATCH(E$2,SP_AcqTract_DB[#Headers],0),FALSE),"")</f>
        <v>0</v>
      </c>
      <c r="F135" s="227">
        <f>IFERROR(VLOOKUP($A135,SP_AcqTract_DB[],MATCH(F$2,SP_AcqTract_DB[#Headers],0),FALSE),"")</f>
        <v>0</v>
      </c>
      <c r="G135" s="227">
        <f>IFERROR(VLOOKUP($A135,SP_AcqTract_DB[],MATCH(G$2,SP_AcqTract_DB[#Headers],0),FALSE),"")</f>
        <v>0</v>
      </c>
      <c r="H135" s="250" t="str">
        <f>IFERROR(IF(VLOOKUP(CONCATENATE($A135,"_",H$1),SP_ACQ_Lib[],MATCH(H$2,SP_ACQ_Lib[#Headers],0),FALSE)=0,"",VLOOKUP(CONCATENATE($A135,"_",H$1),SP_ACQ_Lib[],MATCH(H$2,SP_ACQ_Lib[#Headers],0),FALSE)),"")</f>
        <v/>
      </c>
      <c r="I135" s="227" t="str">
        <f>IFERROR(VLOOKUP($A135,SP_AcqTract_DB[],MATCH(I$2,SP_AcqTract_DB[#Headers],0),FALSE),"")</f>
        <v>Rust Lloyd Family Lmt Prnshp &amp; Rust Tm Family LLC</v>
      </c>
      <c r="J135" s="227">
        <f>IFERROR(VLOOKUP($A135,SP_AcqTract_DB[],MATCH(J$2,SP_AcqTract_DB[#Headers],0),FALSE),"")</f>
        <v>0</v>
      </c>
      <c r="K135" s="227">
        <f>IFERROR(VLOOKUP($A135,SP_AcqTract_DB[],MATCH(K$2,SP_AcqTract_DB[#Headers],0),FALSE),"")</f>
        <v>0</v>
      </c>
      <c r="L135" s="227">
        <f>IFERROR(VLOOKUP($A135,SP_AcqTract_DB[],MATCH(L$2,SP_AcqTract_DB[#Headers],0),FALSE),"")</f>
        <v>0</v>
      </c>
      <c r="M135" s="208">
        <f>IFERROR(VLOOKUP($A135,SP_AcqTract_DB[],MATCH(M$2,SP_AcqTract_DB[#Headers],0),FALSE),"")</f>
        <v>0</v>
      </c>
      <c r="N135" s="227" t="str">
        <f>IFERROR(VLOOKUP($A135,SP_AcqTract_DB[],MATCH(N$2,SP_AcqTract_DB[#Headers],0),FALSE),"")</f>
        <v>0 HWY 59</v>
      </c>
      <c r="O135" s="220">
        <f>IFERROR(VLOOKUP($A135,SP_AcqTract_DB[],MATCH(O$2,SP_AcqTract_DB[#Headers],0),FALSE),"")</f>
        <v>0</v>
      </c>
      <c r="P135" s="220">
        <f>IFERROR(VLOOKUP($A135,SP_AcqTract_DB[],MATCH(P$2,SP_AcqTract_DB[#Headers],0),FALSE),"")</f>
        <v>0</v>
      </c>
      <c r="Q135" s="208">
        <f>IFERROR(VLOOKUP($A135,SP_AcqTract_DB[],MATCH(Q$2,SP_AcqTract_DB[#Headers],0),FALSE),"")</f>
        <v>0</v>
      </c>
      <c r="R135" s="250" t="str">
        <f>IFERROR(IF(VLOOKUP(CONCATENATE($A135,"_",R$1),SP_ACQ_Lib[],MATCH(R$2,SP_ACQ_Lib[#Headers],0),FALSE)=0,"",VLOOKUP(CONCATENATE($A135,"_",R$1),SP_ACQ_Lib[],MATCH(R$2,SP_ACQ_Lib[#Headers],0),FALSE)),"")</f>
        <v/>
      </c>
      <c r="S135" s="253" t="str">
        <f>IFERROR(IF(VLOOKUP(CONCATENATE($A135,"_",S$1),SP_ACQ_Lib[],MATCH(S$2,SP_ACQ_Lib[#Headers],0),FALSE)=0,"",VLOOKUP(CONCATENATE($A135,"_",S$1),SP_ACQ_Lib[],MATCH(S$2,SP_ACQ_Lib[#Headers],0),FALSE)),"")</f>
        <v/>
      </c>
      <c r="T135" s="205">
        <f>IFERROR(VLOOKUP(CONCATENATE($A135,"_",T$1),SP_ACQ_Lib[],MATCH(T$2,SP_ACQ_Lib[#Headers],0),FALSE),0)</f>
        <v>0</v>
      </c>
      <c r="U135" s="250" t="str">
        <f>IFERROR(IF(VLOOKUP(CONCATENATE($A135,"_",U$1),SP_ACQ_Lib[],MATCH(U$2,SP_ACQ_Lib[#Headers],0),FALSE)=0,"",VLOOKUP(CONCATENATE($A135,"_",U$1),SP_ACQ_Lib[],MATCH(U$2,SP_ACQ_Lib[#Headers],0),FALSE)),"")</f>
        <v/>
      </c>
      <c r="V135" s="205">
        <f>IFERROR(VLOOKUP(CONCATENATE($A135,"_",V$1),SP_ACQ_Lib[],MATCH(V$2,SP_ACQ_Lib[#Headers],0),FALSE),0)</f>
        <v>0</v>
      </c>
      <c r="W135" s="209">
        <f>IFERROR(VLOOKUP(CONCATENATE($A135,"_",W$1),SP_ACQ_Lib[],MATCH(W$2,SP_ACQ_Lib[#Headers],0),FALSE),0)</f>
        <v>0</v>
      </c>
      <c r="X135" s="250">
        <f>IFERROR(VLOOKUP($A135,SP_AcqTract_DB[],MATCH(X$2,SP_AcqTract_DB[#Headers],0),FALSE),"")</f>
        <v>0</v>
      </c>
      <c r="Y135" s="237">
        <f>IFERROR(VLOOKUP($A135,SP_AcqTract_DB[],MATCH(Y$2,SP_AcqTract_DB[#Headers],0),FALSE),"")</f>
        <v>0</v>
      </c>
      <c r="Z135" s="229">
        <f>IFERROR(VLOOKUP($A135,SP_AcqTract_DB[],MATCH(Z$2,SP_AcqTract_DB[#Headers],0),FALSE),"")</f>
        <v>0</v>
      </c>
      <c r="AA135" s="229">
        <f>IFERROR(VLOOKUP($A135,SP_AcqTract_DB[],MATCH(AA$2,SP_AcqTract_DB[#Headers],0),FALSE),"")</f>
        <v>0</v>
      </c>
      <c r="AB135" s="250" t="str">
        <f>IFERROR(IF(VLOOKUP(CONCATENATE($A135,"_",AB$1),SP_ACQ_Lib[],MATCH(AB$2,SP_ACQ_Lib[#Headers],0),FALSE)=0,"",VLOOKUP(CONCATENATE($A135,"_",AB$1),SP_ACQ_Lib[],MATCH(AB$2,SP_ACQ_Lib[#Headers],0),FALSE)),"")</f>
        <v/>
      </c>
      <c r="AC135" s="250" t="str">
        <f>IFERROR(IF(VLOOKUP(CONCATENATE($A135,"_",AC$1),SP_ACQ_Lib[],MATCH(AC$2,SP_ACQ_Lib[#Headers],0),FALSE)=0,"",VLOOKUP(CONCATENATE($A135,"_",AC$1),SP_ACQ_Lib[],MATCH(AC$2,SP_ACQ_Lib[#Headers],0),FALSE)),"")</f>
        <v/>
      </c>
      <c r="AD135" s="229">
        <f>IFERROR(VLOOKUP($A135,SP_AcqTract_DB[],MATCH(AD$2,SP_AcqTract_DB[#Headers],0),FALSE),"")</f>
        <v>0</v>
      </c>
      <c r="AE135" s="250" t="str">
        <f>IFERROR(IF(VLOOKUP(CONCATENATE($A135,"_",AE$1),SP_ACQ_Lib[],MATCH(AE$2,SP_ACQ_Lib[#Headers],0),FALSE)=0,"",VLOOKUP(CONCATENATE($A135,"_",AE$1),SP_ACQ_Lib[],MATCH(AE$2,SP_ACQ_Lib[#Headers],0),FALSE)),"")</f>
        <v/>
      </c>
      <c r="AF135" s="250" t="str">
        <f>IFERROR(IF(VLOOKUP(CONCATENATE($A135,"_",AF$1),SP_ACQ_Lib[],MATCH(AF$2,SP_ACQ_Lib[#Headers],0),FALSE)=0,"",VLOOKUP(CONCATENATE($A135,"_",AF$1),SP_ACQ_Lib[],MATCH(AF$2,SP_ACQ_Lib[#Headers],0),FALSE)),"")</f>
        <v/>
      </c>
      <c r="AG135" s="250" t="str">
        <f>IFERROR(IF(VLOOKUP(CONCATENATE($A135,"_",AG$1),SP_ACQ_Lib[],MATCH(AG$2,SP_ACQ_Lib[#Headers],0),FALSE)=0,"",VLOOKUP(CONCATENATE($A135,"_",AG$1),SP_ACQ_Lib[],MATCH(AG$2,SP_ACQ_Lib[#Headers],0),FALSE)),"")</f>
        <v/>
      </c>
      <c r="AH135" s="250" t="str">
        <f>IFERROR(IF(VLOOKUP(CONCATENATE($A135,"_",AH$1),SP_ACQ_Lib[],MATCH(AH$2,SP_ACQ_Lib[#Headers],0),FALSE)=0,"",VLOOKUP(CONCATENATE($A135,"_",AH$1),SP_ACQ_Lib[],MATCH(AH$2,SP_ACQ_Lib[#Headers],0),FALSE)),"")</f>
        <v/>
      </c>
      <c r="AI135" s="249" t="str">
        <f>IFERROR(IF(VLOOKUP(CONCATENATE($A135,"_",AI$1),SP_ACQ_Lib[],MATCH(AI$2,SP_ACQ_Lib[#Headers],0),FALSE)=0,"",VLOOKUP(CONCATENATE($A135,"_",AI$1),SP_ACQ_Lib[],MATCH(AI$2,SP_ACQ_Lib[#Headers],0),FALSE)),"")</f>
        <v/>
      </c>
      <c r="AJ135" s="249">
        <f>IFERROR(IF(VLOOKUP(CONCATENATE($A135,"_",AJ$1),SP_ACQ_Lib[],MATCH(AJ$2,SP_ACQ_Lib[#Headers],0),FALSE)=0,"",VLOOKUP(CONCATENATE($A135,"_",AJ$1),SP_ACQ_Lib[],MATCH(AJ$2,SP_ACQ_Lib[#Headers],0),FALSE)),"")</f>
        <v>43600</v>
      </c>
      <c r="AK135" s="249">
        <f>IFERROR(IF(VLOOKUP(CONCATENATE($A135,"_",AK$1),SP_ACQ_Lib[],MATCH(AK$2,SP_ACQ_Lib[#Headers],0),FALSE)=0,"",VLOOKUP(CONCATENATE($A135,"_",AK$1),SP_ACQ_Lib[],MATCH(AK$2,SP_ACQ_Lib[#Headers],0),FALSE)),"")</f>
        <v>44168</v>
      </c>
      <c r="AL135" s="249">
        <f>IFERROR(VLOOKUP($A135,SP_AcqTract_DB[],MATCH(AL$2,SP_AcqTract_DB[#Headers],0),FALSE),"")</f>
        <v>0</v>
      </c>
      <c r="AM135" s="227">
        <f>IFERROR(VLOOKUP($A135,SP_AcqTract_DB[],MATCH(AM$2,SP_AcqTract_DB[#Headers],0),FALSE),"")</f>
        <v>0</v>
      </c>
      <c r="AN135" s="227">
        <f>IFERROR(VLOOKUP($A135,SP_AcqTract_DB[],MATCH(AN$2,SP_AcqTract_DB[#Headers],0),FALSE),"")</f>
        <v>0</v>
      </c>
      <c r="AO135" s="228">
        <f>IFERROR(VLOOKUP($A135,SP_AcqTract_DB[],MATCH(AO$2,SP_AcqTract_DB[#Headers],0),FALSE),"")</f>
        <v>0</v>
      </c>
      <c r="AP135" s="210">
        <f>IFERROR(VLOOKUP($A135,SP_AcqTract_DB[],MATCH(AP$2,SP_AcqTract_DB[#Headers],0),FALSE),"")</f>
        <v>0</v>
      </c>
      <c r="AQ135" s="252" t="str">
        <f>IFERROR(IF(VLOOKUP(CONCATENATE($A135,"_",AQ$1),SP_ACQ_Lib[],MATCH(AQ$2,SP_ACQ_Lib[#Headers],0),FALSE)=0,"",VLOOKUP(CONCATENATE($A135,"_",AQ$1),SP_ACQ_Lib[],MATCH(AQ$2,SP_ACQ_Lib[#Headers],0),FALSE)),"")</f>
        <v/>
      </c>
      <c r="AR135" s="250" t="str">
        <f>IFERROR(IF(VLOOKUP(CONCATENATE($A135,"_",AR$1),SP_ACQ_Lib[],MATCH(AR$2,SP_ACQ_Lib[#Headers],0),FALSE)=0,"",VLOOKUP(CONCATENATE($A135,"_",AR$1),SP_ACQ_Lib[],MATCH(AR$2,SP_ACQ_Lib[#Headers],0),FALSE)),"")</f>
        <v/>
      </c>
      <c r="AS135" s="249" t="str">
        <f>IFERROR(IF(VLOOKUP(CONCATENATE($A135,"_",AS$1),SP_ACQ_Lib[],MATCH(AS$2,SP_ACQ_Lib[#Headers],0),FALSE)=0,"",VLOOKUP(CONCATENATE($A135,"_",AS$1),SP_ACQ_Lib[],MATCH(AS$2,SP_ACQ_Lib[#Headers],0),FALSE)),"")</f>
        <v/>
      </c>
      <c r="AT135" s="251" t="str">
        <f>IFERROR(IF(VLOOKUP(CONCATENATE($A135,"_",AT$1),SP_ACQ_Lib[],MATCH(AT$2,SP_ACQ_Lib[#Headers],0),FALSE)=0,"",VLOOKUP(CONCATENATE($A135,"_",AT$1),SP_ACQ_Lib[],MATCH(AT$2,SP_ACQ_Lib[#Headers],0),FALSE)),"")</f>
        <v/>
      </c>
      <c r="AU135" s="251" t="str">
        <f>IFERROR(IF(VLOOKUP(CONCATENATE($A135,"_",AU$1),SP_ACQ_Lib[],MATCH(AU$2,SP_ACQ_Lib[#Headers],0),FALSE)=0,"",VLOOKUP(CONCATENATE($A135,"_",AU$1),SP_ACQ_Lib[],MATCH(AU$2,SP_ACQ_Lib[#Headers],0),FALSE)),"")</f>
        <v/>
      </c>
      <c r="AV135" s="225" t="str">
        <f>IFERROR(IF(VLOOKUP(CONCATENATE($A135,"_",AV$1),SP_ACQ_Lib[],MATCH(AV$2,SP_ACQ_Lib[#Headers],0),FALSE)=0,"",VLOOKUP(CONCATENATE($A135,"_",AV$1),SP_ACQ_Lib[],MATCH(AV$2,SP_ACQ_Lib[#Headers],0),FALSE)),"")</f>
        <v/>
      </c>
      <c r="AW135" s="251" t="str">
        <f>IFERROR(IF(VLOOKUP(CONCATENATE($A135,"_",AW$1),SP_ACQ_Lib[],MATCH(AW$2,SP_ACQ_Lib[#Headers],0),FALSE)=0,"",VLOOKUP(CONCATENATE($A135,"_",AW$1),SP_ACQ_Lib[],MATCH(AW$2,SP_ACQ_Lib[#Headers],0),FALSE)),"")</f>
        <v/>
      </c>
      <c r="AX135" s="251" t="str">
        <f>IFERROR(IF(VLOOKUP(CONCATENATE($A135,"_",AX$1),SP_ACQ_Lib[],MATCH(AX$2,SP_ACQ_Lib[#Headers],0),FALSE)=0,"",VLOOKUP(CONCATENATE($A135,"_",AX$1),SP_ACQ_Lib[],MATCH(AX$2,SP_ACQ_Lib[#Headers],0),FALSE)),"")</f>
        <v/>
      </c>
      <c r="AY135" s="251" t="str">
        <f>IFERROR(IF(VLOOKUP(CONCATENATE($A135,"_",AY$1),SP_ACQ_Lib[],MATCH(AY$2,SP_ACQ_Lib[#Headers],0),FALSE)=0,"",VLOOKUP(CONCATENATE($A135,"_",AY$1),SP_ACQ_Lib[],MATCH(AY$2,SP_ACQ_Lib[#Headers],0),FALSE)),"")</f>
        <v/>
      </c>
      <c r="AZ135" s="251" t="str">
        <f>IFERROR(IF(VLOOKUP(CONCATENATE($A135,"_",AZ$1),SP_ACQ_Lib[],MATCH(AZ$2,SP_ACQ_Lib[#Headers],0),FALSE)=0,"",VLOOKUP(CONCATENATE($A135,"_",AZ$1),SP_ACQ_Lib[],MATCH(AZ$2,SP_ACQ_Lib[#Headers],0),FALSE)),"")</f>
        <v/>
      </c>
      <c r="BA135" s="251" t="str">
        <f>IFERROR(IF(VLOOKUP(CONCATENATE($A135,"_",BA$1),SP_ACQ_Lib[],MATCH(BA$2,SP_ACQ_Lib[#Headers],0),FALSE)=0,"",VLOOKUP(CONCATENATE($A135,"_",BA$1),SP_ACQ_Lib[],MATCH(BA$2,SP_ACQ_Lib[#Headers],0),FALSE)),"")</f>
        <v/>
      </c>
      <c r="BB135" s="224">
        <f>IFERROR(VLOOKUP(CONCATENATE($A135,"_",BB$1),SP_ACQ_Lib[],MATCH(BB$2,SP_ACQ_Lib[#Headers],0),FALSE),0)</f>
        <v>0</v>
      </c>
      <c r="BC135" s="231">
        <f>IFERROR(VLOOKUP($A135,SP_AcqTract_DB[],MATCH(BC$2,SP_AcqTract_DB[#Headers],0),FALSE),"")</f>
        <v>0</v>
      </c>
      <c r="BD135" s="231">
        <f>IFERROR(VLOOKUP($A135,SP_AcqTract_DB[],MATCH(BD$2,SP_AcqTract_DB[#Headers],0),FALSE),"")</f>
        <v>0</v>
      </c>
      <c r="BE135" s="249" t="str">
        <f>IFERROR(IF(VLOOKUP(CONCATENATE($A135,"_",BE$1),SP_ACQ_Lib[],MATCH(BE$2,SP_ACQ_Lib[#Headers],0),FALSE)=0,"",VLOOKUP(CONCATENATE($A135,"_",BE$1),SP_ACQ_Lib[],MATCH(BE$2,SP_ACQ_Lib[#Headers],0),FALSE)),"")</f>
        <v/>
      </c>
      <c r="BF135" s="249" t="str">
        <f>IFERROR(IF(VLOOKUP(CONCATENATE($A135,"_",BF$1),SP_ACQ_Lib[],MATCH(BF$2,SP_ACQ_Lib[#Headers],0),FALSE)=0,"",VLOOKUP(CONCATENATE($A135,"_",BF$1),SP_ACQ_Lib[],MATCH(BF$2,SP_ACQ_Lib[#Headers],0),FALSE)),"")</f>
        <v/>
      </c>
      <c r="BG135" s="249" t="str">
        <f>IFERROR(IF(VLOOKUP(CONCATENATE($A135,"_",BG$1),SP_ACQ_Lib[],MATCH(BG$2,SP_ACQ_Lib[#Headers],0),FALSE)=0,"",VLOOKUP(CONCATENATE($A135,"_",BG$1),SP_ACQ_Lib[],MATCH(BG$2,SP_ACQ_Lib[#Headers],0),FALSE)),"")</f>
        <v/>
      </c>
      <c r="BH135" s="249" t="str">
        <f>IFERROR(IF(VLOOKUP(CONCATENATE($A135,"_",BH$1),SP_ACQ_Lib[],MATCH(BH$2,SP_ACQ_Lib[#Headers],0),FALSE)=0,"",VLOOKUP(CONCATENATE($A135,"_",BH$1),SP_ACQ_Lib[],MATCH(BH$2,SP_ACQ_Lib[#Headers],0),FALSE)),"")</f>
        <v/>
      </c>
      <c r="BI135" s="249" t="str">
        <f>IFERROR(IF(VLOOKUP(CONCATENATE($A135,"_",BI$1),SP_ACQ_Lib[],MATCH(BI$2,SP_ACQ_Lib[#Headers],0),FALSE)=0,"",VLOOKUP(CONCATENATE($A135,"_",BI$1),SP_ACQ_Lib[],MATCH(BI$2,SP_ACQ_Lib[#Headers],0),FALSE)),"")</f>
        <v/>
      </c>
      <c r="BJ135" s="249" t="str">
        <f>IFERROR(IF(VLOOKUP(CONCATENATE($A135,"_",BJ$1),SP_ACQ_Lib[],MATCH(BJ$2,SP_ACQ_Lib[#Headers],0),FALSE)=0,"",VLOOKUP(CONCATENATE($A135,"_",BJ$1),SP_ACQ_Lib[],MATCH(BJ$2,SP_ACQ_Lib[#Headers],0),FALSE)),"")</f>
        <v/>
      </c>
      <c r="BK135" s="250" t="str">
        <f>IFERROR(IF(VLOOKUP(CONCATENATE($A135,"_",BK$1),SP_ACQ_Lib[],MATCH(BK$2,SP_ACQ_Lib[#Headers],0),FALSE)=0,"",VLOOKUP(CONCATENATE($A135,"_",BK$1),SP_ACQ_Lib[],MATCH(BK$2,SP_ACQ_Lib[#Headers],0),FALSE)),"")</f>
        <v/>
      </c>
      <c r="BL135" s="249" t="str">
        <f>IFERROR(IF(VLOOKUP(CONCATENATE($A135,"_",BL$1),SP_ACQ_Lib[],MATCH(BL$2,SP_ACQ_Lib[#Headers],0),FALSE)=0,"",VLOOKUP(CONCATENATE($A135,"_",BL$1),SP_ACQ_Lib[],MATCH(BL$2,SP_ACQ_Lib[#Headers],0),FALSE)),"")</f>
        <v/>
      </c>
      <c r="BM135" s="249" t="str">
        <f>IFERROR(IF(VLOOKUP(CONCATENATE($A135,"_",BM$1),SP_ACQ_Lib[],MATCH(BM$2,SP_ACQ_Lib[#Headers],0),FALSE)=0,"",VLOOKUP(CONCATENATE($A135,"_",BM$1),SP_ACQ_Lib[],MATCH(BM$2,SP_ACQ_Lib[#Headers],0),FALSE)),"")</f>
        <v/>
      </c>
      <c r="BN135" s="249" t="str">
        <f>IFERROR(IF(VLOOKUP(CONCATENATE($A135,"_",BN$1),SP_ACQ_Lib[],MATCH(BN$2,SP_ACQ_Lib[#Headers],0),FALSE)=0,"",VLOOKUP(CONCATENATE($A135,"_",BN$1),SP_ACQ_Lib[],MATCH(BN$2,SP_ACQ_Lib[#Headers],0),FALSE)),"")</f>
        <v/>
      </c>
    </row>
    <row r="136" spans="1:66" s="226" customFormat="1" ht="15.75" x14ac:dyDescent="0.2">
      <c r="A136" s="192" t="s">
        <v>5715</v>
      </c>
      <c r="B136" s="227" t="str">
        <f>IFERROR(VLOOKUP($A136,SP_AcqTract_DB[],MATCH(B$2,SP_AcqTract_DB[#Headers],0),FALSE),"")</f>
        <v>R020858</v>
      </c>
      <c r="C136" s="228" t="str">
        <f>IFERROR(VLOOKUP($A136,SP_AcqTract_DB[],MATCH(C$2,SP_AcqTract_DB[#Headers],0),FALSE),"")</f>
        <v>PH2</v>
      </c>
      <c r="D136" s="208" t="str">
        <f>IFERROR(VLOOKUP($A136,SP_AcqTract_DB[],MATCH(D$2,SP_AcqTract_DB[#Headers],0),FALSE),"")</f>
        <v>Active</v>
      </c>
      <c r="E136" s="208">
        <f>IFERROR(VLOOKUP($A136,SP_AcqTract_DB[],MATCH(E$2,SP_AcqTract_DB[#Headers],0),FALSE),"")</f>
        <v>0</v>
      </c>
      <c r="F136" s="227">
        <f>IFERROR(VLOOKUP($A136,SP_AcqTract_DB[],MATCH(F$2,SP_AcqTract_DB[#Headers],0),FALSE),"")</f>
        <v>0</v>
      </c>
      <c r="G136" s="227">
        <f>IFERROR(VLOOKUP($A136,SP_AcqTract_DB[],MATCH(G$2,SP_AcqTract_DB[#Headers],0),FALSE),"")</f>
        <v>0</v>
      </c>
      <c r="H136" s="250" t="str">
        <f>IFERROR(IF(VLOOKUP(CONCATENATE($A136,"_",H$1),SP_ACQ_Lib[],MATCH(H$2,SP_ACQ_Lib[#Headers],0),FALSE)=0,"",VLOOKUP(CONCATENATE($A136,"_",H$1),SP_ACQ_Lib[],MATCH(H$2,SP_ACQ_Lib[#Headers],0),FALSE)),"")</f>
        <v/>
      </c>
      <c r="I136" s="227" t="str">
        <f>IFERROR(VLOOKUP($A136,SP_AcqTract_DB[],MATCH(I$2,SP_AcqTract_DB[#Headers],0),FALSE),"")</f>
        <v>City Of Wharton</v>
      </c>
      <c r="J136" s="227">
        <f>IFERROR(VLOOKUP($A136,SP_AcqTract_DB[],MATCH(J$2,SP_AcqTract_DB[#Headers],0),FALSE),"")</f>
        <v>0</v>
      </c>
      <c r="K136" s="227">
        <f>IFERROR(VLOOKUP($A136,SP_AcqTract_DB[],MATCH(K$2,SP_AcqTract_DB[#Headers],0),FALSE),"")</f>
        <v>0</v>
      </c>
      <c r="L136" s="227">
        <f>IFERROR(VLOOKUP($A136,SP_AcqTract_DB[],MATCH(L$2,SP_AcqTract_DB[#Headers],0),FALSE),"")</f>
        <v>0</v>
      </c>
      <c r="M136" s="208">
        <f>IFERROR(VLOOKUP($A136,SP_AcqTract_DB[],MATCH(M$2,SP_AcqTract_DB[#Headers],0),FALSE),"")</f>
        <v>0</v>
      </c>
      <c r="N136" s="227" t="str">
        <f>IFERROR(VLOOKUP($A136,SP_AcqTract_DB[],MATCH(N$2,SP_AcqTract_DB[#Headers],0),FALSE),"")</f>
        <v>0 COLLINS</v>
      </c>
      <c r="O136" s="220">
        <f>IFERROR(VLOOKUP($A136,SP_AcqTract_DB[],MATCH(O$2,SP_AcqTract_DB[#Headers],0),FALSE),"")</f>
        <v>0</v>
      </c>
      <c r="P136" s="220">
        <f>IFERROR(VLOOKUP($A136,SP_AcqTract_DB[],MATCH(P$2,SP_AcqTract_DB[#Headers],0),FALSE),"")</f>
        <v>0</v>
      </c>
      <c r="Q136" s="208">
        <f>IFERROR(VLOOKUP($A136,SP_AcqTract_DB[],MATCH(Q$2,SP_AcqTract_DB[#Headers],0),FALSE),"")</f>
        <v>0</v>
      </c>
      <c r="R136" s="250" t="str">
        <f>IFERROR(IF(VLOOKUP(CONCATENATE($A136,"_",R$1),SP_ACQ_Lib[],MATCH(R$2,SP_ACQ_Lib[#Headers],0),FALSE)=0,"",VLOOKUP(CONCATENATE($A136,"_",R$1),SP_ACQ_Lib[],MATCH(R$2,SP_ACQ_Lib[#Headers],0),FALSE)),"")</f>
        <v/>
      </c>
      <c r="S136" s="253" t="str">
        <f>IFERROR(IF(VLOOKUP(CONCATENATE($A136,"_",S$1),SP_ACQ_Lib[],MATCH(S$2,SP_ACQ_Lib[#Headers],0),FALSE)=0,"",VLOOKUP(CONCATENATE($A136,"_",S$1),SP_ACQ_Lib[],MATCH(S$2,SP_ACQ_Lib[#Headers],0),FALSE)),"")</f>
        <v/>
      </c>
      <c r="T136" s="205">
        <f>IFERROR(VLOOKUP(CONCATENATE($A136,"_",T$1),SP_ACQ_Lib[],MATCH(T$2,SP_ACQ_Lib[#Headers],0),FALSE),0)</f>
        <v>0</v>
      </c>
      <c r="U136" s="250" t="str">
        <f>IFERROR(IF(VLOOKUP(CONCATENATE($A136,"_",U$1),SP_ACQ_Lib[],MATCH(U$2,SP_ACQ_Lib[#Headers],0),FALSE)=0,"",VLOOKUP(CONCATENATE($A136,"_",U$1),SP_ACQ_Lib[],MATCH(U$2,SP_ACQ_Lib[#Headers],0),FALSE)),"")</f>
        <v/>
      </c>
      <c r="V136" s="205">
        <f>IFERROR(VLOOKUP(CONCATENATE($A136,"_",V$1),SP_ACQ_Lib[],MATCH(V$2,SP_ACQ_Lib[#Headers],0),FALSE),0)</f>
        <v>0</v>
      </c>
      <c r="W136" s="209">
        <f>IFERROR(VLOOKUP(CONCATENATE($A136,"_",W$1),SP_ACQ_Lib[],MATCH(W$2,SP_ACQ_Lib[#Headers],0),FALSE),0)</f>
        <v>0</v>
      </c>
      <c r="X136" s="250">
        <f>IFERROR(VLOOKUP($A136,SP_AcqTract_DB[],MATCH(X$2,SP_AcqTract_DB[#Headers],0),FALSE),"")</f>
        <v>0</v>
      </c>
      <c r="Y136" s="237">
        <f>IFERROR(VLOOKUP($A136,SP_AcqTract_DB[],MATCH(Y$2,SP_AcqTract_DB[#Headers],0),FALSE),"")</f>
        <v>0</v>
      </c>
      <c r="Z136" s="229">
        <f>IFERROR(VLOOKUP($A136,SP_AcqTract_DB[],MATCH(Z$2,SP_AcqTract_DB[#Headers],0),FALSE),"")</f>
        <v>0</v>
      </c>
      <c r="AA136" s="229">
        <f>IFERROR(VLOOKUP($A136,SP_AcqTract_DB[],MATCH(AA$2,SP_AcqTract_DB[#Headers],0),FALSE),"")</f>
        <v>0</v>
      </c>
      <c r="AB136" s="250" t="str">
        <f>IFERROR(IF(VLOOKUP(CONCATENATE($A136,"_",AB$1),SP_ACQ_Lib[],MATCH(AB$2,SP_ACQ_Lib[#Headers],0),FALSE)=0,"",VLOOKUP(CONCATENATE($A136,"_",AB$1),SP_ACQ_Lib[],MATCH(AB$2,SP_ACQ_Lib[#Headers],0),FALSE)),"")</f>
        <v/>
      </c>
      <c r="AC136" s="250" t="str">
        <f>IFERROR(IF(VLOOKUP(CONCATENATE($A136,"_",AC$1),SP_ACQ_Lib[],MATCH(AC$2,SP_ACQ_Lib[#Headers],0),FALSE)=0,"",VLOOKUP(CONCATENATE($A136,"_",AC$1),SP_ACQ_Lib[],MATCH(AC$2,SP_ACQ_Lib[#Headers],0),FALSE)),"")</f>
        <v/>
      </c>
      <c r="AD136" s="229">
        <f>IFERROR(VLOOKUP($A136,SP_AcqTract_DB[],MATCH(AD$2,SP_AcqTract_DB[#Headers],0),FALSE),"")</f>
        <v>0</v>
      </c>
      <c r="AE136" s="250" t="str">
        <f>IFERROR(IF(VLOOKUP(CONCATENATE($A136,"_",AE$1),SP_ACQ_Lib[],MATCH(AE$2,SP_ACQ_Lib[#Headers],0),FALSE)=0,"",VLOOKUP(CONCATENATE($A136,"_",AE$1),SP_ACQ_Lib[],MATCH(AE$2,SP_ACQ_Lib[#Headers],0),FALSE)),"")</f>
        <v/>
      </c>
      <c r="AF136" s="250" t="str">
        <f>IFERROR(IF(VLOOKUP(CONCATENATE($A136,"_",AF$1),SP_ACQ_Lib[],MATCH(AF$2,SP_ACQ_Lib[#Headers],0),FALSE)=0,"",VLOOKUP(CONCATENATE($A136,"_",AF$1),SP_ACQ_Lib[],MATCH(AF$2,SP_ACQ_Lib[#Headers],0),FALSE)),"")</f>
        <v/>
      </c>
      <c r="AG136" s="250" t="str">
        <f>IFERROR(IF(VLOOKUP(CONCATENATE($A136,"_",AG$1),SP_ACQ_Lib[],MATCH(AG$2,SP_ACQ_Lib[#Headers],0),FALSE)=0,"",VLOOKUP(CONCATENATE($A136,"_",AG$1),SP_ACQ_Lib[],MATCH(AG$2,SP_ACQ_Lib[#Headers],0),FALSE)),"")</f>
        <v/>
      </c>
      <c r="AH136" s="250" t="str">
        <f>IFERROR(IF(VLOOKUP(CONCATENATE($A136,"_",AH$1),SP_ACQ_Lib[],MATCH(AH$2,SP_ACQ_Lib[#Headers],0),FALSE)=0,"",VLOOKUP(CONCATENATE($A136,"_",AH$1),SP_ACQ_Lib[],MATCH(AH$2,SP_ACQ_Lib[#Headers],0),FALSE)),"")</f>
        <v/>
      </c>
      <c r="AI136" s="249" t="str">
        <f>IFERROR(IF(VLOOKUP(CONCATENATE($A136,"_",AI$1),SP_ACQ_Lib[],MATCH(AI$2,SP_ACQ_Lib[#Headers],0),FALSE)=0,"",VLOOKUP(CONCATENATE($A136,"_",AI$1),SP_ACQ_Lib[],MATCH(AI$2,SP_ACQ_Lib[#Headers],0),FALSE)),"")</f>
        <v/>
      </c>
      <c r="AJ136" s="249">
        <f>IFERROR(IF(VLOOKUP(CONCATENATE($A136,"_",AJ$1),SP_ACQ_Lib[],MATCH(AJ$2,SP_ACQ_Lib[#Headers],0),FALSE)=0,"",VLOOKUP(CONCATENATE($A136,"_",AJ$1),SP_ACQ_Lib[],MATCH(AJ$2,SP_ACQ_Lib[#Headers],0),FALSE)),"")</f>
        <v>43976</v>
      </c>
      <c r="AK136" s="249">
        <f>IFERROR(IF(VLOOKUP(CONCATENATE($A136,"_",AK$1),SP_ACQ_Lib[],MATCH(AK$2,SP_ACQ_Lib[#Headers],0),FALSE)=0,"",VLOOKUP(CONCATENATE($A136,"_",AK$1),SP_ACQ_Lib[],MATCH(AK$2,SP_ACQ_Lib[#Headers],0),FALSE)),"")</f>
        <v>44160</v>
      </c>
      <c r="AL136" s="249">
        <f>IFERROR(VLOOKUP($A136,SP_AcqTract_DB[],MATCH(AL$2,SP_AcqTract_DB[#Headers],0),FALSE),"")</f>
        <v>0</v>
      </c>
      <c r="AM136" s="227">
        <f>IFERROR(VLOOKUP($A136,SP_AcqTract_DB[],MATCH(AM$2,SP_AcqTract_DB[#Headers],0),FALSE),"")</f>
        <v>0</v>
      </c>
      <c r="AN136" s="227">
        <f>IFERROR(VLOOKUP($A136,SP_AcqTract_DB[],MATCH(AN$2,SP_AcqTract_DB[#Headers],0),FALSE),"")</f>
        <v>0</v>
      </c>
      <c r="AO136" s="228">
        <f>IFERROR(VLOOKUP($A136,SP_AcqTract_DB[],MATCH(AO$2,SP_AcqTract_DB[#Headers],0),FALSE),"")</f>
        <v>0</v>
      </c>
      <c r="AP136" s="210">
        <f>IFERROR(VLOOKUP($A136,SP_AcqTract_DB[],MATCH(AP$2,SP_AcqTract_DB[#Headers],0),FALSE),"")</f>
        <v>0</v>
      </c>
      <c r="AQ136" s="252" t="str">
        <f>IFERROR(IF(VLOOKUP(CONCATENATE($A136,"_",AQ$1),SP_ACQ_Lib[],MATCH(AQ$2,SP_ACQ_Lib[#Headers],0),FALSE)=0,"",VLOOKUP(CONCATENATE($A136,"_",AQ$1),SP_ACQ_Lib[],MATCH(AQ$2,SP_ACQ_Lib[#Headers],0),FALSE)),"")</f>
        <v/>
      </c>
      <c r="AR136" s="250" t="str">
        <f>IFERROR(IF(VLOOKUP(CONCATENATE($A136,"_",AR$1),SP_ACQ_Lib[],MATCH(AR$2,SP_ACQ_Lib[#Headers],0),FALSE)=0,"",VLOOKUP(CONCATENATE($A136,"_",AR$1),SP_ACQ_Lib[],MATCH(AR$2,SP_ACQ_Lib[#Headers],0),FALSE)),"")</f>
        <v/>
      </c>
      <c r="AS136" s="249" t="str">
        <f>IFERROR(IF(VLOOKUP(CONCATENATE($A136,"_",AS$1),SP_ACQ_Lib[],MATCH(AS$2,SP_ACQ_Lib[#Headers],0),FALSE)=0,"",VLOOKUP(CONCATENATE($A136,"_",AS$1),SP_ACQ_Lib[],MATCH(AS$2,SP_ACQ_Lib[#Headers],0),FALSE)),"")</f>
        <v/>
      </c>
      <c r="AT136" s="251" t="str">
        <f>IFERROR(IF(VLOOKUP(CONCATENATE($A136,"_",AT$1),SP_ACQ_Lib[],MATCH(AT$2,SP_ACQ_Lib[#Headers],0),FALSE)=0,"",VLOOKUP(CONCATENATE($A136,"_",AT$1),SP_ACQ_Lib[],MATCH(AT$2,SP_ACQ_Lib[#Headers],0),FALSE)),"")</f>
        <v/>
      </c>
      <c r="AU136" s="251" t="str">
        <f>IFERROR(IF(VLOOKUP(CONCATENATE($A136,"_",AU$1),SP_ACQ_Lib[],MATCH(AU$2,SP_ACQ_Lib[#Headers],0),FALSE)=0,"",VLOOKUP(CONCATENATE($A136,"_",AU$1),SP_ACQ_Lib[],MATCH(AU$2,SP_ACQ_Lib[#Headers],0),FALSE)),"")</f>
        <v/>
      </c>
      <c r="AV136" s="225" t="str">
        <f>IFERROR(IF(VLOOKUP(CONCATENATE($A136,"_",AV$1),SP_ACQ_Lib[],MATCH(AV$2,SP_ACQ_Lib[#Headers],0),FALSE)=0,"",VLOOKUP(CONCATENATE($A136,"_",AV$1),SP_ACQ_Lib[],MATCH(AV$2,SP_ACQ_Lib[#Headers],0),FALSE)),"")</f>
        <v/>
      </c>
      <c r="AW136" s="251" t="str">
        <f>IFERROR(IF(VLOOKUP(CONCATENATE($A136,"_",AW$1),SP_ACQ_Lib[],MATCH(AW$2,SP_ACQ_Lib[#Headers],0),FALSE)=0,"",VLOOKUP(CONCATENATE($A136,"_",AW$1),SP_ACQ_Lib[],MATCH(AW$2,SP_ACQ_Lib[#Headers],0),FALSE)),"")</f>
        <v/>
      </c>
      <c r="AX136" s="251" t="str">
        <f>IFERROR(IF(VLOOKUP(CONCATENATE($A136,"_",AX$1),SP_ACQ_Lib[],MATCH(AX$2,SP_ACQ_Lib[#Headers],0),FALSE)=0,"",VLOOKUP(CONCATENATE($A136,"_",AX$1),SP_ACQ_Lib[],MATCH(AX$2,SP_ACQ_Lib[#Headers],0),FALSE)),"")</f>
        <v/>
      </c>
      <c r="AY136" s="251" t="str">
        <f>IFERROR(IF(VLOOKUP(CONCATENATE($A136,"_",AY$1),SP_ACQ_Lib[],MATCH(AY$2,SP_ACQ_Lib[#Headers],0),FALSE)=0,"",VLOOKUP(CONCATENATE($A136,"_",AY$1),SP_ACQ_Lib[],MATCH(AY$2,SP_ACQ_Lib[#Headers],0),FALSE)),"")</f>
        <v/>
      </c>
      <c r="AZ136" s="251" t="str">
        <f>IFERROR(IF(VLOOKUP(CONCATENATE($A136,"_",AZ$1),SP_ACQ_Lib[],MATCH(AZ$2,SP_ACQ_Lib[#Headers],0),FALSE)=0,"",VLOOKUP(CONCATENATE($A136,"_",AZ$1),SP_ACQ_Lib[],MATCH(AZ$2,SP_ACQ_Lib[#Headers],0),FALSE)),"")</f>
        <v/>
      </c>
      <c r="BA136" s="251" t="str">
        <f>IFERROR(IF(VLOOKUP(CONCATENATE($A136,"_",BA$1),SP_ACQ_Lib[],MATCH(BA$2,SP_ACQ_Lib[#Headers],0),FALSE)=0,"",VLOOKUP(CONCATENATE($A136,"_",BA$1),SP_ACQ_Lib[],MATCH(BA$2,SP_ACQ_Lib[#Headers],0),FALSE)),"")</f>
        <v/>
      </c>
      <c r="BB136" s="224">
        <f>IFERROR(VLOOKUP(CONCATENATE($A136,"_",BB$1),SP_ACQ_Lib[],MATCH(BB$2,SP_ACQ_Lib[#Headers],0),FALSE),0)</f>
        <v>0</v>
      </c>
      <c r="BC136" s="231">
        <f>IFERROR(VLOOKUP($A136,SP_AcqTract_DB[],MATCH(BC$2,SP_AcqTract_DB[#Headers],0),FALSE),"")</f>
        <v>0</v>
      </c>
      <c r="BD136" s="231">
        <f>IFERROR(VLOOKUP($A136,SP_AcqTract_DB[],MATCH(BD$2,SP_AcqTract_DB[#Headers],0),FALSE),"")</f>
        <v>0</v>
      </c>
      <c r="BE136" s="249" t="str">
        <f>IFERROR(IF(VLOOKUP(CONCATENATE($A136,"_",BE$1),SP_ACQ_Lib[],MATCH(BE$2,SP_ACQ_Lib[#Headers],0),FALSE)=0,"",VLOOKUP(CONCATENATE($A136,"_",BE$1),SP_ACQ_Lib[],MATCH(BE$2,SP_ACQ_Lib[#Headers],0),FALSE)),"")</f>
        <v/>
      </c>
      <c r="BF136" s="249" t="str">
        <f>IFERROR(IF(VLOOKUP(CONCATENATE($A136,"_",BF$1),SP_ACQ_Lib[],MATCH(BF$2,SP_ACQ_Lib[#Headers],0),FALSE)=0,"",VLOOKUP(CONCATENATE($A136,"_",BF$1),SP_ACQ_Lib[],MATCH(BF$2,SP_ACQ_Lib[#Headers],0),FALSE)),"")</f>
        <v/>
      </c>
      <c r="BG136" s="249" t="str">
        <f>IFERROR(IF(VLOOKUP(CONCATENATE($A136,"_",BG$1),SP_ACQ_Lib[],MATCH(BG$2,SP_ACQ_Lib[#Headers],0),FALSE)=0,"",VLOOKUP(CONCATENATE($A136,"_",BG$1),SP_ACQ_Lib[],MATCH(BG$2,SP_ACQ_Lib[#Headers],0),FALSE)),"")</f>
        <v/>
      </c>
      <c r="BH136" s="249" t="str">
        <f>IFERROR(IF(VLOOKUP(CONCATENATE($A136,"_",BH$1),SP_ACQ_Lib[],MATCH(BH$2,SP_ACQ_Lib[#Headers],0),FALSE)=0,"",VLOOKUP(CONCATENATE($A136,"_",BH$1),SP_ACQ_Lib[],MATCH(BH$2,SP_ACQ_Lib[#Headers],0),FALSE)),"")</f>
        <v/>
      </c>
      <c r="BI136" s="249" t="str">
        <f>IFERROR(IF(VLOOKUP(CONCATENATE($A136,"_",BI$1),SP_ACQ_Lib[],MATCH(BI$2,SP_ACQ_Lib[#Headers],0),FALSE)=0,"",VLOOKUP(CONCATENATE($A136,"_",BI$1),SP_ACQ_Lib[],MATCH(BI$2,SP_ACQ_Lib[#Headers],0),FALSE)),"")</f>
        <v/>
      </c>
      <c r="BJ136" s="249" t="str">
        <f>IFERROR(IF(VLOOKUP(CONCATENATE($A136,"_",BJ$1),SP_ACQ_Lib[],MATCH(BJ$2,SP_ACQ_Lib[#Headers],0),FALSE)=0,"",VLOOKUP(CONCATENATE($A136,"_",BJ$1),SP_ACQ_Lib[],MATCH(BJ$2,SP_ACQ_Lib[#Headers],0),FALSE)),"")</f>
        <v/>
      </c>
      <c r="BK136" s="250" t="str">
        <f>IFERROR(IF(VLOOKUP(CONCATENATE($A136,"_",BK$1),SP_ACQ_Lib[],MATCH(BK$2,SP_ACQ_Lib[#Headers],0),FALSE)=0,"",VLOOKUP(CONCATENATE($A136,"_",BK$1),SP_ACQ_Lib[],MATCH(BK$2,SP_ACQ_Lib[#Headers],0),FALSE)),"")</f>
        <v/>
      </c>
      <c r="BL136" s="249" t="str">
        <f>IFERROR(IF(VLOOKUP(CONCATENATE($A136,"_",BL$1),SP_ACQ_Lib[],MATCH(BL$2,SP_ACQ_Lib[#Headers],0),FALSE)=0,"",VLOOKUP(CONCATENATE($A136,"_",BL$1),SP_ACQ_Lib[],MATCH(BL$2,SP_ACQ_Lib[#Headers],0),FALSE)),"")</f>
        <v/>
      </c>
      <c r="BM136" s="249" t="str">
        <f>IFERROR(IF(VLOOKUP(CONCATENATE($A136,"_",BM$1),SP_ACQ_Lib[],MATCH(BM$2,SP_ACQ_Lib[#Headers],0),FALSE)=0,"",VLOOKUP(CONCATENATE($A136,"_",BM$1),SP_ACQ_Lib[],MATCH(BM$2,SP_ACQ_Lib[#Headers],0),FALSE)),"")</f>
        <v/>
      </c>
      <c r="BN136" s="249" t="str">
        <f>IFERROR(IF(VLOOKUP(CONCATENATE($A136,"_",BN$1),SP_ACQ_Lib[],MATCH(BN$2,SP_ACQ_Lib[#Headers],0),FALSE)=0,"",VLOOKUP(CONCATENATE($A136,"_",BN$1),SP_ACQ_Lib[],MATCH(BN$2,SP_ACQ_Lib[#Headers],0),FALSE)),"")</f>
        <v/>
      </c>
    </row>
    <row r="137" spans="1:66" s="226" customFormat="1" ht="25.5" x14ac:dyDescent="0.2">
      <c r="A137" s="192" t="s">
        <v>5536</v>
      </c>
      <c r="B137" s="227" t="str">
        <f>IFERROR(VLOOKUP($A137,SP_AcqTract_DB[],MATCH(B$2,SP_AcqTract_DB[#Headers],0),FALSE),"")</f>
        <v>R052351</v>
      </c>
      <c r="C137" s="228" t="str">
        <f>IFERROR(VLOOKUP($A137,SP_AcqTract_DB[],MATCH(C$2,SP_AcqTract_DB[#Headers],0),FALSE),"")</f>
        <v>PH2</v>
      </c>
      <c r="D137" s="208" t="str">
        <f>IFERROR(VLOOKUP($A137,SP_AcqTract_DB[],MATCH(D$2,SP_AcqTract_DB[#Headers],0),FALSE),"")</f>
        <v>Active</v>
      </c>
      <c r="E137" s="208">
        <f>IFERROR(VLOOKUP($A137,SP_AcqTract_DB[],MATCH(E$2,SP_AcqTract_DB[#Headers],0),FALSE),"")</f>
        <v>0</v>
      </c>
      <c r="F137" s="227">
        <f>IFERROR(VLOOKUP($A137,SP_AcqTract_DB[],MATCH(F$2,SP_AcqTract_DB[#Headers],0),FALSE),"")</f>
        <v>0</v>
      </c>
      <c r="G137" s="227">
        <f>IFERROR(VLOOKUP($A137,SP_AcqTract_DB[],MATCH(G$2,SP_AcqTract_DB[#Headers],0),FALSE),"")</f>
        <v>0</v>
      </c>
      <c r="H137" s="250" t="str">
        <f>IFERROR(IF(VLOOKUP(CONCATENATE($A137,"_",H$1),SP_ACQ_Lib[],MATCH(H$2,SP_ACQ_Lib[#Headers],0),FALSE)=0,"",VLOOKUP(CONCATENATE($A137,"_",H$1),SP_ACQ_Lib[],MATCH(H$2,SP_ACQ_Lib[#Headers],0),FALSE)),"")</f>
        <v/>
      </c>
      <c r="I137" s="227" t="str">
        <f>IFERROR(VLOOKUP($A137,SP_AcqTract_DB[],MATCH(I$2,SP_AcqTract_DB[#Headers],0),FALSE),"")</f>
        <v>Hawes Barbara Louise Trust Dated 8-17-81</v>
      </c>
      <c r="J137" s="227">
        <f>IFERROR(VLOOKUP($A137,SP_AcqTract_DB[],MATCH(J$2,SP_AcqTract_DB[#Headers],0),FALSE),"")</f>
        <v>0</v>
      </c>
      <c r="K137" s="227">
        <f>IFERROR(VLOOKUP($A137,SP_AcqTract_DB[],MATCH(K$2,SP_AcqTract_DB[#Headers],0),FALSE),"")</f>
        <v>0</v>
      </c>
      <c r="L137" s="227">
        <f>IFERROR(VLOOKUP($A137,SP_AcqTract_DB[],MATCH(L$2,SP_AcqTract_DB[#Headers],0),FALSE),"")</f>
        <v>0</v>
      </c>
      <c r="M137" s="208">
        <f>IFERROR(VLOOKUP($A137,SP_AcqTract_DB[],MATCH(M$2,SP_AcqTract_DB[#Headers],0),FALSE),"")</f>
        <v>0</v>
      </c>
      <c r="N137" s="227" t="str">
        <f>IFERROR(VLOOKUP($A137,SP_AcqTract_DB[],MATCH(N$2,SP_AcqTract_DB[#Headers],0),FALSE),"")</f>
        <v>UNLISTED</v>
      </c>
      <c r="O137" s="220">
        <f>IFERROR(VLOOKUP($A137,SP_AcqTract_DB[],MATCH(O$2,SP_AcqTract_DB[#Headers],0),FALSE),"")</f>
        <v>0</v>
      </c>
      <c r="P137" s="220">
        <f>IFERROR(VLOOKUP($A137,SP_AcqTract_DB[],MATCH(P$2,SP_AcqTract_DB[#Headers],0),FALSE),"")</f>
        <v>0</v>
      </c>
      <c r="Q137" s="208">
        <f>IFERROR(VLOOKUP($A137,SP_AcqTract_DB[],MATCH(Q$2,SP_AcqTract_DB[#Headers],0),FALSE),"")</f>
        <v>0</v>
      </c>
      <c r="R137" s="250" t="str">
        <f>IFERROR(IF(VLOOKUP(CONCATENATE($A137,"_",R$1),SP_ACQ_Lib[],MATCH(R$2,SP_ACQ_Lib[#Headers],0),FALSE)=0,"",VLOOKUP(CONCATENATE($A137,"_",R$1),SP_ACQ_Lib[],MATCH(R$2,SP_ACQ_Lib[#Headers],0),FALSE)),"")</f>
        <v/>
      </c>
      <c r="S137" s="253" t="str">
        <f>IFERROR(IF(VLOOKUP(CONCATENATE($A137,"_",S$1),SP_ACQ_Lib[],MATCH(S$2,SP_ACQ_Lib[#Headers],0),FALSE)=0,"",VLOOKUP(CONCATENATE($A137,"_",S$1),SP_ACQ_Lib[],MATCH(S$2,SP_ACQ_Lib[#Headers],0),FALSE)),"")</f>
        <v/>
      </c>
      <c r="T137" s="205">
        <f>IFERROR(VLOOKUP(CONCATENATE($A137,"_",T$1),SP_ACQ_Lib[],MATCH(T$2,SP_ACQ_Lib[#Headers],0),FALSE),0)</f>
        <v>0</v>
      </c>
      <c r="U137" s="250" t="str">
        <f>IFERROR(IF(VLOOKUP(CONCATENATE($A137,"_",U$1),SP_ACQ_Lib[],MATCH(U$2,SP_ACQ_Lib[#Headers],0),FALSE)=0,"",VLOOKUP(CONCATENATE($A137,"_",U$1),SP_ACQ_Lib[],MATCH(U$2,SP_ACQ_Lib[#Headers],0),FALSE)),"")</f>
        <v/>
      </c>
      <c r="V137" s="205" t="str">
        <f>IFERROR(VLOOKUP(CONCATENATE($A137,"_",V$1),SP_ACQ_Lib[],MATCH(V$2,SP_ACQ_Lib[#Headers],0),FALSE),0)</f>
        <v>Accepted</v>
      </c>
      <c r="W137" s="209">
        <f>IFERROR(VLOOKUP(CONCATENATE($A137,"_",W$1),SP_ACQ_Lib[],MATCH(W$2,SP_ACQ_Lib[#Headers],0),FALSE),0)</f>
        <v>0</v>
      </c>
      <c r="X137" s="250">
        <f>IFERROR(VLOOKUP($A137,SP_AcqTract_DB[],MATCH(X$2,SP_AcqTract_DB[#Headers],0),FALSE),"")</f>
        <v>0</v>
      </c>
      <c r="Y137" s="237">
        <f>IFERROR(VLOOKUP($A137,SP_AcqTract_DB[],MATCH(Y$2,SP_AcqTract_DB[#Headers],0),FALSE),"")</f>
        <v>0</v>
      </c>
      <c r="Z137" s="229">
        <f>IFERROR(VLOOKUP($A137,SP_AcqTract_DB[],MATCH(Z$2,SP_AcqTract_DB[#Headers],0),FALSE),"")</f>
        <v>0</v>
      </c>
      <c r="AA137" s="229">
        <f>IFERROR(VLOOKUP($A137,SP_AcqTract_DB[],MATCH(AA$2,SP_AcqTract_DB[#Headers],0),FALSE),"")</f>
        <v>0</v>
      </c>
      <c r="AB137" s="250" t="str">
        <f>IFERROR(IF(VLOOKUP(CONCATENATE($A137,"_",AB$1),SP_ACQ_Lib[],MATCH(AB$2,SP_ACQ_Lib[#Headers],0),FALSE)=0,"",VLOOKUP(CONCATENATE($A137,"_",AB$1),SP_ACQ_Lib[],MATCH(AB$2,SP_ACQ_Lib[#Headers],0),FALSE)),"")</f>
        <v/>
      </c>
      <c r="AC137" s="250" t="str">
        <f>IFERROR(IF(VLOOKUP(CONCATENATE($A137,"_",AC$1),SP_ACQ_Lib[],MATCH(AC$2,SP_ACQ_Lib[#Headers],0),FALSE)=0,"",VLOOKUP(CONCATENATE($A137,"_",AC$1),SP_ACQ_Lib[],MATCH(AC$2,SP_ACQ_Lib[#Headers],0),FALSE)),"")</f>
        <v/>
      </c>
      <c r="AD137" s="229">
        <f>IFERROR(VLOOKUP($A137,SP_AcqTract_DB[],MATCH(AD$2,SP_AcqTract_DB[#Headers],0),FALSE),"")</f>
        <v>0</v>
      </c>
      <c r="AE137" s="250" t="str">
        <f>IFERROR(IF(VLOOKUP(CONCATENATE($A137,"_",AE$1),SP_ACQ_Lib[],MATCH(AE$2,SP_ACQ_Lib[#Headers],0),FALSE)=0,"",VLOOKUP(CONCATENATE($A137,"_",AE$1),SP_ACQ_Lib[],MATCH(AE$2,SP_ACQ_Lib[#Headers],0),FALSE)),"")</f>
        <v/>
      </c>
      <c r="AF137" s="250" t="str">
        <f>IFERROR(IF(VLOOKUP(CONCATENATE($A137,"_",AF$1),SP_ACQ_Lib[],MATCH(AF$2,SP_ACQ_Lib[#Headers],0),FALSE)=0,"",VLOOKUP(CONCATENATE($A137,"_",AF$1),SP_ACQ_Lib[],MATCH(AF$2,SP_ACQ_Lib[#Headers],0),FALSE)),"")</f>
        <v/>
      </c>
      <c r="AG137" s="250" t="str">
        <f>IFERROR(IF(VLOOKUP(CONCATENATE($A137,"_",AG$1),SP_ACQ_Lib[],MATCH(AG$2,SP_ACQ_Lib[#Headers],0),FALSE)=0,"",VLOOKUP(CONCATENATE($A137,"_",AG$1),SP_ACQ_Lib[],MATCH(AG$2,SP_ACQ_Lib[#Headers],0),FALSE)),"")</f>
        <v/>
      </c>
      <c r="AH137" s="250" t="str">
        <f>IFERROR(IF(VLOOKUP(CONCATENATE($A137,"_",AH$1),SP_ACQ_Lib[],MATCH(AH$2,SP_ACQ_Lib[#Headers],0),FALSE)=0,"",VLOOKUP(CONCATENATE($A137,"_",AH$1),SP_ACQ_Lib[],MATCH(AH$2,SP_ACQ_Lib[#Headers],0),FALSE)),"")</f>
        <v/>
      </c>
      <c r="AI137" s="249" t="str">
        <f>IFERROR(IF(VLOOKUP(CONCATENATE($A137,"_",AI$1),SP_ACQ_Lib[],MATCH(AI$2,SP_ACQ_Lib[#Headers],0),FALSE)=0,"",VLOOKUP(CONCATENATE($A137,"_",AI$1),SP_ACQ_Lib[],MATCH(AI$2,SP_ACQ_Lib[#Headers],0),FALSE)),"")</f>
        <v/>
      </c>
      <c r="AJ137" s="249">
        <f>IFERROR(IF(VLOOKUP(CONCATENATE($A137,"_",AJ$1),SP_ACQ_Lib[],MATCH(AJ$2,SP_ACQ_Lib[#Headers],0),FALSE)=0,"",VLOOKUP(CONCATENATE($A137,"_",AJ$1),SP_ACQ_Lib[],MATCH(AJ$2,SP_ACQ_Lib[#Headers],0),FALSE)),"")</f>
        <v>43976</v>
      </c>
      <c r="AK137" s="249">
        <f>IFERROR(IF(VLOOKUP(CONCATENATE($A137,"_",AK$1),SP_ACQ_Lib[],MATCH(AK$2,SP_ACQ_Lib[#Headers],0),FALSE)=0,"",VLOOKUP(CONCATENATE($A137,"_",AK$1),SP_ACQ_Lib[],MATCH(AK$2,SP_ACQ_Lib[#Headers],0),FALSE)),"")</f>
        <v>44160</v>
      </c>
      <c r="AL137" s="249">
        <f>IFERROR(VLOOKUP($A137,SP_AcqTract_DB[],MATCH(AL$2,SP_AcqTract_DB[#Headers],0),FALSE),"")</f>
        <v>0</v>
      </c>
      <c r="AM137" s="227">
        <f>IFERROR(VLOOKUP($A137,SP_AcqTract_DB[],MATCH(AM$2,SP_AcqTract_DB[#Headers],0),FALSE),"")</f>
        <v>0</v>
      </c>
      <c r="AN137" s="227">
        <f>IFERROR(VLOOKUP($A137,SP_AcqTract_DB[],MATCH(AN$2,SP_AcqTract_DB[#Headers],0),FALSE),"")</f>
        <v>0</v>
      </c>
      <c r="AO137" s="228">
        <f>IFERROR(VLOOKUP($A137,SP_AcqTract_DB[],MATCH(AO$2,SP_AcqTract_DB[#Headers],0),FALSE),"")</f>
        <v>0</v>
      </c>
      <c r="AP137" s="210">
        <f>IFERROR(VLOOKUP($A137,SP_AcqTract_DB[],MATCH(AP$2,SP_AcqTract_DB[#Headers],0),FALSE),"")</f>
        <v>0</v>
      </c>
      <c r="AQ137" s="252" t="str">
        <f>IFERROR(IF(VLOOKUP(CONCATENATE($A137,"_",AQ$1),SP_ACQ_Lib[],MATCH(AQ$2,SP_ACQ_Lib[#Headers],0),FALSE)=0,"",VLOOKUP(CONCATENATE($A137,"_",AQ$1),SP_ACQ_Lib[],MATCH(AQ$2,SP_ACQ_Lib[#Headers],0),FALSE)),"")</f>
        <v/>
      </c>
      <c r="AR137" s="250" t="str">
        <f>IFERROR(IF(VLOOKUP(CONCATENATE($A137,"_",AR$1),SP_ACQ_Lib[],MATCH(AR$2,SP_ACQ_Lib[#Headers],0),FALSE)=0,"",VLOOKUP(CONCATENATE($A137,"_",AR$1),SP_ACQ_Lib[],MATCH(AR$2,SP_ACQ_Lib[#Headers],0),FALSE)),"")</f>
        <v/>
      </c>
      <c r="AS137" s="249" t="str">
        <f>IFERROR(IF(VLOOKUP(CONCATENATE($A137,"_",AS$1),SP_ACQ_Lib[],MATCH(AS$2,SP_ACQ_Lib[#Headers],0),FALSE)=0,"",VLOOKUP(CONCATENATE($A137,"_",AS$1),SP_ACQ_Lib[],MATCH(AS$2,SP_ACQ_Lib[#Headers],0),FALSE)),"")</f>
        <v/>
      </c>
      <c r="AT137" s="251" t="str">
        <f>IFERROR(IF(VLOOKUP(CONCATENATE($A137,"_",AT$1),SP_ACQ_Lib[],MATCH(AT$2,SP_ACQ_Lib[#Headers],0),FALSE)=0,"",VLOOKUP(CONCATENATE($A137,"_",AT$1),SP_ACQ_Lib[],MATCH(AT$2,SP_ACQ_Lib[#Headers],0),FALSE)),"")</f>
        <v/>
      </c>
      <c r="AU137" s="251" t="str">
        <f>IFERROR(IF(VLOOKUP(CONCATENATE($A137,"_",AU$1),SP_ACQ_Lib[],MATCH(AU$2,SP_ACQ_Lib[#Headers],0),FALSE)=0,"",VLOOKUP(CONCATENATE($A137,"_",AU$1),SP_ACQ_Lib[],MATCH(AU$2,SP_ACQ_Lib[#Headers],0),FALSE)),"")</f>
        <v/>
      </c>
      <c r="AV137" s="225" t="str">
        <f>IFERROR(IF(VLOOKUP(CONCATENATE($A137,"_",AV$1),SP_ACQ_Lib[],MATCH(AV$2,SP_ACQ_Lib[#Headers],0),FALSE)=0,"",VLOOKUP(CONCATENATE($A137,"_",AV$1),SP_ACQ_Lib[],MATCH(AV$2,SP_ACQ_Lib[#Headers],0),FALSE)),"")</f>
        <v/>
      </c>
      <c r="AW137" s="251" t="str">
        <f>IFERROR(IF(VLOOKUP(CONCATENATE($A137,"_",AW$1),SP_ACQ_Lib[],MATCH(AW$2,SP_ACQ_Lib[#Headers],0),FALSE)=0,"",VLOOKUP(CONCATENATE($A137,"_",AW$1),SP_ACQ_Lib[],MATCH(AW$2,SP_ACQ_Lib[#Headers],0),FALSE)),"")</f>
        <v/>
      </c>
      <c r="AX137" s="251" t="str">
        <f>IFERROR(IF(VLOOKUP(CONCATENATE($A137,"_",AX$1),SP_ACQ_Lib[],MATCH(AX$2,SP_ACQ_Lib[#Headers],0),FALSE)=0,"",VLOOKUP(CONCATENATE($A137,"_",AX$1),SP_ACQ_Lib[],MATCH(AX$2,SP_ACQ_Lib[#Headers],0),FALSE)),"")</f>
        <v/>
      </c>
      <c r="AY137" s="251" t="str">
        <f>IFERROR(IF(VLOOKUP(CONCATENATE($A137,"_",AY$1),SP_ACQ_Lib[],MATCH(AY$2,SP_ACQ_Lib[#Headers],0),FALSE)=0,"",VLOOKUP(CONCATENATE($A137,"_",AY$1),SP_ACQ_Lib[],MATCH(AY$2,SP_ACQ_Lib[#Headers],0),FALSE)),"")</f>
        <v/>
      </c>
      <c r="AZ137" s="251" t="str">
        <f>IFERROR(IF(VLOOKUP(CONCATENATE($A137,"_",AZ$1),SP_ACQ_Lib[],MATCH(AZ$2,SP_ACQ_Lib[#Headers],0),FALSE)=0,"",VLOOKUP(CONCATENATE($A137,"_",AZ$1),SP_ACQ_Lib[],MATCH(AZ$2,SP_ACQ_Lib[#Headers],0),FALSE)),"")</f>
        <v/>
      </c>
      <c r="BA137" s="251" t="str">
        <f>IFERROR(IF(VLOOKUP(CONCATENATE($A137,"_",BA$1),SP_ACQ_Lib[],MATCH(BA$2,SP_ACQ_Lib[#Headers],0),FALSE)=0,"",VLOOKUP(CONCATENATE($A137,"_",BA$1),SP_ACQ_Lib[],MATCH(BA$2,SP_ACQ_Lib[#Headers],0),FALSE)),"")</f>
        <v/>
      </c>
      <c r="BB137" s="224">
        <f>IFERROR(VLOOKUP(CONCATENATE($A137,"_",BB$1),SP_ACQ_Lib[],MATCH(BB$2,SP_ACQ_Lib[#Headers],0),FALSE),0)</f>
        <v>0</v>
      </c>
      <c r="BC137" s="231">
        <f>IFERROR(VLOOKUP($A137,SP_AcqTract_DB[],MATCH(BC$2,SP_AcqTract_DB[#Headers],0),FALSE),"")</f>
        <v>0</v>
      </c>
      <c r="BD137" s="231">
        <f>IFERROR(VLOOKUP($A137,SP_AcqTract_DB[],MATCH(BD$2,SP_AcqTract_DB[#Headers],0),FALSE),"")</f>
        <v>0</v>
      </c>
      <c r="BE137" s="249" t="str">
        <f>IFERROR(IF(VLOOKUP(CONCATENATE($A137,"_",BE$1),SP_ACQ_Lib[],MATCH(BE$2,SP_ACQ_Lib[#Headers],0),FALSE)=0,"",VLOOKUP(CONCATENATE($A137,"_",BE$1),SP_ACQ_Lib[],MATCH(BE$2,SP_ACQ_Lib[#Headers],0),FALSE)),"")</f>
        <v/>
      </c>
      <c r="BF137" s="249" t="str">
        <f>IFERROR(IF(VLOOKUP(CONCATENATE($A137,"_",BF$1),SP_ACQ_Lib[],MATCH(BF$2,SP_ACQ_Lib[#Headers],0),FALSE)=0,"",VLOOKUP(CONCATENATE($A137,"_",BF$1),SP_ACQ_Lib[],MATCH(BF$2,SP_ACQ_Lib[#Headers],0),FALSE)),"")</f>
        <v/>
      </c>
      <c r="BG137" s="249" t="str">
        <f>IFERROR(IF(VLOOKUP(CONCATENATE($A137,"_",BG$1),SP_ACQ_Lib[],MATCH(BG$2,SP_ACQ_Lib[#Headers],0),FALSE)=0,"",VLOOKUP(CONCATENATE($A137,"_",BG$1),SP_ACQ_Lib[],MATCH(BG$2,SP_ACQ_Lib[#Headers],0),FALSE)),"")</f>
        <v/>
      </c>
      <c r="BH137" s="249" t="str">
        <f>IFERROR(IF(VLOOKUP(CONCATENATE($A137,"_",BH$1),SP_ACQ_Lib[],MATCH(BH$2,SP_ACQ_Lib[#Headers],0),FALSE)=0,"",VLOOKUP(CONCATENATE($A137,"_",BH$1),SP_ACQ_Lib[],MATCH(BH$2,SP_ACQ_Lib[#Headers],0),FALSE)),"")</f>
        <v/>
      </c>
      <c r="BI137" s="249" t="str">
        <f>IFERROR(IF(VLOOKUP(CONCATENATE($A137,"_",BI$1),SP_ACQ_Lib[],MATCH(BI$2,SP_ACQ_Lib[#Headers],0),FALSE)=0,"",VLOOKUP(CONCATENATE($A137,"_",BI$1),SP_ACQ_Lib[],MATCH(BI$2,SP_ACQ_Lib[#Headers],0),FALSE)),"")</f>
        <v/>
      </c>
      <c r="BJ137" s="249" t="str">
        <f>IFERROR(IF(VLOOKUP(CONCATENATE($A137,"_",BJ$1),SP_ACQ_Lib[],MATCH(BJ$2,SP_ACQ_Lib[#Headers],0),FALSE)=0,"",VLOOKUP(CONCATENATE($A137,"_",BJ$1),SP_ACQ_Lib[],MATCH(BJ$2,SP_ACQ_Lib[#Headers],0),FALSE)),"")</f>
        <v/>
      </c>
      <c r="BK137" s="250" t="str">
        <f>IFERROR(IF(VLOOKUP(CONCATENATE($A137,"_",BK$1),SP_ACQ_Lib[],MATCH(BK$2,SP_ACQ_Lib[#Headers],0),FALSE)=0,"",VLOOKUP(CONCATENATE($A137,"_",BK$1),SP_ACQ_Lib[],MATCH(BK$2,SP_ACQ_Lib[#Headers],0),FALSE)),"")</f>
        <v/>
      </c>
      <c r="BL137" s="249" t="str">
        <f>IFERROR(IF(VLOOKUP(CONCATENATE($A137,"_",BL$1),SP_ACQ_Lib[],MATCH(BL$2,SP_ACQ_Lib[#Headers],0),FALSE)=0,"",VLOOKUP(CONCATENATE($A137,"_",BL$1),SP_ACQ_Lib[],MATCH(BL$2,SP_ACQ_Lib[#Headers],0),FALSE)),"")</f>
        <v/>
      </c>
      <c r="BM137" s="249" t="str">
        <f>IFERROR(IF(VLOOKUP(CONCATENATE($A137,"_",BM$1),SP_ACQ_Lib[],MATCH(BM$2,SP_ACQ_Lib[#Headers],0),FALSE)=0,"",VLOOKUP(CONCATENATE($A137,"_",BM$1),SP_ACQ_Lib[],MATCH(BM$2,SP_ACQ_Lib[#Headers],0),FALSE)),"")</f>
        <v/>
      </c>
      <c r="BN137" s="249" t="str">
        <f>IFERROR(IF(VLOOKUP(CONCATENATE($A137,"_",BN$1),SP_ACQ_Lib[],MATCH(BN$2,SP_ACQ_Lib[#Headers],0),FALSE)=0,"",VLOOKUP(CONCATENATE($A137,"_",BN$1),SP_ACQ_Lib[],MATCH(BN$2,SP_ACQ_Lib[#Headers],0),FALSE)),"")</f>
        <v/>
      </c>
    </row>
    <row r="138" spans="1:66" s="226" customFormat="1" ht="15.75" x14ac:dyDescent="0.2">
      <c r="A138" s="192" t="s">
        <v>5720</v>
      </c>
      <c r="B138" s="227" t="str">
        <f>IFERROR(VLOOKUP($A138,SP_AcqTract_DB[],MATCH(B$2,SP_AcqTract_DB[#Headers],0),FALSE),"")</f>
        <v>R062755</v>
      </c>
      <c r="C138" s="228" t="str">
        <f>IFERROR(VLOOKUP($A138,SP_AcqTract_DB[],MATCH(C$2,SP_AcqTract_DB[#Headers],0),FALSE),"")</f>
        <v>PH2</v>
      </c>
      <c r="D138" s="208" t="str">
        <f>IFERROR(VLOOKUP($A138,SP_AcqTract_DB[],MATCH(D$2,SP_AcqTract_DB[#Headers],0),FALSE),"")</f>
        <v>Active</v>
      </c>
      <c r="E138" s="208">
        <f>IFERROR(VLOOKUP($A138,SP_AcqTract_DB[],MATCH(E$2,SP_AcqTract_DB[#Headers],0),FALSE),"")</f>
        <v>0</v>
      </c>
      <c r="F138" s="227">
        <f>IFERROR(VLOOKUP($A138,SP_AcqTract_DB[],MATCH(F$2,SP_AcqTract_DB[#Headers],0),FALSE),"")</f>
        <v>0</v>
      </c>
      <c r="G138" s="227">
        <f>IFERROR(VLOOKUP($A138,SP_AcqTract_DB[],MATCH(G$2,SP_AcqTract_DB[#Headers],0),FALSE),"")</f>
        <v>0</v>
      </c>
      <c r="H138" s="250" t="str">
        <f>IFERROR(IF(VLOOKUP(CONCATENATE($A138,"_",H$1),SP_ACQ_Lib[],MATCH(H$2,SP_ACQ_Lib[#Headers],0),FALSE)=0,"",VLOOKUP(CONCATENATE($A138,"_",H$1),SP_ACQ_Lib[],MATCH(H$2,SP_ACQ_Lib[#Headers],0),FALSE)),"")</f>
        <v/>
      </c>
      <c r="I138" s="227" t="str">
        <f>IFERROR(VLOOKUP($A138,SP_AcqTract_DB[],MATCH(I$2,SP_AcqTract_DB[#Headers],0),FALSE),"")</f>
        <v>City Of Wharton</v>
      </c>
      <c r="J138" s="227">
        <f>IFERROR(VLOOKUP($A138,SP_AcqTract_DB[],MATCH(J$2,SP_AcqTract_DB[#Headers],0),FALSE),"")</f>
        <v>0</v>
      </c>
      <c r="K138" s="227">
        <f>IFERROR(VLOOKUP($A138,SP_AcqTract_DB[],MATCH(K$2,SP_AcqTract_DB[#Headers],0),FALSE),"")</f>
        <v>0</v>
      </c>
      <c r="L138" s="227">
        <f>IFERROR(VLOOKUP($A138,SP_AcqTract_DB[],MATCH(L$2,SP_AcqTract_DB[#Headers],0),FALSE),"")</f>
        <v>0</v>
      </c>
      <c r="M138" s="208">
        <f>IFERROR(VLOOKUP($A138,SP_AcqTract_DB[],MATCH(M$2,SP_AcqTract_DB[#Headers],0),FALSE),"")</f>
        <v>0</v>
      </c>
      <c r="N138" s="227" t="str">
        <f>IFERROR(VLOOKUP($A138,SP_AcqTract_DB[],MATCH(N$2,SP_AcqTract_DB[#Headers],0),FALSE),"")</f>
        <v>0 E ELM</v>
      </c>
      <c r="O138" s="220">
        <f>IFERROR(VLOOKUP($A138,SP_AcqTract_DB[],MATCH(O$2,SP_AcqTract_DB[#Headers],0),FALSE),"")</f>
        <v>0</v>
      </c>
      <c r="P138" s="220">
        <f>IFERROR(VLOOKUP($A138,SP_AcqTract_DB[],MATCH(P$2,SP_AcqTract_DB[#Headers],0),FALSE),"")</f>
        <v>0</v>
      </c>
      <c r="Q138" s="208">
        <f>IFERROR(VLOOKUP($A138,SP_AcqTract_DB[],MATCH(Q$2,SP_AcqTract_DB[#Headers],0),FALSE),"")</f>
        <v>0</v>
      </c>
      <c r="R138" s="250" t="str">
        <f>IFERROR(IF(VLOOKUP(CONCATENATE($A138,"_",R$1),SP_ACQ_Lib[],MATCH(R$2,SP_ACQ_Lib[#Headers],0),FALSE)=0,"",VLOOKUP(CONCATENATE($A138,"_",R$1),SP_ACQ_Lib[],MATCH(R$2,SP_ACQ_Lib[#Headers],0),FALSE)),"")</f>
        <v/>
      </c>
      <c r="S138" s="253" t="str">
        <f>IFERROR(IF(VLOOKUP(CONCATENATE($A138,"_",S$1),SP_ACQ_Lib[],MATCH(S$2,SP_ACQ_Lib[#Headers],0),FALSE)=0,"",VLOOKUP(CONCATENATE($A138,"_",S$1),SP_ACQ_Lib[],MATCH(S$2,SP_ACQ_Lib[#Headers],0),FALSE)),"")</f>
        <v/>
      </c>
      <c r="T138" s="205">
        <f>IFERROR(VLOOKUP(CONCATENATE($A138,"_",T$1),SP_ACQ_Lib[],MATCH(T$2,SP_ACQ_Lib[#Headers],0),FALSE),0)</f>
        <v>0</v>
      </c>
      <c r="U138" s="250" t="str">
        <f>IFERROR(IF(VLOOKUP(CONCATENATE($A138,"_",U$1),SP_ACQ_Lib[],MATCH(U$2,SP_ACQ_Lib[#Headers],0),FALSE)=0,"",VLOOKUP(CONCATENATE($A138,"_",U$1),SP_ACQ_Lib[],MATCH(U$2,SP_ACQ_Lib[#Headers],0),FALSE)),"")</f>
        <v/>
      </c>
      <c r="V138" s="205">
        <f>IFERROR(VLOOKUP(CONCATENATE($A138,"_",V$1),SP_ACQ_Lib[],MATCH(V$2,SP_ACQ_Lib[#Headers],0),FALSE),0)</f>
        <v>0</v>
      </c>
      <c r="W138" s="209">
        <f>IFERROR(VLOOKUP(CONCATENATE($A138,"_",W$1),SP_ACQ_Lib[],MATCH(W$2,SP_ACQ_Lib[#Headers],0),FALSE),0)</f>
        <v>0</v>
      </c>
      <c r="X138" s="250">
        <f>IFERROR(VLOOKUP($A138,SP_AcqTract_DB[],MATCH(X$2,SP_AcqTract_DB[#Headers],0),FALSE),"")</f>
        <v>0</v>
      </c>
      <c r="Y138" s="237">
        <f>IFERROR(VLOOKUP($A138,SP_AcqTract_DB[],MATCH(Y$2,SP_AcqTract_DB[#Headers],0),FALSE),"")</f>
        <v>0</v>
      </c>
      <c r="Z138" s="229">
        <f>IFERROR(VLOOKUP($A138,SP_AcqTract_DB[],MATCH(Z$2,SP_AcqTract_DB[#Headers],0),FALSE),"")</f>
        <v>0</v>
      </c>
      <c r="AA138" s="229">
        <f>IFERROR(VLOOKUP($A138,SP_AcqTract_DB[],MATCH(AA$2,SP_AcqTract_DB[#Headers],0),FALSE),"")</f>
        <v>0</v>
      </c>
      <c r="AB138" s="250" t="str">
        <f>IFERROR(IF(VLOOKUP(CONCATENATE($A138,"_",AB$1),SP_ACQ_Lib[],MATCH(AB$2,SP_ACQ_Lib[#Headers],0),FALSE)=0,"",VLOOKUP(CONCATENATE($A138,"_",AB$1),SP_ACQ_Lib[],MATCH(AB$2,SP_ACQ_Lib[#Headers],0),FALSE)),"")</f>
        <v/>
      </c>
      <c r="AC138" s="250" t="str">
        <f>IFERROR(IF(VLOOKUP(CONCATENATE($A138,"_",AC$1),SP_ACQ_Lib[],MATCH(AC$2,SP_ACQ_Lib[#Headers],0),FALSE)=0,"",VLOOKUP(CONCATENATE($A138,"_",AC$1),SP_ACQ_Lib[],MATCH(AC$2,SP_ACQ_Lib[#Headers],0),FALSE)),"")</f>
        <v/>
      </c>
      <c r="AD138" s="229">
        <f>IFERROR(VLOOKUP($A138,SP_AcqTract_DB[],MATCH(AD$2,SP_AcqTract_DB[#Headers],0),FALSE),"")</f>
        <v>0</v>
      </c>
      <c r="AE138" s="250" t="str">
        <f>IFERROR(IF(VLOOKUP(CONCATENATE($A138,"_",AE$1),SP_ACQ_Lib[],MATCH(AE$2,SP_ACQ_Lib[#Headers],0),FALSE)=0,"",VLOOKUP(CONCATENATE($A138,"_",AE$1),SP_ACQ_Lib[],MATCH(AE$2,SP_ACQ_Lib[#Headers],0),FALSE)),"")</f>
        <v/>
      </c>
      <c r="AF138" s="250" t="str">
        <f>IFERROR(IF(VLOOKUP(CONCATENATE($A138,"_",AF$1),SP_ACQ_Lib[],MATCH(AF$2,SP_ACQ_Lib[#Headers],0),FALSE)=0,"",VLOOKUP(CONCATENATE($A138,"_",AF$1),SP_ACQ_Lib[],MATCH(AF$2,SP_ACQ_Lib[#Headers],0),FALSE)),"")</f>
        <v/>
      </c>
      <c r="AG138" s="250" t="str">
        <f>IFERROR(IF(VLOOKUP(CONCATENATE($A138,"_",AG$1),SP_ACQ_Lib[],MATCH(AG$2,SP_ACQ_Lib[#Headers],0),FALSE)=0,"",VLOOKUP(CONCATENATE($A138,"_",AG$1),SP_ACQ_Lib[],MATCH(AG$2,SP_ACQ_Lib[#Headers],0),FALSE)),"")</f>
        <v/>
      </c>
      <c r="AH138" s="250" t="str">
        <f>IFERROR(IF(VLOOKUP(CONCATENATE($A138,"_",AH$1),SP_ACQ_Lib[],MATCH(AH$2,SP_ACQ_Lib[#Headers],0),FALSE)=0,"",VLOOKUP(CONCATENATE($A138,"_",AH$1),SP_ACQ_Lib[],MATCH(AH$2,SP_ACQ_Lib[#Headers],0),FALSE)),"")</f>
        <v/>
      </c>
      <c r="AI138" s="249" t="str">
        <f>IFERROR(IF(VLOOKUP(CONCATENATE($A138,"_",AI$1),SP_ACQ_Lib[],MATCH(AI$2,SP_ACQ_Lib[#Headers],0),FALSE)=0,"",VLOOKUP(CONCATENATE($A138,"_",AI$1),SP_ACQ_Lib[],MATCH(AI$2,SP_ACQ_Lib[#Headers],0),FALSE)),"")</f>
        <v/>
      </c>
      <c r="AJ138" s="249">
        <f>IFERROR(IF(VLOOKUP(CONCATENATE($A138,"_",AJ$1),SP_ACQ_Lib[],MATCH(AJ$2,SP_ACQ_Lib[#Headers],0),FALSE)=0,"",VLOOKUP(CONCATENATE($A138,"_",AJ$1),SP_ACQ_Lib[],MATCH(AJ$2,SP_ACQ_Lib[#Headers],0),FALSE)),"")</f>
        <v>43976</v>
      </c>
      <c r="AK138" s="249">
        <f>IFERROR(IF(VLOOKUP(CONCATENATE($A138,"_",AK$1),SP_ACQ_Lib[],MATCH(AK$2,SP_ACQ_Lib[#Headers],0),FALSE)=0,"",VLOOKUP(CONCATENATE($A138,"_",AK$1),SP_ACQ_Lib[],MATCH(AK$2,SP_ACQ_Lib[#Headers],0),FALSE)),"")</f>
        <v>44160</v>
      </c>
      <c r="AL138" s="249">
        <f>IFERROR(VLOOKUP($A138,SP_AcqTract_DB[],MATCH(AL$2,SP_AcqTract_DB[#Headers],0),FALSE),"")</f>
        <v>0</v>
      </c>
      <c r="AM138" s="227">
        <f>IFERROR(VLOOKUP($A138,SP_AcqTract_DB[],MATCH(AM$2,SP_AcqTract_DB[#Headers],0),FALSE),"")</f>
        <v>0</v>
      </c>
      <c r="AN138" s="227">
        <f>IFERROR(VLOOKUP($A138,SP_AcqTract_DB[],MATCH(AN$2,SP_AcqTract_DB[#Headers],0),FALSE),"")</f>
        <v>0</v>
      </c>
      <c r="AO138" s="228">
        <f>IFERROR(VLOOKUP($A138,SP_AcqTract_DB[],MATCH(AO$2,SP_AcqTract_DB[#Headers],0),FALSE),"")</f>
        <v>0</v>
      </c>
      <c r="AP138" s="210">
        <f>IFERROR(VLOOKUP($A138,SP_AcqTract_DB[],MATCH(AP$2,SP_AcqTract_DB[#Headers],0),FALSE),"")</f>
        <v>0</v>
      </c>
      <c r="AQ138" s="252" t="str">
        <f>IFERROR(IF(VLOOKUP(CONCATENATE($A138,"_",AQ$1),SP_ACQ_Lib[],MATCH(AQ$2,SP_ACQ_Lib[#Headers],0),FALSE)=0,"",VLOOKUP(CONCATENATE($A138,"_",AQ$1),SP_ACQ_Lib[],MATCH(AQ$2,SP_ACQ_Lib[#Headers],0),FALSE)),"")</f>
        <v/>
      </c>
      <c r="AR138" s="250" t="str">
        <f>IFERROR(IF(VLOOKUP(CONCATENATE($A138,"_",AR$1),SP_ACQ_Lib[],MATCH(AR$2,SP_ACQ_Lib[#Headers],0),FALSE)=0,"",VLOOKUP(CONCATENATE($A138,"_",AR$1),SP_ACQ_Lib[],MATCH(AR$2,SP_ACQ_Lib[#Headers],0),FALSE)),"")</f>
        <v/>
      </c>
      <c r="AS138" s="249" t="str">
        <f>IFERROR(IF(VLOOKUP(CONCATENATE($A138,"_",AS$1),SP_ACQ_Lib[],MATCH(AS$2,SP_ACQ_Lib[#Headers],0),FALSE)=0,"",VLOOKUP(CONCATENATE($A138,"_",AS$1),SP_ACQ_Lib[],MATCH(AS$2,SP_ACQ_Lib[#Headers],0),FALSE)),"")</f>
        <v/>
      </c>
      <c r="AT138" s="251" t="str">
        <f>IFERROR(IF(VLOOKUP(CONCATENATE($A138,"_",AT$1),SP_ACQ_Lib[],MATCH(AT$2,SP_ACQ_Lib[#Headers],0),FALSE)=0,"",VLOOKUP(CONCATENATE($A138,"_",AT$1),SP_ACQ_Lib[],MATCH(AT$2,SP_ACQ_Lib[#Headers],0),FALSE)),"")</f>
        <v/>
      </c>
      <c r="AU138" s="251" t="str">
        <f>IFERROR(IF(VLOOKUP(CONCATENATE($A138,"_",AU$1),SP_ACQ_Lib[],MATCH(AU$2,SP_ACQ_Lib[#Headers],0),FALSE)=0,"",VLOOKUP(CONCATENATE($A138,"_",AU$1),SP_ACQ_Lib[],MATCH(AU$2,SP_ACQ_Lib[#Headers],0),FALSE)),"")</f>
        <v/>
      </c>
      <c r="AV138" s="225" t="str">
        <f>IFERROR(IF(VLOOKUP(CONCATENATE($A138,"_",AV$1),SP_ACQ_Lib[],MATCH(AV$2,SP_ACQ_Lib[#Headers],0),FALSE)=0,"",VLOOKUP(CONCATENATE($A138,"_",AV$1),SP_ACQ_Lib[],MATCH(AV$2,SP_ACQ_Lib[#Headers],0),FALSE)),"")</f>
        <v/>
      </c>
      <c r="AW138" s="251" t="str">
        <f>IFERROR(IF(VLOOKUP(CONCATENATE($A138,"_",AW$1),SP_ACQ_Lib[],MATCH(AW$2,SP_ACQ_Lib[#Headers],0),FALSE)=0,"",VLOOKUP(CONCATENATE($A138,"_",AW$1),SP_ACQ_Lib[],MATCH(AW$2,SP_ACQ_Lib[#Headers],0),FALSE)),"")</f>
        <v/>
      </c>
      <c r="AX138" s="251" t="str">
        <f>IFERROR(IF(VLOOKUP(CONCATENATE($A138,"_",AX$1),SP_ACQ_Lib[],MATCH(AX$2,SP_ACQ_Lib[#Headers],0),FALSE)=0,"",VLOOKUP(CONCATENATE($A138,"_",AX$1),SP_ACQ_Lib[],MATCH(AX$2,SP_ACQ_Lib[#Headers],0),FALSE)),"")</f>
        <v/>
      </c>
      <c r="AY138" s="251" t="str">
        <f>IFERROR(IF(VLOOKUP(CONCATENATE($A138,"_",AY$1),SP_ACQ_Lib[],MATCH(AY$2,SP_ACQ_Lib[#Headers],0),FALSE)=0,"",VLOOKUP(CONCATENATE($A138,"_",AY$1),SP_ACQ_Lib[],MATCH(AY$2,SP_ACQ_Lib[#Headers],0),FALSE)),"")</f>
        <v/>
      </c>
      <c r="AZ138" s="251" t="str">
        <f>IFERROR(IF(VLOOKUP(CONCATENATE($A138,"_",AZ$1),SP_ACQ_Lib[],MATCH(AZ$2,SP_ACQ_Lib[#Headers],0),FALSE)=0,"",VLOOKUP(CONCATENATE($A138,"_",AZ$1),SP_ACQ_Lib[],MATCH(AZ$2,SP_ACQ_Lib[#Headers],0),FALSE)),"")</f>
        <v/>
      </c>
      <c r="BA138" s="251" t="str">
        <f>IFERROR(IF(VLOOKUP(CONCATENATE($A138,"_",BA$1),SP_ACQ_Lib[],MATCH(BA$2,SP_ACQ_Lib[#Headers],0),FALSE)=0,"",VLOOKUP(CONCATENATE($A138,"_",BA$1),SP_ACQ_Lib[],MATCH(BA$2,SP_ACQ_Lib[#Headers],0),FALSE)),"")</f>
        <v/>
      </c>
      <c r="BB138" s="224">
        <f>IFERROR(VLOOKUP(CONCATENATE($A138,"_",BB$1),SP_ACQ_Lib[],MATCH(BB$2,SP_ACQ_Lib[#Headers],0),FALSE),0)</f>
        <v>0</v>
      </c>
      <c r="BC138" s="231">
        <f>IFERROR(VLOOKUP($A138,SP_AcqTract_DB[],MATCH(BC$2,SP_AcqTract_DB[#Headers],0),FALSE),"")</f>
        <v>0</v>
      </c>
      <c r="BD138" s="231">
        <f>IFERROR(VLOOKUP($A138,SP_AcqTract_DB[],MATCH(BD$2,SP_AcqTract_DB[#Headers],0),FALSE),"")</f>
        <v>0</v>
      </c>
      <c r="BE138" s="249" t="str">
        <f>IFERROR(IF(VLOOKUP(CONCATENATE($A138,"_",BE$1),SP_ACQ_Lib[],MATCH(BE$2,SP_ACQ_Lib[#Headers],0),FALSE)=0,"",VLOOKUP(CONCATENATE($A138,"_",BE$1),SP_ACQ_Lib[],MATCH(BE$2,SP_ACQ_Lib[#Headers],0),FALSE)),"")</f>
        <v/>
      </c>
      <c r="BF138" s="249" t="str">
        <f>IFERROR(IF(VLOOKUP(CONCATENATE($A138,"_",BF$1),SP_ACQ_Lib[],MATCH(BF$2,SP_ACQ_Lib[#Headers],0),FALSE)=0,"",VLOOKUP(CONCATENATE($A138,"_",BF$1),SP_ACQ_Lib[],MATCH(BF$2,SP_ACQ_Lib[#Headers],0),FALSE)),"")</f>
        <v/>
      </c>
      <c r="BG138" s="249" t="str">
        <f>IFERROR(IF(VLOOKUP(CONCATENATE($A138,"_",BG$1),SP_ACQ_Lib[],MATCH(BG$2,SP_ACQ_Lib[#Headers],0),FALSE)=0,"",VLOOKUP(CONCATENATE($A138,"_",BG$1),SP_ACQ_Lib[],MATCH(BG$2,SP_ACQ_Lib[#Headers],0),FALSE)),"")</f>
        <v/>
      </c>
      <c r="BH138" s="249" t="str">
        <f>IFERROR(IF(VLOOKUP(CONCATENATE($A138,"_",BH$1),SP_ACQ_Lib[],MATCH(BH$2,SP_ACQ_Lib[#Headers],0),FALSE)=0,"",VLOOKUP(CONCATENATE($A138,"_",BH$1),SP_ACQ_Lib[],MATCH(BH$2,SP_ACQ_Lib[#Headers],0),FALSE)),"")</f>
        <v/>
      </c>
      <c r="BI138" s="249" t="str">
        <f>IFERROR(IF(VLOOKUP(CONCATENATE($A138,"_",BI$1),SP_ACQ_Lib[],MATCH(BI$2,SP_ACQ_Lib[#Headers],0),FALSE)=0,"",VLOOKUP(CONCATENATE($A138,"_",BI$1),SP_ACQ_Lib[],MATCH(BI$2,SP_ACQ_Lib[#Headers],0),FALSE)),"")</f>
        <v/>
      </c>
      <c r="BJ138" s="249" t="str">
        <f>IFERROR(IF(VLOOKUP(CONCATENATE($A138,"_",BJ$1),SP_ACQ_Lib[],MATCH(BJ$2,SP_ACQ_Lib[#Headers],0),FALSE)=0,"",VLOOKUP(CONCATENATE($A138,"_",BJ$1),SP_ACQ_Lib[],MATCH(BJ$2,SP_ACQ_Lib[#Headers],0),FALSE)),"")</f>
        <v/>
      </c>
      <c r="BK138" s="250" t="str">
        <f>IFERROR(IF(VLOOKUP(CONCATENATE($A138,"_",BK$1),SP_ACQ_Lib[],MATCH(BK$2,SP_ACQ_Lib[#Headers],0),FALSE)=0,"",VLOOKUP(CONCATENATE($A138,"_",BK$1),SP_ACQ_Lib[],MATCH(BK$2,SP_ACQ_Lib[#Headers],0),FALSE)),"")</f>
        <v/>
      </c>
      <c r="BL138" s="249" t="str">
        <f>IFERROR(IF(VLOOKUP(CONCATENATE($A138,"_",BL$1),SP_ACQ_Lib[],MATCH(BL$2,SP_ACQ_Lib[#Headers],0),FALSE)=0,"",VLOOKUP(CONCATENATE($A138,"_",BL$1),SP_ACQ_Lib[],MATCH(BL$2,SP_ACQ_Lib[#Headers],0),FALSE)),"")</f>
        <v/>
      </c>
      <c r="BM138" s="249" t="str">
        <f>IFERROR(IF(VLOOKUP(CONCATENATE($A138,"_",BM$1),SP_ACQ_Lib[],MATCH(BM$2,SP_ACQ_Lib[#Headers],0),FALSE)=0,"",VLOOKUP(CONCATENATE($A138,"_",BM$1),SP_ACQ_Lib[],MATCH(BM$2,SP_ACQ_Lib[#Headers],0),FALSE)),"")</f>
        <v/>
      </c>
      <c r="BN138" s="249" t="str">
        <f>IFERROR(IF(VLOOKUP(CONCATENATE($A138,"_",BN$1),SP_ACQ_Lib[],MATCH(BN$2,SP_ACQ_Lib[#Headers],0),FALSE)=0,"",VLOOKUP(CONCATENATE($A138,"_",BN$1),SP_ACQ_Lib[],MATCH(BN$2,SP_ACQ_Lib[#Headers],0),FALSE)),"")</f>
        <v/>
      </c>
    </row>
    <row r="139" spans="1:66" s="226" customFormat="1" ht="15.75" x14ac:dyDescent="0.2">
      <c r="A139" s="192" t="s">
        <v>5385</v>
      </c>
      <c r="B139" s="227" t="str">
        <f>IFERROR(VLOOKUP($A139,SP_AcqTract_DB[],MATCH(B$2,SP_AcqTract_DB[#Headers],0),FALSE),"")</f>
        <v>R018699</v>
      </c>
      <c r="C139" s="228" t="str">
        <f>IFERROR(VLOOKUP($A139,SP_AcqTract_DB[],MATCH(C$2,SP_AcqTract_DB[#Headers],0),FALSE),"")</f>
        <v>PH2</v>
      </c>
      <c r="D139" s="208" t="str">
        <f>IFERROR(VLOOKUP($A139,SP_AcqTract_DB[],MATCH(D$2,SP_AcqTract_DB[#Headers],0),FALSE),"")</f>
        <v>Active</v>
      </c>
      <c r="E139" s="208">
        <f>IFERROR(VLOOKUP($A139,SP_AcqTract_DB[],MATCH(E$2,SP_AcqTract_DB[#Headers],0),FALSE),"")</f>
        <v>0</v>
      </c>
      <c r="F139" s="227">
        <f>IFERROR(VLOOKUP($A139,SP_AcqTract_DB[],MATCH(F$2,SP_AcqTract_DB[#Headers],0),FALSE),"")</f>
        <v>0</v>
      </c>
      <c r="G139" s="227">
        <f>IFERROR(VLOOKUP($A139,SP_AcqTract_DB[],MATCH(G$2,SP_AcqTract_DB[#Headers],0),FALSE),"")</f>
        <v>0</v>
      </c>
      <c r="H139" s="250" t="str">
        <f>IFERROR(IF(VLOOKUP(CONCATENATE($A139,"_",H$1),SP_ACQ_Lib[],MATCH(H$2,SP_ACQ_Lib[#Headers],0),FALSE)=0,"",VLOOKUP(CONCATENATE($A139,"_",H$1),SP_ACQ_Lib[],MATCH(H$2,SP_ACQ_Lib[#Headers],0),FALSE)),"")</f>
        <v/>
      </c>
      <c r="I139" s="227" t="str">
        <f>IFERROR(VLOOKUP($A139,SP_AcqTract_DB[],MATCH(I$2,SP_AcqTract_DB[#Headers],0),FALSE),"")</f>
        <v>Wharton City Of %Cabrera Sergio</v>
      </c>
      <c r="J139" s="227">
        <f>IFERROR(VLOOKUP($A139,SP_AcqTract_DB[],MATCH(J$2,SP_AcqTract_DB[#Headers],0),FALSE),"")</f>
        <v>0</v>
      </c>
      <c r="K139" s="227">
        <f>IFERROR(VLOOKUP($A139,SP_AcqTract_DB[],MATCH(K$2,SP_AcqTract_DB[#Headers],0),FALSE),"")</f>
        <v>0</v>
      </c>
      <c r="L139" s="227">
        <f>IFERROR(VLOOKUP($A139,SP_AcqTract_DB[],MATCH(L$2,SP_AcqTract_DB[#Headers],0),FALSE),"")</f>
        <v>0</v>
      </c>
      <c r="M139" s="208">
        <f>IFERROR(VLOOKUP($A139,SP_AcqTract_DB[],MATCH(M$2,SP_AcqTract_DB[#Headers],0),FALSE),"")</f>
        <v>0</v>
      </c>
      <c r="N139" s="227" t="str">
        <f>IFERROR(VLOOKUP($A139,SP_AcqTract_DB[],MATCH(N$2,SP_AcqTract_DB[#Headers],0),FALSE),"")</f>
        <v>0 W ELM</v>
      </c>
      <c r="O139" s="220">
        <f>IFERROR(VLOOKUP($A139,SP_AcqTract_DB[],MATCH(O$2,SP_AcqTract_DB[#Headers],0),FALSE),"")</f>
        <v>0</v>
      </c>
      <c r="P139" s="220">
        <f>IFERROR(VLOOKUP($A139,SP_AcqTract_DB[],MATCH(P$2,SP_AcqTract_DB[#Headers],0),FALSE),"")</f>
        <v>0</v>
      </c>
      <c r="Q139" s="208">
        <f>IFERROR(VLOOKUP($A139,SP_AcqTract_DB[],MATCH(Q$2,SP_AcqTract_DB[#Headers],0),FALSE),"")</f>
        <v>0</v>
      </c>
      <c r="R139" s="250" t="str">
        <f>IFERROR(IF(VLOOKUP(CONCATENATE($A139,"_",R$1),SP_ACQ_Lib[],MATCH(R$2,SP_ACQ_Lib[#Headers],0),FALSE)=0,"",VLOOKUP(CONCATENATE($A139,"_",R$1),SP_ACQ_Lib[],MATCH(R$2,SP_ACQ_Lib[#Headers],0),FALSE)),"")</f>
        <v/>
      </c>
      <c r="S139" s="253" t="str">
        <f>IFERROR(IF(VLOOKUP(CONCATENATE($A139,"_",S$1),SP_ACQ_Lib[],MATCH(S$2,SP_ACQ_Lib[#Headers],0),FALSE)=0,"",VLOOKUP(CONCATENATE($A139,"_",S$1),SP_ACQ_Lib[],MATCH(S$2,SP_ACQ_Lib[#Headers],0),FALSE)),"")</f>
        <v/>
      </c>
      <c r="T139" s="205">
        <f>IFERROR(VLOOKUP(CONCATENATE($A139,"_",T$1),SP_ACQ_Lib[],MATCH(T$2,SP_ACQ_Lib[#Headers],0),FALSE),0)</f>
        <v>0</v>
      </c>
      <c r="U139" s="250" t="str">
        <f>IFERROR(IF(VLOOKUP(CONCATENATE($A139,"_",U$1),SP_ACQ_Lib[],MATCH(U$2,SP_ACQ_Lib[#Headers],0),FALSE)=0,"",VLOOKUP(CONCATENATE($A139,"_",U$1),SP_ACQ_Lib[],MATCH(U$2,SP_ACQ_Lib[#Headers],0),FALSE)),"")</f>
        <v/>
      </c>
      <c r="V139" s="205" t="str">
        <f>IFERROR(VLOOKUP(CONCATENATE($A139,"_",V$1),SP_ACQ_Lib[],MATCH(V$2,SP_ACQ_Lib[#Headers],0),FALSE),0)</f>
        <v>Accepted</v>
      </c>
      <c r="W139" s="209">
        <f>IFERROR(VLOOKUP(CONCATENATE($A139,"_",W$1),SP_ACQ_Lib[],MATCH(W$2,SP_ACQ_Lib[#Headers],0),FALSE),0)</f>
        <v>0</v>
      </c>
      <c r="X139" s="250">
        <f>IFERROR(VLOOKUP($A139,SP_AcqTract_DB[],MATCH(X$2,SP_AcqTract_DB[#Headers],0),FALSE),"")</f>
        <v>0</v>
      </c>
      <c r="Y139" s="237">
        <f>IFERROR(VLOOKUP($A139,SP_AcqTract_DB[],MATCH(Y$2,SP_AcqTract_DB[#Headers],0),FALSE),"")</f>
        <v>0</v>
      </c>
      <c r="Z139" s="229">
        <f>IFERROR(VLOOKUP($A139,SP_AcqTract_DB[],MATCH(Z$2,SP_AcqTract_DB[#Headers],0),FALSE),"")</f>
        <v>0</v>
      </c>
      <c r="AA139" s="229">
        <f>IFERROR(VLOOKUP($A139,SP_AcqTract_DB[],MATCH(AA$2,SP_AcqTract_DB[#Headers],0),FALSE),"")</f>
        <v>0</v>
      </c>
      <c r="AB139" s="250" t="str">
        <f>IFERROR(IF(VLOOKUP(CONCATENATE($A139,"_",AB$1),SP_ACQ_Lib[],MATCH(AB$2,SP_ACQ_Lib[#Headers],0),FALSE)=0,"",VLOOKUP(CONCATENATE($A139,"_",AB$1),SP_ACQ_Lib[],MATCH(AB$2,SP_ACQ_Lib[#Headers],0),FALSE)),"")</f>
        <v/>
      </c>
      <c r="AC139" s="250" t="str">
        <f>IFERROR(IF(VLOOKUP(CONCATENATE($A139,"_",AC$1),SP_ACQ_Lib[],MATCH(AC$2,SP_ACQ_Lib[#Headers],0),FALSE)=0,"",VLOOKUP(CONCATENATE($A139,"_",AC$1),SP_ACQ_Lib[],MATCH(AC$2,SP_ACQ_Lib[#Headers],0),FALSE)),"")</f>
        <v/>
      </c>
      <c r="AD139" s="229">
        <f>IFERROR(VLOOKUP($A139,SP_AcqTract_DB[],MATCH(AD$2,SP_AcqTract_DB[#Headers],0),FALSE),"")</f>
        <v>0</v>
      </c>
      <c r="AE139" s="250" t="str">
        <f>IFERROR(IF(VLOOKUP(CONCATENATE($A139,"_",AE$1),SP_ACQ_Lib[],MATCH(AE$2,SP_ACQ_Lib[#Headers],0),FALSE)=0,"",VLOOKUP(CONCATENATE($A139,"_",AE$1),SP_ACQ_Lib[],MATCH(AE$2,SP_ACQ_Lib[#Headers],0),FALSE)),"")</f>
        <v/>
      </c>
      <c r="AF139" s="250" t="str">
        <f>IFERROR(IF(VLOOKUP(CONCATENATE($A139,"_",AF$1),SP_ACQ_Lib[],MATCH(AF$2,SP_ACQ_Lib[#Headers],0),FALSE)=0,"",VLOOKUP(CONCATENATE($A139,"_",AF$1),SP_ACQ_Lib[],MATCH(AF$2,SP_ACQ_Lib[#Headers],0),FALSE)),"")</f>
        <v/>
      </c>
      <c r="AG139" s="250" t="str">
        <f>IFERROR(IF(VLOOKUP(CONCATENATE($A139,"_",AG$1),SP_ACQ_Lib[],MATCH(AG$2,SP_ACQ_Lib[#Headers],0),FALSE)=0,"",VLOOKUP(CONCATENATE($A139,"_",AG$1),SP_ACQ_Lib[],MATCH(AG$2,SP_ACQ_Lib[#Headers],0),FALSE)),"")</f>
        <v/>
      </c>
      <c r="AH139" s="250" t="str">
        <f>IFERROR(IF(VLOOKUP(CONCATENATE($A139,"_",AH$1),SP_ACQ_Lib[],MATCH(AH$2,SP_ACQ_Lib[#Headers],0),FALSE)=0,"",VLOOKUP(CONCATENATE($A139,"_",AH$1),SP_ACQ_Lib[],MATCH(AH$2,SP_ACQ_Lib[#Headers],0),FALSE)),"")</f>
        <v/>
      </c>
      <c r="AI139" s="249" t="str">
        <f>IFERROR(IF(VLOOKUP(CONCATENATE($A139,"_",AI$1),SP_ACQ_Lib[],MATCH(AI$2,SP_ACQ_Lib[#Headers],0),FALSE)=0,"",VLOOKUP(CONCATENATE($A139,"_",AI$1),SP_ACQ_Lib[],MATCH(AI$2,SP_ACQ_Lib[#Headers],0),FALSE)),"")</f>
        <v/>
      </c>
      <c r="AJ139" s="249">
        <f>IFERROR(IF(VLOOKUP(CONCATENATE($A139,"_",AJ$1),SP_ACQ_Lib[],MATCH(AJ$2,SP_ACQ_Lib[#Headers],0),FALSE)=0,"",VLOOKUP(CONCATENATE($A139,"_",AJ$1),SP_ACQ_Lib[],MATCH(AJ$2,SP_ACQ_Lib[#Headers],0),FALSE)),"")</f>
        <v>43976</v>
      </c>
      <c r="AK139" s="249">
        <f>IFERROR(IF(VLOOKUP(CONCATENATE($A139,"_",AK$1),SP_ACQ_Lib[],MATCH(AK$2,SP_ACQ_Lib[#Headers],0),FALSE)=0,"",VLOOKUP(CONCATENATE($A139,"_",AK$1),SP_ACQ_Lib[],MATCH(AK$2,SP_ACQ_Lib[#Headers],0),FALSE)),"")</f>
        <v>44160</v>
      </c>
      <c r="AL139" s="249">
        <f>IFERROR(VLOOKUP($A139,SP_AcqTract_DB[],MATCH(AL$2,SP_AcqTract_DB[#Headers],0),FALSE),"")</f>
        <v>0</v>
      </c>
      <c r="AM139" s="227">
        <f>IFERROR(VLOOKUP($A139,SP_AcqTract_DB[],MATCH(AM$2,SP_AcqTract_DB[#Headers],0),FALSE),"")</f>
        <v>0</v>
      </c>
      <c r="AN139" s="227">
        <f>IFERROR(VLOOKUP($A139,SP_AcqTract_DB[],MATCH(AN$2,SP_AcqTract_DB[#Headers],0),FALSE),"")</f>
        <v>0</v>
      </c>
      <c r="AO139" s="228">
        <f>IFERROR(VLOOKUP($A139,SP_AcqTract_DB[],MATCH(AO$2,SP_AcqTract_DB[#Headers],0),FALSE),"")</f>
        <v>0</v>
      </c>
      <c r="AP139" s="210">
        <f>IFERROR(VLOOKUP($A139,SP_AcqTract_DB[],MATCH(AP$2,SP_AcqTract_DB[#Headers],0),FALSE),"")</f>
        <v>0</v>
      </c>
      <c r="AQ139" s="252" t="str">
        <f>IFERROR(IF(VLOOKUP(CONCATENATE($A139,"_",AQ$1),SP_ACQ_Lib[],MATCH(AQ$2,SP_ACQ_Lib[#Headers],0),FALSE)=0,"",VLOOKUP(CONCATENATE($A139,"_",AQ$1),SP_ACQ_Lib[],MATCH(AQ$2,SP_ACQ_Lib[#Headers],0),FALSE)),"")</f>
        <v/>
      </c>
      <c r="AR139" s="250" t="str">
        <f>IFERROR(IF(VLOOKUP(CONCATENATE($A139,"_",AR$1),SP_ACQ_Lib[],MATCH(AR$2,SP_ACQ_Lib[#Headers],0),FALSE)=0,"",VLOOKUP(CONCATENATE($A139,"_",AR$1),SP_ACQ_Lib[],MATCH(AR$2,SP_ACQ_Lib[#Headers],0),FALSE)),"")</f>
        <v/>
      </c>
      <c r="AS139" s="249" t="str">
        <f>IFERROR(IF(VLOOKUP(CONCATENATE($A139,"_",AS$1),SP_ACQ_Lib[],MATCH(AS$2,SP_ACQ_Lib[#Headers],0),FALSE)=0,"",VLOOKUP(CONCATENATE($A139,"_",AS$1),SP_ACQ_Lib[],MATCH(AS$2,SP_ACQ_Lib[#Headers],0),FALSE)),"")</f>
        <v/>
      </c>
      <c r="AT139" s="251" t="str">
        <f>IFERROR(IF(VLOOKUP(CONCATENATE($A139,"_",AT$1),SP_ACQ_Lib[],MATCH(AT$2,SP_ACQ_Lib[#Headers],0),FALSE)=0,"",VLOOKUP(CONCATENATE($A139,"_",AT$1),SP_ACQ_Lib[],MATCH(AT$2,SP_ACQ_Lib[#Headers],0),FALSE)),"")</f>
        <v/>
      </c>
      <c r="AU139" s="251" t="str">
        <f>IFERROR(IF(VLOOKUP(CONCATENATE($A139,"_",AU$1),SP_ACQ_Lib[],MATCH(AU$2,SP_ACQ_Lib[#Headers],0),FALSE)=0,"",VLOOKUP(CONCATENATE($A139,"_",AU$1),SP_ACQ_Lib[],MATCH(AU$2,SP_ACQ_Lib[#Headers],0),FALSE)),"")</f>
        <v/>
      </c>
      <c r="AV139" s="225" t="str">
        <f>IFERROR(IF(VLOOKUP(CONCATENATE($A139,"_",AV$1),SP_ACQ_Lib[],MATCH(AV$2,SP_ACQ_Lib[#Headers],0),FALSE)=0,"",VLOOKUP(CONCATENATE($A139,"_",AV$1),SP_ACQ_Lib[],MATCH(AV$2,SP_ACQ_Lib[#Headers],0),FALSE)),"")</f>
        <v/>
      </c>
      <c r="AW139" s="251" t="str">
        <f>IFERROR(IF(VLOOKUP(CONCATENATE($A139,"_",AW$1),SP_ACQ_Lib[],MATCH(AW$2,SP_ACQ_Lib[#Headers],0),FALSE)=0,"",VLOOKUP(CONCATENATE($A139,"_",AW$1),SP_ACQ_Lib[],MATCH(AW$2,SP_ACQ_Lib[#Headers],0),FALSE)),"")</f>
        <v/>
      </c>
      <c r="AX139" s="251" t="str">
        <f>IFERROR(IF(VLOOKUP(CONCATENATE($A139,"_",AX$1),SP_ACQ_Lib[],MATCH(AX$2,SP_ACQ_Lib[#Headers],0),FALSE)=0,"",VLOOKUP(CONCATENATE($A139,"_",AX$1),SP_ACQ_Lib[],MATCH(AX$2,SP_ACQ_Lib[#Headers],0),FALSE)),"")</f>
        <v/>
      </c>
      <c r="AY139" s="251" t="str">
        <f>IFERROR(IF(VLOOKUP(CONCATENATE($A139,"_",AY$1),SP_ACQ_Lib[],MATCH(AY$2,SP_ACQ_Lib[#Headers],0),FALSE)=0,"",VLOOKUP(CONCATENATE($A139,"_",AY$1),SP_ACQ_Lib[],MATCH(AY$2,SP_ACQ_Lib[#Headers],0),FALSE)),"")</f>
        <v/>
      </c>
      <c r="AZ139" s="251" t="str">
        <f>IFERROR(IF(VLOOKUP(CONCATENATE($A139,"_",AZ$1),SP_ACQ_Lib[],MATCH(AZ$2,SP_ACQ_Lib[#Headers],0),FALSE)=0,"",VLOOKUP(CONCATENATE($A139,"_",AZ$1),SP_ACQ_Lib[],MATCH(AZ$2,SP_ACQ_Lib[#Headers],0),FALSE)),"")</f>
        <v/>
      </c>
      <c r="BA139" s="251" t="str">
        <f>IFERROR(IF(VLOOKUP(CONCATENATE($A139,"_",BA$1),SP_ACQ_Lib[],MATCH(BA$2,SP_ACQ_Lib[#Headers],0),FALSE)=0,"",VLOOKUP(CONCATENATE($A139,"_",BA$1),SP_ACQ_Lib[],MATCH(BA$2,SP_ACQ_Lib[#Headers],0),FALSE)),"")</f>
        <v/>
      </c>
      <c r="BB139" s="224">
        <f>IFERROR(VLOOKUP(CONCATENATE($A139,"_",BB$1),SP_ACQ_Lib[],MATCH(BB$2,SP_ACQ_Lib[#Headers],0),FALSE),0)</f>
        <v>0</v>
      </c>
      <c r="BC139" s="231">
        <f>IFERROR(VLOOKUP($A139,SP_AcqTract_DB[],MATCH(BC$2,SP_AcqTract_DB[#Headers],0),FALSE),"")</f>
        <v>0</v>
      </c>
      <c r="BD139" s="231">
        <f>IFERROR(VLOOKUP($A139,SP_AcqTract_DB[],MATCH(BD$2,SP_AcqTract_DB[#Headers],0),FALSE),"")</f>
        <v>0</v>
      </c>
      <c r="BE139" s="249" t="str">
        <f>IFERROR(IF(VLOOKUP(CONCATENATE($A139,"_",BE$1),SP_ACQ_Lib[],MATCH(BE$2,SP_ACQ_Lib[#Headers],0),FALSE)=0,"",VLOOKUP(CONCATENATE($A139,"_",BE$1),SP_ACQ_Lib[],MATCH(BE$2,SP_ACQ_Lib[#Headers],0),FALSE)),"")</f>
        <v/>
      </c>
      <c r="BF139" s="249" t="str">
        <f>IFERROR(IF(VLOOKUP(CONCATENATE($A139,"_",BF$1),SP_ACQ_Lib[],MATCH(BF$2,SP_ACQ_Lib[#Headers],0),FALSE)=0,"",VLOOKUP(CONCATENATE($A139,"_",BF$1),SP_ACQ_Lib[],MATCH(BF$2,SP_ACQ_Lib[#Headers],0),FALSE)),"")</f>
        <v/>
      </c>
      <c r="BG139" s="249" t="str">
        <f>IFERROR(IF(VLOOKUP(CONCATENATE($A139,"_",BG$1),SP_ACQ_Lib[],MATCH(BG$2,SP_ACQ_Lib[#Headers],0),FALSE)=0,"",VLOOKUP(CONCATENATE($A139,"_",BG$1),SP_ACQ_Lib[],MATCH(BG$2,SP_ACQ_Lib[#Headers],0),FALSE)),"")</f>
        <v/>
      </c>
      <c r="BH139" s="249" t="str">
        <f>IFERROR(IF(VLOOKUP(CONCATENATE($A139,"_",BH$1),SP_ACQ_Lib[],MATCH(BH$2,SP_ACQ_Lib[#Headers],0),FALSE)=0,"",VLOOKUP(CONCATENATE($A139,"_",BH$1),SP_ACQ_Lib[],MATCH(BH$2,SP_ACQ_Lib[#Headers],0),FALSE)),"")</f>
        <v/>
      </c>
      <c r="BI139" s="249" t="str">
        <f>IFERROR(IF(VLOOKUP(CONCATENATE($A139,"_",BI$1),SP_ACQ_Lib[],MATCH(BI$2,SP_ACQ_Lib[#Headers],0),FALSE)=0,"",VLOOKUP(CONCATENATE($A139,"_",BI$1),SP_ACQ_Lib[],MATCH(BI$2,SP_ACQ_Lib[#Headers],0),FALSE)),"")</f>
        <v/>
      </c>
      <c r="BJ139" s="249" t="str">
        <f>IFERROR(IF(VLOOKUP(CONCATENATE($A139,"_",BJ$1),SP_ACQ_Lib[],MATCH(BJ$2,SP_ACQ_Lib[#Headers],0),FALSE)=0,"",VLOOKUP(CONCATENATE($A139,"_",BJ$1),SP_ACQ_Lib[],MATCH(BJ$2,SP_ACQ_Lib[#Headers],0),FALSE)),"")</f>
        <v/>
      </c>
      <c r="BK139" s="250" t="str">
        <f>IFERROR(IF(VLOOKUP(CONCATENATE($A139,"_",BK$1),SP_ACQ_Lib[],MATCH(BK$2,SP_ACQ_Lib[#Headers],0),FALSE)=0,"",VLOOKUP(CONCATENATE($A139,"_",BK$1),SP_ACQ_Lib[],MATCH(BK$2,SP_ACQ_Lib[#Headers],0),FALSE)),"")</f>
        <v/>
      </c>
      <c r="BL139" s="249" t="str">
        <f>IFERROR(IF(VLOOKUP(CONCATENATE($A139,"_",BL$1),SP_ACQ_Lib[],MATCH(BL$2,SP_ACQ_Lib[#Headers],0),FALSE)=0,"",VLOOKUP(CONCATENATE($A139,"_",BL$1),SP_ACQ_Lib[],MATCH(BL$2,SP_ACQ_Lib[#Headers],0),FALSE)),"")</f>
        <v/>
      </c>
      <c r="BM139" s="249" t="str">
        <f>IFERROR(IF(VLOOKUP(CONCATENATE($A139,"_",BM$1),SP_ACQ_Lib[],MATCH(BM$2,SP_ACQ_Lib[#Headers],0),FALSE)=0,"",VLOOKUP(CONCATENATE($A139,"_",BM$1),SP_ACQ_Lib[],MATCH(BM$2,SP_ACQ_Lib[#Headers],0),FALSE)),"")</f>
        <v/>
      </c>
      <c r="BN139" s="249" t="str">
        <f>IFERROR(IF(VLOOKUP(CONCATENATE($A139,"_",BN$1),SP_ACQ_Lib[],MATCH(BN$2,SP_ACQ_Lib[#Headers],0),FALSE)=0,"",VLOOKUP(CONCATENATE($A139,"_",BN$1),SP_ACQ_Lib[],MATCH(BN$2,SP_ACQ_Lib[#Headers],0),FALSE)),"")</f>
        <v/>
      </c>
    </row>
    <row r="140" spans="1:66" s="226" customFormat="1" ht="15.75" x14ac:dyDescent="0.2">
      <c r="A140" s="192" t="s">
        <v>5724</v>
      </c>
      <c r="B140" s="227" t="str">
        <f>IFERROR(VLOOKUP($A140,SP_AcqTract_DB[],MATCH(B$2,SP_AcqTract_DB[#Headers],0),FALSE),"")</f>
        <v>R062995</v>
      </c>
      <c r="C140" s="228" t="str">
        <f>IFERROR(VLOOKUP($A140,SP_AcqTract_DB[],MATCH(C$2,SP_AcqTract_DB[#Headers],0),FALSE),"")</f>
        <v>PH2</v>
      </c>
      <c r="D140" s="208" t="str">
        <f>IFERROR(VLOOKUP($A140,SP_AcqTract_DB[],MATCH(D$2,SP_AcqTract_DB[#Headers],0),FALSE),"")</f>
        <v>Active</v>
      </c>
      <c r="E140" s="208">
        <f>IFERROR(VLOOKUP($A140,SP_AcqTract_DB[],MATCH(E$2,SP_AcqTract_DB[#Headers],0),FALSE),"")</f>
        <v>0</v>
      </c>
      <c r="F140" s="227">
        <f>IFERROR(VLOOKUP($A140,SP_AcqTract_DB[],MATCH(F$2,SP_AcqTract_DB[#Headers],0),FALSE),"")</f>
        <v>0</v>
      </c>
      <c r="G140" s="227">
        <f>IFERROR(VLOOKUP($A140,SP_AcqTract_DB[],MATCH(G$2,SP_AcqTract_DB[#Headers],0),FALSE),"")</f>
        <v>0</v>
      </c>
      <c r="H140" s="250" t="str">
        <f>IFERROR(IF(VLOOKUP(CONCATENATE($A140,"_",H$1),SP_ACQ_Lib[],MATCH(H$2,SP_ACQ_Lib[#Headers],0),FALSE)=0,"",VLOOKUP(CONCATENATE($A140,"_",H$1),SP_ACQ_Lib[],MATCH(H$2,SP_ACQ_Lib[#Headers],0),FALSE)),"")</f>
        <v/>
      </c>
      <c r="I140" s="227" t="str">
        <f>IFERROR(VLOOKUP($A140,SP_AcqTract_DB[],MATCH(I$2,SP_AcqTract_DB[#Headers],0),FALSE),"")</f>
        <v>City Of Wharton</v>
      </c>
      <c r="J140" s="227">
        <f>IFERROR(VLOOKUP($A140,SP_AcqTract_DB[],MATCH(J$2,SP_AcqTract_DB[#Headers],0),FALSE),"")</f>
        <v>0</v>
      </c>
      <c r="K140" s="227">
        <f>IFERROR(VLOOKUP($A140,SP_AcqTract_DB[],MATCH(K$2,SP_AcqTract_DB[#Headers],0),FALSE),"")</f>
        <v>0</v>
      </c>
      <c r="L140" s="227">
        <f>IFERROR(VLOOKUP($A140,SP_AcqTract_DB[],MATCH(L$2,SP_AcqTract_DB[#Headers],0),FALSE),"")</f>
        <v>0</v>
      </c>
      <c r="M140" s="208">
        <f>IFERROR(VLOOKUP($A140,SP_AcqTract_DB[],MATCH(M$2,SP_AcqTract_DB[#Headers],0),FALSE),"")</f>
        <v>0</v>
      </c>
      <c r="N140" s="227" t="str">
        <f>IFERROR(VLOOKUP($A140,SP_AcqTract_DB[],MATCH(N$2,SP_AcqTract_DB[#Headers],0),FALSE),"")</f>
        <v>900 S E AVE</v>
      </c>
      <c r="O140" s="220">
        <f>IFERROR(VLOOKUP($A140,SP_AcqTract_DB[],MATCH(O$2,SP_AcqTract_DB[#Headers],0),FALSE),"")</f>
        <v>0</v>
      </c>
      <c r="P140" s="220">
        <f>IFERROR(VLOOKUP($A140,SP_AcqTract_DB[],MATCH(P$2,SP_AcqTract_DB[#Headers],0),FALSE),"")</f>
        <v>0</v>
      </c>
      <c r="Q140" s="208">
        <f>IFERROR(VLOOKUP($A140,SP_AcqTract_DB[],MATCH(Q$2,SP_AcqTract_DB[#Headers],0),FALSE),"")</f>
        <v>0</v>
      </c>
      <c r="R140" s="250" t="str">
        <f>IFERROR(IF(VLOOKUP(CONCATENATE($A140,"_",R$1),SP_ACQ_Lib[],MATCH(R$2,SP_ACQ_Lib[#Headers],0),FALSE)=0,"",VLOOKUP(CONCATENATE($A140,"_",R$1),SP_ACQ_Lib[],MATCH(R$2,SP_ACQ_Lib[#Headers],0),FALSE)),"")</f>
        <v/>
      </c>
      <c r="S140" s="253" t="str">
        <f>IFERROR(IF(VLOOKUP(CONCATENATE($A140,"_",S$1),SP_ACQ_Lib[],MATCH(S$2,SP_ACQ_Lib[#Headers],0),FALSE)=0,"",VLOOKUP(CONCATENATE($A140,"_",S$1),SP_ACQ_Lib[],MATCH(S$2,SP_ACQ_Lib[#Headers],0),FALSE)),"")</f>
        <v/>
      </c>
      <c r="T140" s="205">
        <f>IFERROR(VLOOKUP(CONCATENATE($A140,"_",T$1),SP_ACQ_Lib[],MATCH(T$2,SP_ACQ_Lib[#Headers],0),FALSE),0)</f>
        <v>0</v>
      </c>
      <c r="U140" s="250" t="str">
        <f>IFERROR(IF(VLOOKUP(CONCATENATE($A140,"_",U$1),SP_ACQ_Lib[],MATCH(U$2,SP_ACQ_Lib[#Headers],0),FALSE)=0,"",VLOOKUP(CONCATENATE($A140,"_",U$1),SP_ACQ_Lib[],MATCH(U$2,SP_ACQ_Lib[#Headers],0),FALSE)),"")</f>
        <v/>
      </c>
      <c r="V140" s="205">
        <f>IFERROR(VLOOKUP(CONCATENATE($A140,"_",V$1),SP_ACQ_Lib[],MATCH(V$2,SP_ACQ_Lib[#Headers],0),FALSE),0)</f>
        <v>0</v>
      </c>
      <c r="W140" s="209">
        <f>IFERROR(VLOOKUP(CONCATENATE($A140,"_",W$1),SP_ACQ_Lib[],MATCH(W$2,SP_ACQ_Lib[#Headers],0),FALSE),0)</f>
        <v>0</v>
      </c>
      <c r="X140" s="250">
        <f>IFERROR(VLOOKUP($A140,SP_AcqTract_DB[],MATCH(X$2,SP_AcqTract_DB[#Headers],0),FALSE),"")</f>
        <v>0</v>
      </c>
      <c r="Y140" s="237">
        <f>IFERROR(VLOOKUP($A140,SP_AcqTract_DB[],MATCH(Y$2,SP_AcqTract_DB[#Headers],0),FALSE),"")</f>
        <v>0</v>
      </c>
      <c r="Z140" s="229">
        <f>IFERROR(VLOOKUP($A140,SP_AcqTract_DB[],MATCH(Z$2,SP_AcqTract_DB[#Headers],0),FALSE),"")</f>
        <v>0</v>
      </c>
      <c r="AA140" s="229">
        <f>IFERROR(VLOOKUP($A140,SP_AcqTract_DB[],MATCH(AA$2,SP_AcqTract_DB[#Headers],0),FALSE),"")</f>
        <v>0</v>
      </c>
      <c r="AB140" s="250" t="str">
        <f>IFERROR(IF(VLOOKUP(CONCATENATE($A140,"_",AB$1),SP_ACQ_Lib[],MATCH(AB$2,SP_ACQ_Lib[#Headers],0),FALSE)=0,"",VLOOKUP(CONCATENATE($A140,"_",AB$1),SP_ACQ_Lib[],MATCH(AB$2,SP_ACQ_Lib[#Headers],0),FALSE)),"")</f>
        <v/>
      </c>
      <c r="AC140" s="250" t="str">
        <f>IFERROR(IF(VLOOKUP(CONCATENATE($A140,"_",AC$1),SP_ACQ_Lib[],MATCH(AC$2,SP_ACQ_Lib[#Headers],0),FALSE)=0,"",VLOOKUP(CONCATENATE($A140,"_",AC$1),SP_ACQ_Lib[],MATCH(AC$2,SP_ACQ_Lib[#Headers],0),FALSE)),"")</f>
        <v/>
      </c>
      <c r="AD140" s="229">
        <f>IFERROR(VLOOKUP($A140,SP_AcqTract_DB[],MATCH(AD$2,SP_AcqTract_DB[#Headers],0),FALSE),"")</f>
        <v>0</v>
      </c>
      <c r="AE140" s="250" t="str">
        <f>IFERROR(IF(VLOOKUP(CONCATENATE($A140,"_",AE$1),SP_ACQ_Lib[],MATCH(AE$2,SP_ACQ_Lib[#Headers],0),FALSE)=0,"",VLOOKUP(CONCATENATE($A140,"_",AE$1),SP_ACQ_Lib[],MATCH(AE$2,SP_ACQ_Lib[#Headers],0),FALSE)),"")</f>
        <v/>
      </c>
      <c r="AF140" s="250" t="str">
        <f>IFERROR(IF(VLOOKUP(CONCATENATE($A140,"_",AF$1),SP_ACQ_Lib[],MATCH(AF$2,SP_ACQ_Lib[#Headers],0),FALSE)=0,"",VLOOKUP(CONCATENATE($A140,"_",AF$1),SP_ACQ_Lib[],MATCH(AF$2,SP_ACQ_Lib[#Headers],0),FALSE)),"")</f>
        <v/>
      </c>
      <c r="AG140" s="250" t="str">
        <f>IFERROR(IF(VLOOKUP(CONCATENATE($A140,"_",AG$1),SP_ACQ_Lib[],MATCH(AG$2,SP_ACQ_Lib[#Headers],0),FALSE)=0,"",VLOOKUP(CONCATENATE($A140,"_",AG$1),SP_ACQ_Lib[],MATCH(AG$2,SP_ACQ_Lib[#Headers],0),FALSE)),"")</f>
        <v/>
      </c>
      <c r="AH140" s="250" t="str">
        <f>IFERROR(IF(VLOOKUP(CONCATENATE($A140,"_",AH$1),SP_ACQ_Lib[],MATCH(AH$2,SP_ACQ_Lib[#Headers],0),FALSE)=0,"",VLOOKUP(CONCATENATE($A140,"_",AH$1),SP_ACQ_Lib[],MATCH(AH$2,SP_ACQ_Lib[#Headers],0),FALSE)),"")</f>
        <v/>
      </c>
      <c r="AI140" s="249" t="str">
        <f>IFERROR(IF(VLOOKUP(CONCATENATE($A140,"_",AI$1),SP_ACQ_Lib[],MATCH(AI$2,SP_ACQ_Lib[#Headers],0),FALSE)=0,"",VLOOKUP(CONCATENATE($A140,"_",AI$1),SP_ACQ_Lib[],MATCH(AI$2,SP_ACQ_Lib[#Headers],0),FALSE)),"")</f>
        <v/>
      </c>
      <c r="AJ140" s="249">
        <f>IFERROR(IF(VLOOKUP(CONCATENATE($A140,"_",AJ$1),SP_ACQ_Lib[],MATCH(AJ$2,SP_ACQ_Lib[#Headers],0),FALSE)=0,"",VLOOKUP(CONCATENATE($A140,"_",AJ$1),SP_ACQ_Lib[],MATCH(AJ$2,SP_ACQ_Lib[#Headers],0),FALSE)),"")</f>
        <v>43976</v>
      </c>
      <c r="AK140" s="249">
        <f>IFERROR(IF(VLOOKUP(CONCATENATE($A140,"_",AK$1),SP_ACQ_Lib[],MATCH(AK$2,SP_ACQ_Lib[#Headers],0),FALSE)=0,"",VLOOKUP(CONCATENATE($A140,"_",AK$1),SP_ACQ_Lib[],MATCH(AK$2,SP_ACQ_Lib[#Headers],0),FALSE)),"")</f>
        <v>44160</v>
      </c>
      <c r="AL140" s="249">
        <f>IFERROR(VLOOKUP($A140,SP_AcqTract_DB[],MATCH(AL$2,SP_AcqTract_DB[#Headers],0),FALSE),"")</f>
        <v>0</v>
      </c>
      <c r="AM140" s="227">
        <f>IFERROR(VLOOKUP($A140,SP_AcqTract_DB[],MATCH(AM$2,SP_AcqTract_DB[#Headers],0),FALSE),"")</f>
        <v>0</v>
      </c>
      <c r="AN140" s="227">
        <f>IFERROR(VLOOKUP($A140,SP_AcqTract_DB[],MATCH(AN$2,SP_AcqTract_DB[#Headers],0),FALSE),"")</f>
        <v>0</v>
      </c>
      <c r="AO140" s="228">
        <f>IFERROR(VLOOKUP($A140,SP_AcqTract_DB[],MATCH(AO$2,SP_AcqTract_DB[#Headers],0),FALSE),"")</f>
        <v>0</v>
      </c>
      <c r="AP140" s="210">
        <f>IFERROR(VLOOKUP($A140,SP_AcqTract_DB[],MATCH(AP$2,SP_AcqTract_DB[#Headers],0),FALSE),"")</f>
        <v>0</v>
      </c>
      <c r="AQ140" s="252" t="str">
        <f>IFERROR(IF(VLOOKUP(CONCATENATE($A140,"_",AQ$1),SP_ACQ_Lib[],MATCH(AQ$2,SP_ACQ_Lib[#Headers],0),FALSE)=0,"",VLOOKUP(CONCATENATE($A140,"_",AQ$1),SP_ACQ_Lib[],MATCH(AQ$2,SP_ACQ_Lib[#Headers],0),FALSE)),"")</f>
        <v/>
      </c>
      <c r="AR140" s="250" t="str">
        <f>IFERROR(IF(VLOOKUP(CONCATENATE($A140,"_",AR$1),SP_ACQ_Lib[],MATCH(AR$2,SP_ACQ_Lib[#Headers],0),FALSE)=0,"",VLOOKUP(CONCATENATE($A140,"_",AR$1),SP_ACQ_Lib[],MATCH(AR$2,SP_ACQ_Lib[#Headers],0),FALSE)),"")</f>
        <v/>
      </c>
      <c r="AS140" s="249" t="str">
        <f>IFERROR(IF(VLOOKUP(CONCATENATE($A140,"_",AS$1),SP_ACQ_Lib[],MATCH(AS$2,SP_ACQ_Lib[#Headers],0),FALSE)=0,"",VLOOKUP(CONCATENATE($A140,"_",AS$1),SP_ACQ_Lib[],MATCH(AS$2,SP_ACQ_Lib[#Headers],0),FALSE)),"")</f>
        <v/>
      </c>
      <c r="AT140" s="251" t="str">
        <f>IFERROR(IF(VLOOKUP(CONCATENATE($A140,"_",AT$1),SP_ACQ_Lib[],MATCH(AT$2,SP_ACQ_Lib[#Headers],0),FALSE)=0,"",VLOOKUP(CONCATENATE($A140,"_",AT$1),SP_ACQ_Lib[],MATCH(AT$2,SP_ACQ_Lib[#Headers],0),FALSE)),"")</f>
        <v/>
      </c>
      <c r="AU140" s="251" t="str">
        <f>IFERROR(IF(VLOOKUP(CONCATENATE($A140,"_",AU$1),SP_ACQ_Lib[],MATCH(AU$2,SP_ACQ_Lib[#Headers],0),FALSE)=0,"",VLOOKUP(CONCATENATE($A140,"_",AU$1),SP_ACQ_Lib[],MATCH(AU$2,SP_ACQ_Lib[#Headers],0),FALSE)),"")</f>
        <v/>
      </c>
      <c r="AV140" s="225" t="str">
        <f>IFERROR(IF(VLOOKUP(CONCATENATE($A140,"_",AV$1),SP_ACQ_Lib[],MATCH(AV$2,SP_ACQ_Lib[#Headers],0),FALSE)=0,"",VLOOKUP(CONCATENATE($A140,"_",AV$1),SP_ACQ_Lib[],MATCH(AV$2,SP_ACQ_Lib[#Headers],0),FALSE)),"")</f>
        <v/>
      </c>
      <c r="AW140" s="251" t="str">
        <f>IFERROR(IF(VLOOKUP(CONCATENATE($A140,"_",AW$1),SP_ACQ_Lib[],MATCH(AW$2,SP_ACQ_Lib[#Headers],0),FALSE)=0,"",VLOOKUP(CONCATENATE($A140,"_",AW$1),SP_ACQ_Lib[],MATCH(AW$2,SP_ACQ_Lib[#Headers],0),FALSE)),"")</f>
        <v/>
      </c>
      <c r="AX140" s="251" t="str">
        <f>IFERROR(IF(VLOOKUP(CONCATENATE($A140,"_",AX$1),SP_ACQ_Lib[],MATCH(AX$2,SP_ACQ_Lib[#Headers],0),FALSE)=0,"",VLOOKUP(CONCATENATE($A140,"_",AX$1),SP_ACQ_Lib[],MATCH(AX$2,SP_ACQ_Lib[#Headers],0),FALSE)),"")</f>
        <v/>
      </c>
      <c r="AY140" s="251" t="str">
        <f>IFERROR(IF(VLOOKUP(CONCATENATE($A140,"_",AY$1),SP_ACQ_Lib[],MATCH(AY$2,SP_ACQ_Lib[#Headers],0),FALSE)=0,"",VLOOKUP(CONCATENATE($A140,"_",AY$1),SP_ACQ_Lib[],MATCH(AY$2,SP_ACQ_Lib[#Headers],0),FALSE)),"")</f>
        <v/>
      </c>
      <c r="AZ140" s="251" t="str">
        <f>IFERROR(IF(VLOOKUP(CONCATENATE($A140,"_",AZ$1),SP_ACQ_Lib[],MATCH(AZ$2,SP_ACQ_Lib[#Headers],0),FALSE)=0,"",VLOOKUP(CONCATENATE($A140,"_",AZ$1),SP_ACQ_Lib[],MATCH(AZ$2,SP_ACQ_Lib[#Headers],0),FALSE)),"")</f>
        <v/>
      </c>
      <c r="BA140" s="251" t="str">
        <f>IFERROR(IF(VLOOKUP(CONCATENATE($A140,"_",BA$1),SP_ACQ_Lib[],MATCH(BA$2,SP_ACQ_Lib[#Headers],0),FALSE)=0,"",VLOOKUP(CONCATENATE($A140,"_",BA$1),SP_ACQ_Lib[],MATCH(BA$2,SP_ACQ_Lib[#Headers],0),FALSE)),"")</f>
        <v/>
      </c>
      <c r="BB140" s="224">
        <f>IFERROR(VLOOKUP(CONCATENATE($A140,"_",BB$1),SP_ACQ_Lib[],MATCH(BB$2,SP_ACQ_Lib[#Headers],0),FALSE),0)</f>
        <v>0</v>
      </c>
      <c r="BC140" s="231">
        <f>IFERROR(VLOOKUP($A140,SP_AcqTract_DB[],MATCH(BC$2,SP_AcqTract_DB[#Headers],0),FALSE),"")</f>
        <v>0</v>
      </c>
      <c r="BD140" s="231">
        <f>IFERROR(VLOOKUP($A140,SP_AcqTract_DB[],MATCH(BD$2,SP_AcqTract_DB[#Headers],0),FALSE),"")</f>
        <v>0</v>
      </c>
      <c r="BE140" s="249" t="str">
        <f>IFERROR(IF(VLOOKUP(CONCATENATE($A140,"_",BE$1),SP_ACQ_Lib[],MATCH(BE$2,SP_ACQ_Lib[#Headers],0),FALSE)=0,"",VLOOKUP(CONCATENATE($A140,"_",BE$1),SP_ACQ_Lib[],MATCH(BE$2,SP_ACQ_Lib[#Headers],0),FALSE)),"")</f>
        <v/>
      </c>
      <c r="BF140" s="249" t="str">
        <f>IFERROR(IF(VLOOKUP(CONCATENATE($A140,"_",BF$1),SP_ACQ_Lib[],MATCH(BF$2,SP_ACQ_Lib[#Headers],0),FALSE)=0,"",VLOOKUP(CONCATENATE($A140,"_",BF$1),SP_ACQ_Lib[],MATCH(BF$2,SP_ACQ_Lib[#Headers],0),FALSE)),"")</f>
        <v/>
      </c>
      <c r="BG140" s="249" t="str">
        <f>IFERROR(IF(VLOOKUP(CONCATENATE($A140,"_",BG$1),SP_ACQ_Lib[],MATCH(BG$2,SP_ACQ_Lib[#Headers],0),FALSE)=0,"",VLOOKUP(CONCATENATE($A140,"_",BG$1),SP_ACQ_Lib[],MATCH(BG$2,SP_ACQ_Lib[#Headers],0),FALSE)),"")</f>
        <v/>
      </c>
      <c r="BH140" s="249" t="str">
        <f>IFERROR(IF(VLOOKUP(CONCATENATE($A140,"_",BH$1),SP_ACQ_Lib[],MATCH(BH$2,SP_ACQ_Lib[#Headers],0),FALSE)=0,"",VLOOKUP(CONCATENATE($A140,"_",BH$1),SP_ACQ_Lib[],MATCH(BH$2,SP_ACQ_Lib[#Headers],0),FALSE)),"")</f>
        <v/>
      </c>
      <c r="BI140" s="249" t="str">
        <f>IFERROR(IF(VLOOKUP(CONCATENATE($A140,"_",BI$1),SP_ACQ_Lib[],MATCH(BI$2,SP_ACQ_Lib[#Headers],0),FALSE)=0,"",VLOOKUP(CONCATENATE($A140,"_",BI$1),SP_ACQ_Lib[],MATCH(BI$2,SP_ACQ_Lib[#Headers],0),FALSE)),"")</f>
        <v/>
      </c>
      <c r="BJ140" s="249" t="str">
        <f>IFERROR(IF(VLOOKUP(CONCATENATE($A140,"_",BJ$1),SP_ACQ_Lib[],MATCH(BJ$2,SP_ACQ_Lib[#Headers],0),FALSE)=0,"",VLOOKUP(CONCATENATE($A140,"_",BJ$1),SP_ACQ_Lib[],MATCH(BJ$2,SP_ACQ_Lib[#Headers],0),FALSE)),"")</f>
        <v/>
      </c>
      <c r="BK140" s="250" t="str">
        <f>IFERROR(IF(VLOOKUP(CONCATENATE($A140,"_",BK$1),SP_ACQ_Lib[],MATCH(BK$2,SP_ACQ_Lib[#Headers],0),FALSE)=0,"",VLOOKUP(CONCATENATE($A140,"_",BK$1),SP_ACQ_Lib[],MATCH(BK$2,SP_ACQ_Lib[#Headers],0),FALSE)),"")</f>
        <v/>
      </c>
      <c r="BL140" s="249" t="str">
        <f>IFERROR(IF(VLOOKUP(CONCATENATE($A140,"_",BL$1),SP_ACQ_Lib[],MATCH(BL$2,SP_ACQ_Lib[#Headers],0),FALSE)=0,"",VLOOKUP(CONCATENATE($A140,"_",BL$1),SP_ACQ_Lib[],MATCH(BL$2,SP_ACQ_Lib[#Headers],0),FALSE)),"")</f>
        <v/>
      </c>
      <c r="BM140" s="249" t="str">
        <f>IFERROR(IF(VLOOKUP(CONCATENATE($A140,"_",BM$1),SP_ACQ_Lib[],MATCH(BM$2,SP_ACQ_Lib[#Headers],0),FALSE)=0,"",VLOOKUP(CONCATENATE($A140,"_",BM$1),SP_ACQ_Lib[],MATCH(BM$2,SP_ACQ_Lib[#Headers],0),FALSE)),"")</f>
        <v/>
      </c>
      <c r="BN140" s="249" t="str">
        <f>IFERROR(IF(VLOOKUP(CONCATENATE($A140,"_",BN$1),SP_ACQ_Lib[],MATCH(BN$2,SP_ACQ_Lib[#Headers],0),FALSE)=0,"",VLOOKUP(CONCATENATE($A140,"_",BN$1),SP_ACQ_Lib[],MATCH(BN$2,SP_ACQ_Lib[#Headers],0),FALSE)),"")</f>
        <v/>
      </c>
    </row>
    <row r="141" spans="1:66" s="226" customFormat="1" ht="15.75" x14ac:dyDescent="0.2">
      <c r="A141" s="192" t="s">
        <v>5257</v>
      </c>
      <c r="B141" s="227" t="str">
        <f>IFERROR(VLOOKUP($A141,SP_AcqTract_DB[],MATCH(B$2,SP_AcqTract_DB[#Headers],0),FALSE),"")</f>
        <v>R027667</v>
      </c>
      <c r="C141" s="228" t="str">
        <f>IFERROR(VLOOKUP($A141,SP_AcqTract_DB[],MATCH(C$2,SP_AcqTract_DB[#Headers],0),FALSE),"")</f>
        <v>PH2</v>
      </c>
      <c r="D141" s="208" t="str">
        <f>IFERROR(VLOOKUP($A141,SP_AcqTract_DB[],MATCH(D$2,SP_AcqTract_DB[#Headers],0),FALSE),"")</f>
        <v>Active</v>
      </c>
      <c r="E141" s="208">
        <f>IFERROR(VLOOKUP($A141,SP_AcqTract_DB[],MATCH(E$2,SP_AcqTract_DB[#Headers],0),FALSE),"")</f>
        <v>0</v>
      </c>
      <c r="F141" s="227">
        <f>IFERROR(VLOOKUP($A141,SP_AcqTract_DB[],MATCH(F$2,SP_AcqTract_DB[#Headers],0),FALSE),"")</f>
        <v>0</v>
      </c>
      <c r="G141" s="227" t="str">
        <f>IFERROR(VLOOKUP($A141,SP_AcqTract_DB[],MATCH(G$2,SP_AcqTract_DB[#Headers],0),FALSE),"")</f>
        <v>Darlene Snow</v>
      </c>
      <c r="H141" s="250" t="str">
        <f>IFERROR(IF(VLOOKUP(CONCATENATE($A141,"_",H$1),SP_ACQ_Lib[],MATCH(H$2,SP_ACQ_Lib[#Headers],0),FALSE)=0,"",VLOOKUP(CONCATENATE($A141,"_",H$1),SP_ACQ_Lib[],MATCH(H$2,SP_ACQ_Lib[#Headers],0),FALSE)),"")</f>
        <v/>
      </c>
      <c r="I141" s="227" t="str">
        <f>IFERROR(VLOOKUP($A141,SP_AcqTract_DB[],MATCH(I$2,SP_AcqTract_DB[#Headers],0),FALSE),"")</f>
        <v>Sorrella Switch LLC</v>
      </c>
      <c r="J141" s="227">
        <f>IFERROR(VLOOKUP($A141,SP_AcqTract_DB[],MATCH(J$2,SP_AcqTract_DB[#Headers],0),FALSE),"")</f>
        <v>0</v>
      </c>
      <c r="K141" s="227">
        <f>IFERROR(VLOOKUP($A141,SP_AcqTract_DB[],MATCH(K$2,SP_AcqTract_DB[#Headers],0),FALSE),"")</f>
        <v>0</v>
      </c>
      <c r="L141" s="227">
        <f>IFERROR(VLOOKUP($A141,SP_AcqTract_DB[],MATCH(L$2,SP_AcqTract_DB[#Headers],0),FALSE),"")</f>
        <v>0</v>
      </c>
      <c r="M141" s="208">
        <f>IFERROR(VLOOKUP($A141,SP_AcqTract_DB[],MATCH(M$2,SP_AcqTract_DB[#Headers],0),FALSE),"")</f>
        <v>0</v>
      </c>
      <c r="N141" s="227" t="str">
        <f>IFERROR(VLOOKUP($A141,SP_AcqTract_DB[],MATCH(N$2,SP_AcqTract_DB[#Headers],0),FALSE),"")</f>
        <v>CR 241</v>
      </c>
      <c r="O141" s="220">
        <f>IFERROR(VLOOKUP($A141,SP_AcqTract_DB[],MATCH(O$2,SP_AcqTract_DB[#Headers],0),FALSE),"")</f>
        <v>0</v>
      </c>
      <c r="P141" s="220">
        <f>IFERROR(VLOOKUP($A141,SP_AcqTract_DB[],MATCH(P$2,SP_AcqTract_DB[#Headers],0),FALSE),"")</f>
        <v>0</v>
      </c>
      <c r="Q141" s="208">
        <f>IFERROR(VLOOKUP($A141,SP_AcqTract_DB[],MATCH(Q$2,SP_AcqTract_DB[#Headers],0),FALSE),"")</f>
        <v>0</v>
      </c>
      <c r="R141" s="250" t="str">
        <f>IFERROR(IF(VLOOKUP(CONCATENATE($A141,"_",R$1),SP_ACQ_Lib[],MATCH(R$2,SP_ACQ_Lib[#Headers],0),FALSE)=0,"",VLOOKUP(CONCATENATE($A141,"_",R$1),SP_ACQ_Lib[],MATCH(R$2,SP_ACQ_Lib[#Headers],0),FALSE)),"")</f>
        <v/>
      </c>
      <c r="S141" s="253" t="str">
        <f>IFERROR(IF(VLOOKUP(CONCATENATE($A141,"_",S$1),SP_ACQ_Lib[],MATCH(S$2,SP_ACQ_Lib[#Headers],0),FALSE)=0,"",VLOOKUP(CONCATENATE($A141,"_",S$1),SP_ACQ_Lib[],MATCH(S$2,SP_ACQ_Lib[#Headers],0),FALSE)),"")</f>
        <v/>
      </c>
      <c r="T141" s="205">
        <f>IFERROR(VLOOKUP(CONCATENATE($A141,"_",T$1),SP_ACQ_Lib[],MATCH(T$2,SP_ACQ_Lib[#Headers],0),FALSE),0)</f>
        <v>0</v>
      </c>
      <c r="U141" s="250" t="str">
        <f>IFERROR(IF(VLOOKUP(CONCATENATE($A141,"_",U$1),SP_ACQ_Lib[],MATCH(U$2,SP_ACQ_Lib[#Headers],0),FALSE)=0,"",VLOOKUP(CONCATENATE($A141,"_",U$1),SP_ACQ_Lib[],MATCH(U$2,SP_ACQ_Lib[#Headers],0),FALSE)),"")</f>
        <v/>
      </c>
      <c r="V141" s="205">
        <f>IFERROR(VLOOKUP(CONCATENATE($A141,"_",V$1),SP_ACQ_Lib[],MATCH(V$2,SP_ACQ_Lib[#Headers],0),FALSE),0)</f>
        <v>0</v>
      </c>
      <c r="W141" s="209">
        <f>IFERROR(VLOOKUP(CONCATENATE($A141,"_",W$1),SP_ACQ_Lib[],MATCH(W$2,SP_ACQ_Lib[#Headers],0),FALSE),0)</f>
        <v>0</v>
      </c>
      <c r="X141" s="250">
        <f>IFERROR(VLOOKUP($A141,SP_AcqTract_DB[],MATCH(X$2,SP_AcqTract_DB[#Headers],0),FALSE),"")</f>
        <v>0</v>
      </c>
      <c r="Y141" s="237">
        <f>IFERROR(VLOOKUP($A141,SP_AcqTract_DB[],MATCH(Y$2,SP_AcqTract_DB[#Headers],0),FALSE),"")</f>
        <v>0</v>
      </c>
      <c r="Z141" s="229">
        <f>IFERROR(VLOOKUP($A141,SP_AcqTract_DB[],MATCH(Z$2,SP_AcqTract_DB[#Headers],0),FALSE),"")</f>
        <v>0</v>
      </c>
      <c r="AA141" s="229">
        <f>IFERROR(VLOOKUP($A141,SP_AcqTract_DB[],MATCH(AA$2,SP_AcqTract_DB[#Headers],0),FALSE),"")</f>
        <v>0</v>
      </c>
      <c r="AB141" s="250" t="str">
        <f>IFERROR(IF(VLOOKUP(CONCATENATE($A141,"_",AB$1),SP_ACQ_Lib[],MATCH(AB$2,SP_ACQ_Lib[#Headers],0),FALSE)=0,"",VLOOKUP(CONCATENATE($A141,"_",AB$1),SP_ACQ_Lib[],MATCH(AB$2,SP_ACQ_Lib[#Headers],0),FALSE)),"")</f>
        <v/>
      </c>
      <c r="AC141" s="250" t="str">
        <f>IFERROR(IF(VLOOKUP(CONCATENATE($A141,"_",AC$1),SP_ACQ_Lib[],MATCH(AC$2,SP_ACQ_Lib[#Headers],0),FALSE)=0,"",VLOOKUP(CONCATENATE($A141,"_",AC$1),SP_ACQ_Lib[],MATCH(AC$2,SP_ACQ_Lib[#Headers],0),FALSE)),"")</f>
        <v/>
      </c>
      <c r="AD141" s="229">
        <f>IFERROR(VLOOKUP($A141,SP_AcqTract_DB[],MATCH(AD$2,SP_AcqTract_DB[#Headers],0),FALSE),"")</f>
        <v>0</v>
      </c>
      <c r="AE141" s="250" t="str">
        <f>IFERROR(IF(VLOOKUP(CONCATENATE($A141,"_",AE$1),SP_ACQ_Lib[],MATCH(AE$2,SP_ACQ_Lib[#Headers],0),FALSE)=0,"",VLOOKUP(CONCATENATE($A141,"_",AE$1),SP_ACQ_Lib[],MATCH(AE$2,SP_ACQ_Lib[#Headers],0),FALSE)),"")</f>
        <v/>
      </c>
      <c r="AF141" s="250" t="str">
        <f>IFERROR(IF(VLOOKUP(CONCATENATE($A141,"_",AF$1),SP_ACQ_Lib[],MATCH(AF$2,SP_ACQ_Lib[#Headers],0),FALSE)=0,"",VLOOKUP(CONCATENATE($A141,"_",AF$1),SP_ACQ_Lib[],MATCH(AF$2,SP_ACQ_Lib[#Headers],0),FALSE)),"")</f>
        <v/>
      </c>
      <c r="AG141" s="250" t="str">
        <f>IFERROR(IF(VLOOKUP(CONCATENATE($A141,"_",AG$1),SP_ACQ_Lib[],MATCH(AG$2,SP_ACQ_Lib[#Headers],0),FALSE)=0,"",VLOOKUP(CONCATENATE($A141,"_",AG$1),SP_ACQ_Lib[],MATCH(AG$2,SP_ACQ_Lib[#Headers],0),FALSE)),"")</f>
        <v/>
      </c>
      <c r="AH141" s="250" t="str">
        <f>IFERROR(IF(VLOOKUP(CONCATENATE($A141,"_",AH$1),SP_ACQ_Lib[],MATCH(AH$2,SP_ACQ_Lib[#Headers],0),FALSE)=0,"",VLOOKUP(CONCATENATE($A141,"_",AH$1),SP_ACQ_Lib[],MATCH(AH$2,SP_ACQ_Lib[#Headers],0),FALSE)),"")</f>
        <v/>
      </c>
      <c r="AI141" s="249">
        <f>IFERROR(IF(VLOOKUP(CONCATENATE($A141,"_",AI$1),SP_ACQ_Lib[],MATCH(AI$2,SP_ACQ_Lib[#Headers],0),FALSE)=0,"",VLOOKUP(CONCATENATE($A141,"_",AI$1),SP_ACQ_Lib[],MATCH(AI$2,SP_ACQ_Lib[#Headers],0),FALSE)),"")</f>
        <v>43697</v>
      </c>
      <c r="AJ141" s="249">
        <f>IFERROR(IF(VLOOKUP(CONCATENATE($A141,"_",AJ$1),SP_ACQ_Lib[],MATCH(AJ$2,SP_ACQ_Lib[#Headers],0),FALSE)=0,"",VLOOKUP(CONCATENATE($A141,"_",AJ$1),SP_ACQ_Lib[],MATCH(AJ$2,SP_ACQ_Lib[#Headers],0),FALSE)),"")</f>
        <v>43724</v>
      </c>
      <c r="AK141" s="249">
        <f>IFERROR(IF(VLOOKUP(CONCATENATE($A141,"_",AK$1),SP_ACQ_Lib[],MATCH(AK$2,SP_ACQ_Lib[#Headers],0),FALSE)=0,"",VLOOKUP(CONCATENATE($A141,"_",AK$1),SP_ACQ_Lib[],MATCH(AK$2,SP_ACQ_Lib[#Headers],0),FALSE)),"")</f>
        <v>44819</v>
      </c>
      <c r="AL141" s="249">
        <f>IFERROR(VLOOKUP($A141,SP_AcqTract_DB[],MATCH(AL$2,SP_AcqTract_DB[#Headers],0),FALSE),"")</f>
        <v>0</v>
      </c>
      <c r="AM141" s="227">
        <f>IFERROR(VLOOKUP($A141,SP_AcqTract_DB[],MATCH(AM$2,SP_AcqTract_DB[#Headers],0),FALSE),"")</f>
        <v>0</v>
      </c>
      <c r="AN141" s="227">
        <f>IFERROR(VLOOKUP($A141,SP_AcqTract_DB[],MATCH(AN$2,SP_AcqTract_DB[#Headers],0),FALSE),"")</f>
        <v>0</v>
      </c>
      <c r="AO141" s="228">
        <f>IFERROR(VLOOKUP($A141,SP_AcqTract_DB[],MATCH(AO$2,SP_AcqTract_DB[#Headers],0),FALSE),"")</f>
        <v>0</v>
      </c>
      <c r="AP141" s="210">
        <f>IFERROR(VLOOKUP($A141,SP_AcqTract_DB[],MATCH(AP$2,SP_AcqTract_DB[#Headers],0),FALSE),"")</f>
        <v>0</v>
      </c>
      <c r="AQ141" s="252" t="str">
        <f>IFERROR(IF(VLOOKUP(CONCATENATE($A141,"_",AQ$1),SP_ACQ_Lib[],MATCH(AQ$2,SP_ACQ_Lib[#Headers],0),FALSE)=0,"",VLOOKUP(CONCATENATE($A141,"_",AQ$1),SP_ACQ_Lib[],MATCH(AQ$2,SP_ACQ_Lib[#Headers],0),FALSE)),"")</f>
        <v/>
      </c>
      <c r="AR141" s="250" t="str">
        <f>IFERROR(IF(VLOOKUP(CONCATENATE($A141,"_",AR$1),SP_ACQ_Lib[],MATCH(AR$2,SP_ACQ_Lib[#Headers],0),FALSE)=0,"",VLOOKUP(CONCATENATE($A141,"_",AR$1),SP_ACQ_Lib[],MATCH(AR$2,SP_ACQ_Lib[#Headers],0),FALSE)),"")</f>
        <v/>
      </c>
      <c r="AS141" s="249" t="str">
        <f>IFERROR(IF(VLOOKUP(CONCATENATE($A141,"_",AS$1),SP_ACQ_Lib[],MATCH(AS$2,SP_ACQ_Lib[#Headers],0),FALSE)=0,"",VLOOKUP(CONCATENATE($A141,"_",AS$1),SP_ACQ_Lib[],MATCH(AS$2,SP_ACQ_Lib[#Headers],0),FALSE)),"")</f>
        <v/>
      </c>
      <c r="AT141" s="251" t="str">
        <f>IFERROR(IF(VLOOKUP(CONCATENATE($A141,"_",AT$1),SP_ACQ_Lib[],MATCH(AT$2,SP_ACQ_Lib[#Headers],0),FALSE)=0,"",VLOOKUP(CONCATENATE($A141,"_",AT$1),SP_ACQ_Lib[],MATCH(AT$2,SP_ACQ_Lib[#Headers],0),FALSE)),"")</f>
        <v/>
      </c>
      <c r="AU141" s="251" t="str">
        <f>IFERROR(IF(VLOOKUP(CONCATENATE($A141,"_",AU$1),SP_ACQ_Lib[],MATCH(AU$2,SP_ACQ_Lib[#Headers],0),FALSE)=0,"",VLOOKUP(CONCATENATE($A141,"_",AU$1),SP_ACQ_Lib[],MATCH(AU$2,SP_ACQ_Lib[#Headers],0),FALSE)),"")</f>
        <v/>
      </c>
      <c r="AV141" s="225" t="str">
        <f>IFERROR(IF(VLOOKUP(CONCATENATE($A141,"_",AV$1),SP_ACQ_Lib[],MATCH(AV$2,SP_ACQ_Lib[#Headers],0),FALSE)=0,"",VLOOKUP(CONCATENATE($A141,"_",AV$1),SP_ACQ_Lib[],MATCH(AV$2,SP_ACQ_Lib[#Headers],0),FALSE)),"")</f>
        <v/>
      </c>
      <c r="AW141" s="251" t="str">
        <f>IFERROR(IF(VLOOKUP(CONCATENATE($A141,"_",AW$1),SP_ACQ_Lib[],MATCH(AW$2,SP_ACQ_Lib[#Headers],0),FALSE)=0,"",VLOOKUP(CONCATENATE($A141,"_",AW$1),SP_ACQ_Lib[],MATCH(AW$2,SP_ACQ_Lib[#Headers],0),FALSE)),"")</f>
        <v/>
      </c>
      <c r="AX141" s="251" t="str">
        <f>IFERROR(IF(VLOOKUP(CONCATENATE($A141,"_",AX$1),SP_ACQ_Lib[],MATCH(AX$2,SP_ACQ_Lib[#Headers],0),FALSE)=0,"",VLOOKUP(CONCATENATE($A141,"_",AX$1),SP_ACQ_Lib[],MATCH(AX$2,SP_ACQ_Lib[#Headers],0),FALSE)),"")</f>
        <v/>
      </c>
      <c r="AY141" s="251" t="str">
        <f>IFERROR(IF(VLOOKUP(CONCATENATE($A141,"_",AY$1),SP_ACQ_Lib[],MATCH(AY$2,SP_ACQ_Lib[#Headers],0),FALSE)=0,"",VLOOKUP(CONCATENATE($A141,"_",AY$1),SP_ACQ_Lib[],MATCH(AY$2,SP_ACQ_Lib[#Headers],0),FALSE)),"")</f>
        <v/>
      </c>
      <c r="AZ141" s="251" t="str">
        <f>IFERROR(IF(VLOOKUP(CONCATENATE($A141,"_",AZ$1),SP_ACQ_Lib[],MATCH(AZ$2,SP_ACQ_Lib[#Headers],0),FALSE)=0,"",VLOOKUP(CONCATENATE($A141,"_",AZ$1),SP_ACQ_Lib[],MATCH(AZ$2,SP_ACQ_Lib[#Headers],0),FALSE)),"")</f>
        <v/>
      </c>
      <c r="BA141" s="251" t="str">
        <f>IFERROR(IF(VLOOKUP(CONCATENATE($A141,"_",BA$1),SP_ACQ_Lib[],MATCH(BA$2,SP_ACQ_Lib[#Headers],0),FALSE)=0,"",VLOOKUP(CONCATENATE($A141,"_",BA$1),SP_ACQ_Lib[],MATCH(BA$2,SP_ACQ_Lib[#Headers],0),FALSE)),"")</f>
        <v/>
      </c>
      <c r="BB141" s="224">
        <f>IFERROR(VLOOKUP(CONCATENATE($A141,"_",BB$1),SP_ACQ_Lib[],MATCH(BB$2,SP_ACQ_Lib[#Headers],0),FALSE),0)</f>
        <v>0</v>
      </c>
      <c r="BC141" s="231">
        <f>IFERROR(VLOOKUP($A141,SP_AcqTract_DB[],MATCH(BC$2,SP_AcqTract_DB[#Headers],0),FALSE),"")</f>
        <v>0</v>
      </c>
      <c r="BD141" s="231">
        <f>IFERROR(VLOOKUP($A141,SP_AcqTract_DB[],MATCH(BD$2,SP_AcqTract_DB[#Headers],0),FALSE),"")</f>
        <v>0</v>
      </c>
      <c r="BE141" s="249" t="str">
        <f>IFERROR(IF(VLOOKUP(CONCATENATE($A141,"_",BE$1),SP_ACQ_Lib[],MATCH(BE$2,SP_ACQ_Lib[#Headers],0),FALSE)=0,"",VLOOKUP(CONCATENATE($A141,"_",BE$1),SP_ACQ_Lib[],MATCH(BE$2,SP_ACQ_Lib[#Headers],0),FALSE)),"")</f>
        <v/>
      </c>
      <c r="BF141" s="249" t="str">
        <f>IFERROR(IF(VLOOKUP(CONCATENATE($A141,"_",BF$1),SP_ACQ_Lib[],MATCH(BF$2,SP_ACQ_Lib[#Headers],0),FALSE)=0,"",VLOOKUP(CONCATENATE($A141,"_",BF$1),SP_ACQ_Lib[],MATCH(BF$2,SP_ACQ_Lib[#Headers],0),FALSE)),"")</f>
        <v/>
      </c>
      <c r="BG141" s="249" t="str">
        <f>IFERROR(IF(VLOOKUP(CONCATENATE($A141,"_",BG$1),SP_ACQ_Lib[],MATCH(BG$2,SP_ACQ_Lib[#Headers],0),FALSE)=0,"",VLOOKUP(CONCATENATE($A141,"_",BG$1),SP_ACQ_Lib[],MATCH(BG$2,SP_ACQ_Lib[#Headers],0),FALSE)),"")</f>
        <v/>
      </c>
      <c r="BH141" s="249" t="str">
        <f>IFERROR(IF(VLOOKUP(CONCATENATE($A141,"_",BH$1),SP_ACQ_Lib[],MATCH(BH$2,SP_ACQ_Lib[#Headers],0),FALSE)=0,"",VLOOKUP(CONCATENATE($A141,"_",BH$1),SP_ACQ_Lib[],MATCH(BH$2,SP_ACQ_Lib[#Headers],0),FALSE)),"")</f>
        <v/>
      </c>
      <c r="BI141" s="249" t="str">
        <f>IFERROR(IF(VLOOKUP(CONCATENATE($A141,"_",BI$1),SP_ACQ_Lib[],MATCH(BI$2,SP_ACQ_Lib[#Headers],0),FALSE)=0,"",VLOOKUP(CONCATENATE($A141,"_",BI$1),SP_ACQ_Lib[],MATCH(BI$2,SP_ACQ_Lib[#Headers],0),FALSE)),"")</f>
        <v/>
      </c>
      <c r="BJ141" s="249" t="str">
        <f>IFERROR(IF(VLOOKUP(CONCATENATE($A141,"_",BJ$1),SP_ACQ_Lib[],MATCH(BJ$2,SP_ACQ_Lib[#Headers],0),FALSE)=0,"",VLOOKUP(CONCATENATE($A141,"_",BJ$1),SP_ACQ_Lib[],MATCH(BJ$2,SP_ACQ_Lib[#Headers],0),FALSE)),"")</f>
        <v/>
      </c>
      <c r="BK141" s="250" t="str">
        <f>IFERROR(IF(VLOOKUP(CONCATENATE($A141,"_",BK$1),SP_ACQ_Lib[],MATCH(BK$2,SP_ACQ_Lib[#Headers],0),FALSE)=0,"",VLOOKUP(CONCATENATE($A141,"_",BK$1),SP_ACQ_Lib[],MATCH(BK$2,SP_ACQ_Lib[#Headers],0),FALSE)),"")</f>
        <v/>
      </c>
      <c r="BL141" s="249" t="str">
        <f>IFERROR(IF(VLOOKUP(CONCATENATE($A141,"_",BL$1),SP_ACQ_Lib[],MATCH(BL$2,SP_ACQ_Lib[#Headers],0),FALSE)=0,"",VLOOKUP(CONCATENATE($A141,"_",BL$1),SP_ACQ_Lib[],MATCH(BL$2,SP_ACQ_Lib[#Headers],0),FALSE)),"")</f>
        <v/>
      </c>
      <c r="BM141" s="249" t="str">
        <f>IFERROR(IF(VLOOKUP(CONCATENATE($A141,"_",BM$1),SP_ACQ_Lib[],MATCH(BM$2,SP_ACQ_Lib[#Headers],0),FALSE)=0,"",VLOOKUP(CONCATENATE($A141,"_",BM$1),SP_ACQ_Lib[],MATCH(BM$2,SP_ACQ_Lib[#Headers],0),FALSE)),"")</f>
        <v/>
      </c>
      <c r="BN141" s="249" t="str">
        <f>IFERROR(IF(VLOOKUP(CONCATENATE($A141,"_",BN$1),SP_ACQ_Lib[],MATCH(BN$2,SP_ACQ_Lib[#Headers],0),FALSE)=0,"",VLOOKUP(CONCATENATE($A141,"_",BN$1),SP_ACQ_Lib[],MATCH(BN$2,SP_ACQ_Lib[#Headers],0),FALSE)),"")</f>
        <v/>
      </c>
    </row>
    <row r="142" spans="1:66" s="226" customFormat="1" ht="38.25" x14ac:dyDescent="0.2">
      <c r="A142" s="192" t="s">
        <v>5388</v>
      </c>
      <c r="B142" s="227" t="str">
        <f>IFERROR(VLOOKUP($A142,SP_AcqTract_DB[],MATCH(B$2,SP_AcqTract_DB[#Headers],0),FALSE),"")</f>
        <v>Ro68876</v>
      </c>
      <c r="C142" s="228" t="str">
        <f>IFERROR(VLOOKUP($A142,SP_AcqTract_DB[],MATCH(C$2,SP_AcqTract_DB[#Headers],0),FALSE),"")</f>
        <v>PH2</v>
      </c>
      <c r="D142" s="208" t="str">
        <f>IFERROR(VLOOKUP($A142,SP_AcqTract_DB[],MATCH(D$2,SP_AcqTract_DB[#Headers],0),FALSE),"")</f>
        <v>Active</v>
      </c>
      <c r="E142" s="208">
        <f>IFERROR(VLOOKUP($A142,SP_AcqTract_DB[],MATCH(E$2,SP_AcqTract_DB[#Headers],0),FALSE),"")</f>
        <v>0</v>
      </c>
      <c r="F142" s="227">
        <f>IFERROR(VLOOKUP($A142,SP_AcqTract_DB[],MATCH(F$2,SP_AcqTract_DB[#Headers],0),FALSE),"")</f>
        <v>0</v>
      </c>
      <c r="G142" s="227">
        <f>IFERROR(VLOOKUP($A142,SP_AcqTract_DB[],MATCH(G$2,SP_AcqTract_DB[#Headers],0),FALSE),"")</f>
        <v>0</v>
      </c>
      <c r="H142" s="250" t="str">
        <f>IFERROR(IF(VLOOKUP(CONCATENATE($A142,"_",H$1),SP_ACQ_Lib[],MATCH(H$2,SP_ACQ_Lib[#Headers],0),FALSE)=0,"",VLOOKUP(CONCATENATE($A142,"_",H$1),SP_ACQ_Lib[],MATCH(H$2,SP_ACQ_Lib[#Headers],0),FALSE)),"")</f>
        <v/>
      </c>
      <c r="I142" s="227" t="str">
        <f>IFERROR(VLOOKUP($A142,SP_AcqTract_DB[],MATCH(I$2,SP_AcqTract_DB[#Headers],0),FALSE),"")</f>
        <v>Lloyd Rust Family Limited Partnership &amp; Rust TMLLC % Rosemary Rust</v>
      </c>
      <c r="J142" s="227">
        <f>IFERROR(VLOOKUP($A142,SP_AcqTract_DB[],MATCH(J$2,SP_AcqTract_DB[#Headers],0),FALSE),"")</f>
        <v>0</v>
      </c>
      <c r="K142" s="227">
        <f>IFERROR(VLOOKUP($A142,SP_AcqTract_DB[],MATCH(K$2,SP_AcqTract_DB[#Headers],0),FALSE),"")</f>
        <v>0</v>
      </c>
      <c r="L142" s="227">
        <f>IFERROR(VLOOKUP($A142,SP_AcqTract_DB[],MATCH(L$2,SP_AcqTract_DB[#Headers],0),FALSE),"")</f>
        <v>0</v>
      </c>
      <c r="M142" s="208">
        <f>IFERROR(VLOOKUP($A142,SP_AcqTract_DB[],MATCH(M$2,SP_AcqTract_DB[#Headers],0),FALSE),"")</f>
        <v>0</v>
      </c>
      <c r="N142" s="227" t="str">
        <f>IFERROR(VLOOKUP($A142,SP_AcqTract_DB[],MATCH(N$2,SP_AcqTract_DB[#Headers],0),FALSE),"")</f>
        <v>FM 102</v>
      </c>
      <c r="O142" s="220">
        <f>IFERROR(VLOOKUP($A142,SP_AcqTract_DB[],MATCH(O$2,SP_AcqTract_DB[#Headers],0),FALSE),"")</f>
        <v>0</v>
      </c>
      <c r="P142" s="220">
        <f>IFERROR(VLOOKUP($A142,SP_AcqTract_DB[],MATCH(P$2,SP_AcqTract_DB[#Headers],0),FALSE),"")</f>
        <v>0</v>
      </c>
      <c r="Q142" s="208">
        <f>IFERROR(VLOOKUP($A142,SP_AcqTract_DB[],MATCH(Q$2,SP_AcqTract_DB[#Headers],0),FALSE),"")</f>
        <v>0</v>
      </c>
      <c r="R142" s="250" t="str">
        <f>IFERROR(IF(VLOOKUP(CONCATENATE($A142,"_",R$1),SP_ACQ_Lib[],MATCH(R$2,SP_ACQ_Lib[#Headers],0),FALSE)=0,"",VLOOKUP(CONCATENATE($A142,"_",R$1),SP_ACQ_Lib[],MATCH(R$2,SP_ACQ_Lib[#Headers],0),FALSE)),"")</f>
        <v/>
      </c>
      <c r="S142" s="253" t="str">
        <f>IFERROR(IF(VLOOKUP(CONCATENATE($A142,"_",S$1),SP_ACQ_Lib[],MATCH(S$2,SP_ACQ_Lib[#Headers],0),FALSE)=0,"",VLOOKUP(CONCATENATE($A142,"_",S$1),SP_ACQ_Lib[],MATCH(S$2,SP_ACQ_Lib[#Headers],0),FALSE)),"")</f>
        <v/>
      </c>
      <c r="T142" s="205">
        <f>IFERROR(VLOOKUP(CONCATENATE($A142,"_",T$1),SP_ACQ_Lib[],MATCH(T$2,SP_ACQ_Lib[#Headers],0),FALSE),0)</f>
        <v>0</v>
      </c>
      <c r="U142" s="250" t="str">
        <f>IFERROR(IF(VLOOKUP(CONCATENATE($A142,"_",U$1),SP_ACQ_Lib[],MATCH(U$2,SP_ACQ_Lib[#Headers],0),FALSE)=0,"",VLOOKUP(CONCATENATE($A142,"_",U$1),SP_ACQ_Lib[],MATCH(U$2,SP_ACQ_Lib[#Headers],0),FALSE)),"")</f>
        <v/>
      </c>
      <c r="V142" s="205">
        <f>IFERROR(VLOOKUP(CONCATENATE($A142,"_",V$1),SP_ACQ_Lib[],MATCH(V$2,SP_ACQ_Lib[#Headers],0),FALSE),0)</f>
        <v>0</v>
      </c>
      <c r="W142" s="209">
        <f>IFERROR(VLOOKUP(CONCATENATE($A142,"_",W$1),SP_ACQ_Lib[],MATCH(W$2,SP_ACQ_Lib[#Headers],0),FALSE),0)</f>
        <v>0</v>
      </c>
      <c r="X142" s="250">
        <f>IFERROR(VLOOKUP($A142,SP_AcqTract_DB[],MATCH(X$2,SP_AcqTract_DB[#Headers],0),FALSE),"")</f>
        <v>0</v>
      </c>
      <c r="Y142" s="237">
        <f>IFERROR(VLOOKUP($A142,SP_AcqTract_DB[],MATCH(Y$2,SP_AcqTract_DB[#Headers],0),FALSE),"")</f>
        <v>0</v>
      </c>
      <c r="Z142" s="229">
        <f>IFERROR(VLOOKUP($A142,SP_AcqTract_DB[],MATCH(Z$2,SP_AcqTract_DB[#Headers],0),FALSE),"")</f>
        <v>0</v>
      </c>
      <c r="AA142" s="229">
        <f>IFERROR(VLOOKUP($A142,SP_AcqTract_DB[],MATCH(AA$2,SP_AcqTract_DB[#Headers],0),FALSE),"")</f>
        <v>0</v>
      </c>
      <c r="AB142" s="250" t="str">
        <f>IFERROR(IF(VLOOKUP(CONCATENATE($A142,"_",AB$1),SP_ACQ_Lib[],MATCH(AB$2,SP_ACQ_Lib[#Headers],0),FALSE)=0,"",VLOOKUP(CONCATENATE($A142,"_",AB$1),SP_ACQ_Lib[],MATCH(AB$2,SP_ACQ_Lib[#Headers],0),FALSE)),"")</f>
        <v/>
      </c>
      <c r="AC142" s="250" t="str">
        <f>IFERROR(IF(VLOOKUP(CONCATENATE($A142,"_",AC$1),SP_ACQ_Lib[],MATCH(AC$2,SP_ACQ_Lib[#Headers],0),FALSE)=0,"",VLOOKUP(CONCATENATE($A142,"_",AC$1),SP_ACQ_Lib[],MATCH(AC$2,SP_ACQ_Lib[#Headers],0),FALSE)),"")</f>
        <v/>
      </c>
      <c r="AD142" s="229">
        <f>IFERROR(VLOOKUP($A142,SP_AcqTract_DB[],MATCH(AD$2,SP_AcqTract_DB[#Headers],0),FALSE),"")</f>
        <v>0</v>
      </c>
      <c r="AE142" s="250" t="str">
        <f>IFERROR(IF(VLOOKUP(CONCATENATE($A142,"_",AE$1),SP_ACQ_Lib[],MATCH(AE$2,SP_ACQ_Lib[#Headers],0),FALSE)=0,"",VLOOKUP(CONCATENATE($A142,"_",AE$1),SP_ACQ_Lib[],MATCH(AE$2,SP_ACQ_Lib[#Headers],0),FALSE)),"")</f>
        <v/>
      </c>
      <c r="AF142" s="250" t="str">
        <f>IFERROR(IF(VLOOKUP(CONCATENATE($A142,"_",AF$1),SP_ACQ_Lib[],MATCH(AF$2,SP_ACQ_Lib[#Headers],0),FALSE)=0,"",VLOOKUP(CONCATENATE($A142,"_",AF$1),SP_ACQ_Lib[],MATCH(AF$2,SP_ACQ_Lib[#Headers],0),FALSE)),"")</f>
        <v/>
      </c>
      <c r="AG142" s="250" t="str">
        <f>IFERROR(IF(VLOOKUP(CONCATENATE($A142,"_",AG$1),SP_ACQ_Lib[],MATCH(AG$2,SP_ACQ_Lib[#Headers],0),FALSE)=0,"",VLOOKUP(CONCATENATE($A142,"_",AG$1),SP_ACQ_Lib[],MATCH(AG$2,SP_ACQ_Lib[#Headers],0),FALSE)),"")</f>
        <v/>
      </c>
      <c r="AH142" s="250" t="str">
        <f>IFERROR(IF(VLOOKUP(CONCATENATE($A142,"_",AH$1),SP_ACQ_Lib[],MATCH(AH$2,SP_ACQ_Lib[#Headers],0),FALSE)=0,"",VLOOKUP(CONCATENATE($A142,"_",AH$1),SP_ACQ_Lib[],MATCH(AH$2,SP_ACQ_Lib[#Headers],0),FALSE)),"")</f>
        <v/>
      </c>
      <c r="AI142" s="249" t="str">
        <f>IFERROR(IF(VLOOKUP(CONCATENATE($A142,"_",AI$1),SP_ACQ_Lib[],MATCH(AI$2,SP_ACQ_Lib[#Headers],0),FALSE)=0,"",VLOOKUP(CONCATENATE($A142,"_",AI$1),SP_ACQ_Lib[],MATCH(AI$2,SP_ACQ_Lib[#Headers],0),FALSE)),"")</f>
        <v/>
      </c>
      <c r="AJ142" s="249">
        <f>IFERROR(IF(VLOOKUP(CONCATENATE($A142,"_",AJ$1),SP_ACQ_Lib[],MATCH(AJ$2,SP_ACQ_Lib[#Headers],0),FALSE)=0,"",VLOOKUP(CONCATENATE($A142,"_",AJ$1),SP_ACQ_Lib[],MATCH(AJ$2,SP_ACQ_Lib[#Headers],0),FALSE)),"")</f>
        <v>43600</v>
      </c>
      <c r="AK142" s="249">
        <f>IFERROR(IF(VLOOKUP(CONCATENATE($A142,"_",AK$1),SP_ACQ_Lib[],MATCH(AK$2,SP_ACQ_Lib[#Headers],0),FALSE)=0,"",VLOOKUP(CONCATENATE($A142,"_",AK$1),SP_ACQ_Lib[],MATCH(AK$2,SP_ACQ_Lib[#Headers],0),FALSE)),"")</f>
        <v>44168</v>
      </c>
      <c r="AL142" s="249">
        <f>IFERROR(VLOOKUP($A142,SP_AcqTract_DB[],MATCH(AL$2,SP_AcqTract_DB[#Headers],0),FALSE),"")</f>
        <v>0</v>
      </c>
      <c r="AM142" s="227">
        <f>IFERROR(VLOOKUP($A142,SP_AcqTract_DB[],MATCH(AM$2,SP_AcqTract_DB[#Headers],0),FALSE),"")</f>
        <v>0</v>
      </c>
      <c r="AN142" s="227">
        <f>IFERROR(VLOOKUP($A142,SP_AcqTract_DB[],MATCH(AN$2,SP_AcqTract_DB[#Headers],0),FALSE),"")</f>
        <v>0</v>
      </c>
      <c r="AO142" s="228">
        <f>IFERROR(VLOOKUP($A142,SP_AcqTract_DB[],MATCH(AO$2,SP_AcqTract_DB[#Headers],0),FALSE),"")</f>
        <v>0</v>
      </c>
      <c r="AP142" s="210">
        <f>IFERROR(VLOOKUP($A142,SP_AcqTract_DB[],MATCH(AP$2,SP_AcqTract_DB[#Headers],0),FALSE),"")</f>
        <v>0</v>
      </c>
      <c r="AQ142" s="252" t="str">
        <f>IFERROR(IF(VLOOKUP(CONCATENATE($A142,"_",AQ$1),SP_ACQ_Lib[],MATCH(AQ$2,SP_ACQ_Lib[#Headers],0),FALSE)=0,"",VLOOKUP(CONCATENATE($A142,"_",AQ$1),SP_ACQ_Lib[],MATCH(AQ$2,SP_ACQ_Lib[#Headers],0),FALSE)),"")</f>
        <v/>
      </c>
      <c r="AR142" s="250" t="str">
        <f>IFERROR(IF(VLOOKUP(CONCATENATE($A142,"_",AR$1),SP_ACQ_Lib[],MATCH(AR$2,SP_ACQ_Lib[#Headers],0),FALSE)=0,"",VLOOKUP(CONCATENATE($A142,"_",AR$1),SP_ACQ_Lib[],MATCH(AR$2,SP_ACQ_Lib[#Headers],0),FALSE)),"")</f>
        <v/>
      </c>
      <c r="AS142" s="249" t="str">
        <f>IFERROR(IF(VLOOKUP(CONCATENATE($A142,"_",AS$1),SP_ACQ_Lib[],MATCH(AS$2,SP_ACQ_Lib[#Headers],0),FALSE)=0,"",VLOOKUP(CONCATENATE($A142,"_",AS$1),SP_ACQ_Lib[],MATCH(AS$2,SP_ACQ_Lib[#Headers],0),FALSE)),"")</f>
        <v/>
      </c>
      <c r="AT142" s="251" t="str">
        <f>IFERROR(IF(VLOOKUP(CONCATENATE($A142,"_",AT$1),SP_ACQ_Lib[],MATCH(AT$2,SP_ACQ_Lib[#Headers],0),FALSE)=0,"",VLOOKUP(CONCATENATE($A142,"_",AT$1),SP_ACQ_Lib[],MATCH(AT$2,SP_ACQ_Lib[#Headers],0),FALSE)),"")</f>
        <v/>
      </c>
      <c r="AU142" s="251" t="str">
        <f>IFERROR(IF(VLOOKUP(CONCATENATE($A142,"_",AU$1),SP_ACQ_Lib[],MATCH(AU$2,SP_ACQ_Lib[#Headers],0),FALSE)=0,"",VLOOKUP(CONCATENATE($A142,"_",AU$1),SP_ACQ_Lib[],MATCH(AU$2,SP_ACQ_Lib[#Headers],0),FALSE)),"")</f>
        <v/>
      </c>
      <c r="AV142" s="225" t="str">
        <f>IFERROR(IF(VLOOKUP(CONCATENATE($A142,"_",AV$1),SP_ACQ_Lib[],MATCH(AV$2,SP_ACQ_Lib[#Headers],0),FALSE)=0,"",VLOOKUP(CONCATENATE($A142,"_",AV$1),SP_ACQ_Lib[],MATCH(AV$2,SP_ACQ_Lib[#Headers],0),FALSE)),"")</f>
        <v/>
      </c>
      <c r="AW142" s="251" t="str">
        <f>IFERROR(IF(VLOOKUP(CONCATENATE($A142,"_",AW$1),SP_ACQ_Lib[],MATCH(AW$2,SP_ACQ_Lib[#Headers],0),FALSE)=0,"",VLOOKUP(CONCATENATE($A142,"_",AW$1),SP_ACQ_Lib[],MATCH(AW$2,SP_ACQ_Lib[#Headers],0),FALSE)),"")</f>
        <v/>
      </c>
      <c r="AX142" s="251" t="str">
        <f>IFERROR(IF(VLOOKUP(CONCATENATE($A142,"_",AX$1),SP_ACQ_Lib[],MATCH(AX$2,SP_ACQ_Lib[#Headers],0),FALSE)=0,"",VLOOKUP(CONCATENATE($A142,"_",AX$1),SP_ACQ_Lib[],MATCH(AX$2,SP_ACQ_Lib[#Headers],0),FALSE)),"")</f>
        <v/>
      </c>
      <c r="AY142" s="251" t="str">
        <f>IFERROR(IF(VLOOKUP(CONCATENATE($A142,"_",AY$1),SP_ACQ_Lib[],MATCH(AY$2,SP_ACQ_Lib[#Headers],0),FALSE)=0,"",VLOOKUP(CONCATENATE($A142,"_",AY$1),SP_ACQ_Lib[],MATCH(AY$2,SP_ACQ_Lib[#Headers],0),FALSE)),"")</f>
        <v/>
      </c>
      <c r="AZ142" s="251" t="str">
        <f>IFERROR(IF(VLOOKUP(CONCATENATE($A142,"_",AZ$1),SP_ACQ_Lib[],MATCH(AZ$2,SP_ACQ_Lib[#Headers],0),FALSE)=0,"",VLOOKUP(CONCATENATE($A142,"_",AZ$1),SP_ACQ_Lib[],MATCH(AZ$2,SP_ACQ_Lib[#Headers],0),FALSE)),"")</f>
        <v/>
      </c>
      <c r="BA142" s="251" t="str">
        <f>IFERROR(IF(VLOOKUP(CONCATENATE($A142,"_",BA$1),SP_ACQ_Lib[],MATCH(BA$2,SP_ACQ_Lib[#Headers],0),FALSE)=0,"",VLOOKUP(CONCATENATE($A142,"_",BA$1),SP_ACQ_Lib[],MATCH(BA$2,SP_ACQ_Lib[#Headers],0),FALSE)),"")</f>
        <v/>
      </c>
      <c r="BB142" s="224">
        <f>IFERROR(VLOOKUP(CONCATENATE($A142,"_",BB$1),SP_ACQ_Lib[],MATCH(BB$2,SP_ACQ_Lib[#Headers],0),FALSE),0)</f>
        <v>0</v>
      </c>
      <c r="BC142" s="231">
        <f>IFERROR(VLOOKUP($A142,SP_AcqTract_DB[],MATCH(BC$2,SP_AcqTract_DB[#Headers],0),FALSE),"")</f>
        <v>0</v>
      </c>
      <c r="BD142" s="231">
        <f>IFERROR(VLOOKUP($A142,SP_AcqTract_DB[],MATCH(BD$2,SP_AcqTract_DB[#Headers],0),FALSE),"")</f>
        <v>0</v>
      </c>
      <c r="BE142" s="249" t="str">
        <f>IFERROR(IF(VLOOKUP(CONCATENATE($A142,"_",BE$1),SP_ACQ_Lib[],MATCH(BE$2,SP_ACQ_Lib[#Headers],0),FALSE)=0,"",VLOOKUP(CONCATENATE($A142,"_",BE$1),SP_ACQ_Lib[],MATCH(BE$2,SP_ACQ_Lib[#Headers],0),FALSE)),"")</f>
        <v/>
      </c>
      <c r="BF142" s="249" t="str">
        <f>IFERROR(IF(VLOOKUP(CONCATENATE($A142,"_",BF$1),SP_ACQ_Lib[],MATCH(BF$2,SP_ACQ_Lib[#Headers],0),FALSE)=0,"",VLOOKUP(CONCATENATE($A142,"_",BF$1),SP_ACQ_Lib[],MATCH(BF$2,SP_ACQ_Lib[#Headers],0),FALSE)),"")</f>
        <v/>
      </c>
      <c r="BG142" s="249" t="str">
        <f>IFERROR(IF(VLOOKUP(CONCATENATE($A142,"_",BG$1),SP_ACQ_Lib[],MATCH(BG$2,SP_ACQ_Lib[#Headers],0),FALSE)=0,"",VLOOKUP(CONCATENATE($A142,"_",BG$1),SP_ACQ_Lib[],MATCH(BG$2,SP_ACQ_Lib[#Headers],0),FALSE)),"")</f>
        <v/>
      </c>
      <c r="BH142" s="249" t="str">
        <f>IFERROR(IF(VLOOKUP(CONCATENATE($A142,"_",BH$1),SP_ACQ_Lib[],MATCH(BH$2,SP_ACQ_Lib[#Headers],0),FALSE)=0,"",VLOOKUP(CONCATENATE($A142,"_",BH$1),SP_ACQ_Lib[],MATCH(BH$2,SP_ACQ_Lib[#Headers],0),FALSE)),"")</f>
        <v/>
      </c>
      <c r="BI142" s="249" t="str">
        <f>IFERROR(IF(VLOOKUP(CONCATENATE($A142,"_",BI$1),SP_ACQ_Lib[],MATCH(BI$2,SP_ACQ_Lib[#Headers],0),FALSE)=0,"",VLOOKUP(CONCATENATE($A142,"_",BI$1),SP_ACQ_Lib[],MATCH(BI$2,SP_ACQ_Lib[#Headers],0),FALSE)),"")</f>
        <v/>
      </c>
      <c r="BJ142" s="249" t="str">
        <f>IFERROR(IF(VLOOKUP(CONCATENATE($A142,"_",BJ$1),SP_ACQ_Lib[],MATCH(BJ$2,SP_ACQ_Lib[#Headers],0),FALSE)=0,"",VLOOKUP(CONCATENATE($A142,"_",BJ$1),SP_ACQ_Lib[],MATCH(BJ$2,SP_ACQ_Lib[#Headers],0),FALSE)),"")</f>
        <v/>
      </c>
      <c r="BK142" s="250" t="str">
        <f>IFERROR(IF(VLOOKUP(CONCATENATE($A142,"_",BK$1),SP_ACQ_Lib[],MATCH(BK$2,SP_ACQ_Lib[#Headers],0),FALSE)=0,"",VLOOKUP(CONCATENATE($A142,"_",BK$1),SP_ACQ_Lib[],MATCH(BK$2,SP_ACQ_Lib[#Headers],0),FALSE)),"")</f>
        <v/>
      </c>
      <c r="BL142" s="249" t="str">
        <f>IFERROR(IF(VLOOKUP(CONCATENATE($A142,"_",BL$1),SP_ACQ_Lib[],MATCH(BL$2,SP_ACQ_Lib[#Headers],0),FALSE)=0,"",VLOOKUP(CONCATENATE($A142,"_",BL$1),SP_ACQ_Lib[],MATCH(BL$2,SP_ACQ_Lib[#Headers],0),FALSE)),"")</f>
        <v/>
      </c>
      <c r="BM142" s="249" t="str">
        <f>IFERROR(IF(VLOOKUP(CONCATENATE($A142,"_",BM$1),SP_ACQ_Lib[],MATCH(BM$2,SP_ACQ_Lib[#Headers],0),FALSE)=0,"",VLOOKUP(CONCATENATE($A142,"_",BM$1),SP_ACQ_Lib[],MATCH(BM$2,SP_ACQ_Lib[#Headers],0),FALSE)),"")</f>
        <v/>
      </c>
      <c r="BN142" s="249" t="str">
        <f>IFERROR(IF(VLOOKUP(CONCATENATE($A142,"_",BN$1),SP_ACQ_Lib[],MATCH(BN$2,SP_ACQ_Lib[#Headers],0),FALSE)=0,"",VLOOKUP(CONCATENATE($A142,"_",BN$1),SP_ACQ_Lib[],MATCH(BN$2,SP_ACQ_Lib[#Headers],0),FALSE)),"")</f>
        <v/>
      </c>
    </row>
    <row r="143" spans="1:66" s="226" customFormat="1" ht="38.25" x14ac:dyDescent="0.2">
      <c r="A143" s="192" t="s">
        <v>5258</v>
      </c>
      <c r="B143" s="227" t="str">
        <f>IFERROR(VLOOKUP($A143,SP_AcqTract_DB[],MATCH(B$2,SP_AcqTract_DB[#Headers],0),FALSE),"")</f>
        <v>R070100</v>
      </c>
      <c r="C143" s="228" t="str">
        <f>IFERROR(VLOOKUP($A143,SP_AcqTract_DB[],MATCH(C$2,SP_AcqTract_DB[#Headers],0),FALSE),"")</f>
        <v>PH2</v>
      </c>
      <c r="D143" s="208" t="str">
        <f>IFERROR(VLOOKUP($A143,SP_AcqTract_DB[],MATCH(D$2,SP_AcqTract_DB[#Headers],0),FALSE),"")</f>
        <v>Active</v>
      </c>
      <c r="E143" s="208">
        <f>IFERROR(VLOOKUP($A143,SP_AcqTract_DB[],MATCH(E$2,SP_AcqTract_DB[#Headers],0),FALSE),"")</f>
        <v>0</v>
      </c>
      <c r="F143" s="227">
        <f>IFERROR(VLOOKUP($A143,SP_AcqTract_DB[],MATCH(F$2,SP_AcqTract_DB[#Headers],0),FALSE),"")</f>
        <v>0</v>
      </c>
      <c r="G143" s="227" t="str">
        <f>IFERROR(VLOOKUP($A143,SP_AcqTract_DB[],MATCH(G$2,SP_AcqTract_DB[#Headers],0),FALSE),"")</f>
        <v>Darlene Snow</v>
      </c>
      <c r="H143" s="250" t="str">
        <f>IFERROR(IF(VLOOKUP(CONCATENATE($A143,"_",H$1),SP_ACQ_Lib[],MATCH(H$2,SP_ACQ_Lib[#Headers],0),FALSE)=0,"",VLOOKUP(CONCATENATE($A143,"_",H$1),SP_ACQ_Lib[],MATCH(H$2,SP_ACQ_Lib[#Headers],0),FALSE)),"")</f>
        <v/>
      </c>
      <c r="I143" s="227" t="str">
        <f>IFERROR(VLOOKUP($A143,SP_AcqTract_DB[],MATCH(I$2,SP_AcqTract_DB[#Headers],0),FALSE),"")</f>
        <v>Mattax Family Trust, A Test Trst Under The Will Of Calvin C Mattax, Dcsd, David C Mattax Trustee</v>
      </c>
      <c r="J143" s="227">
        <f>IFERROR(VLOOKUP($A143,SP_AcqTract_DB[],MATCH(J$2,SP_AcqTract_DB[#Headers],0),FALSE),"")</f>
        <v>0</v>
      </c>
      <c r="K143" s="227" t="str">
        <f>IFERROR(VLOOKUP($A143,SP_AcqTract_DB[],MATCH(K$2,SP_AcqTract_DB[#Headers],0),FALSE),"")</f>
        <v>CAROL A. CURRY, TRUSTEE</v>
      </c>
      <c r="L143" s="227" t="str">
        <f>IFERROR(VLOOKUP($A143,SP_AcqTract_DB[],MATCH(L$2,SP_AcqTract_DB[#Headers],0),FALSE),"")</f>
        <v>1659 2ND STREET</v>
      </c>
      <c r="M143" s="208" t="str">
        <f>IFERROR(VLOOKUP($A143,SP_AcqTract_DB[],MATCH(M$2,SP_AcqTract_DB[#Headers],0),FALSE),"")</f>
        <v>MANHATTAN BEACH, CA 90266</v>
      </c>
      <c r="N143" s="227" t="str">
        <f>IFERROR(VLOOKUP($A143,SP_AcqTract_DB[],MATCH(N$2,SP_AcqTract_DB[#Headers],0),FALSE),"")</f>
        <v>CR 241</v>
      </c>
      <c r="O143" s="220">
        <f>IFERROR(VLOOKUP($A143,SP_AcqTract_DB[],MATCH(O$2,SP_AcqTract_DB[#Headers],0),FALSE),"")</f>
        <v>0</v>
      </c>
      <c r="P143" s="220">
        <f>IFERROR(VLOOKUP($A143,SP_AcqTract_DB[],MATCH(P$2,SP_AcqTract_DB[#Headers],0),FALSE),"")</f>
        <v>0</v>
      </c>
      <c r="Q143" s="208">
        <f>IFERROR(VLOOKUP($A143,SP_AcqTract_DB[],MATCH(Q$2,SP_AcqTract_DB[#Headers],0),FALSE),"")</f>
        <v>0</v>
      </c>
      <c r="R143" s="250" t="str">
        <f>IFERROR(IF(VLOOKUP(CONCATENATE($A143,"_",R$1),SP_ACQ_Lib[],MATCH(R$2,SP_ACQ_Lib[#Headers],0),FALSE)=0,"",VLOOKUP(CONCATENATE($A143,"_",R$1),SP_ACQ_Lib[],MATCH(R$2,SP_ACQ_Lib[#Headers],0),FALSE)),"")</f>
        <v/>
      </c>
      <c r="S143" s="253" t="str">
        <f>IFERROR(IF(VLOOKUP(CONCATENATE($A143,"_",S$1),SP_ACQ_Lib[],MATCH(S$2,SP_ACQ_Lib[#Headers],0),FALSE)=0,"",VLOOKUP(CONCATENATE($A143,"_",S$1),SP_ACQ_Lib[],MATCH(S$2,SP_ACQ_Lib[#Headers],0),FALSE)),"")</f>
        <v/>
      </c>
      <c r="T143" s="205">
        <f>IFERROR(VLOOKUP(CONCATENATE($A143,"_",T$1),SP_ACQ_Lib[],MATCH(T$2,SP_ACQ_Lib[#Headers],0),FALSE),0)</f>
        <v>0</v>
      </c>
      <c r="U143" s="250" t="str">
        <f>IFERROR(IF(VLOOKUP(CONCATENATE($A143,"_",U$1),SP_ACQ_Lib[],MATCH(U$2,SP_ACQ_Lib[#Headers],0),FALSE)=0,"",VLOOKUP(CONCATENATE($A143,"_",U$1),SP_ACQ_Lib[],MATCH(U$2,SP_ACQ_Lib[#Headers],0),FALSE)),"")</f>
        <v/>
      </c>
      <c r="V143" s="205">
        <f>IFERROR(VLOOKUP(CONCATENATE($A143,"_",V$1),SP_ACQ_Lib[],MATCH(V$2,SP_ACQ_Lib[#Headers],0),FALSE),0)</f>
        <v>0</v>
      </c>
      <c r="W143" s="209">
        <f>IFERROR(VLOOKUP(CONCATENATE($A143,"_",W$1),SP_ACQ_Lib[],MATCH(W$2,SP_ACQ_Lib[#Headers],0),FALSE),0)</f>
        <v>0</v>
      </c>
      <c r="X143" s="250">
        <f>IFERROR(VLOOKUP($A143,SP_AcqTract_DB[],MATCH(X$2,SP_AcqTract_DB[#Headers],0),FALSE),"")</f>
        <v>0</v>
      </c>
      <c r="Y143" s="237">
        <f>IFERROR(VLOOKUP($A143,SP_AcqTract_DB[],MATCH(Y$2,SP_AcqTract_DB[#Headers],0),FALSE),"")</f>
        <v>0</v>
      </c>
      <c r="Z143" s="229">
        <f>IFERROR(VLOOKUP($A143,SP_AcqTract_DB[],MATCH(Z$2,SP_AcqTract_DB[#Headers],0),FALSE),"")</f>
        <v>0</v>
      </c>
      <c r="AA143" s="229">
        <f>IFERROR(VLOOKUP($A143,SP_AcqTract_DB[],MATCH(AA$2,SP_AcqTract_DB[#Headers],0),FALSE),"")</f>
        <v>0</v>
      </c>
      <c r="AB143" s="250" t="str">
        <f>IFERROR(IF(VLOOKUP(CONCATENATE($A143,"_",AB$1),SP_ACQ_Lib[],MATCH(AB$2,SP_ACQ_Lib[#Headers],0),FALSE)=0,"",VLOOKUP(CONCATENATE($A143,"_",AB$1),SP_ACQ_Lib[],MATCH(AB$2,SP_ACQ_Lib[#Headers],0),FALSE)),"")</f>
        <v/>
      </c>
      <c r="AC143" s="250" t="str">
        <f>IFERROR(IF(VLOOKUP(CONCATENATE($A143,"_",AC$1),SP_ACQ_Lib[],MATCH(AC$2,SP_ACQ_Lib[#Headers],0),FALSE)=0,"",VLOOKUP(CONCATENATE($A143,"_",AC$1),SP_ACQ_Lib[],MATCH(AC$2,SP_ACQ_Lib[#Headers],0),FALSE)),"")</f>
        <v/>
      </c>
      <c r="AD143" s="229">
        <f>IFERROR(VLOOKUP($A143,SP_AcqTract_DB[],MATCH(AD$2,SP_AcqTract_DB[#Headers],0),FALSE),"")</f>
        <v>0</v>
      </c>
      <c r="AE143" s="250" t="str">
        <f>IFERROR(IF(VLOOKUP(CONCATENATE($A143,"_",AE$1),SP_ACQ_Lib[],MATCH(AE$2,SP_ACQ_Lib[#Headers],0),FALSE)=0,"",VLOOKUP(CONCATENATE($A143,"_",AE$1),SP_ACQ_Lib[],MATCH(AE$2,SP_ACQ_Lib[#Headers],0),FALSE)),"")</f>
        <v/>
      </c>
      <c r="AF143" s="250" t="str">
        <f>IFERROR(IF(VLOOKUP(CONCATENATE($A143,"_",AF$1),SP_ACQ_Lib[],MATCH(AF$2,SP_ACQ_Lib[#Headers],0),FALSE)=0,"",VLOOKUP(CONCATENATE($A143,"_",AF$1),SP_ACQ_Lib[],MATCH(AF$2,SP_ACQ_Lib[#Headers],0),FALSE)),"")</f>
        <v/>
      </c>
      <c r="AG143" s="250" t="str">
        <f>IFERROR(IF(VLOOKUP(CONCATENATE($A143,"_",AG$1),SP_ACQ_Lib[],MATCH(AG$2,SP_ACQ_Lib[#Headers],0),FALSE)=0,"",VLOOKUP(CONCATENATE($A143,"_",AG$1),SP_ACQ_Lib[],MATCH(AG$2,SP_ACQ_Lib[#Headers],0),FALSE)),"")</f>
        <v/>
      </c>
      <c r="AH143" s="250" t="str">
        <f>IFERROR(IF(VLOOKUP(CONCATENATE($A143,"_",AH$1),SP_ACQ_Lib[],MATCH(AH$2,SP_ACQ_Lib[#Headers],0),FALSE)=0,"",VLOOKUP(CONCATENATE($A143,"_",AH$1),SP_ACQ_Lib[],MATCH(AH$2,SP_ACQ_Lib[#Headers],0),FALSE)),"")</f>
        <v/>
      </c>
      <c r="AI143" s="249">
        <f>IFERROR(IF(VLOOKUP(CONCATENATE($A143,"_",AI$1),SP_ACQ_Lib[],MATCH(AI$2,SP_ACQ_Lib[#Headers],0),FALSE)=0,"",VLOOKUP(CONCATENATE($A143,"_",AI$1),SP_ACQ_Lib[],MATCH(AI$2,SP_ACQ_Lib[#Headers],0),FALSE)),"")</f>
        <v>43697</v>
      </c>
      <c r="AJ143" s="249">
        <f>IFERROR(IF(VLOOKUP(CONCATENATE($A143,"_",AJ$1),SP_ACQ_Lib[],MATCH(AJ$2,SP_ACQ_Lib[#Headers],0),FALSE)=0,"",VLOOKUP(CONCATENATE($A143,"_",AJ$1),SP_ACQ_Lib[],MATCH(AJ$2,SP_ACQ_Lib[#Headers],0),FALSE)),"")</f>
        <v>43738</v>
      </c>
      <c r="AK143" s="249">
        <f>IFERROR(IF(VLOOKUP(CONCATENATE($A143,"_",AK$1),SP_ACQ_Lib[],MATCH(AK$2,SP_ACQ_Lib[#Headers],0),FALSE)=0,"",VLOOKUP(CONCATENATE($A143,"_",AK$1),SP_ACQ_Lib[],MATCH(AK$2,SP_ACQ_Lib[#Headers],0),FALSE)),"")</f>
        <v>44833</v>
      </c>
      <c r="AL143" s="249">
        <f>IFERROR(VLOOKUP($A143,SP_AcqTract_DB[],MATCH(AL$2,SP_AcqTract_DB[#Headers],0),FALSE),"")</f>
        <v>0</v>
      </c>
      <c r="AM143" s="227">
        <f>IFERROR(VLOOKUP($A143,SP_AcqTract_DB[],MATCH(AM$2,SP_AcqTract_DB[#Headers],0),FALSE),"")</f>
        <v>0</v>
      </c>
      <c r="AN143" s="227">
        <f>IFERROR(VLOOKUP($A143,SP_AcqTract_DB[],MATCH(AN$2,SP_AcqTract_DB[#Headers],0),FALSE),"")</f>
        <v>0</v>
      </c>
      <c r="AO143" s="228">
        <f>IFERROR(VLOOKUP($A143,SP_AcqTract_DB[],MATCH(AO$2,SP_AcqTract_DB[#Headers],0),FALSE),"")</f>
        <v>0</v>
      </c>
      <c r="AP143" s="210" t="str">
        <f>IFERROR(VLOOKUP($A143,SP_AcqTract_DB[],MATCH(AP$2,SP_AcqTract_DB[#Headers],0),FALSE),"")</f>
        <v>A</v>
      </c>
      <c r="AQ143" s="252" t="str">
        <f>IFERROR(IF(VLOOKUP(CONCATENATE($A143,"_",AQ$1),SP_ACQ_Lib[],MATCH(AQ$2,SP_ACQ_Lib[#Headers],0),FALSE)=0,"",VLOOKUP(CONCATENATE($A143,"_",AQ$1),SP_ACQ_Lib[],MATCH(AQ$2,SP_ACQ_Lib[#Headers],0),FALSE)),"")</f>
        <v/>
      </c>
      <c r="AR143" s="250" t="str">
        <f>IFERROR(IF(VLOOKUP(CONCATENATE($A143,"_",AR$1),SP_ACQ_Lib[],MATCH(AR$2,SP_ACQ_Lib[#Headers],0),FALSE)=0,"",VLOOKUP(CONCATENATE($A143,"_",AR$1),SP_ACQ_Lib[],MATCH(AR$2,SP_ACQ_Lib[#Headers],0),FALSE)),"")</f>
        <v/>
      </c>
      <c r="AS143" s="249" t="str">
        <f>IFERROR(IF(VLOOKUP(CONCATENATE($A143,"_",AS$1),SP_ACQ_Lib[],MATCH(AS$2,SP_ACQ_Lib[#Headers],0),FALSE)=0,"",VLOOKUP(CONCATENATE($A143,"_",AS$1),SP_ACQ_Lib[],MATCH(AS$2,SP_ACQ_Lib[#Headers],0),FALSE)),"")</f>
        <v/>
      </c>
      <c r="AT143" s="251" t="str">
        <f>IFERROR(IF(VLOOKUP(CONCATENATE($A143,"_",AT$1),SP_ACQ_Lib[],MATCH(AT$2,SP_ACQ_Lib[#Headers],0),FALSE)=0,"",VLOOKUP(CONCATENATE($A143,"_",AT$1),SP_ACQ_Lib[],MATCH(AT$2,SP_ACQ_Lib[#Headers],0),FALSE)),"")</f>
        <v/>
      </c>
      <c r="AU143" s="251" t="str">
        <f>IFERROR(IF(VLOOKUP(CONCATENATE($A143,"_",AU$1),SP_ACQ_Lib[],MATCH(AU$2,SP_ACQ_Lib[#Headers],0),FALSE)=0,"",VLOOKUP(CONCATENATE($A143,"_",AU$1),SP_ACQ_Lib[],MATCH(AU$2,SP_ACQ_Lib[#Headers],0),FALSE)),"")</f>
        <v/>
      </c>
      <c r="AV143" s="225" t="str">
        <f>IFERROR(IF(VLOOKUP(CONCATENATE($A143,"_",AV$1),SP_ACQ_Lib[],MATCH(AV$2,SP_ACQ_Lib[#Headers],0),FALSE)=0,"",VLOOKUP(CONCATENATE($A143,"_",AV$1),SP_ACQ_Lib[],MATCH(AV$2,SP_ACQ_Lib[#Headers],0),FALSE)),"")</f>
        <v/>
      </c>
      <c r="AW143" s="251" t="str">
        <f>IFERROR(IF(VLOOKUP(CONCATENATE($A143,"_",AW$1),SP_ACQ_Lib[],MATCH(AW$2,SP_ACQ_Lib[#Headers],0),FALSE)=0,"",VLOOKUP(CONCATENATE($A143,"_",AW$1),SP_ACQ_Lib[],MATCH(AW$2,SP_ACQ_Lib[#Headers],0),FALSE)),"")</f>
        <v/>
      </c>
      <c r="AX143" s="251" t="str">
        <f>IFERROR(IF(VLOOKUP(CONCATENATE($A143,"_",AX$1),SP_ACQ_Lib[],MATCH(AX$2,SP_ACQ_Lib[#Headers],0),FALSE)=0,"",VLOOKUP(CONCATENATE($A143,"_",AX$1),SP_ACQ_Lib[],MATCH(AX$2,SP_ACQ_Lib[#Headers],0),FALSE)),"")</f>
        <v/>
      </c>
      <c r="AY143" s="251" t="str">
        <f>IFERROR(IF(VLOOKUP(CONCATENATE($A143,"_",AY$1),SP_ACQ_Lib[],MATCH(AY$2,SP_ACQ_Lib[#Headers],0),FALSE)=0,"",VLOOKUP(CONCATENATE($A143,"_",AY$1),SP_ACQ_Lib[],MATCH(AY$2,SP_ACQ_Lib[#Headers],0),FALSE)),"")</f>
        <v/>
      </c>
      <c r="AZ143" s="251" t="str">
        <f>IFERROR(IF(VLOOKUP(CONCATENATE($A143,"_",AZ$1),SP_ACQ_Lib[],MATCH(AZ$2,SP_ACQ_Lib[#Headers],0),FALSE)=0,"",VLOOKUP(CONCATENATE($A143,"_",AZ$1),SP_ACQ_Lib[],MATCH(AZ$2,SP_ACQ_Lib[#Headers],0),FALSE)),"")</f>
        <v/>
      </c>
      <c r="BA143" s="251" t="str">
        <f>IFERROR(IF(VLOOKUP(CONCATENATE($A143,"_",BA$1),SP_ACQ_Lib[],MATCH(BA$2,SP_ACQ_Lib[#Headers],0),FALSE)=0,"",VLOOKUP(CONCATENATE($A143,"_",BA$1),SP_ACQ_Lib[],MATCH(BA$2,SP_ACQ_Lib[#Headers],0),FALSE)),"")</f>
        <v/>
      </c>
      <c r="BB143" s="224">
        <f>IFERROR(VLOOKUP(CONCATENATE($A143,"_",BB$1),SP_ACQ_Lib[],MATCH(BB$2,SP_ACQ_Lib[#Headers],0),FALSE),0)</f>
        <v>0</v>
      </c>
      <c r="BC143" s="231">
        <f>IFERROR(VLOOKUP($A143,SP_AcqTract_DB[],MATCH(BC$2,SP_AcqTract_DB[#Headers],0),FALSE),"")</f>
        <v>0</v>
      </c>
      <c r="BD143" s="231">
        <f>IFERROR(VLOOKUP($A143,SP_AcqTract_DB[],MATCH(BD$2,SP_AcqTract_DB[#Headers],0),FALSE),"")</f>
        <v>0</v>
      </c>
      <c r="BE143" s="249" t="str">
        <f>IFERROR(IF(VLOOKUP(CONCATENATE($A143,"_",BE$1),SP_ACQ_Lib[],MATCH(BE$2,SP_ACQ_Lib[#Headers],0),FALSE)=0,"",VLOOKUP(CONCATENATE($A143,"_",BE$1),SP_ACQ_Lib[],MATCH(BE$2,SP_ACQ_Lib[#Headers],0),FALSE)),"")</f>
        <v/>
      </c>
      <c r="BF143" s="249" t="str">
        <f>IFERROR(IF(VLOOKUP(CONCATENATE($A143,"_",BF$1),SP_ACQ_Lib[],MATCH(BF$2,SP_ACQ_Lib[#Headers],0),FALSE)=0,"",VLOOKUP(CONCATENATE($A143,"_",BF$1),SP_ACQ_Lib[],MATCH(BF$2,SP_ACQ_Lib[#Headers],0),FALSE)),"")</f>
        <v/>
      </c>
      <c r="BG143" s="249" t="str">
        <f>IFERROR(IF(VLOOKUP(CONCATENATE($A143,"_",BG$1),SP_ACQ_Lib[],MATCH(BG$2,SP_ACQ_Lib[#Headers],0),FALSE)=0,"",VLOOKUP(CONCATENATE($A143,"_",BG$1),SP_ACQ_Lib[],MATCH(BG$2,SP_ACQ_Lib[#Headers],0),FALSE)),"")</f>
        <v/>
      </c>
      <c r="BH143" s="249" t="str">
        <f>IFERROR(IF(VLOOKUP(CONCATENATE($A143,"_",BH$1),SP_ACQ_Lib[],MATCH(BH$2,SP_ACQ_Lib[#Headers],0),FALSE)=0,"",VLOOKUP(CONCATENATE($A143,"_",BH$1),SP_ACQ_Lib[],MATCH(BH$2,SP_ACQ_Lib[#Headers],0),FALSE)),"")</f>
        <v/>
      </c>
      <c r="BI143" s="249" t="str">
        <f>IFERROR(IF(VLOOKUP(CONCATENATE($A143,"_",BI$1),SP_ACQ_Lib[],MATCH(BI$2,SP_ACQ_Lib[#Headers],0),FALSE)=0,"",VLOOKUP(CONCATENATE($A143,"_",BI$1),SP_ACQ_Lib[],MATCH(BI$2,SP_ACQ_Lib[#Headers],0),FALSE)),"")</f>
        <v/>
      </c>
      <c r="BJ143" s="249" t="str">
        <f>IFERROR(IF(VLOOKUP(CONCATENATE($A143,"_",BJ$1),SP_ACQ_Lib[],MATCH(BJ$2,SP_ACQ_Lib[#Headers],0),FALSE)=0,"",VLOOKUP(CONCATENATE($A143,"_",BJ$1),SP_ACQ_Lib[],MATCH(BJ$2,SP_ACQ_Lib[#Headers],0),FALSE)),"")</f>
        <v/>
      </c>
      <c r="BK143" s="250" t="str">
        <f>IFERROR(IF(VLOOKUP(CONCATENATE($A143,"_",BK$1),SP_ACQ_Lib[],MATCH(BK$2,SP_ACQ_Lib[#Headers],0),FALSE)=0,"",VLOOKUP(CONCATENATE($A143,"_",BK$1),SP_ACQ_Lib[],MATCH(BK$2,SP_ACQ_Lib[#Headers],0),FALSE)),"")</f>
        <v/>
      </c>
      <c r="BL143" s="249" t="str">
        <f>IFERROR(IF(VLOOKUP(CONCATENATE($A143,"_",BL$1),SP_ACQ_Lib[],MATCH(BL$2,SP_ACQ_Lib[#Headers],0),FALSE)=0,"",VLOOKUP(CONCATENATE($A143,"_",BL$1),SP_ACQ_Lib[],MATCH(BL$2,SP_ACQ_Lib[#Headers],0),FALSE)),"")</f>
        <v/>
      </c>
      <c r="BM143" s="249" t="str">
        <f>IFERROR(IF(VLOOKUP(CONCATENATE($A143,"_",BM$1),SP_ACQ_Lib[],MATCH(BM$2,SP_ACQ_Lib[#Headers],0),FALSE)=0,"",VLOOKUP(CONCATENATE($A143,"_",BM$1),SP_ACQ_Lib[],MATCH(BM$2,SP_ACQ_Lib[#Headers],0),FALSE)),"")</f>
        <v/>
      </c>
      <c r="BN143" s="249" t="str">
        <f>IFERROR(IF(VLOOKUP(CONCATENATE($A143,"_",BN$1),SP_ACQ_Lib[],MATCH(BN$2,SP_ACQ_Lib[#Headers],0),FALSE)=0,"",VLOOKUP(CONCATENATE($A143,"_",BN$1),SP_ACQ_Lib[],MATCH(BN$2,SP_ACQ_Lib[#Headers],0),FALSE)),"")</f>
        <v/>
      </c>
    </row>
    <row r="144" spans="1:66" s="226" customFormat="1" ht="15.75" x14ac:dyDescent="0.2">
      <c r="A144" s="192" t="s">
        <v>5259</v>
      </c>
      <c r="B144" s="227" t="str">
        <f>IFERROR(VLOOKUP($A144,SP_AcqTract_DB[],MATCH(B$2,SP_AcqTract_DB[#Headers],0),FALSE),"")</f>
        <v>R073246</v>
      </c>
      <c r="C144" s="228" t="str">
        <f>IFERROR(VLOOKUP($A144,SP_AcqTract_DB[],MATCH(C$2,SP_AcqTract_DB[#Headers],0),FALSE),"")</f>
        <v>PH2</v>
      </c>
      <c r="D144" s="208" t="str">
        <f>IFERROR(VLOOKUP($A144,SP_AcqTract_DB[],MATCH(D$2,SP_AcqTract_DB[#Headers],0),FALSE),"")</f>
        <v>Active</v>
      </c>
      <c r="E144" s="208">
        <f>IFERROR(VLOOKUP($A144,SP_AcqTract_DB[],MATCH(E$2,SP_AcqTract_DB[#Headers],0),FALSE),"")</f>
        <v>0</v>
      </c>
      <c r="F144" s="227">
        <f>IFERROR(VLOOKUP($A144,SP_AcqTract_DB[],MATCH(F$2,SP_AcqTract_DB[#Headers],0),FALSE),"")</f>
        <v>0</v>
      </c>
      <c r="G144" s="227" t="str">
        <f>IFERROR(VLOOKUP($A144,SP_AcqTract_DB[],MATCH(G$2,SP_AcqTract_DB[#Headers],0),FALSE),"")</f>
        <v>Darlene Snow</v>
      </c>
      <c r="H144" s="250" t="str">
        <f>IFERROR(IF(VLOOKUP(CONCATENATE($A144,"_",H$1),SP_ACQ_Lib[],MATCH(H$2,SP_ACQ_Lib[#Headers],0),FALSE)=0,"",VLOOKUP(CONCATENATE($A144,"_",H$1),SP_ACQ_Lib[],MATCH(H$2,SP_ACQ_Lib[#Headers],0),FALSE)),"")</f>
        <v/>
      </c>
      <c r="I144" s="227" t="str">
        <f>IFERROR(VLOOKUP($A144,SP_AcqTract_DB[],MATCH(I$2,SP_AcqTract_DB[#Headers],0),FALSE),"")</f>
        <v>Frank D Sorrel Trust</v>
      </c>
      <c r="J144" s="227">
        <f>IFERROR(VLOOKUP($A144,SP_AcqTract_DB[],MATCH(J$2,SP_AcqTract_DB[#Headers],0),FALSE),"")</f>
        <v>0</v>
      </c>
      <c r="K144" s="227">
        <f>IFERROR(VLOOKUP($A144,SP_AcqTract_DB[],MATCH(K$2,SP_AcqTract_DB[#Headers],0),FALSE),"")</f>
        <v>0</v>
      </c>
      <c r="L144" s="227">
        <f>IFERROR(VLOOKUP($A144,SP_AcqTract_DB[],MATCH(L$2,SP_AcqTract_DB[#Headers],0),FALSE),"")</f>
        <v>0</v>
      </c>
      <c r="M144" s="208">
        <f>IFERROR(VLOOKUP($A144,SP_AcqTract_DB[],MATCH(M$2,SP_AcqTract_DB[#Headers],0),FALSE),"")</f>
        <v>0</v>
      </c>
      <c r="N144" s="227" t="str">
        <f>IFERROR(VLOOKUP($A144,SP_AcqTract_DB[],MATCH(N$2,SP_AcqTract_DB[#Headers],0),FALSE),"")</f>
        <v>3420 FM 102</v>
      </c>
      <c r="O144" s="220">
        <f>IFERROR(VLOOKUP($A144,SP_AcqTract_DB[],MATCH(O$2,SP_AcqTract_DB[#Headers],0),FALSE),"")</f>
        <v>0</v>
      </c>
      <c r="P144" s="220">
        <f>IFERROR(VLOOKUP($A144,SP_AcqTract_DB[],MATCH(P$2,SP_AcqTract_DB[#Headers],0),FALSE),"")</f>
        <v>0</v>
      </c>
      <c r="Q144" s="208">
        <f>IFERROR(VLOOKUP($A144,SP_AcqTract_DB[],MATCH(Q$2,SP_AcqTract_DB[#Headers],0),FALSE),"")</f>
        <v>0</v>
      </c>
      <c r="R144" s="250" t="str">
        <f>IFERROR(IF(VLOOKUP(CONCATENATE($A144,"_",R$1),SP_ACQ_Lib[],MATCH(R$2,SP_ACQ_Lib[#Headers],0),FALSE)=0,"",VLOOKUP(CONCATENATE($A144,"_",R$1),SP_ACQ_Lib[],MATCH(R$2,SP_ACQ_Lib[#Headers],0),FALSE)),"")</f>
        <v/>
      </c>
      <c r="S144" s="253" t="str">
        <f>IFERROR(IF(VLOOKUP(CONCATENATE($A144,"_",S$1),SP_ACQ_Lib[],MATCH(S$2,SP_ACQ_Lib[#Headers],0),FALSE)=0,"",VLOOKUP(CONCATENATE($A144,"_",S$1),SP_ACQ_Lib[],MATCH(S$2,SP_ACQ_Lib[#Headers],0),FALSE)),"")</f>
        <v/>
      </c>
      <c r="T144" s="205">
        <f>IFERROR(VLOOKUP(CONCATENATE($A144,"_",T$1),SP_ACQ_Lib[],MATCH(T$2,SP_ACQ_Lib[#Headers],0),FALSE),0)</f>
        <v>0</v>
      </c>
      <c r="U144" s="250" t="str">
        <f>IFERROR(IF(VLOOKUP(CONCATENATE($A144,"_",U$1),SP_ACQ_Lib[],MATCH(U$2,SP_ACQ_Lib[#Headers],0),FALSE)=0,"",VLOOKUP(CONCATENATE($A144,"_",U$1),SP_ACQ_Lib[],MATCH(U$2,SP_ACQ_Lib[#Headers],0),FALSE)),"")</f>
        <v/>
      </c>
      <c r="V144" s="205">
        <f>IFERROR(VLOOKUP(CONCATENATE($A144,"_",V$1),SP_ACQ_Lib[],MATCH(V$2,SP_ACQ_Lib[#Headers],0),FALSE),0)</f>
        <v>0</v>
      </c>
      <c r="W144" s="209">
        <f>IFERROR(VLOOKUP(CONCATENATE($A144,"_",W$1),SP_ACQ_Lib[],MATCH(W$2,SP_ACQ_Lib[#Headers],0),FALSE),0)</f>
        <v>0</v>
      </c>
      <c r="X144" s="250">
        <f>IFERROR(VLOOKUP($A144,SP_AcqTract_DB[],MATCH(X$2,SP_AcqTract_DB[#Headers],0),FALSE),"")</f>
        <v>0</v>
      </c>
      <c r="Y144" s="237">
        <f>IFERROR(VLOOKUP($A144,SP_AcqTract_DB[],MATCH(Y$2,SP_AcqTract_DB[#Headers],0),FALSE),"")</f>
        <v>0</v>
      </c>
      <c r="Z144" s="229">
        <f>IFERROR(VLOOKUP($A144,SP_AcqTract_DB[],MATCH(Z$2,SP_AcqTract_DB[#Headers],0),FALSE),"")</f>
        <v>0</v>
      </c>
      <c r="AA144" s="229">
        <f>IFERROR(VLOOKUP($A144,SP_AcqTract_DB[],MATCH(AA$2,SP_AcqTract_DB[#Headers],0),FALSE),"")</f>
        <v>0</v>
      </c>
      <c r="AB144" s="250" t="str">
        <f>IFERROR(IF(VLOOKUP(CONCATENATE($A144,"_",AB$1),SP_ACQ_Lib[],MATCH(AB$2,SP_ACQ_Lib[#Headers],0),FALSE)=0,"",VLOOKUP(CONCATENATE($A144,"_",AB$1),SP_ACQ_Lib[],MATCH(AB$2,SP_ACQ_Lib[#Headers],0),FALSE)),"")</f>
        <v/>
      </c>
      <c r="AC144" s="250" t="str">
        <f>IFERROR(IF(VLOOKUP(CONCATENATE($A144,"_",AC$1),SP_ACQ_Lib[],MATCH(AC$2,SP_ACQ_Lib[#Headers],0),FALSE)=0,"",VLOOKUP(CONCATENATE($A144,"_",AC$1),SP_ACQ_Lib[],MATCH(AC$2,SP_ACQ_Lib[#Headers],0),FALSE)),"")</f>
        <v/>
      </c>
      <c r="AD144" s="229">
        <f>IFERROR(VLOOKUP($A144,SP_AcqTract_DB[],MATCH(AD$2,SP_AcqTract_DB[#Headers],0),FALSE),"")</f>
        <v>0</v>
      </c>
      <c r="AE144" s="250" t="str">
        <f>IFERROR(IF(VLOOKUP(CONCATENATE($A144,"_",AE$1),SP_ACQ_Lib[],MATCH(AE$2,SP_ACQ_Lib[#Headers],0),FALSE)=0,"",VLOOKUP(CONCATENATE($A144,"_",AE$1),SP_ACQ_Lib[],MATCH(AE$2,SP_ACQ_Lib[#Headers],0),FALSE)),"")</f>
        <v/>
      </c>
      <c r="AF144" s="250" t="str">
        <f>IFERROR(IF(VLOOKUP(CONCATENATE($A144,"_",AF$1),SP_ACQ_Lib[],MATCH(AF$2,SP_ACQ_Lib[#Headers],0),FALSE)=0,"",VLOOKUP(CONCATENATE($A144,"_",AF$1),SP_ACQ_Lib[],MATCH(AF$2,SP_ACQ_Lib[#Headers],0),FALSE)),"")</f>
        <v/>
      </c>
      <c r="AG144" s="250" t="str">
        <f>IFERROR(IF(VLOOKUP(CONCATENATE($A144,"_",AG$1),SP_ACQ_Lib[],MATCH(AG$2,SP_ACQ_Lib[#Headers],0),FALSE)=0,"",VLOOKUP(CONCATENATE($A144,"_",AG$1),SP_ACQ_Lib[],MATCH(AG$2,SP_ACQ_Lib[#Headers],0),FALSE)),"")</f>
        <v/>
      </c>
      <c r="AH144" s="250" t="str">
        <f>IFERROR(IF(VLOOKUP(CONCATENATE($A144,"_",AH$1),SP_ACQ_Lib[],MATCH(AH$2,SP_ACQ_Lib[#Headers],0),FALSE)=0,"",VLOOKUP(CONCATENATE($A144,"_",AH$1),SP_ACQ_Lib[],MATCH(AH$2,SP_ACQ_Lib[#Headers],0),FALSE)),"")</f>
        <v/>
      </c>
      <c r="AI144" s="249">
        <f>IFERROR(IF(VLOOKUP(CONCATENATE($A144,"_",AI$1),SP_ACQ_Lib[],MATCH(AI$2,SP_ACQ_Lib[#Headers],0),FALSE)=0,"",VLOOKUP(CONCATENATE($A144,"_",AI$1),SP_ACQ_Lib[],MATCH(AI$2,SP_ACQ_Lib[#Headers],0),FALSE)),"")</f>
        <v>43697</v>
      </c>
      <c r="AJ144" s="249">
        <f>IFERROR(IF(VLOOKUP(CONCATENATE($A144,"_",AJ$1),SP_ACQ_Lib[],MATCH(AJ$2,SP_ACQ_Lib[#Headers],0),FALSE)=0,"",VLOOKUP(CONCATENATE($A144,"_",AJ$1),SP_ACQ_Lib[],MATCH(AJ$2,SP_ACQ_Lib[#Headers],0),FALSE)),"")</f>
        <v>43724</v>
      </c>
      <c r="AK144" s="249">
        <f>IFERROR(IF(VLOOKUP(CONCATENATE($A144,"_",AK$1),SP_ACQ_Lib[],MATCH(AK$2,SP_ACQ_Lib[#Headers],0),FALSE)=0,"",VLOOKUP(CONCATENATE($A144,"_",AK$1),SP_ACQ_Lib[],MATCH(AK$2,SP_ACQ_Lib[#Headers],0),FALSE)),"")</f>
        <v>44819</v>
      </c>
      <c r="AL144" s="249">
        <f>IFERROR(VLOOKUP($A144,SP_AcqTract_DB[],MATCH(AL$2,SP_AcqTract_DB[#Headers],0),FALSE),"")</f>
        <v>0</v>
      </c>
      <c r="AM144" s="227">
        <f>IFERROR(VLOOKUP($A144,SP_AcqTract_DB[],MATCH(AM$2,SP_AcqTract_DB[#Headers],0),FALSE),"")</f>
        <v>0</v>
      </c>
      <c r="AN144" s="227">
        <f>IFERROR(VLOOKUP($A144,SP_AcqTract_DB[],MATCH(AN$2,SP_AcqTract_DB[#Headers],0),FALSE),"")</f>
        <v>0</v>
      </c>
      <c r="AO144" s="228">
        <f>IFERROR(VLOOKUP($A144,SP_AcqTract_DB[],MATCH(AO$2,SP_AcqTract_DB[#Headers],0),FALSE),"")</f>
        <v>0</v>
      </c>
      <c r="AP144" s="210">
        <f>IFERROR(VLOOKUP($A144,SP_AcqTract_DB[],MATCH(AP$2,SP_AcqTract_DB[#Headers],0),FALSE),"")</f>
        <v>0</v>
      </c>
      <c r="AQ144" s="252" t="str">
        <f>IFERROR(IF(VLOOKUP(CONCATENATE($A144,"_",AQ$1),SP_ACQ_Lib[],MATCH(AQ$2,SP_ACQ_Lib[#Headers],0),FALSE)=0,"",VLOOKUP(CONCATENATE($A144,"_",AQ$1),SP_ACQ_Lib[],MATCH(AQ$2,SP_ACQ_Lib[#Headers],0),FALSE)),"")</f>
        <v/>
      </c>
      <c r="AR144" s="250" t="str">
        <f>IFERROR(IF(VLOOKUP(CONCATENATE($A144,"_",AR$1),SP_ACQ_Lib[],MATCH(AR$2,SP_ACQ_Lib[#Headers],0),FALSE)=0,"",VLOOKUP(CONCATENATE($A144,"_",AR$1),SP_ACQ_Lib[],MATCH(AR$2,SP_ACQ_Lib[#Headers],0),FALSE)),"")</f>
        <v/>
      </c>
      <c r="AS144" s="249" t="str">
        <f>IFERROR(IF(VLOOKUP(CONCATENATE($A144,"_",AS$1),SP_ACQ_Lib[],MATCH(AS$2,SP_ACQ_Lib[#Headers],0),FALSE)=0,"",VLOOKUP(CONCATENATE($A144,"_",AS$1),SP_ACQ_Lib[],MATCH(AS$2,SP_ACQ_Lib[#Headers],0),FALSE)),"")</f>
        <v/>
      </c>
      <c r="AT144" s="251" t="str">
        <f>IFERROR(IF(VLOOKUP(CONCATENATE($A144,"_",AT$1),SP_ACQ_Lib[],MATCH(AT$2,SP_ACQ_Lib[#Headers],0),FALSE)=0,"",VLOOKUP(CONCATENATE($A144,"_",AT$1),SP_ACQ_Lib[],MATCH(AT$2,SP_ACQ_Lib[#Headers],0),FALSE)),"")</f>
        <v/>
      </c>
      <c r="AU144" s="251" t="str">
        <f>IFERROR(IF(VLOOKUP(CONCATENATE($A144,"_",AU$1),SP_ACQ_Lib[],MATCH(AU$2,SP_ACQ_Lib[#Headers],0),FALSE)=0,"",VLOOKUP(CONCATENATE($A144,"_",AU$1),SP_ACQ_Lib[],MATCH(AU$2,SP_ACQ_Lib[#Headers],0),FALSE)),"")</f>
        <v/>
      </c>
      <c r="AV144" s="225" t="str">
        <f>IFERROR(IF(VLOOKUP(CONCATENATE($A144,"_",AV$1),SP_ACQ_Lib[],MATCH(AV$2,SP_ACQ_Lib[#Headers],0),FALSE)=0,"",VLOOKUP(CONCATENATE($A144,"_",AV$1),SP_ACQ_Lib[],MATCH(AV$2,SP_ACQ_Lib[#Headers],0),FALSE)),"")</f>
        <v/>
      </c>
      <c r="AW144" s="251" t="str">
        <f>IFERROR(IF(VLOOKUP(CONCATENATE($A144,"_",AW$1),SP_ACQ_Lib[],MATCH(AW$2,SP_ACQ_Lib[#Headers],0),FALSE)=0,"",VLOOKUP(CONCATENATE($A144,"_",AW$1),SP_ACQ_Lib[],MATCH(AW$2,SP_ACQ_Lib[#Headers],0),FALSE)),"")</f>
        <v/>
      </c>
      <c r="AX144" s="251" t="str">
        <f>IFERROR(IF(VLOOKUP(CONCATENATE($A144,"_",AX$1),SP_ACQ_Lib[],MATCH(AX$2,SP_ACQ_Lib[#Headers],0),FALSE)=0,"",VLOOKUP(CONCATENATE($A144,"_",AX$1),SP_ACQ_Lib[],MATCH(AX$2,SP_ACQ_Lib[#Headers],0),FALSE)),"")</f>
        <v/>
      </c>
      <c r="AY144" s="251" t="str">
        <f>IFERROR(IF(VLOOKUP(CONCATENATE($A144,"_",AY$1),SP_ACQ_Lib[],MATCH(AY$2,SP_ACQ_Lib[#Headers],0),FALSE)=0,"",VLOOKUP(CONCATENATE($A144,"_",AY$1),SP_ACQ_Lib[],MATCH(AY$2,SP_ACQ_Lib[#Headers],0),FALSE)),"")</f>
        <v/>
      </c>
      <c r="AZ144" s="251" t="str">
        <f>IFERROR(IF(VLOOKUP(CONCATENATE($A144,"_",AZ$1),SP_ACQ_Lib[],MATCH(AZ$2,SP_ACQ_Lib[#Headers],0),FALSE)=0,"",VLOOKUP(CONCATENATE($A144,"_",AZ$1),SP_ACQ_Lib[],MATCH(AZ$2,SP_ACQ_Lib[#Headers],0),FALSE)),"")</f>
        <v/>
      </c>
      <c r="BA144" s="251" t="str">
        <f>IFERROR(IF(VLOOKUP(CONCATENATE($A144,"_",BA$1),SP_ACQ_Lib[],MATCH(BA$2,SP_ACQ_Lib[#Headers],0),FALSE)=0,"",VLOOKUP(CONCATENATE($A144,"_",BA$1),SP_ACQ_Lib[],MATCH(BA$2,SP_ACQ_Lib[#Headers],0),FALSE)),"")</f>
        <v/>
      </c>
      <c r="BB144" s="224">
        <f>IFERROR(VLOOKUP(CONCATENATE($A144,"_",BB$1),SP_ACQ_Lib[],MATCH(BB$2,SP_ACQ_Lib[#Headers],0),FALSE),0)</f>
        <v>0</v>
      </c>
      <c r="BC144" s="231">
        <f>IFERROR(VLOOKUP($A144,SP_AcqTract_DB[],MATCH(BC$2,SP_AcqTract_DB[#Headers],0),FALSE),"")</f>
        <v>0</v>
      </c>
      <c r="BD144" s="231">
        <f>IFERROR(VLOOKUP($A144,SP_AcqTract_DB[],MATCH(BD$2,SP_AcqTract_DB[#Headers],0),FALSE),"")</f>
        <v>0</v>
      </c>
      <c r="BE144" s="249" t="str">
        <f>IFERROR(IF(VLOOKUP(CONCATENATE($A144,"_",BE$1),SP_ACQ_Lib[],MATCH(BE$2,SP_ACQ_Lib[#Headers],0),FALSE)=0,"",VLOOKUP(CONCATENATE($A144,"_",BE$1),SP_ACQ_Lib[],MATCH(BE$2,SP_ACQ_Lib[#Headers],0),FALSE)),"")</f>
        <v/>
      </c>
      <c r="BF144" s="249" t="str">
        <f>IFERROR(IF(VLOOKUP(CONCATENATE($A144,"_",BF$1),SP_ACQ_Lib[],MATCH(BF$2,SP_ACQ_Lib[#Headers],0),FALSE)=0,"",VLOOKUP(CONCATENATE($A144,"_",BF$1),SP_ACQ_Lib[],MATCH(BF$2,SP_ACQ_Lib[#Headers],0),FALSE)),"")</f>
        <v/>
      </c>
      <c r="BG144" s="249" t="str">
        <f>IFERROR(IF(VLOOKUP(CONCATENATE($A144,"_",BG$1),SP_ACQ_Lib[],MATCH(BG$2,SP_ACQ_Lib[#Headers],0),FALSE)=0,"",VLOOKUP(CONCATENATE($A144,"_",BG$1),SP_ACQ_Lib[],MATCH(BG$2,SP_ACQ_Lib[#Headers],0),FALSE)),"")</f>
        <v/>
      </c>
      <c r="BH144" s="249" t="str">
        <f>IFERROR(IF(VLOOKUP(CONCATENATE($A144,"_",BH$1),SP_ACQ_Lib[],MATCH(BH$2,SP_ACQ_Lib[#Headers],0),FALSE)=0,"",VLOOKUP(CONCATENATE($A144,"_",BH$1),SP_ACQ_Lib[],MATCH(BH$2,SP_ACQ_Lib[#Headers],0),FALSE)),"")</f>
        <v/>
      </c>
      <c r="BI144" s="249" t="str">
        <f>IFERROR(IF(VLOOKUP(CONCATENATE($A144,"_",BI$1),SP_ACQ_Lib[],MATCH(BI$2,SP_ACQ_Lib[#Headers],0),FALSE)=0,"",VLOOKUP(CONCATENATE($A144,"_",BI$1),SP_ACQ_Lib[],MATCH(BI$2,SP_ACQ_Lib[#Headers],0),FALSE)),"")</f>
        <v/>
      </c>
      <c r="BJ144" s="249" t="str">
        <f>IFERROR(IF(VLOOKUP(CONCATENATE($A144,"_",BJ$1),SP_ACQ_Lib[],MATCH(BJ$2,SP_ACQ_Lib[#Headers],0),FALSE)=0,"",VLOOKUP(CONCATENATE($A144,"_",BJ$1),SP_ACQ_Lib[],MATCH(BJ$2,SP_ACQ_Lib[#Headers],0),FALSE)),"")</f>
        <v/>
      </c>
      <c r="BK144" s="250" t="str">
        <f>IFERROR(IF(VLOOKUP(CONCATENATE($A144,"_",BK$1),SP_ACQ_Lib[],MATCH(BK$2,SP_ACQ_Lib[#Headers],0),FALSE)=0,"",VLOOKUP(CONCATENATE($A144,"_",BK$1),SP_ACQ_Lib[],MATCH(BK$2,SP_ACQ_Lib[#Headers],0),FALSE)),"")</f>
        <v/>
      </c>
      <c r="BL144" s="249" t="str">
        <f>IFERROR(IF(VLOOKUP(CONCATENATE($A144,"_",BL$1),SP_ACQ_Lib[],MATCH(BL$2,SP_ACQ_Lib[#Headers],0),FALSE)=0,"",VLOOKUP(CONCATENATE($A144,"_",BL$1),SP_ACQ_Lib[],MATCH(BL$2,SP_ACQ_Lib[#Headers],0),FALSE)),"")</f>
        <v/>
      </c>
      <c r="BM144" s="249" t="str">
        <f>IFERROR(IF(VLOOKUP(CONCATENATE($A144,"_",BM$1),SP_ACQ_Lib[],MATCH(BM$2,SP_ACQ_Lib[#Headers],0),FALSE)=0,"",VLOOKUP(CONCATENATE($A144,"_",BM$1),SP_ACQ_Lib[],MATCH(BM$2,SP_ACQ_Lib[#Headers],0),FALSE)),"")</f>
        <v/>
      </c>
      <c r="BN144" s="249" t="str">
        <f>IFERROR(IF(VLOOKUP(CONCATENATE($A144,"_",BN$1),SP_ACQ_Lib[],MATCH(BN$2,SP_ACQ_Lib[#Headers],0),FALSE)=0,"",VLOOKUP(CONCATENATE($A144,"_",BN$1),SP_ACQ_Lib[],MATCH(BN$2,SP_ACQ_Lib[#Headers],0),FALSE)),"")</f>
        <v/>
      </c>
    </row>
    <row r="145" spans="2:56" s="180" customFormat="1" x14ac:dyDescent="0.2">
      <c r="B145" s="181"/>
      <c r="F145" s="181"/>
      <c r="G145" s="181"/>
      <c r="I145" s="181"/>
      <c r="J145" s="181"/>
      <c r="K145" s="181"/>
      <c r="L145" s="181"/>
      <c r="N145" s="181"/>
      <c r="O145" s="181"/>
      <c r="P145" s="181"/>
      <c r="Z145" s="182"/>
      <c r="AA145" s="182"/>
      <c r="AD145" s="182"/>
      <c r="AM145" s="181"/>
      <c r="AN145" s="181"/>
      <c r="AV145" s="202"/>
      <c r="BC145" s="181"/>
      <c r="BD145" s="181"/>
    </row>
    <row r="146" spans="2:56" s="180" customFormat="1" x14ac:dyDescent="0.2">
      <c r="B146" s="181"/>
      <c r="F146" s="181"/>
      <c r="G146" s="181"/>
      <c r="I146" s="181"/>
      <c r="J146" s="181"/>
      <c r="K146" s="181"/>
      <c r="L146" s="181"/>
      <c r="N146" s="181"/>
      <c r="O146" s="181"/>
      <c r="P146" s="181"/>
      <c r="Z146" s="182"/>
      <c r="AA146" s="182"/>
      <c r="AD146" s="182"/>
      <c r="AM146" s="181"/>
      <c r="AN146" s="181"/>
      <c r="AV146" s="202"/>
      <c r="BC146" s="181"/>
      <c r="BD146" s="181"/>
    </row>
    <row r="147" spans="2:56" s="180" customFormat="1" x14ac:dyDescent="0.2">
      <c r="B147" s="181"/>
      <c r="F147" s="181"/>
      <c r="G147" s="181"/>
      <c r="I147" s="181"/>
      <c r="J147" s="181"/>
      <c r="K147" s="181"/>
      <c r="L147" s="181"/>
      <c r="N147" s="181"/>
      <c r="O147" s="181"/>
      <c r="P147" s="181"/>
      <c r="Z147" s="182"/>
      <c r="AA147" s="182"/>
      <c r="AD147" s="182"/>
      <c r="AM147" s="181"/>
      <c r="AN147" s="181"/>
      <c r="AV147" s="202"/>
      <c r="BC147" s="181"/>
      <c r="BD147" s="181"/>
    </row>
    <row r="148" spans="2:56" s="180" customFormat="1" x14ac:dyDescent="0.2">
      <c r="B148" s="181"/>
      <c r="F148" s="181"/>
      <c r="G148" s="181"/>
      <c r="I148" s="181"/>
      <c r="J148" s="181"/>
      <c r="K148" s="181"/>
      <c r="L148" s="181"/>
      <c r="N148" s="181"/>
      <c r="O148" s="181"/>
      <c r="P148" s="181"/>
      <c r="Z148" s="182"/>
      <c r="AA148" s="182"/>
      <c r="AD148" s="182"/>
      <c r="AM148" s="181"/>
      <c r="AN148" s="181"/>
      <c r="AV148" s="202"/>
      <c r="BC148" s="181"/>
      <c r="BD148" s="181"/>
    </row>
    <row r="149" spans="2:56" s="180" customFormat="1" x14ac:dyDescent="0.2">
      <c r="B149" s="181"/>
      <c r="F149" s="181"/>
      <c r="G149" s="181"/>
      <c r="I149" s="181"/>
      <c r="J149" s="181"/>
      <c r="K149" s="181"/>
      <c r="L149" s="181"/>
      <c r="N149" s="181"/>
      <c r="O149" s="181"/>
      <c r="P149" s="181"/>
      <c r="Z149" s="182"/>
      <c r="AA149" s="182"/>
      <c r="AD149" s="182"/>
      <c r="AM149" s="181"/>
      <c r="AN149" s="181"/>
      <c r="AV149" s="202"/>
      <c r="BC149" s="181"/>
      <c r="BD149" s="181"/>
    </row>
    <row r="150" spans="2:56" s="180" customFormat="1" x14ac:dyDescent="0.2">
      <c r="B150" s="181"/>
      <c r="F150" s="181"/>
      <c r="G150" s="181"/>
      <c r="I150" s="181"/>
      <c r="J150" s="181"/>
      <c r="K150" s="181"/>
      <c r="L150" s="181"/>
      <c r="N150" s="181"/>
      <c r="O150" s="181"/>
      <c r="P150" s="181"/>
      <c r="Z150" s="182"/>
      <c r="AA150" s="182"/>
      <c r="AD150" s="182"/>
      <c r="AM150" s="181"/>
      <c r="AN150" s="181"/>
      <c r="AV150" s="202"/>
      <c r="BC150" s="181"/>
      <c r="BD150" s="181"/>
    </row>
    <row r="151" spans="2:56" s="180" customFormat="1" x14ac:dyDescent="0.2">
      <c r="B151" s="181"/>
      <c r="F151" s="181"/>
      <c r="G151" s="181"/>
      <c r="I151" s="181"/>
      <c r="J151" s="181"/>
      <c r="K151" s="181"/>
      <c r="L151" s="181"/>
      <c r="N151" s="181"/>
      <c r="O151" s="181"/>
      <c r="P151" s="181"/>
      <c r="Z151" s="182"/>
      <c r="AA151" s="182"/>
      <c r="AD151" s="182"/>
      <c r="AM151" s="181"/>
      <c r="AN151" s="181"/>
      <c r="AV151" s="202"/>
      <c r="BC151" s="181"/>
      <c r="BD151" s="181"/>
    </row>
    <row r="152" spans="2:56" s="180" customFormat="1" x14ac:dyDescent="0.2">
      <c r="B152" s="181"/>
      <c r="F152" s="181"/>
      <c r="G152" s="181"/>
      <c r="I152" s="181"/>
      <c r="J152" s="181"/>
      <c r="K152" s="181"/>
      <c r="L152" s="181"/>
      <c r="N152" s="181"/>
      <c r="O152" s="181"/>
      <c r="P152" s="181"/>
      <c r="Z152" s="182"/>
      <c r="AA152" s="182"/>
      <c r="AD152" s="182"/>
      <c r="AM152" s="181"/>
      <c r="AN152" s="181"/>
      <c r="AV152" s="202"/>
      <c r="BC152" s="181"/>
      <c r="BD152" s="181"/>
    </row>
    <row r="153" spans="2:56" s="180" customFormat="1" x14ac:dyDescent="0.2">
      <c r="B153" s="181"/>
      <c r="F153" s="181"/>
      <c r="G153" s="181"/>
      <c r="I153" s="181"/>
      <c r="J153" s="181"/>
      <c r="K153" s="181"/>
      <c r="L153" s="181"/>
      <c r="N153" s="181"/>
      <c r="O153" s="181"/>
      <c r="P153" s="181"/>
      <c r="Z153" s="182"/>
      <c r="AA153" s="182"/>
      <c r="AD153" s="182"/>
      <c r="AM153" s="181"/>
      <c r="AN153" s="181"/>
      <c r="AV153" s="202"/>
      <c r="BC153" s="181"/>
      <c r="BD153" s="181"/>
    </row>
    <row r="154" spans="2:56" s="180" customFormat="1" x14ac:dyDescent="0.2">
      <c r="B154" s="181"/>
      <c r="F154" s="181"/>
      <c r="G154" s="181"/>
      <c r="I154" s="181"/>
      <c r="J154" s="181"/>
      <c r="K154" s="181"/>
      <c r="L154" s="181"/>
      <c r="N154" s="181"/>
      <c r="O154" s="181"/>
      <c r="P154" s="181"/>
      <c r="Z154" s="182"/>
      <c r="AA154" s="182"/>
      <c r="AD154" s="182"/>
      <c r="AM154" s="181"/>
      <c r="AN154" s="181"/>
      <c r="AV154" s="202"/>
      <c r="BC154" s="181"/>
      <c r="BD154" s="181"/>
    </row>
    <row r="155" spans="2:56" s="180" customFormat="1" x14ac:dyDescent="0.2">
      <c r="B155" s="181"/>
      <c r="F155" s="181"/>
      <c r="G155" s="181"/>
      <c r="I155" s="181"/>
      <c r="J155" s="181"/>
      <c r="K155" s="181"/>
      <c r="L155" s="181"/>
      <c r="N155" s="181"/>
      <c r="O155" s="181"/>
      <c r="P155" s="181"/>
      <c r="Z155" s="182"/>
      <c r="AA155" s="182"/>
      <c r="AD155" s="182"/>
      <c r="AM155" s="181"/>
      <c r="AN155" s="181"/>
      <c r="AV155" s="202"/>
      <c r="BC155" s="181"/>
      <c r="BD155" s="181"/>
    </row>
    <row r="156" spans="2:56" s="180" customFormat="1" x14ac:dyDescent="0.2">
      <c r="B156" s="181"/>
      <c r="F156" s="181"/>
      <c r="G156" s="181"/>
      <c r="I156" s="181"/>
      <c r="J156" s="181"/>
      <c r="K156" s="181"/>
      <c r="L156" s="181"/>
      <c r="N156" s="181"/>
      <c r="O156" s="181"/>
      <c r="P156" s="181"/>
      <c r="Z156" s="182"/>
      <c r="AA156" s="182"/>
      <c r="AD156" s="182"/>
      <c r="AM156" s="181"/>
      <c r="AN156" s="181"/>
      <c r="AV156" s="202"/>
      <c r="BC156" s="181"/>
      <c r="BD156" s="181"/>
    </row>
    <row r="157" spans="2:56" s="180" customFormat="1" x14ac:dyDescent="0.2">
      <c r="B157" s="181"/>
      <c r="F157" s="181"/>
      <c r="G157" s="181"/>
      <c r="I157" s="181"/>
      <c r="J157" s="181"/>
      <c r="K157" s="181"/>
      <c r="L157" s="181"/>
      <c r="N157" s="181"/>
      <c r="O157" s="181"/>
      <c r="P157" s="181"/>
      <c r="Z157" s="182"/>
      <c r="AA157" s="182"/>
      <c r="AD157" s="182"/>
      <c r="AM157" s="181"/>
      <c r="AN157" s="181"/>
      <c r="AV157" s="202"/>
      <c r="BC157" s="181"/>
      <c r="BD157" s="181"/>
    </row>
    <row r="158" spans="2:56" s="180" customFormat="1" x14ac:dyDescent="0.2">
      <c r="B158" s="181"/>
      <c r="F158" s="181"/>
      <c r="G158" s="181"/>
      <c r="I158" s="181"/>
      <c r="J158" s="181"/>
      <c r="K158" s="181"/>
      <c r="L158" s="181"/>
      <c r="N158" s="181"/>
      <c r="O158" s="181"/>
      <c r="P158" s="181"/>
      <c r="Z158" s="182"/>
      <c r="AA158" s="182"/>
      <c r="AD158" s="182"/>
      <c r="AM158" s="181"/>
      <c r="AN158" s="181"/>
      <c r="AV158" s="202"/>
      <c r="BC158" s="181"/>
      <c r="BD158" s="181"/>
    </row>
    <row r="159" spans="2:56" s="180" customFormat="1" x14ac:dyDescent="0.2">
      <c r="B159" s="181"/>
      <c r="F159" s="181"/>
      <c r="G159" s="181"/>
      <c r="I159" s="181"/>
      <c r="J159" s="181"/>
      <c r="K159" s="181"/>
      <c r="L159" s="181"/>
      <c r="N159" s="181"/>
      <c r="O159" s="181"/>
      <c r="P159" s="181"/>
      <c r="Z159" s="182"/>
      <c r="AA159" s="182"/>
      <c r="AD159" s="182"/>
      <c r="AM159" s="181"/>
      <c r="AN159" s="181"/>
      <c r="AV159" s="202"/>
      <c r="BC159" s="181"/>
      <c r="BD159" s="181"/>
    </row>
    <row r="160" spans="2:56" s="180" customFormat="1" x14ac:dyDescent="0.2">
      <c r="B160" s="181"/>
      <c r="F160" s="181"/>
      <c r="G160" s="181"/>
      <c r="I160" s="181"/>
      <c r="J160" s="181"/>
      <c r="K160" s="181"/>
      <c r="L160" s="181"/>
      <c r="N160" s="181"/>
      <c r="O160" s="181"/>
      <c r="P160" s="181"/>
      <c r="Z160" s="182"/>
      <c r="AA160" s="182"/>
      <c r="AD160" s="182"/>
      <c r="AM160" s="181"/>
      <c r="AN160" s="181"/>
      <c r="AV160" s="202"/>
      <c r="BC160" s="181"/>
      <c r="BD160" s="181"/>
    </row>
    <row r="161" spans="2:56" s="180" customFormat="1" x14ac:dyDescent="0.2">
      <c r="B161" s="181"/>
      <c r="F161" s="181"/>
      <c r="G161" s="181"/>
      <c r="I161" s="181"/>
      <c r="J161" s="181"/>
      <c r="K161" s="181"/>
      <c r="L161" s="181"/>
      <c r="N161" s="181"/>
      <c r="O161" s="181"/>
      <c r="P161" s="181"/>
      <c r="Z161" s="182"/>
      <c r="AA161" s="182"/>
      <c r="AD161" s="182"/>
      <c r="AM161" s="181"/>
      <c r="AN161" s="181"/>
      <c r="AV161" s="202"/>
      <c r="BC161" s="181"/>
      <c r="BD161" s="181"/>
    </row>
    <row r="162" spans="2:56" s="180" customFormat="1" x14ac:dyDescent="0.2">
      <c r="B162" s="181"/>
      <c r="F162" s="181"/>
      <c r="G162" s="181"/>
      <c r="I162" s="181"/>
      <c r="J162" s="181"/>
      <c r="K162" s="181"/>
      <c r="L162" s="181"/>
      <c r="N162" s="181"/>
      <c r="O162" s="181"/>
      <c r="P162" s="181"/>
      <c r="Z162" s="182"/>
      <c r="AA162" s="182"/>
      <c r="AD162" s="182"/>
      <c r="AM162" s="181"/>
      <c r="AN162" s="181"/>
      <c r="AV162" s="202"/>
      <c r="BC162" s="181"/>
      <c r="BD162" s="181"/>
    </row>
    <row r="163" spans="2:56" s="180" customFormat="1" x14ac:dyDescent="0.2">
      <c r="B163" s="181"/>
      <c r="F163" s="181"/>
      <c r="G163" s="181"/>
      <c r="I163" s="181"/>
      <c r="J163" s="181"/>
      <c r="K163" s="181"/>
      <c r="L163" s="181"/>
      <c r="N163" s="181"/>
      <c r="O163" s="181"/>
      <c r="P163" s="181"/>
      <c r="Z163" s="182"/>
      <c r="AA163" s="182"/>
      <c r="AD163" s="182"/>
      <c r="AM163" s="181"/>
      <c r="AN163" s="181"/>
      <c r="AV163" s="202"/>
      <c r="BC163" s="181"/>
      <c r="BD163" s="181"/>
    </row>
    <row r="164" spans="2:56" s="180" customFormat="1" x14ac:dyDescent="0.2">
      <c r="B164" s="181"/>
      <c r="F164" s="181"/>
      <c r="G164" s="181"/>
      <c r="I164" s="181"/>
      <c r="J164" s="181"/>
      <c r="K164" s="181"/>
      <c r="L164" s="181"/>
      <c r="N164" s="181"/>
      <c r="O164" s="181"/>
      <c r="P164" s="181"/>
      <c r="Z164" s="182"/>
      <c r="AA164" s="182"/>
      <c r="AD164" s="182"/>
      <c r="AM164" s="181"/>
      <c r="AN164" s="181"/>
      <c r="AV164" s="202"/>
      <c r="BC164" s="181"/>
      <c r="BD164" s="181"/>
    </row>
    <row r="165" spans="2:56" s="180" customFormat="1" x14ac:dyDescent="0.2">
      <c r="B165" s="181"/>
      <c r="F165" s="181"/>
      <c r="G165" s="181"/>
      <c r="I165" s="181"/>
      <c r="J165" s="181"/>
      <c r="K165" s="181"/>
      <c r="L165" s="181"/>
      <c r="N165" s="181"/>
      <c r="O165" s="181"/>
      <c r="P165" s="181"/>
      <c r="Z165" s="182"/>
      <c r="AA165" s="182"/>
      <c r="AD165" s="182"/>
      <c r="AM165" s="181"/>
      <c r="AN165" s="181"/>
      <c r="AV165" s="202"/>
      <c r="BC165" s="181"/>
      <c r="BD165" s="181"/>
    </row>
    <row r="166" spans="2:56" s="180" customFormat="1" x14ac:dyDescent="0.2">
      <c r="B166" s="181"/>
      <c r="F166" s="181"/>
      <c r="G166" s="181"/>
      <c r="I166" s="181"/>
      <c r="J166" s="181"/>
      <c r="K166" s="181"/>
      <c r="L166" s="181"/>
      <c r="N166" s="181"/>
      <c r="O166" s="181"/>
      <c r="P166" s="181"/>
      <c r="Z166" s="182"/>
      <c r="AA166" s="182"/>
      <c r="AD166" s="182"/>
      <c r="AM166" s="181"/>
      <c r="AN166" s="181"/>
      <c r="AV166" s="202"/>
      <c r="BC166" s="181"/>
      <c r="BD166" s="181"/>
    </row>
  </sheetData>
  <autoFilter ref="B5:BL144"/>
  <sortState ref="A69:BF146">
    <sortCondition ref="A69:A146"/>
  </sortState>
  <phoneticPr fontId="65" type="noConversion"/>
  <pageMargins left="0.7" right="0.7" top="0.75" bottom="0.75" header="0.3" footer="0.3"/>
  <pageSetup paperSize="17" scale="19" fitToHeight="0" orientation="landscape" horizontalDpi="1200" verticalDpi="1200" r:id="rId1"/>
  <headerFooter>
    <oddHeader>&amp;L&amp;G&amp;C&amp;"Arial,Bold"&amp;36Flood Risk Management Project</oddHeader>
    <oddFooter>&amp;L&amp;"Arial,Bold"&amp;14&amp;D&amp;R&amp;"Arial,Bold"&amp;14&amp;P of &amp;N</oddFooter>
  </headerFooter>
  <legacyDrawingHF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 filterMode="1">
    <tabColor theme="8" tint="0.39997558519241921"/>
    <pageSetUpPr autoPageBreaks="0"/>
  </sheetPr>
  <dimension ref="A1:AW310"/>
  <sheetViews>
    <sheetView topLeftCell="A3" zoomScaleNormal="100" workbookViewId="0">
      <selection activeCell="A271" sqref="A271"/>
    </sheetView>
  </sheetViews>
  <sheetFormatPr defaultRowHeight="12.75" outlineLevelRow="1" outlineLevelCol="1" x14ac:dyDescent="0.2"/>
  <cols>
    <col min="1" max="1" width="11.5703125" customWidth="1"/>
    <col min="2" max="2" width="6.5703125" customWidth="1"/>
    <col min="3" max="3" width="10" customWidth="1"/>
    <col min="4" max="4" width="11.5703125" customWidth="1"/>
    <col min="5" max="5" width="26.42578125" customWidth="1"/>
    <col min="6" max="6" width="27.42578125" customWidth="1"/>
    <col min="7" max="7" width="11.5703125" customWidth="1"/>
    <col min="8" max="8" width="8.42578125" customWidth="1"/>
    <col min="9" max="9" width="11.5703125" customWidth="1"/>
    <col min="10" max="10" width="23.42578125" customWidth="1"/>
    <col min="11" max="11" width="14.42578125" customWidth="1"/>
    <col min="12" max="13" width="11.5703125" customWidth="1"/>
    <col min="14" max="14" width="9.42578125" customWidth="1"/>
    <col min="15" max="15" width="11.5703125" customWidth="1"/>
    <col min="16" max="16" width="5.42578125" customWidth="1"/>
    <col min="17" max="19" width="11.5703125" customWidth="1" outlineLevel="1"/>
    <col min="20" max="20" width="16.140625" customWidth="1" outlineLevel="1"/>
    <col min="21" max="21" width="9.5703125" customWidth="1" outlineLevel="1"/>
    <col min="22" max="22" width="15.42578125" customWidth="1" outlineLevel="1"/>
    <col min="23" max="23" width="8.5703125" customWidth="1" outlineLevel="1"/>
    <col min="24" max="24" width="6.5703125" customWidth="1" outlineLevel="1"/>
    <col min="25" max="25" width="6.85546875" customWidth="1" outlineLevel="1"/>
    <col min="26" max="26" width="7.42578125" customWidth="1" outlineLevel="1"/>
    <col min="27" max="34" width="11.5703125" customWidth="1" outlineLevel="1"/>
    <col min="35" max="35" width="14.5703125" customWidth="1" outlineLevel="1"/>
    <col min="36" max="37" width="11.5703125" customWidth="1" outlineLevel="1"/>
    <col min="38" max="38" width="4.5703125" customWidth="1"/>
    <col min="39" max="39" width="12.5703125" customWidth="1"/>
    <col min="40" max="48" width="11.5703125" customWidth="1" outlineLevel="1"/>
    <col min="49" max="49" width="12.42578125" customWidth="1"/>
  </cols>
  <sheetData>
    <row r="1" spans="1:49" ht="27.75" hidden="1" customHeight="1" outlineLevel="1" x14ac:dyDescent="0.2">
      <c r="AL1" s="66"/>
      <c r="AM1" s="77" t="s">
        <v>624</v>
      </c>
      <c r="AN1" s="76" t="s">
        <v>618</v>
      </c>
      <c r="AO1" s="76" t="s">
        <v>1067</v>
      </c>
      <c r="AP1" s="76" t="s">
        <v>1172</v>
      </c>
      <c r="AQ1" s="76" t="s">
        <v>1145</v>
      </c>
      <c r="AR1" s="76" t="s">
        <v>591</v>
      </c>
      <c r="AS1" s="76" t="s">
        <v>598</v>
      </c>
      <c r="AT1" s="76" t="s">
        <v>614</v>
      </c>
      <c r="AU1" s="76" t="s">
        <v>616</v>
      </c>
      <c r="AV1" s="76" t="s">
        <v>617</v>
      </c>
      <c r="AW1" s="82" t="s">
        <v>1147</v>
      </c>
    </row>
    <row r="2" spans="1:49" ht="15" hidden="1" customHeight="1" outlineLevel="1" x14ac:dyDescent="0.2">
      <c r="A2" s="53" t="s">
        <v>6</v>
      </c>
      <c r="B2" s="53" t="s">
        <v>70</v>
      </c>
      <c r="C2" s="53" t="s">
        <v>1281</v>
      </c>
      <c r="D2" s="53" t="s">
        <v>2689</v>
      </c>
      <c r="E2" s="53" t="s">
        <v>72</v>
      </c>
      <c r="F2" s="53" t="s">
        <v>237</v>
      </c>
      <c r="G2" s="53" t="s">
        <v>238</v>
      </c>
      <c r="H2" s="53" t="s">
        <v>239</v>
      </c>
      <c r="I2" s="53" t="s">
        <v>240</v>
      </c>
      <c r="J2" s="53" t="s">
        <v>1378</v>
      </c>
      <c r="K2" s="53" t="s">
        <v>1379</v>
      </c>
      <c r="L2" s="53" t="s">
        <v>1380</v>
      </c>
      <c r="M2" s="53" t="s">
        <v>1381</v>
      </c>
      <c r="N2" s="53" t="s">
        <v>1382</v>
      </c>
      <c r="O2" s="62" t="s">
        <v>241</v>
      </c>
      <c r="P2" s="70" t="s">
        <v>70</v>
      </c>
      <c r="Q2" s="56" t="s">
        <v>68</v>
      </c>
      <c r="R2" s="56" t="s">
        <v>69</v>
      </c>
      <c r="S2" s="56" t="s">
        <v>9</v>
      </c>
      <c r="T2" s="56" t="s">
        <v>1</v>
      </c>
      <c r="U2" s="56" t="s">
        <v>71</v>
      </c>
      <c r="V2" s="56" t="s">
        <v>1295</v>
      </c>
      <c r="W2" s="56" t="s">
        <v>2</v>
      </c>
      <c r="X2" s="56" t="s">
        <v>3</v>
      </c>
      <c r="Y2" s="56" t="s">
        <v>4</v>
      </c>
      <c r="Z2" s="56" t="s">
        <v>5</v>
      </c>
      <c r="AA2" s="56" t="s">
        <v>1296</v>
      </c>
      <c r="AB2" s="56" t="s">
        <v>1389</v>
      </c>
      <c r="AC2" s="56" t="s">
        <v>10</v>
      </c>
      <c r="AD2" s="56" t="s">
        <v>11</v>
      </c>
      <c r="AE2" s="56" t="s">
        <v>1388</v>
      </c>
      <c r="AF2" s="56" t="s">
        <v>16</v>
      </c>
      <c r="AG2" s="56" t="s">
        <v>15</v>
      </c>
      <c r="AH2" s="56" t="s">
        <v>12</v>
      </c>
      <c r="AI2" s="56" t="s">
        <v>13</v>
      </c>
      <c r="AJ2" s="56" t="s">
        <v>14</v>
      </c>
      <c r="AK2" s="56" t="s">
        <v>8</v>
      </c>
      <c r="AL2" s="78" t="s">
        <v>7</v>
      </c>
      <c r="AM2" s="79" t="s">
        <v>1734</v>
      </c>
      <c r="AN2" s="75" t="s">
        <v>1734</v>
      </c>
      <c r="AO2" s="75" t="s">
        <v>1734</v>
      </c>
      <c r="AP2" s="75" t="s">
        <v>1734</v>
      </c>
      <c r="AQ2" s="75" t="s">
        <v>1734</v>
      </c>
      <c r="AR2" s="75" t="s">
        <v>1734</v>
      </c>
      <c r="AS2" s="75" t="s">
        <v>1734</v>
      </c>
      <c r="AT2" s="75" t="s">
        <v>1734</v>
      </c>
      <c r="AU2" s="75" t="s">
        <v>1734</v>
      </c>
      <c r="AV2" s="75" t="s">
        <v>1734</v>
      </c>
      <c r="AW2" s="83" t="s">
        <v>1734</v>
      </c>
    </row>
    <row r="3" spans="1:49" ht="18" collapsed="1" x14ac:dyDescent="0.2">
      <c r="A3" s="88" t="str">
        <f>IF(SUBTOTAL(103,A$6:A$290)=SP_TaxPar_DB[[#Totals],[Tax Parcel ID]],SUBTOTAL(103,A$6:A$290),"CHECK")</f>
        <v>CHECK</v>
      </c>
      <c r="B3" s="89"/>
      <c r="C3" s="60">
        <f>SUBTOTAL(103,C$6:C$281)-SUBTOTAL(102,C$6:C$281)</f>
        <v>1</v>
      </c>
      <c r="D3" s="60">
        <f>SUBTOTAL(103,D$6:D$281)-SUBTOTAL(102,D$6:D$281)</f>
        <v>0</v>
      </c>
      <c r="E3" s="89"/>
      <c r="F3" s="89"/>
      <c r="G3" s="89"/>
      <c r="H3" s="89"/>
      <c r="I3" s="89"/>
      <c r="J3" s="89"/>
      <c r="K3" s="89"/>
      <c r="L3" s="89"/>
      <c r="M3" s="89"/>
      <c r="N3" s="89"/>
      <c r="O3" s="90"/>
      <c r="P3" s="91"/>
      <c r="Q3" s="92"/>
      <c r="R3" s="92"/>
      <c r="S3" s="92"/>
      <c r="T3" s="92"/>
      <c r="U3" s="92"/>
      <c r="V3" s="92"/>
      <c r="W3" s="92"/>
      <c r="X3" s="92"/>
      <c r="Y3" s="92"/>
      <c r="Z3" s="92"/>
      <c r="AA3" s="92"/>
      <c r="AB3" s="92"/>
      <c r="AC3" s="92"/>
      <c r="AD3" s="92"/>
      <c r="AE3" s="92"/>
      <c r="AF3" s="92"/>
      <c r="AG3" s="92"/>
      <c r="AH3" s="92"/>
      <c r="AI3" s="92"/>
      <c r="AJ3" s="92"/>
      <c r="AK3" s="92"/>
      <c r="AL3" s="93"/>
      <c r="AM3" s="85">
        <f t="shared" ref="AM3:AW3" si="0">SUBTOTAL(102,AM$6:AM$281)</f>
        <v>0</v>
      </c>
      <c r="AN3" s="86">
        <f t="shared" si="0"/>
        <v>0</v>
      </c>
      <c r="AO3" s="86">
        <f t="shared" si="0"/>
        <v>0</v>
      </c>
      <c r="AP3" s="86">
        <f t="shared" si="0"/>
        <v>0</v>
      </c>
      <c r="AQ3" s="86">
        <f t="shared" si="0"/>
        <v>0</v>
      </c>
      <c r="AR3" s="86">
        <f t="shared" si="0"/>
        <v>0</v>
      </c>
      <c r="AS3" s="86">
        <f t="shared" si="0"/>
        <v>0</v>
      </c>
      <c r="AT3" s="86">
        <f t="shared" si="0"/>
        <v>0</v>
      </c>
      <c r="AU3" s="86">
        <f t="shared" si="0"/>
        <v>0</v>
      </c>
      <c r="AV3" s="86">
        <f t="shared" si="0"/>
        <v>0</v>
      </c>
      <c r="AW3" s="87">
        <f t="shared" si="0"/>
        <v>0</v>
      </c>
    </row>
    <row r="4" spans="1:49" ht="6" customHeight="1" x14ac:dyDescent="0.2">
      <c r="A4" s="61"/>
      <c r="B4" s="61"/>
      <c r="C4" s="61"/>
      <c r="D4" s="61"/>
      <c r="E4" s="61"/>
      <c r="F4" s="61"/>
      <c r="G4" s="61"/>
      <c r="H4" s="61"/>
      <c r="I4" s="61"/>
      <c r="J4" s="61"/>
      <c r="K4" s="61"/>
      <c r="L4" s="61"/>
      <c r="M4" s="61"/>
      <c r="N4" s="61"/>
      <c r="O4" s="61"/>
      <c r="P4" s="61"/>
      <c r="Q4" s="61"/>
      <c r="R4" s="61"/>
      <c r="S4" s="61"/>
      <c r="T4" s="61"/>
      <c r="U4" s="61"/>
      <c r="V4" s="61"/>
      <c r="W4" s="61"/>
      <c r="X4" s="61"/>
      <c r="Y4" s="61"/>
      <c r="Z4" s="61"/>
      <c r="AA4" s="61"/>
      <c r="AB4" s="61"/>
      <c r="AC4" s="61"/>
      <c r="AD4" s="61"/>
      <c r="AE4" s="61"/>
      <c r="AF4" s="61"/>
      <c r="AG4" s="61"/>
      <c r="AH4" s="61"/>
      <c r="AI4" s="61"/>
      <c r="AJ4" s="61"/>
      <c r="AK4" s="61"/>
      <c r="AL4" s="63"/>
      <c r="AM4" s="64"/>
      <c r="AN4" s="61"/>
      <c r="AO4" s="61"/>
      <c r="AP4" s="61"/>
      <c r="AQ4" s="61"/>
      <c r="AR4" s="61"/>
      <c r="AS4" s="61"/>
      <c r="AT4" s="61"/>
      <c r="AU4" s="61"/>
      <c r="AV4" s="61"/>
      <c r="AW4" s="63"/>
    </row>
    <row r="5" spans="1:49" ht="42" customHeight="1" thickBot="1" x14ac:dyDescent="0.25">
      <c r="A5" s="122" t="s">
        <v>6</v>
      </c>
      <c r="B5" s="124" t="s">
        <v>70</v>
      </c>
      <c r="C5" s="123" t="s">
        <v>1385</v>
      </c>
      <c r="D5" s="123" t="s">
        <v>3357</v>
      </c>
      <c r="E5" s="124" t="s">
        <v>72</v>
      </c>
      <c r="F5" s="124" t="s">
        <v>237</v>
      </c>
      <c r="G5" s="124" t="s">
        <v>238</v>
      </c>
      <c r="H5" s="124" t="s">
        <v>239</v>
      </c>
      <c r="I5" s="124" t="s">
        <v>240</v>
      </c>
      <c r="J5" s="124" t="s">
        <v>1378</v>
      </c>
      <c r="K5" s="124" t="s">
        <v>1379</v>
      </c>
      <c r="L5" s="124" t="s">
        <v>1380</v>
      </c>
      <c r="M5" s="124" t="s">
        <v>1381</v>
      </c>
      <c r="N5" s="124" t="s">
        <v>1382</v>
      </c>
      <c r="O5" s="125" t="s">
        <v>241</v>
      </c>
      <c r="P5" s="126" t="s">
        <v>70</v>
      </c>
      <c r="Q5" s="124" t="s">
        <v>1394</v>
      </c>
      <c r="R5" s="124" t="s">
        <v>1395</v>
      </c>
      <c r="S5" s="124" t="s">
        <v>9</v>
      </c>
      <c r="T5" s="124" t="s">
        <v>1</v>
      </c>
      <c r="U5" s="124" t="s">
        <v>71</v>
      </c>
      <c r="V5" s="124" t="s">
        <v>1295</v>
      </c>
      <c r="W5" s="124" t="s">
        <v>2</v>
      </c>
      <c r="X5" s="124" t="s">
        <v>3</v>
      </c>
      <c r="Y5" s="124" t="s">
        <v>4</v>
      </c>
      <c r="Z5" s="124" t="s">
        <v>5</v>
      </c>
      <c r="AA5" s="124" t="s">
        <v>1296</v>
      </c>
      <c r="AB5" s="124" t="s">
        <v>1389</v>
      </c>
      <c r="AC5" s="124" t="s">
        <v>10</v>
      </c>
      <c r="AD5" s="124" t="s">
        <v>11</v>
      </c>
      <c r="AE5" s="124" t="s">
        <v>1388</v>
      </c>
      <c r="AF5" s="124" t="s">
        <v>16</v>
      </c>
      <c r="AG5" s="124" t="s">
        <v>15</v>
      </c>
      <c r="AH5" s="124" t="s">
        <v>12</v>
      </c>
      <c r="AI5" s="124" t="s">
        <v>13</v>
      </c>
      <c r="AJ5" s="124" t="s">
        <v>14</v>
      </c>
      <c r="AK5" s="124" t="s">
        <v>8</v>
      </c>
      <c r="AL5" s="125" t="s">
        <v>7</v>
      </c>
      <c r="AM5" s="133" t="s">
        <v>624</v>
      </c>
      <c r="AN5" s="124" t="s">
        <v>618</v>
      </c>
      <c r="AO5" s="124" t="s">
        <v>1067</v>
      </c>
      <c r="AP5" s="124" t="s">
        <v>1172</v>
      </c>
      <c r="AQ5" s="124" t="s">
        <v>1145</v>
      </c>
      <c r="AR5" s="124" t="s">
        <v>591</v>
      </c>
      <c r="AS5" s="124" t="s">
        <v>598</v>
      </c>
      <c r="AT5" s="124" t="s">
        <v>614</v>
      </c>
      <c r="AU5" s="124" t="s">
        <v>616</v>
      </c>
      <c r="AV5" s="124" t="s">
        <v>617</v>
      </c>
      <c r="AW5" s="125" t="s">
        <v>3498</v>
      </c>
    </row>
    <row r="6" spans="1:49" ht="15.75" hidden="1" x14ac:dyDescent="0.2">
      <c r="A6" s="128" t="s">
        <v>1820</v>
      </c>
      <c r="B6" s="113" t="str">
        <f>VLOOKUP($A6,SP_TaxPar_DB[],MATCH(B$2,SP_TaxPar_DB[#Headers],0),FALSE)</f>
        <v>ENV</v>
      </c>
      <c r="C6" s="112">
        <f>IF(VLOOKUP($A6,SP_TaxPar_DB[],MATCH(C$2,SP_TaxPar_DB[#Headers],0),FALSE)="",0,VLOOKUP($A6,SP_TaxPar_DB[],MATCH(C$2,SP_TaxPar_DB[#Headers],0),FALSE))</f>
        <v>0</v>
      </c>
      <c r="D6" s="112" t="str">
        <f>IF(VLOOKUP($A6,SP_TaxPar_DB[],MATCH(D$2,SP_TaxPar_DB[#Headers],0),FALSE)="",0,VLOOKUP($A6,SP_TaxPar_DB[],MATCH(D$2,SP_TaxPar_DB[#Headers],0),FALSE))</f>
        <v>001</v>
      </c>
      <c r="E6" s="114" t="str">
        <f>VLOOKUP($A6,SP_TaxPar_DB[],MATCH(E$2,SP_TaxPar_DB[#Headers],0),FALSE)</f>
        <v>ALLEN ARNESHA</v>
      </c>
      <c r="F6" s="114" t="str">
        <f>VLOOKUP($A6,SP_TaxPar_DB[],MATCH(F$2,SP_TaxPar_DB[#Headers],0),FALSE)</f>
        <v>210 TEA GARDEN CT</v>
      </c>
      <c r="G6" s="114" t="str">
        <f>VLOOKUP($A6,SP_TaxPar_DB[],MATCH(G$2,SP_TaxPar_DB[#Headers],0),FALSE)</f>
        <v>WHARTON</v>
      </c>
      <c r="H6" s="114" t="str">
        <f>VLOOKUP($A6,SP_TaxPar_DB[],MATCH(H$2,SP_TaxPar_DB[#Headers],0),FALSE)</f>
        <v>TX</v>
      </c>
      <c r="I6" s="114" t="str">
        <f>VLOOKUP($A6,SP_TaxPar_DB[],MATCH(I$2,SP_TaxPar_DB[#Headers],0),FALSE)</f>
        <v>77488-000</v>
      </c>
      <c r="J6" s="114" t="str">
        <f>VLOOKUP($A6,SP_TaxPar_DB[],MATCH(J$2,SP_TaxPar_DB[#Headers],0),FALSE)</f>
        <v>1027 W BURLESON</v>
      </c>
      <c r="K6" s="114" t="str">
        <f>VLOOKUP($A6,SP_TaxPar_DB[],MATCH(K$2,SP_TaxPar_DB[#Headers],0),FALSE)</f>
        <v>CLINE BLOCK 3 LOT 7 Acres:0.1664</v>
      </c>
      <c r="L6" s="114">
        <f>VLOOKUP($A6,SP_TaxPar_DB[],MATCH(L$2,SP_TaxPar_DB[#Headers],0),FALSE)</f>
        <v>0</v>
      </c>
      <c r="M6" s="114">
        <f>VLOOKUP($A6,SP_TaxPar_DB[],MATCH(M$2,SP_TaxPar_DB[#Headers],0),FALSE)</f>
        <v>0</v>
      </c>
      <c r="N6" s="114">
        <f>VLOOKUP($A6,SP_TaxPar_DB[],MATCH(N$2,SP_TaxPar_DB[#Headers],0),FALSE)</f>
        <v>0</v>
      </c>
      <c r="O6" s="115">
        <f>VLOOKUP($A6,SP_TaxPar_DB[],MATCH(O$2,SP_TaxPar_DB[#Headers],0),FALSE)</f>
        <v>0</v>
      </c>
      <c r="P6" s="116"/>
      <c r="Q6" s="114"/>
      <c r="R6" s="117"/>
      <c r="S6" s="117"/>
      <c r="T6" s="114"/>
      <c r="U6" s="114"/>
      <c r="V6" s="114"/>
      <c r="W6" s="114"/>
      <c r="X6" s="114"/>
      <c r="Y6" s="114"/>
      <c r="Z6" s="114"/>
      <c r="AA6" s="114"/>
      <c r="AB6" s="118"/>
      <c r="AC6" s="117"/>
      <c r="AD6" s="117"/>
      <c r="AE6" s="118"/>
      <c r="AF6" s="113"/>
      <c r="AG6" s="113"/>
      <c r="AH6" s="118"/>
      <c r="AI6" s="113"/>
      <c r="AJ6" s="113"/>
      <c r="AK6" s="113"/>
      <c r="AL6" s="119"/>
      <c r="AM6" s="120"/>
      <c r="AN6" s="118"/>
      <c r="AO6" s="118"/>
      <c r="AP6" s="118"/>
      <c r="AQ6" s="118"/>
      <c r="AR6" s="118"/>
      <c r="AS6" s="118"/>
      <c r="AT6" s="118"/>
      <c r="AU6" s="118"/>
      <c r="AV6" s="118"/>
      <c r="AW6" s="121"/>
    </row>
    <row r="7" spans="1:49" ht="15.75" hidden="1" x14ac:dyDescent="0.2">
      <c r="A7" s="129" t="s">
        <v>1825</v>
      </c>
      <c r="B7" s="68" t="str">
        <f>VLOOKUP($A7,SP_TaxPar_DB[],MATCH(B$2,SP_TaxPar_DB[#Headers],0),FALSE)</f>
        <v>ENV</v>
      </c>
      <c r="C7" s="67">
        <f>IF(VLOOKUP($A7,SP_TaxPar_DB[],MATCH(C$2,SP_TaxPar_DB[#Headers],0),FALSE)="",0,VLOOKUP($A7,SP_TaxPar_DB[],MATCH(C$2,SP_TaxPar_DB[#Headers],0),FALSE))</f>
        <v>0</v>
      </c>
      <c r="D7" s="67" t="str">
        <f>IF(VLOOKUP($A7,SP_TaxPar_DB[],MATCH(D$2,SP_TaxPar_DB[#Headers],0),FALSE)="",0,VLOOKUP($A7,SP_TaxPar_DB[],MATCH(D$2,SP_TaxPar_DB[#Headers],0),FALSE))</f>
        <v>002</v>
      </c>
      <c r="E7" s="69" t="str">
        <f>VLOOKUP($A7,SP_TaxPar_DB[],MATCH(E$2,SP_TaxPar_DB[#Headers],0),FALSE)</f>
        <v>JOHNSON LURLINE</v>
      </c>
      <c r="F7" s="69" t="str">
        <f>VLOOKUP($A7,SP_TaxPar_DB[],MATCH(F$2,SP_TaxPar_DB[#Headers],0),FALSE)</f>
        <v>1024 KEARNEY</v>
      </c>
      <c r="G7" s="69" t="str">
        <f>VLOOKUP($A7,SP_TaxPar_DB[],MATCH(G$2,SP_TaxPar_DB[#Headers],0),FALSE)</f>
        <v>WHARTON,</v>
      </c>
      <c r="H7" s="69" t="str">
        <f>VLOOKUP($A7,SP_TaxPar_DB[],MATCH(H$2,SP_TaxPar_DB[#Headers],0),FALSE)</f>
        <v>TX</v>
      </c>
      <c r="I7" s="69" t="str">
        <f>VLOOKUP($A7,SP_TaxPar_DB[],MATCH(I$2,SP_TaxPar_DB[#Headers],0),FALSE)</f>
        <v>77488-0000</v>
      </c>
      <c r="J7" s="69" t="str">
        <f>VLOOKUP($A7,SP_TaxPar_DB[],MATCH(J$2,SP_TaxPar_DB[#Headers],0),FALSE)</f>
        <v>1024 W KEARNEY</v>
      </c>
      <c r="K7" s="69" t="str">
        <f>VLOOKUP($A7,SP_TaxPar_DB[],MATCH(K$2,SP_TaxPar_DB[#Headers],0),FALSE)</f>
        <v>CLINE BLOCK 3 LOT 8 Acres:0.1664</v>
      </c>
      <c r="L7" s="69">
        <f>VLOOKUP($A7,SP_TaxPar_DB[],MATCH(L$2,SP_TaxPar_DB[#Headers],0),FALSE)</f>
        <v>0</v>
      </c>
      <c r="M7" s="69">
        <f>VLOOKUP($A7,SP_TaxPar_DB[],MATCH(M$2,SP_TaxPar_DB[#Headers],0),FALSE)</f>
        <v>0</v>
      </c>
      <c r="N7" s="69">
        <f>VLOOKUP($A7,SP_TaxPar_DB[],MATCH(N$2,SP_TaxPar_DB[#Headers],0),FALSE)</f>
        <v>0</v>
      </c>
      <c r="O7" s="71">
        <f>VLOOKUP($A7,SP_TaxPar_DB[],MATCH(O$2,SP_TaxPar_DB[#Headers],0),FALSE)</f>
        <v>0</v>
      </c>
      <c r="P7" s="72"/>
      <c r="Q7" s="69"/>
      <c r="R7" s="73"/>
      <c r="S7" s="73"/>
      <c r="T7" s="69"/>
      <c r="U7" s="69"/>
      <c r="V7" s="69"/>
      <c r="W7" s="69"/>
      <c r="X7" s="69"/>
      <c r="Y7" s="69"/>
      <c r="Z7" s="69"/>
      <c r="AA7" s="69"/>
      <c r="AB7" s="74"/>
      <c r="AC7" s="73"/>
      <c r="AD7" s="73"/>
      <c r="AE7" s="74"/>
      <c r="AF7" s="68"/>
      <c r="AG7" s="68"/>
      <c r="AH7" s="74"/>
      <c r="AI7" s="68"/>
      <c r="AJ7" s="68"/>
      <c r="AK7" s="68"/>
      <c r="AL7" s="80"/>
      <c r="AM7" s="81"/>
      <c r="AN7" s="74"/>
      <c r="AO7" s="74"/>
      <c r="AP7" s="74"/>
      <c r="AQ7" s="74"/>
      <c r="AR7" s="74"/>
      <c r="AS7" s="74"/>
      <c r="AT7" s="74"/>
      <c r="AU7" s="74"/>
      <c r="AV7" s="74"/>
      <c r="AW7" s="84"/>
    </row>
    <row r="8" spans="1:49" ht="15.75" hidden="1" x14ac:dyDescent="0.2">
      <c r="A8" s="129" t="s">
        <v>1829</v>
      </c>
      <c r="B8" s="68" t="str">
        <f>VLOOKUP($A8,SP_TaxPar_DB[],MATCH(B$2,SP_TaxPar_DB[#Headers],0),FALSE)</f>
        <v>ENV</v>
      </c>
      <c r="C8" s="67">
        <f>IF(VLOOKUP($A8,SP_TaxPar_DB[],MATCH(C$2,SP_TaxPar_DB[#Headers],0),FALSE)="",0,VLOOKUP($A8,SP_TaxPar_DB[],MATCH(C$2,SP_TaxPar_DB[#Headers],0),FALSE))</f>
        <v>0</v>
      </c>
      <c r="D8" s="67" t="str">
        <f>IF(VLOOKUP($A8,SP_TaxPar_DB[],MATCH(D$2,SP_TaxPar_DB[#Headers],0),FALSE)="",0,VLOOKUP($A8,SP_TaxPar_DB[],MATCH(D$2,SP_TaxPar_DB[#Headers],0),FALSE))</f>
        <v>003</v>
      </c>
      <c r="E8" s="69" t="str">
        <f>VLOOKUP($A8,SP_TaxPar_DB[],MATCH(E$2,SP_TaxPar_DB[#Headers],0),FALSE)</f>
        <v>YOUNG ARMOUR &amp; WF</v>
      </c>
      <c r="F8" s="69" t="str">
        <f>VLOOKUP($A8,SP_TaxPar_DB[],MATCH(F$2,SP_TaxPar_DB[#Headers],0),FALSE)</f>
        <v>3512 BANDA</v>
      </c>
      <c r="G8" s="69" t="str">
        <f>VLOOKUP($A8,SP_TaxPar_DB[],MATCH(G$2,SP_TaxPar_DB[#Headers],0),FALSE)</f>
        <v>AUSTIN</v>
      </c>
      <c r="H8" s="69" t="str">
        <f>VLOOKUP($A8,SP_TaxPar_DB[],MATCH(H$2,SP_TaxPar_DB[#Headers],0),FALSE)</f>
        <v>TX</v>
      </c>
      <c r="I8" s="69" t="str">
        <f>VLOOKUP($A8,SP_TaxPar_DB[],MATCH(I$2,SP_TaxPar_DB[#Headers],0),FALSE)</f>
        <v>78725-0000</v>
      </c>
      <c r="J8" s="69" t="str">
        <f>VLOOKUP($A8,SP_TaxPar_DB[],MATCH(J$2,SP_TaxPar_DB[#Headers],0),FALSE)</f>
        <v>1022 W KEARNEY</v>
      </c>
      <c r="K8" s="69" t="str">
        <f>VLOOKUP($A8,SP_TaxPar_DB[],MATCH(K$2,SP_TaxPar_DB[#Headers],0),FALSE)</f>
        <v>CLINE BLOCK 3 LOT 9,9A Acres:0.0539</v>
      </c>
      <c r="L8" s="69">
        <f>VLOOKUP($A8,SP_TaxPar_DB[],MATCH(L$2,SP_TaxPar_DB[#Headers],0),FALSE)</f>
        <v>0</v>
      </c>
      <c r="M8" s="69">
        <f>VLOOKUP($A8,SP_TaxPar_DB[],MATCH(M$2,SP_TaxPar_DB[#Headers],0),FALSE)</f>
        <v>0</v>
      </c>
      <c r="N8" s="69">
        <f>VLOOKUP($A8,SP_TaxPar_DB[],MATCH(N$2,SP_TaxPar_DB[#Headers],0),FALSE)</f>
        <v>0</v>
      </c>
      <c r="O8" s="71">
        <f>VLOOKUP($A8,SP_TaxPar_DB[],MATCH(O$2,SP_TaxPar_DB[#Headers],0),FALSE)</f>
        <v>0</v>
      </c>
      <c r="P8" s="72"/>
      <c r="Q8" s="240"/>
      <c r="R8" s="240"/>
      <c r="S8" s="240"/>
      <c r="T8" s="240"/>
      <c r="U8" s="240"/>
      <c r="V8" s="240"/>
      <c r="W8" s="240"/>
      <c r="X8" s="240"/>
      <c r="Y8" s="240"/>
      <c r="Z8" s="240"/>
      <c r="AA8" s="240"/>
      <c r="AB8" s="240"/>
      <c r="AC8" s="240"/>
      <c r="AD8" s="240"/>
      <c r="AE8" s="240"/>
      <c r="AF8" s="240"/>
      <c r="AG8" s="240"/>
      <c r="AH8" s="240"/>
      <c r="AI8" s="240"/>
      <c r="AJ8" s="240"/>
      <c r="AK8" s="240"/>
      <c r="AL8" s="241"/>
      <c r="AM8" s="242"/>
      <c r="AN8" s="240"/>
      <c r="AO8" s="240"/>
      <c r="AP8" s="240"/>
      <c r="AQ8" s="240"/>
      <c r="AR8" s="240"/>
      <c r="AS8" s="240"/>
      <c r="AT8" s="240"/>
      <c r="AU8" s="240"/>
      <c r="AV8" s="240"/>
      <c r="AW8" s="241"/>
    </row>
    <row r="9" spans="1:49" ht="15.75" hidden="1" x14ac:dyDescent="0.2">
      <c r="A9" s="129" t="s">
        <v>1835</v>
      </c>
      <c r="B9" s="68" t="str">
        <f>VLOOKUP($A9,SP_TaxPar_DB[],MATCH(B$2,SP_TaxPar_DB[#Headers],0),FALSE)</f>
        <v>ENV</v>
      </c>
      <c r="C9" s="67">
        <f>IF(VLOOKUP($A9,SP_TaxPar_DB[],MATCH(C$2,SP_TaxPar_DB[#Headers],0),FALSE)="",0,VLOOKUP($A9,SP_TaxPar_DB[],MATCH(C$2,SP_TaxPar_DB[#Headers],0),FALSE))</f>
        <v>0</v>
      </c>
      <c r="D9" s="67" t="str">
        <f>IF(VLOOKUP($A9,SP_TaxPar_DB[],MATCH(D$2,SP_TaxPar_DB[#Headers],0),FALSE)="",0,VLOOKUP($A9,SP_TaxPar_DB[],MATCH(D$2,SP_TaxPar_DB[#Headers],0),FALSE))</f>
        <v>004</v>
      </c>
      <c r="E9" s="69" t="str">
        <f>VLOOKUP($A9,SP_TaxPar_DB[],MATCH(E$2,SP_TaxPar_DB[#Headers],0),FALSE)</f>
        <v>VINEYARD ROBERT M</v>
      </c>
      <c r="F9" s="69" t="str">
        <f>VLOOKUP($A9,SP_TaxPar_DB[],MATCH(F$2,SP_TaxPar_DB[#Headers],0),FALSE)</f>
        <v>PO BOX 55869</v>
      </c>
      <c r="G9" s="69" t="str">
        <f>VLOOKUP($A9,SP_TaxPar_DB[],MATCH(G$2,SP_TaxPar_DB[#Headers],0),FALSE)</f>
        <v>HOUSTON</v>
      </c>
      <c r="H9" s="69" t="str">
        <f>VLOOKUP($A9,SP_TaxPar_DB[],MATCH(H$2,SP_TaxPar_DB[#Headers],0),FALSE)</f>
        <v>TX</v>
      </c>
      <c r="I9" s="69" t="str">
        <f>VLOOKUP($A9,SP_TaxPar_DB[],MATCH(I$2,SP_TaxPar_DB[#Headers],0),FALSE)</f>
        <v>77255</v>
      </c>
      <c r="J9" s="69">
        <f>VLOOKUP($A9,SP_TaxPar_DB[],MATCH(J$2,SP_TaxPar_DB[#Headers],0),FALSE)</f>
        <v>0</v>
      </c>
      <c r="K9" s="69" t="str">
        <f>VLOOKUP($A9,SP_TaxPar_DB[],MATCH(K$2,SP_TaxPar_DB[#Headers],0),FALSE)</f>
        <v>CLINE BLOCK 3 LOT 10 Acres:0.1664</v>
      </c>
      <c r="L9" s="69">
        <f>VLOOKUP($A9,SP_TaxPar_DB[],MATCH(L$2,SP_TaxPar_DB[#Headers],0),FALSE)</f>
        <v>0</v>
      </c>
      <c r="M9" s="69">
        <f>VLOOKUP($A9,SP_TaxPar_DB[],MATCH(M$2,SP_TaxPar_DB[#Headers],0),FALSE)</f>
        <v>0</v>
      </c>
      <c r="N9" s="69">
        <f>VLOOKUP($A9,SP_TaxPar_DB[],MATCH(N$2,SP_TaxPar_DB[#Headers],0),FALSE)</f>
        <v>0</v>
      </c>
      <c r="O9" s="71">
        <f>VLOOKUP($A9,SP_TaxPar_DB[],MATCH(O$2,SP_TaxPar_DB[#Headers],0),FALSE)</f>
        <v>0</v>
      </c>
      <c r="P9" s="72"/>
      <c r="Q9" s="69"/>
      <c r="R9" s="73"/>
      <c r="S9" s="73"/>
      <c r="T9" s="69"/>
      <c r="U9" s="69"/>
      <c r="V9" s="69"/>
      <c r="W9" s="69"/>
      <c r="X9" s="69"/>
      <c r="Y9" s="69"/>
      <c r="Z9" s="69"/>
      <c r="AA9" s="69"/>
      <c r="AB9" s="74"/>
      <c r="AC9" s="73"/>
      <c r="AD9" s="73"/>
      <c r="AE9" s="74"/>
      <c r="AF9" s="68"/>
      <c r="AG9" s="68"/>
      <c r="AH9" s="74"/>
      <c r="AI9" s="68"/>
      <c r="AJ9" s="68"/>
      <c r="AK9" s="68"/>
      <c r="AL9" s="80"/>
      <c r="AM9" s="81"/>
      <c r="AN9" s="74"/>
      <c r="AO9" s="74"/>
      <c r="AP9" s="74"/>
      <c r="AQ9" s="74"/>
      <c r="AR9" s="74"/>
      <c r="AS9" s="74"/>
      <c r="AT9" s="74"/>
      <c r="AU9" s="74"/>
      <c r="AV9" s="74"/>
      <c r="AW9" s="84"/>
    </row>
    <row r="10" spans="1:49" ht="15.75" hidden="1" x14ac:dyDescent="0.2">
      <c r="A10" s="129" t="s">
        <v>1841</v>
      </c>
      <c r="B10" s="68" t="str">
        <f>VLOOKUP($A10,SP_TaxPar_DB[],MATCH(B$2,SP_TaxPar_DB[#Headers],0),FALSE)</f>
        <v>ENV</v>
      </c>
      <c r="C10" s="67">
        <f>IF(VLOOKUP($A10,SP_TaxPar_DB[],MATCH(C$2,SP_TaxPar_DB[#Headers],0),FALSE)="",0,VLOOKUP($A10,SP_TaxPar_DB[],MATCH(C$2,SP_TaxPar_DB[#Headers],0),FALSE))</f>
        <v>0</v>
      </c>
      <c r="D10" s="67" t="str">
        <f>IF(VLOOKUP($A10,SP_TaxPar_DB[],MATCH(D$2,SP_TaxPar_DB[#Headers],0),FALSE)="",0,VLOOKUP($A10,SP_TaxPar_DB[],MATCH(D$2,SP_TaxPar_DB[#Headers],0),FALSE))</f>
        <v>005</v>
      </c>
      <c r="E10" s="69" t="str">
        <f>VLOOKUP($A10,SP_TaxPar_DB[],MATCH(E$2,SP_TaxPar_DB[#Headers],0),FALSE)</f>
        <v>HAYES BERTHA LEE ESTATE</v>
      </c>
      <c r="F10" s="69" t="str">
        <f>VLOOKUP($A10,SP_TaxPar_DB[],MATCH(F$2,SP_TaxPar_DB[#Headers],0),FALSE)</f>
        <v>1014 W KEARNEY</v>
      </c>
      <c r="G10" s="69" t="str">
        <f>VLOOKUP($A10,SP_TaxPar_DB[],MATCH(G$2,SP_TaxPar_DB[#Headers],0),FALSE)</f>
        <v>WHARTON</v>
      </c>
      <c r="H10" s="69" t="str">
        <f>VLOOKUP($A10,SP_TaxPar_DB[],MATCH(H$2,SP_TaxPar_DB[#Headers],0),FALSE)</f>
        <v>TX</v>
      </c>
      <c r="I10" s="69" t="str">
        <f>VLOOKUP($A10,SP_TaxPar_DB[],MATCH(I$2,SP_TaxPar_DB[#Headers],0),FALSE)</f>
        <v>77488</v>
      </c>
      <c r="J10" s="69" t="str">
        <f>VLOOKUP($A10,SP_TaxPar_DB[],MATCH(J$2,SP_TaxPar_DB[#Headers],0),FALSE)</f>
        <v>1014 W KEARNEY</v>
      </c>
      <c r="K10" s="69" t="str">
        <f>VLOOKUP($A10,SP_TaxPar_DB[],MATCH(K$2,SP_TaxPar_DB[#Headers],0),FALSE)</f>
        <v>CLINE BLOCK 3 LOT 11 Acres:0.1664</v>
      </c>
      <c r="L10" s="69">
        <f>VLOOKUP($A10,SP_TaxPar_DB[],MATCH(L$2,SP_TaxPar_DB[#Headers],0),FALSE)</f>
        <v>0</v>
      </c>
      <c r="M10" s="69">
        <f>VLOOKUP($A10,SP_TaxPar_DB[],MATCH(M$2,SP_TaxPar_DB[#Headers],0),FALSE)</f>
        <v>0</v>
      </c>
      <c r="N10" s="69">
        <f>VLOOKUP($A10,SP_TaxPar_DB[],MATCH(N$2,SP_TaxPar_DB[#Headers],0),FALSE)</f>
        <v>0</v>
      </c>
      <c r="O10" s="71">
        <f>VLOOKUP($A10,SP_TaxPar_DB[],MATCH(O$2,SP_TaxPar_DB[#Headers],0),FALSE)</f>
        <v>0</v>
      </c>
      <c r="P10" s="72"/>
      <c r="Q10" s="69"/>
      <c r="R10" s="73"/>
      <c r="S10" s="73"/>
      <c r="T10" s="69"/>
      <c r="U10" s="69"/>
      <c r="V10" s="69"/>
      <c r="W10" s="69"/>
      <c r="X10" s="69"/>
      <c r="Y10" s="69"/>
      <c r="Z10" s="69"/>
      <c r="AA10" s="69"/>
      <c r="AB10" s="74"/>
      <c r="AC10" s="73"/>
      <c r="AD10" s="73"/>
      <c r="AE10" s="74"/>
      <c r="AF10" s="68"/>
      <c r="AG10" s="68"/>
      <c r="AH10" s="74"/>
      <c r="AI10" s="68"/>
      <c r="AJ10" s="68"/>
      <c r="AK10" s="68"/>
      <c r="AL10" s="80"/>
      <c r="AM10" s="81"/>
      <c r="AN10" s="74"/>
      <c r="AO10" s="74"/>
      <c r="AP10" s="74"/>
      <c r="AQ10" s="74"/>
      <c r="AR10" s="74"/>
      <c r="AS10" s="74"/>
      <c r="AT10" s="74"/>
      <c r="AU10" s="74"/>
      <c r="AV10" s="74"/>
      <c r="AW10" s="84"/>
    </row>
    <row r="11" spans="1:49" ht="15.75" hidden="1" x14ac:dyDescent="0.2">
      <c r="A11" s="129" t="s">
        <v>5728</v>
      </c>
      <c r="B11" s="68" t="str">
        <f>VLOOKUP($A11,SP_TaxPar_DB[],MATCH(B$2,SP_TaxPar_DB[#Headers],0),FALSE)</f>
        <v>PH2</v>
      </c>
      <c r="C11" s="67" t="str">
        <f>IF(VLOOKUP($A11,SP_TaxPar_DB[],MATCH(C$2,SP_TaxPar_DB[#Headers],0),FALSE)="",0,VLOOKUP($A11,SP_TaxPar_DB[],MATCH(C$2,SP_TaxPar_DB[#Headers],0),FALSE))</f>
        <v>T273</v>
      </c>
      <c r="D11" s="67">
        <f>IF(VLOOKUP($A11,SP_TaxPar_DB[],MATCH(D$2,SP_TaxPar_DB[#Headers],0),FALSE)="",0,VLOOKUP($A11,SP_TaxPar_DB[],MATCH(D$2,SP_TaxPar_DB[#Headers],0),FALSE))</f>
        <v>0</v>
      </c>
      <c r="E11" s="69" t="str">
        <f>VLOOKUP($A11,SP_TaxPar_DB[],MATCH(E$2,SP_TaxPar_DB[#Headers],0),FALSE)</f>
        <v>CITY OF WHARTON</v>
      </c>
      <c r="F11" s="69">
        <f>VLOOKUP($A11,SP_TaxPar_DB[],MATCH(F$2,SP_TaxPar_DB[#Headers],0),FALSE)</f>
        <v>0</v>
      </c>
      <c r="G11" s="69" t="str">
        <f>VLOOKUP($A11,SP_TaxPar_DB[],MATCH(G$2,SP_TaxPar_DB[#Headers],0),FALSE)</f>
        <v>Wharton</v>
      </c>
      <c r="H11" s="69" t="str">
        <f>VLOOKUP($A11,SP_TaxPar_DB[],MATCH(H$2,SP_TaxPar_DB[#Headers],0),FALSE)</f>
        <v>TX</v>
      </c>
      <c r="I11" s="69">
        <f>VLOOKUP($A11,SP_TaxPar_DB[],MATCH(I$2,SP_TaxPar_DB[#Headers],0),FALSE)</f>
        <v>0</v>
      </c>
      <c r="J11" s="69" t="str">
        <f>VLOOKUP($A11,SP_TaxPar_DB[],MATCH(J$2,SP_TaxPar_DB[#Headers],0),FALSE)</f>
        <v>0 COLLINS</v>
      </c>
      <c r="K11" s="69" t="str">
        <f>VLOOKUP($A11,SP_TaxPar_DB[],MATCH(K$2,SP_TaxPar_DB[#Headers],0),FALSE)</f>
        <v>MT.CARMEL BLK 4 LOT 1,2,3 WHARTON BLK 59, TR 12F WHARTON OUTLOT 24 LOT 1</v>
      </c>
      <c r="L11" s="69">
        <f>VLOOKUP($A11,SP_TaxPar_DB[],MATCH(L$2,SP_TaxPar_DB[#Headers],0),FALSE)</f>
        <v>0</v>
      </c>
      <c r="M11" s="69">
        <f>VLOOKUP($A11,SP_TaxPar_DB[],MATCH(M$2,SP_TaxPar_DB[#Headers],0),FALSE)</f>
        <v>0</v>
      </c>
      <c r="N11" s="69">
        <f>VLOOKUP($A11,SP_TaxPar_DB[],MATCH(N$2,SP_TaxPar_DB[#Headers],0),FALSE)</f>
        <v>0</v>
      </c>
      <c r="O11" s="71">
        <f>VLOOKUP($A11,SP_TaxPar_DB[],MATCH(O$2,SP_TaxPar_DB[#Headers],0),FALSE)</f>
        <v>0</v>
      </c>
      <c r="P11" s="72"/>
      <c r="Q11" s="69"/>
      <c r="R11" s="73"/>
      <c r="S11" s="73"/>
      <c r="T11" s="69"/>
      <c r="U11" s="69"/>
      <c r="V11" s="69"/>
      <c r="W11" s="69"/>
      <c r="X11" s="69"/>
      <c r="Y11" s="69"/>
      <c r="Z11" s="69"/>
      <c r="AA11" s="69"/>
      <c r="AB11" s="74"/>
      <c r="AC11" s="73"/>
      <c r="AD11" s="73"/>
      <c r="AE11" s="74"/>
      <c r="AF11" s="68"/>
      <c r="AG11" s="68"/>
      <c r="AH11" s="74"/>
      <c r="AI11" s="68"/>
      <c r="AJ11" s="68"/>
      <c r="AK11" s="68"/>
      <c r="AL11" s="80"/>
      <c r="AM11" s="81"/>
      <c r="AN11" s="74"/>
      <c r="AO11" s="74"/>
      <c r="AP11" s="74"/>
      <c r="AQ11" s="74"/>
      <c r="AR11" s="74"/>
      <c r="AS11" s="74"/>
      <c r="AT11" s="74"/>
      <c r="AU11" s="74"/>
      <c r="AV11" s="74"/>
      <c r="AW11" s="84"/>
    </row>
    <row r="12" spans="1:49" ht="15.75" hidden="1" x14ac:dyDescent="0.2">
      <c r="A12" s="129" t="s">
        <v>5730</v>
      </c>
      <c r="B12" s="68" t="str">
        <f>VLOOKUP($A12,SP_TaxPar_DB[],MATCH(B$2,SP_TaxPar_DB[#Headers],0),FALSE)</f>
        <v>PH2</v>
      </c>
      <c r="C12" s="67" t="str">
        <f>IF(VLOOKUP($A12,SP_TaxPar_DB[],MATCH(C$2,SP_TaxPar_DB[#Headers],0),FALSE)="",0,VLOOKUP($A12,SP_TaxPar_DB[],MATCH(C$2,SP_TaxPar_DB[#Headers],0),FALSE))</f>
        <v>T275</v>
      </c>
      <c r="D12" s="67">
        <f>IF(VLOOKUP($A12,SP_TaxPar_DB[],MATCH(D$2,SP_TaxPar_DB[#Headers],0),FALSE)="",0,VLOOKUP($A12,SP_TaxPar_DB[],MATCH(D$2,SP_TaxPar_DB[#Headers],0),FALSE))</f>
        <v>0</v>
      </c>
      <c r="E12" s="69" t="str">
        <f>VLOOKUP($A12,SP_TaxPar_DB[],MATCH(E$2,SP_TaxPar_DB[#Headers],0),FALSE)</f>
        <v>CITY OF WHARTON</v>
      </c>
      <c r="F12" s="69">
        <f>VLOOKUP($A12,SP_TaxPar_DB[],MATCH(F$2,SP_TaxPar_DB[#Headers],0),FALSE)</f>
        <v>0</v>
      </c>
      <c r="G12" s="69" t="str">
        <f>VLOOKUP($A12,SP_TaxPar_DB[],MATCH(G$2,SP_TaxPar_DB[#Headers],0),FALSE)</f>
        <v>Wharton</v>
      </c>
      <c r="H12" s="69" t="str">
        <f>VLOOKUP($A12,SP_TaxPar_DB[],MATCH(H$2,SP_TaxPar_DB[#Headers],0),FALSE)</f>
        <v>TX</v>
      </c>
      <c r="I12" s="69">
        <f>VLOOKUP($A12,SP_TaxPar_DB[],MATCH(I$2,SP_TaxPar_DB[#Headers],0),FALSE)</f>
        <v>0</v>
      </c>
      <c r="J12" s="69" t="str">
        <f>VLOOKUP($A12,SP_TaxPar_DB[],MATCH(J$2,SP_TaxPar_DB[#Headers],0),FALSE)</f>
        <v>0 E ELM</v>
      </c>
      <c r="K12" s="69" t="str">
        <f>VLOOKUP($A12,SP_TaxPar_DB[],MATCH(K$2,SP_TaxPar_DB[#Headers],0),FALSE)</f>
        <v>WHARTON BLOCK 19-OUT LOT 1,2,3,4,5,6,7,BLK20--OUT LOT 1,2, 3,4,5,6,7,BLK21--</v>
      </c>
      <c r="L12" s="69">
        <f>VLOOKUP($A12,SP_TaxPar_DB[],MATCH(L$2,SP_TaxPar_DB[#Headers],0),FALSE)</f>
        <v>0</v>
      </c>
      <c r="M12" s="69">
        <f>VLOOKUP($A12,SP_TaxPar_DB[],MATCH(M$2,SP_TaxPar_DB[#Headers],0),FALSE)</f>
        <v>0</v>
      </c>
      <c r="N12" s="69">
        <f>VLOOKUP($A12,SP_TaxPar_DB[],MATCH(N$2,SP_TaxPar_DB[#Headers],0),FALSE)</f>
        <v>0</v>
      </c>
      <c r="O12" s="71">
        <f>VLOOKUP($A12,SP_TaxPar_DB[],MATCH(O$2,SP_TaxPar_DB[#Headers],0),FALSE)</f>
        <v>0</v>
      </c>
      <c r="P12" s="72"/>
      <c r="Q12" s="69"/>
      <c r="R12" s="73"/>
      <c r="S12" s="73"/>
      <c r="T12" s="69"/>
      <c r="U12" s="69"/>
      <c r="V12" s="69"/>
      <c r="W12" s="69"/>
      <c r="X12" s="69"/>
      <c r="Y12" s="69"/>
      <c r="Z12" s="69"/>
      <c r="AA12" s="69"/>
      <c r="AB12" s="74"/>
      <c r="AC12" s="73"/>
      <c r="AD12" s="73"/>
      <c r="AE12" s="74"/>
      <c r="AF12" s="68"/>
      <c r="AG12" s="68"/>
      <c r="AH12" s="74"/>
      <c r="AI12" s="68"/>
      <c r="AJ12" s="68"/>
      <c r="AK12" s="68"/>
      <c r="AL12" s="80"/>
      <c r="AM12" s="81"/>
      <c r="AN12" s="74"/>
      <c r="AO12" s="74"/>
      <c r="AP12" s="74"/>
      <c r="AQ12" s="74"/>
      <c r="AR12" s="74"/>
      <c r="AS12" s="74"/>
      <c r="AT12" s="74"/>
      <c r="AU12" s="74"/>
      <c r="AV12" s="74"/>
      <c r="AW12" s="84"/>
    </row>
    <row r="13" spans="1:49" ht="15.75" hidden="1" x14ac:dyDescent="0.2">
      <c r="A13" s="129" t="s">
        <v>5732</v>
      </c>
      <c r="B13" s="68" t="str">
        <f>VLOOKUP($A13,SP_TaxPar_DB[],MATCH(B$2,SP_TaxPar_DB[#Headers],0),FALSE)</f>
        <v>PH2</v>
      </c>
      <c r="C13" s="67" t="str">
        <f>IF(VLOOKUP($A13,SP_TaxPar_DB[],MATCH(C$2,SP_TaxPar_DB[#Headers],0),FALSE)="",0,VLOOKUP($A13,SP_TaxPar_DB[],MATCH(C$2,SP_TaxPar_DB[#Headers],0),FALSE))</f>
        <v>T277</v>
      </c>
      <c r="D13" s="67">
        <f>IF(VLOOKUP($A13,SP_TaxPar_DB[],MATCH(D$2,SP_TaxPar_DB[#Headers],0),FALSE)="",0,VLOOKUP($A13,SP_TaxPar_DB[],MATCH(D$2,SP_TaxPar_DB[#Headers],0),FALSE))</f>
        <v>0</v>
      </c>
      <c r="E13" s="69" t="str">
        <f>VLOOKUP($A13,SP_TaxPar_DB[],MATCH(E$2,SP_TaxPar_DB[#Headers],0),FALSE)</f>
        <v>CITY OF WHARTON</v>
      </c>
      <c r="F13" s="69">
        <f>VLOOKUP($A13,SP_TaxPar_DB[],MATCH(F$2,SP_TaxPar_DB[#Headers],0),FALSE)</f>
        <v>0</v>
      </c>
      <c r="G13" s="69" t="str">
        <f>VLOOKUP($A13,SP_TaxPar_DB[],MATCH(G$2,SP_TaxPar_DB[#Headers],0),FALSE)</f>
        <v>Wharton</v>
      </c>
      <c r="H13" s="69" t="str">
        <f>VLOOKUP($A13,SP_TaxPar_DB[],MATCH(H$2,SP_TaxPar_DB[#Headers],0),FALSE)</f>
        <v>TX</v>
      </c>
      <c r="I13" s="69">
        <f>VLOOKUP($A13,SP_TaxPar_DB[],MATCH(I$2,SP_TaxPar_DB[#Headers],0),FALSE)</f>
        <v>0</v>
      </c>
      <c r="J13" s="69" t="str">
        <f>VLOOKUP($A13,SP_TaxPar_DB[],MATCH(J$2,SP_TaxPar_DB[#Headers],0),FALSE)</f>
        <v>900 S E AVE</v>
      </c>
      <c r="K13" s="69" t="str">
        <f>VLOOKUP($A13,SP_TaxPar_DB[],MATCH(K$2,SP_TaxPar_DB[#Headers],0),FALSE)</f>
        <v>WHARTON BLK 59 LOT 12,12F MT CARMEL BLK 5</v>
      </c>
      <c r="L13" s="69">
        <f>VLOOKUP($A13,SP_TaxPar_DB[],MATCH(L$2,SP_TaxPar_DB[#Headers],0),FALSE)</f>
        <v>0</v>
      </c>
      <c r="M13" s="69">
        <f>VLOOKUP($A13,SP_TaxPar_DB[],MATCH(M$2,SP_TaxPar_DB[#Headers],0),FALSE)</f>
        <v>0</v>
      </c>
      <c r="N13" s="69">
        <f>VLOOKUP($A13,SP_TaxPar_DB[],MATCH(N$2,SP_TaxPar_DB[#Headers],0),FALSE)</f>
        <v>0</v>
      </c>
      <c r="O13" s="71">
        <f>VLOOKUP($A13,SP_TaxPar_DB[],MATCH(O$2,SP_TaxPar_DB[#Headers],0),FALSE)</f>
        <v>0</v>
      </c>
      <c r="P13" s="72"/>
      <c r="Q13" s="69"/>
      <c r="R13" s="73"/>
      <c r="S13" s="73"/>
      <c r="T13" s="69"/>
      <c r="U13" s="69"/>
      <c r="V13" s="69"/>
      <c r="W13" s="69"/>
      <c r="X13" s="69"/>
      <c r="Y13" s="69"/>
      <c r="Z13" s="69"/>
      <c r="AA13" s="69"/>
      <c r="AB13" s="74"/>
      <c r="AC13" s="73"/>
      <c r="AD13" s="73"/>
      <c r="AE13" s="74"/>
      <c r="AF13" s="68"/>
      <c r="AG13" s="68"/>
      <c r="AH13" s="74"/>
      <c r="AI13" s="68"/>
      <c r="AJ13" s="68"/>
      <c r="AK13" s="68"/>
      <c r="AL13" s="80"/>
      <c r="AM13" s="81"/>
      <c r="AN13" s="74"/>
      <c r="AO13" s="74"/>
      <c r="AP13" s="74"/>
      <c r="AQ13" s="74"/>
      <c r="AR13" s="74"/>
      <c r="AS13" s="74"/>
      <c r="AT13" s="74"/>
      <c r="AU13" s="74"/>
      <c r="AV13" s="74"/>
      <c r="AW13" s="84"/>
    </row>
    <row r="14" spans="1:49" ht="15.75" hidden="1" x14ac:dyDescent="0.2">
      <c r="A14" s="129" t="s">
        <v>5734</v>
      </c>
      <c r="B14" s="68" t="str">
        <f>VLOOKUP($A14,SP_TaxPar_DB[],MATCH(B$2,SP_TaxPar_DB[#Headers],0),FALSE)</f>
        <v>PH2</v>
      </c>
      <c r="C14" s="67" t="str">
        <f>IF(VLOOKUP($A14,SP_TaxPar_DB[],MATCH(C$2,SP_TaxPar_DB[#Headers],0),FALSE)="",0,VLOOKUP($A14,SP_TaxPar_DB[],MATCH(C$2,SP_TaxPar_DB[#Headers],0),FALSE))</f>
        <v>T272</v>
      </c>
      <c r="D14" s="67">
        <f>IF(VLOOKUP($A14,SP_TaxPar_DB[],MATCH(D$2,SP_TaxPar_DB[#Headers],0),FALSE)="",0,VLOOKUP($A14,SP_TaxPar_DB[],MATCH(D$2,SP_TaxPar_DB[#Headers],0),FALSE))</f>
        <v>0</v>
      </c>
      <c r="E14" s="69" t="str">
        <f>VLOOKUP($A14,SP_TaxPar_DB[],MATCH(E$2,SP_TaxPar_DB[#Headers],0),FALSE)</f>
        <v>RUST LLOYD FAMILY LMT PRNSHP &amp; RUST TM FAMILY LLC</v>
      </c>
      <c r="F14" s="69">
        <f>VLOOKUP($A14,SP_TaxPar_DB[],MATCH(F$2,SP_TaxPar_DB[#Headers],0),FALSE)</f>
        <v>0</v>
      </c>
      <c r="G14" s="69" t="str">
        <f>VLOOKUP($A14,SP_TaxPar_DB[],MATCH(G$2,SP_TaxPar_DB[#Headers],0),FALSE)</f>
        <v>Wharton</v>
      </c>
      <c r="H14" s="69" t="str">
        <f>VLOOKUP($A14,SP_TaxPar_DB[],MATCH(H$2,SP_TaxPar_DB[#Headers],0),FALSE)</f>
        <v>TX</v>
      </c>
      <c r="I14" s="69">
        <f>VLOOKUP($A14,SP_TaxPar_DB[],MATCH(I$2,SP_TaxPar_DB[#Headers],0),FALSE)</f>
        <v>0</v>
      </c>
      <c r="J14" s="69" t="str">
        <f>VLOOKUP($A14,SP_TaxPar_DB[],MATCH(J$2,SP_TaxPar_DB[#Headers],0),FALSE)</f>
        <v>0 HWY 59</v>
      </c>
      <c r="K14" s="69" t="str">
        <f>VLOOKUP($A14,SP_TaxPar_DB[],MATCH(K$2,SP_TaxPar_DB[#Headers],0),FALSE)</f>
        <v>A20003 ABST.3 TRACT 33 PT. (SOUTH) </v>
      </c>
      <c r="L14" s="69">
        <f>VLOOKUP($A14,SP_TaxPar_DB[],MATCH(L$2,SP_TaxPar_DB[#Headers],0),FALSE)</f>
        <v>0</v>
      </c>
      <c r="M14" s="69">
        <f>VLOOKUP($A14,SP_TaxPar_DB[],MATCH(M$2,SP_TaxPar_DB[#Headers],0),FALSE)</f>
        <v>0</v>
      </c>
      <c r="N14" s="69">
        <f>VLOOKUP($A14,SP_TaxPar_DB[],MATCH(N$2,SP_TaxPar_DB[#Headers],0),FALSE)</f>
        <v>0</v>
      </c>
      <c r="O14" s="71">
        <f>VLOOKUP($A14,SP_TaxPar_DB[],MATCH(O$2,SP_TaxPar_DB[#Headers],0),FALSE)</f>
        <v>0</v>
      </c>
      <c r="P14" s="72"/>
      <c r="Q14" s="69"/>
      <c r="R14" s="73"/>
      <c r="S14" s="73"/>
      <c r="T14" s="69"/>
      <c r="U14" s="69"/>
      <c r="V14" s="69"/>
      <c r="W14" s="69"/>
      <c r="X14" s="69"/>
      <c r="Y14" s="69"/>
      <c r="Z14" s="69"/>
      <c r="AA14" s="69"/>
      <c r="AB14" s="74"/>
      <c r="AC14" s="73"/>
      <c r="AD14" s="73"/>
      <c r="AE14" s="74"/>
      <c r="AF14" s="68"/>
      <c r="AG14" s="68"/>
      <c r="AH14" s="74"/>
      <c r="AI14" s="68"/>
      <c r="AJ14" s="68"/>
      <c r="AK14" s="68"/>
      <c r="AL14" s="80"/>
      <c r="AM14" s="81"/>
      <c r="AN14" s="74"/>
      <c r="AO14" s="74"/>
      <c r="AP14" s="74"/>
      <c r="AQ14" s="74"/>
      <c r="AR14" s="74"/>
      <c r="AS14" s="74"/>
      <c r="AT14" s="74"/>
      <c r="AU14" s="74"/>
      <c r="AV14" s="74"/>
      <c r="AW14" s="84"/>
    </row>
    <row r="15" spans="1:49" ht="15.75" hidden="1" x14ac:dyDescent="0.2">
      <c r="A15" s="129" t="s">
        <v>1845</v>
      </c>
      <c r="B15" s="68" t="str">
        <f>VLOOKUP($A15,SP_TaxPar_DB[],MATCH(B$2,SP_TaxPar_DB[#Headers],0),FALSE)</f>
        <v>ENV</v>
      </c>
      <c r="C15" s="67">
        <f>IF(VLOOKUP($A15,SP_TaxPar_DB[],MATCH(C$2,SP_TaxPar_DB[#Headers],0),FALSE)="",0,VLOOKUP($A15,SP_TaxPar_DB[],MATCH(C$2,SP_TaxPar_DB[#Headers],0),FALSE))</f>
        <v>0</v>
      </c>
      <c r="D15" s="67" t="str">
        <f>IF(VLOOKUP($A15,SP_TaxPar_DB[],MATCH(D$2,SP_TaxPar_DB[#Headers],0),FALSE)="",0,VLOOKUP($A15,SP_TaxPar_DB[],MATCH(D$2,SP_TaxPar_DB[#Headers],0),FALSE))</f>
        <v>006</v>
      </c>
      <c r="E15" s="69" t="str">
        <f>VLOOKUP($A15,SP_TaxPar_DB[],MATCH(E$2,SP_TaxPar_DB[#Headers],0),FALSE)</f>
        <v>WOODS JIMMIE LEE SR</v>
      </c>
      <c r="F15" s="69" t="str">
        <f>VLOOKUP($A15,SP_TaxPar_DB[],MATCH(F$2,SP_TaxPar_DB[#Headers],0),FALSE)</f>
        <v>1016 W KEARNEY</v>
      </c>
      <c r="G15" s="69" t="str">
        <f>VLOOKUP($A15,SP_TaxPar_DB[],MATCH(G$2,SP_TaxPar_DB[#Headers],0),FALSE)</f>
        <v>WHARTON</v>
      </c>
      <c r="H15" s="69" t="str">
        <f>VLOOKUP($A15,SP_TaxPar_DB[],MATCH(H$2,SP_TaxPar_DB[#Headers],0),FALSE)</f>
        <v>TX</v>
      </c>
      <c r="I15" s="69" t="str">
        <f>VLOOKUP($A15,SP_TaxPar_DB[],MATCH(I$2,SP_TaxPar_DB[#Headers],0),FALSE)</f>
        <v>77488-5326</v>
      </c>
      <c r="J15" s="69" t="str">
        <f>VLOOKUP($A15,SP_TaxPar_DB[],MATCH(J$2,SP_TaxPar_DB[#Headers],0),FALSE)</f>
        <v>1016 W KEARNEY</v>
      </c>
      <c r="K15" s="69" t="str">
        <f>VLOOKUP($A15,SP_TaxPar_DB[],MATCH(K$2,SP_TaxPar_DB[#Headers],0),FALSE)</f>
        <v>CLINE BLOCK 3 LOT 12 1997 SUNSHINE 16X76 LABEL # NTA0755684 SERIAL # ALS04671 Acres:0.1664</v>
      </c>
      <c r="L15" s="69">
        <f>VLOOKUP($A15,SP_TaxPar_DB[],MATCH(L$2,SP_TaxPar_DB[#Headers],0),FALSE)</f>
        <v>0</v>
      </c>
      <c r="M15" s="69">
        <f>VLOOKUP($A15,SP_TaxPar_DB[],MATCH(M$2,SP_TaxPar_DB[#Headers],0),FALSE)</f>
        <v>0</v>
      </c>
      <c r="N15" s="69">
        <f>VLOOKUP($A15,SP_TaxPar_DB[],MATCH(N$2,SP_TaxPar_DB[#Headers],0),FALSE)</f>
        <v>0</v>
      </c>
      <c r="O15" s="71">
        <f>VLOOKUP($A15,SP_TaxPar_DB[],MATCH(O$2,SP_TaxPar_DB[#Headers],0),FALSE)</f>
        <v>0</v>
      </c>
      <c r="P15" s="72"/>
      <c r="Q15" s="240"/>
      <c r="R15" s="240"/>
      <c r="S15" s="240"/>
      <c r="T15" s="240"/>
      <c r="U15" s="240"/>
      <c r="V15" s="240"/>
      <c r="W15" s="240"/>
      <c r="X15" s="240"/>
      <c r="Y15" s="240"/>
      <c r="Z15" s="240"/>
      <c r="AA15" s="240"/>
      <c r="AB15" s="240"/>
      <c r="AC15" s="240"/>
      <c r="AD15" s="240"/>
      <c r="AE15" s="240"/>
      <c r="AF15" s="240"/>
      <c r="AG15" s="240"/>
      <c r="AH15" s="240"/>
      <c r="AI15" s="240"/>
      <c r="AJ15" s="240"/>
      <c r="AK15" s="240"/>
      <c r="AL15" s="241"/>
      <c r="AM15" s="242"/>
      <c r="AN15" s="240"/>
      <c r="AO15" s="240"/>
      <c r="AP15" s="240"/>
      <c r="AQ15" s="240"/>
      <c r="AR15" s="240"/>
      <c r="AS15" s="240"/>
      <c r="AT15" s="240"/>
      <c r="AU15" s="240"/>
      <c r="AV15" s="240"/>
      <c r="AW15" s="241"/>
    </row>
    <row r="16" spans="1:49" ht="15.75" hidden="1" x14ac:dyDescent="0.2">
      <c r="A16" s="129" t="s">
        <v>1850</v>
      </c>
      <c r="B16" s="68" t="str">
        <f>VLOOKUP($A16,SP_TaxPar_DB[],MATCH(B$2,SP_TaxPar_DB[#Headers],0),FALSE)</f>
        <v>ENV</v>
      </c>
      <c r="C16" s="67">
        <f>IF(VLOOKUP($A16,SP_TaxPar_DB[],MATCH(C$2,SP_TaxPar_DB[#Headers],0),FALSE)="",0,VLOOKUP($A16,SP_TaxPar_DB[],MATCH(C$2,SP_TaxPar_DB[#Headers],0),FALSE))</f>
        <v>0</v>
      </c>
      <c r="D16" s="67" t="str">
        <f>IF(VLOOKUP($A16,SP_TaxPar_DB[],MATCH(D$2,SP_TaxPar_DB[#Headers],0),FALSE)="",0,VLOOKUP($A16,SP_TaxPar_DB[],MATCH(D$2,SP_TaxPar_DB[#Headers],0),FALSE))</f>
        <v>007</v>
      </c>
      <c r="E16" s="69" t="str">
        <f>VLOOKUP($A16,SP_TaxPar_DB[],MATCH(E$2,SP_TaxPar_DB[#Headers],0),FALSE)</f>
        <v>WOODS JIMMY L SR</v>
      </c>
      <c r="F16" s="69" t="str">
        <f>VLOOKUP($A16,SP_TaxPar_DB[],MATCH(F$2,SP_TaxPar_DB[#Headers],0),FALSE)</f>
        <v>1016 KEARNEY</v>
      </c>
      <c r="G16" s="69" t="str">
        <f>VLOOKUP($A16,SP_TaxPar_DB[],MATCH(G$2,SP_TaxPar_DB[#Headers],0),FALSE)</f>
        <v>WHARTON</v>
      </c>
      <c r="H16" s="69" t="str">
        <f>VLOOKUP($A16,SP_TaxPar_DB[],MATCH(H$2,SP_TaxPar_DB[#Headers],0),FALSE)</f>
        <v>TX</v>
      </c>
      <c r="I16" s="69" t="str">
        <f>VLOOKUP($A16,SP_TaxPar_DB[],MATCH(I$2,SP_TaxPar_DB[#Headers],0),FALSE)</f>
        <v>77488</v>
      </c>
      <c r="J16" s="69" t="str">
        <f>VLOOKUP($A16,SP_TaxPar_DB[],MATCH(J$2,SP_TaxPar_DB[#Headers],0),FALSE)</f>
        <v>1004 KEARNEY</v>
      </c>
      <c r="K16" s="69" t="str">
        <f>VLOOKUP($A16,SP_TaxPar_DB[],MATCH(K$2,SP_TaxPar_DB[#Headers],0),FALSE)</f>
        <v>CLINE BLOCK 3 LOT 13,14 Acres:0.3329</v>
      </c>
      <c r="L16" s="69">
        <f>VLOOKUP($A16,SP_TaxPar_DB[],MATCH(L$2,SP_TaxPar_DB[#Headers],0),FALSE)</f>
        <v>0</v>
      </c>
      <c r="M16" s="69">
        <f>VLOOKUP($A16,SP_TaxPar_DB[],MATCH(M$2,SP_TaxPar_DB[#Headers],0),FALSE)</f>
        <v>0</v>
      </c>
      <c r="N16" s="69">
        <f>VLOOKUP($A16,SP_TaxPar_DB[],MATCH(N$2,SP_TaxPar_DB[#Headers],0),FALSE)</f>
        <v>0</v>
      </c>
      <c r="O16" s="71">
        <f>VLOOKUP($A16,SP_TaxPar_DB[],MATCH(O$2,SP_TaxPar_DB[#Headers],0),FALSE)</f>
        <v>0</v>
      </c>
      <c r="P16" s="72"/>
      <c r="Q16" s="240"/>
      <c r="R16" s="240"/>
      <c r="S16" s="240"/>
      <c r="T16" s="240"/>
      <c r="U16" s="240"/>
      <c r="V16" s="240"/>
      <c r="W16" s="240"/>
      <c r="X16" s="240"/>
      <c r="Y16" s="240"/>
      <c r="Z16" s="240"/>
      <c r="AA16" s="240"/>
      <c r="AB16" s="240"/>
      <c r="AC16" s="240"/>
      <c r="AD16" s="240"/>
      <c r="AE16" s="240"/>
      <c r="AF16" s="240"/>
      <c r="AG16" s="240"/>
      <c r="AH16" s="240"/>
      <c r="AI16" s="240"/>
      <c r="AJ16" s="240"/>
      <c r="AK16" s="240"/>
      <c r="AL16" s="241"/>
      <c r="AM16" s="242"/>
      <c r="AN16" s="240"/>
      <c r="AO16" s="240"/>
      <c r="AP16" s="240"/>
      <c r="AQ16" s="240"/>
      <c r="AR16" s="240"/>
      <c r="AS16" s="240"/>
      <c r="AT16" s="240"/>
      <c r="AU16" s="240"/>
      <c r="AV16" s="240"/>
      <c r="AW16" s="241"/>
    </row>
    <row r="17" spans="1:49" ht="15.75" hidden="1" x14ac:dyDescent="0.2">
      <c r="A17" s="129" t="s">
        <v>1855</v>
      </c>
      <c r="B17" s="68" t="str">
        <f>VLOOKUP($A17,SP_TaxPar_DB[],MATCH(B$2,SP_TaxPar_DB[#Headers],0),FALSE)</f>
        <v>ENV</v>
      </c>
      <c r="C17" s="67">
        <f>IF(VLOOKUP($A17,SP_TaxPar_DB[],MATCH(C$2,SP_TaxPar_DB[#Headers],0),FALSE)="",0,VLOOKUP($A17,SP_TaxPar_DB[],MATCH(C$2,SP_TaxPar_DB[#Headers],0),FALSE))</f>
        <v>0</v>
      </c>
      <c r="D17" s="67" t="str">
        <f>IF(VLOOKUP($A17,SP_TaxPar_DB[],MATCH(D$2,SP_TaxPar_DB[#Headers],0),FALSE)="",0,VLOOKUP($A17,SP_TaxPar_DB[],MATCH(D$2,SP_TaxPar_DB[#Headers],0),FALSE))</f>
        <v>008</v>
      </c>
      <c r="E17" s="69" t="str">
        <f>VLOOKUP($A17,SP_TaxPar_DB[],MATCH(E$2,SP_TaxPar_DB[#Headers],0),FALSE)</f>
        <v>ALLEN ANNIE L</v>
      </c>
      <c r="F17" s="69" t="str">
        <f>VLOOKUP($A17,SP_TaxPar_DB[],MATCH(F$2,SP_TaxPar_DB[#Headers],0),FALSE)</f>
        <v>211 TEA GARDEN CTS</v>
      </c>
      <c r="G17" s="69" t="str">
        <f>VLOOKUP($A17,SP_TaxPar_DB[],MATCH(G$2,SP_TaxPar_DB[#Headers],0),FALSE)</f>
        <v>WHARTON</v>
      </c>
      <c r="H17" s="69" t="str">
        <f>VLOOKUP($A17,SP_TaxPar_DB[],MATCH(H$2,SP_TaxPar_DB[#Headers],0),FALSE)</f>
        <v>TX</v>
      </c>
      <c r="I17" s="69" t="str">
        <f>VLOOKUP($A17,SP_TaxPar_DB[],MATCH(I$2,SP_TaxPar_DB[#Headers],0),FALSE)</f>
        <v>77488</v>
      </c>
      <c r="J17" s="69" t="str">
        <f>VLOOKUP($A17,SP_TaxPar_DB[],MATCH(J$2,SP_TaxPar_DB[#Headers],0),FALSE)</f>
        <v>1020 W KEARNEY</v>
      </c>
      <c r="K17" s="69" t="str">
        <f>VLOOKUP($A17,SP_TaxPar_DB[],MATCH(K$2,SP_TaxPar_DB[#Headers],0),FALSE)</f>
        <v>CLINE BLOCK 3 LOT 9B Acres:0.0717</v>
      </c>
      <c r="L17" s="69">
        <f>VLOOKUP($A17,SP_TaxPar_DB[],MATCH(L$2,SP_TaxPar_DB[#Headers],0),FALSE)</f>
        <v>0</v>
      </c>
      <c r="M17" s="69">
        <f>VLOOKUP($A17,SP_TaxPar_DB[],MATCH(M$2,SP_TaxPar_DB[#Headers],0),FALSE)</f>
        <v>0</v>
      </c>
      <c r="N17" s="69">
        <f>VLOOKUP($A17,SP_TaxPar_DB[],MATCH(N$2,SP_TaxPar_DB[#Headers],0),FALSE)</f>
        <v>0</v>
      </c>
      <c r="O17" s="71">
        <f>VLOOKUP($A17,SP_TaxPar_DB[],MATCH(O$2,SP_TaxPar_DB[#Headers],0),FALSE)</f>
        <v>0</v>
      </c>
      <c r="P17" s="72"/>
      <c r="Q17" s="69"/>
      <c r="R17" s="73"/>
      <c r="S17" s="73"/>
      <c r="T17" s="69"/>
      <c r="U17" s="69"/>
      <c r="V17" s="69"/>
      <c r="W17" s="69"/>
      <c r="X17" s="69"/>
      <c r="Y17" s="69"/>
      <c r="Z17" s="69"/>
      <c r="AA17" s="69"/>
      <c r="AB17" s="74"/>
      <c r="AC17" s="73"/>
      <c r="AD17" s="73"/>
      <c r="AE17" s="74"/>
      <c r="AF17" s="68"/>
      <c r="AG17" s="68"/>
      <c r="AH17" s="74"/>
      <c r="AI17" s="68"/>
      <c r="AJ17" s="68"/>
      <c r="AK17" s="68"/>
      <c r="AL17" s="80"/>
      <c r="AM17" s="81"/>
      <c r="AN17" s="74"/>
      <c r="AO17" s="74"/>
      <c r="AP17" s="74"/>
      <c r="AQ17" s="74"/>
      <c r="AR17" s="74"/>
      <c r="AS17" s="74"/>
      <c r="AT17" s="74"/>
      <c r="AU17" s="74"/>
      <c r="AV17" s="74"/>
      <c r="AW17" s="84"/>
    </row>
    <row r="18" spans="1:49" ht="15.75" hidden="1" x14ac:dyDescent="0.2">
      <c r="A18" s="129" t="s">
        <v>1860</v>
      </c>
      <c r="B18" s="68" t="str">
        <f>VLOOKUP($A18,SP_TaxPar_DB[],MATCH(B$2,SP_TaxPar_DB[#Headers],0),FALSE)</f>
        <v>ENV</v>
      </c>
      <c r="C18" s="67">
        <f>IF(VLOOKUP($A18,SP_TaxPar_DB[],MATCH(C$2,SP_TaxPar_DB[#Headers],0),FALSE)="",0,VLOOKUP($A18,SP_TaxPar_DB[],MATCH(C$2,SP_TaxPar_DB[#Headers],0),FALSE))</f>
        <v>0</v>
      </c>
      <c r="D18" s="67" t="str">
        <f>IF(VLOOKUP($A18,SP_TaxPar_DB[],MATCH(D$2,SP_TaxPar_DB[#Headers],0),FALSE)="",0,VLOOKUP($A18,SP_TaxPar_DB[],MATCH(D$2,SP_TaxPar_DB[#Headers],0),FALSE))</f>
        <v>010</v>
      </c>
      <c r="E18" s="69" t="str">
        <f>VLOOKUP($A18,SP_TaxPar_DB[],MATCH(E$2,SP_TaxPar_DB[#Headers],0),FALSE)</f>
        <v>TURNER THELMA</v>
      </c>
      <c r="F18" s="69" t="str">
        <f>VLOOKUP($A18,SP_TaxPar_DB[],MATCH(F$2,SP_TaxPar_DB[#Headers],0),FALSE)</f>
        <v>304 S SHEPPARD</v>
      </c>
      <c r="G18" s="69" t="str">
        <f>VLOOKUP($A18,SP_TaxPar_DB[],MATCH(G$2,SP_TaxPar_DB[#Headers],0),FALSE)</f>
        <v>WHARTON</v>
      </c>
      <c r="H18" s="69" t="str">
        <f>VLOOKUP($A18,SP_TaxPar_DB[],MATCH(H$2,SP_TaxPar_DB[#Headers],0),FALSE)</f>
        <v>TX</v>
      </c>
      <c r="I18" s="69" t="str">
        <f>VLOOKUP($A18,SP_TaxPar_DB[],MATCH(I$2,SP_TaxPar_DB[#Headers],0),FALSE)</f>
        <v>77488</v>
      </c>
      <c r="J18" s="69" t="str">
        <f>VLOOKUP($A18,SP_TaxPar_DB[],MATCH(J$2,SP_TaxPar_DB[#Headers],0),FALSE)</f>
        <v>304 S SHEPPARD</v>
      </c>
      <c r="K18" s="69" t="str">
        <f>VLOOKUP($A18,SP_TaxPar_DB[],MATCH(K$2,SP_TaxPar_DB[#Headers],0),FALSE)</f>
        <v>CLINE BLOCK 4 LOT 1A,2A Acres:0.2026</v>
      </c>
      <c r="L18" s="69">
        <f>VLOOKUP($A18,SP_TaxPar_DB[],MATCH(L$2,SP_TaxPar_DB[#Headers],0),FALSE)</f>
        <v>0</v>
      </c>
      <c r="M18" s="69">
        <f>VLOOKUP($A18,SP_TaxPar_DB[],MATCH(M$2,SP_TaxPar_DB[#Headers],0),FALSE)</f>
        <v>0</v>
      </c>
      <c r="N18" s="69">
        <f>VLOOKUP($A18,SP_TaxPar_DB[],MATCH(N$2,SP_TaxPar_DB[#Headers],0),FALSE)</f>
        <v>0</v>
      </c>
      <c r="O18" s="71">
        <f>VLOOKUP($A18,SP_TaxPar_DB[],MATCH(O$2,SP_TaxPar_DB[#Headers],0),FALSE)</f>
        <v>0</v>
      </c>
      <c r="P18" s="72"/>
      <c r="Q18" s="69"/>
      <c r="R18" s="73"/>
      <c r="S18" s="73"/>
      <c r="T18" s="69"/>
      <c r="U18" s="69"/>
      <c r="V18" s="69"/>
      <c r="W18" s="69"/>
      <c r="X18" s="69"/>
      <c r="Y18" s="69"/>
      <c r="Z18" s="69"/>
      <c r="AA18" s="69"/>
      <c r="AB18" s="74"/>
      <c r="AC18" s="73"/>
      <c r="AD18" s="73"/>
      <c r="AE18" s="74"/>
      <c r="AF18" s="68"/>
      <c r="AG18" s="68"/>
      <c r="AH18" s="74"/>
      <c r="AI18" s="68"/>
      <c r="AJ18" s="68"/>
      <c r="AK18" s="68"/>
      <c r="AL18" s="80"/>
      <c r="AM18" s="81"/>
      <c r="AN18" s="74"/>
      <c r="AO18" s="74"/>
      <c r="AP18" s="74"/>
      <c r="AQ18" s="74"/>
      <c r="AR18" s="74"/>
      <c r="AS18" s="74"/>
      <c r="AT18" s="74"/>
      <c r="AU18" s="74"/>
      <c r="AV18" s="74"/>
      <c r="AW18" s="84"/>
    </row>
    <row r="19" spans="1:49" ht="15.75" hidden="1" x14ac:dyDescent="0.2">
      <c r="A19" s="129" t="s">
        <v>1864</v>
      </c>
      <c r="B19" s="68" t="str">
        <f>VLOOKUP($A19,SP_TaxPar_DB[],MATCH(B$2,SP_TaxPar_DB[#Headers],0),FALSE)</f>
        <v>ENV</v>
      </c>
      <c r="C19" s="67">
        <f>IF(VLOOKUP($A19,SP_TaxPar_DB[],MATCH(C$2,SP_TaxPar_DB[#Headers],0),FALSE)="",0,VLOOKUP($A19,SP_TaxPar_DB[],MATCH(C$2,SP_TaxPar_DB[#Headers],0),FALSE))</f>
        <v>0</v>
      </c>
      <c r="D19" s="67" t="str">
        <f>IF(VLOOKUP($A19,SP_TaxPar_DB[],MATCH(D$2,SP_TaxPar_DB[#Headers],0),FALSE)="",0,VLOOKUP($A19,SP_TaxPar_DB[],MATCH(D$2,SP_TaxPar_DB[#Headers],0),FALSE))</f>
        <v>011</v>
      </c>
      <c r="E19" s="69" t="str">
        <f>VLOOKUP($A19,SP_TaxPar_DB[],MATCH(E$2,SP_TaxPar_DB[#Headers],0),FALSE)</f>
        <v>WOODS JIMMY L SR</v>
      </c>
      <c r="F19" s="69" t="str">
        <f>VLOOKUP($A19,SP_TaxPar_DB[],MATCH(F$2,SP_TaxPar_DB[#Headers],0),FALSE)</f>
        <v>1016 KEARNEY</v>
      </c>
      <c r="G19" s="69" t="str">
        <f>VLOOKUP($A19,SP_TaxPar_DB[],MATCH(G$2,SP_TaxPar_DB[#Headers],0),FALSE)</f>
        <v>WHARTON</v>
      </c>
      <c r="H19" s="69" t="str">
        <f>VLOOKUP($A19,SP_TaxPar_DB[],MATCH(H$2,SP_TaxPar_DB[#Headers],0),FALSE)</f>
        <v>TX</v>
      </c>
      <c r="I19" s="69" t="str">
        <f>VLOOKUP($A19,SP_TaxPar_DB[],MATCH(I$2,SP_TaxPar_DB[#Headers],0),FALSE)</f>
        <v>77488</v>
      </c>
      <c r="J19" s="69" t="str">
        <f>VLOOKUP($A19,SP_TaxPar_DB[],MATCH(J$2,SP_TaxPar_DB[#Headers],0),FALSE)</f>
        <v>302 S SHEPPARD</v>
      </c>
      <c r="K19" s="69" t="str">
        <f>VLOOKUP($A19,SP_TaxPar_DB[],MATCH(K$2,SP_TaxPar_DB[#Headers],0),FALSE)</f>
        <v>CLINE BLOCK 4 LOT 3 Acres:0.1664</v>
      </c>
      <c r="L19" s="69">
        <f>VLOOKUP($A19,SP_TaxPar_DB[],MATCH(L$2,SP_TaxPar_DB[#Headers],0),FALSE)</f>
        <v>0</v>
      </c>
      <c r="M19" s="69">
        <f>VLOOKUP($A19,SP_TaxPar_DB[],MATCH(M$2,SP_TaxPar_DB[#Headers],0),FALSE)</f>
        <v>0</v>
      </c>
      <c r="N19" s="69">
        <f>VLOOKUP($A19,SP_TaxPar_DB[],MATCH(N$2,SP_TaxPar_DB[#Headers],0),FALSE)</f>
        <v>0</v>
      </c>
      <c r="O19" s="71">
        <f>VLOOKUP($A19,SP_TaxPar_DB[],MATCH(O$2,SP_TaxPar_DB[#Headers],0),FALSE)</f>
        <v>0</v>
      </c>
      <c r="P19" s="72"/>
      <c r="Q19" s="240"/>
      <c r="R19" s="240"/>
      <c r="S19" s="240"/>
      <c r="T19" s="240"/>
      <c r="U19" s="240"/>
      <c r="V19" s="240"/>
      <c r="W19" s="240"/>
      <c r="X19" s="240"/>
      <c r="Y19" s="240"/>
      <c r="Z19" s="240"/>
      <c r="AA19" s="240"/>
      <c r="AB19" s="240"/>
      <c r="AC19" s="240"/>
      <c r="AD19" s="240"/>
      <c r="AE19" s="240"/>
      <c r="AF19" s="240"/>
      <c r="AG19" s="240"/>
      <c r="AH19" s="240"/>
      <c r="AI19" s="240"/>
      <c r="AJ19" s="240"/>
      <c r="AK19" s="240"/>
      <c r="AL19" s="241"/>
      <c r="AM19" s="242"/>
      <c r="AN19" s="240"/>
      <c r="AO19" s="240"/>
      <c r="AP19" s="240"/>
      <c r="AQ19" s="240"/>
      <c r="AR19" s="240"/>
      <c r="AS19" s="240"/>
      <c r="AT19" s="240"/>
      <c r="AU19" s="240"/>
      <c r="AV19" s="240"/>
      <c r="AW19" s="241"/>
    </row>
    <row r="20" spans="1:49" ht="15.75" hidden="1" x14ac:dyDescent="0.2">
      <c r="A20" s="129" t="s">
        <v>1867</v>
      </c>
      <c r="B20" s="68" t="str">
        <f>VLOOKUP($A20,SP_TaxPar_DB[],MATCH(B$2,SP_TaxPar_DB[#Headers],0),FALSE)</f>
        <v>ENV</v>
      </c>
      <c r="C20" s="67">
        <f>IF(VLOOKUP($A20,SP_TaxPar_DB[],MATCH(C$2,SP_TaxPar_DB[#Headers],0),FALSE)="",0,VLOOKUP($A20,SP_TaxPar_DB[],MATCH(C$2,SP_TaxPar_DB[#Headers],0),FALSE))</f>
        <v>0</v>
      </c>
      <c r="D20" s="67" t="str">
        <f>IF(VLOOKUP($A20,SP_TaxPar_DB[],MATCH(D$2,SP_TaxPar_DB[#Headers],0),FALSE)="",0,VLOOKUP($A20,SP_TaxPar_DB[],MATCH(D$2,SP_TaxPar_DB[#Headers],0),FALSE))</f>
        <v>012</v>
      </c>
      <c r="E20" s="69" t="str">
        <f>VLOOKUP($A20,SP_TaxPar_DB[],MATCH(E$2,SP_TaxPar_DB[#Headers],0),FALSE)</f>
        <v>JOHNSON ROBERT C &amp; WF</v>
      </c>
      <c r="F20" s="69" t="str">
        <f>VLOOKUP($A20,SP_TaxPar_DB[],MATCH(F$2,SP_TaxPar_DB[#Headers],0),FALSE)</f>
        <v>1021 W KEARNEY</v>
      </c>
      <c r="G20" s="69" t="str">
        <f>VLOOKUP($A20,SP_TaxPar_DB[],MATCH(G$2,SP_TaxPar_DB[#Headers],0),FALSE)</f>
        <v>WHARTON</v>
      </c>
      <c r="H20" s="69" t="str">
        <f>VLOOKUP($A20,SP_TaxPar_DB[],MATCH(H$2,SP_TaxPar_DB[#Headers],0),FALSE)</f>
        <v>TX</v>
      </c>
      <c r="I20" s="69" t="str">
        <f>VLOOKUP($A20,SP_TaxPar_DB[],MATCH(I$2,SP_TaxPar_DB[#Headers],0),FALSE)</f>
        <v>77488</v>
      </c>
      <c r="J20" s="69" t="str">
        <f>VLOOKUP($A20,SP_TaxPar_DB[],MATCH(J$2,SP_TaxPar_DB[#Headers],0),FALSE)</f>
        <v>1021 W KEARNEY</v>
      </c>
      <c r="K20" s="69" t="str">
        <f>VLOOKUP($A20,SP_TaxPar_DB[],MATCH(K$2,SP_TaxPar_DB[#Headers],0),FALSE)</f>
        <v>CLINE BLOCK 4 LOT 4,5,6 Acres:0.4993</v>
      </c>
      <c r="L20" s="69">
        <f>VLOOKUP($A20,SP_TaxPar_DB[],MATCH(L$2,SP_TaxPar_DB[#Headers],0),FALSE)</f>
        <v>0</v>
      </c>
      <c r="M20" s="69">
        <f>VLOOKUP($A20,SP_TaxPar_DB[],MATCH(M$2,SP_TaxPar_DB[#Headers],0),FALSE)</f>
        <v>0</v>
      </c>
      <c r="N20" s="69">
        <f>VLOOKUP($A20,SP_TaxPar_DB[],MATCH(N$2,SP_TaxPar_DB[#Headers],0),FALSE)</f>
        <v>0</v>
      </c>
      <c r="O20" s="71">
        <f>VLOOKUP($A20,SP_TaxPar_DB[],MATCH(O$2,SP_TaxPar_DB[#Headers],0),FALSE)</f>
        <v>0</v>
      </c>
      <c r="P20" s="72"/>
      <c r="Q20" s="69"/>
      <c r="R20" s="73"/>
      <c r="S20" s="73"/>
      <c r="T20" s="69"/>
      <c r="U20" s="69"/>
      <c r="V20" s="69"/>
      <c r="W20" s="69"/>
      <c r="X20" s="69"/>
      <c r="Y20" s="69"/>
      <c r="Z20" s="69"/>
      <c r="AA20" s="69"/>
      <c r="AB20" s="74"/>
      <c r="AC20" s="73"/>
      <c r="AD20" s="73"/>
      <c r="AE20" s="74"/>
      <c r="AF20" s="68"/>
      <c r="AG20" s="68"/>
      <c r="AH20" s="74"/>
      <c r="AI20" s="68"/>
      <c r="AJ20" s="68"/>
      <c r="AK20" s="68"/>
      <c r="AL20" s="80"/>
      <c r="AM20" s="81"/>
      <c r="AN20" s="74"/>
      <c r="AO20" s="74"/>
      <c r="AP20" s="74"/>
      <c r="AQ20" s="74"/>
      <c r="AR20" s="74"/>
      <c r="AS20" s="74"/>
      <c r="AT20" s="74"/>
      <c r="AU20" s="74"/>
      <c r="AV20" s="74"/>
      <c r="AW20" s="84"/>
    </row>
    <row r="21" spans="1:49" ht="15.75" hidden="1" x14ac:dyDescent="0.2">
      <c r="A21" s="129" t="s">
        <v>1871</v>
      </c>
      <c r="B21" s="68" t="str">
        <f>VLOOKUP($A21,SP_TaxPar_DB[],MATCH(B$2,SP_TaxPar_DB[#Headers],0),FALSE)</f>
        <v>ENV</v>
      </c>
      <c r="C21" s="67">
        <f>IF(VLOOKUP($A21,SP_TaxPar_DB[],MATCH(C$2,SP_TaxPar_DB[#Headers],0),FALSE)="",0,VLOOKUP($A21,SP_TaxPar_DB[],MATCH(C$2,SP_TaxPar_DB[#Headers],0),FALSE))</f>
        <v>0</v>
      </c>
      <c r="D21" s="67" t="str">
        <f>IF(VLOOKUP($A21,SP_TaxPar_DB[],MATCH(D$2,SP_TaxPar_DB[#Headers],0),FALSE)="",0,VLOOKUP($A21,SP_TaxPar_DB[],MATCH(D$2,SP_TaxPar_DB[#Headers],0),FALSE))</f>
        <v>013</v>
      </c>
      <c r="E21" s="69" t="str">
        <f>VLOOKUP($A21,SP_TaxPar_DB[],MATCH(E$2,SP_TaxPar_DB[#Headers],0),FALSE)</f>
        <v>JOHNSON ROBERT C &amp; WF</v>
      </c>
      <c r="F21" s="69" t="str">
        <f>VLOOKUP($A21,SP_TaxPar_DB[],MATCH(F$2,SP_TaxPar_DB[#Headers],0),FALSE)</f>
        <v>1021 W KEARNEY</v>
      </c>
      <c r="G21" s="69" t="str">
        <f>VLOOKUP($A21,SP_TaxPar_DB[],MATCH(G$2,SP_TaxPar_DB[#Headers],0),FALSE)</f>
        <v>WHARTON</v>
      </c>
      <c r="H21" s="69" t="str">
        <f>VLOOKUP($A21,SP_TaxPar_DB[],MATCH(H$2,SP_TaxPar_DB[#Headers],0),FALSE)</f>
        <v>TX</v>
      </c>
      <c r="I21" s="69" t="str">
        <f>VLOOKUP($A21,SP_TaxPar_DB[],MATCH(I$2,SP_TaxPar_DB[#Headers],0),FALSE)</f>
        <v>77488</v>
      </c>
      <c r="J21" s="69" t="str">
        <f>VLOOKUP($A21,SP_TaxPar_DB[],MATCH(J$2,SP_TaxPar_DB[#Headers],0),FALSE)</f>
        <v>0  W KEARNEY</v>
      </c>
      <c r="K21" s="69" t="str">
        <f>VLOOKUP($A21,SP_TaxPar_DB[],MATCH(K$2,SP_TaxPar_DB[#Headers],0),FALSE)</f>
        <v>CLINE BLOCK 4 LOT 7 Acres:0.1664</v>
      </c>
      <c r="L21" s="69">
        <f>VLOOKUP($A21,SP_TaxPar_DB[],MATCH(L$2,SP_TaxPar_DB[#Headers],0),FALSE)</f>
        <v>0</v>
      </c>
      <c r="M21" s="69">
        <f>VLOOKUP($A21,SP_TaxPar_DB[],MATCH(M$2,SP_TaxPar_DB[#Headers],0),FALSE)</f>
        <v>0</v>
      </c>
      <c r="N21" s="69">
        <f>VLOOKUP($A21,SP_TaxPar_DB[],MATCH(N$2,SP_TaxPar_DB[#Headers],0),FALSE)</f>
        <v>0</v>
      </c>
      <c r="O21" s="71">
        <f>VLOOKUP($A21,SP_TaxPar_DB[],MATCH(O$2,SP_TaxPar_DB[#Headers],0),FALSE)</f>
        <v>0</v>
      </c>
      <c r="P21" s="72"/>
      <c r="Q21" s="69"/>
      <c r="R21" s="73"/>
      <c r="S21" s="73"/>
      <c r="T21" s="69"/>
      <c r="U21" s="69"/>
      <c r="V21" s="69"/>
      <c r="W21" s="69"/>
      <c r="X21" s="69"/>
      <c r="Y21" s="69"/>
      <c r="Z21" s="69"/>
      <c r="AA21" s="69"/>
      <c r="AB21" s="74"/>
      <c r="AC21" s="73"/>
      <c r="AD21" s="73"/>
      <c r="AE21" s="74"/>
      <c r="AF21" s="68"/>
      <c r="AG21" s="68"/>
      <c r="AH21" s="74"/>
      <c r="AI21" s="68"/>
      <c r="AJ21" s="68"/>
      <c r="AK21" s="68"/>
      <c r="AL21" s="80"/>
      <c r="AM21" s="81"/>
      <c r="AN21" s="74"/>
      <c r="AO21" s="74"/>
      <c r="AP21" s="74"/>
      <c r="AQ21" s="74"/>
      <c r="AR21" s="74"/>
      <c r="AS21" s="74"/>
      <c r="AT21" s="74"/>
      <c r="AU21" s="74"/>
      <c r="AV21" s="74"/>
      <c r="AW21" s="84"/>
    </row>
    <row r="22" spans="1:49" ht="15.75" hidden="1" x14ac:dyDescent="0.2">
      <c r="A22" s="129" t="s">
        <v>1874</v>
      </c>
      <c r="B22" s="68" t="str">
        <f>VLOOKUP($A22,SP_TaxPar_DB[],MATCH(B$2,SP_TaxPar_DB[#Headers],0),FALSE)</f>
        <v>ENV</v>
      </c>
      <c r="C22" s="67">
        <f>IF(VLOOKUP($A22,SP_TaxPar_DB[],MATCH(C$2,SP_TaxPar_DB[#Headers],0),FALSE)="",0,VLOOKUP($A22,SP_TaxPar_DB[],MATCH(C$2,SP_TaxPar_DB[#Headers],0),FALSE))</f>
        <v>0</v>
      </c>
      <c r="D22" s="67" t="str">
        <f>IF(VLOOKUP($A22,SP_TaxPar_DB[],MATCH(D$2,SP_TaxPar_DB[#Headers],0),FALSE)="",0,VLOOKUP($A22,SP_TaxPar_DB[],MATCH(D$2,SP_TaxPar_DB[#Headers],0),FALSE))</f>
        <v>014</v>
      </c>
      <c r="E22" s="69" t="str">
        <f>VLOOKUP($A22,SP_TaxPar_DB[],MATCH(E$2,SP_TaxPar_DB[#Headers],0),FALSE)</f>
        <v>CARTER DAISY G</v>
      </c>
      <c r="F22" s="69" t="str">
        <f>VLOOKUP($A22,SP_TaxPar_DB[],MATCH(F$2,SP_TaxPar_DB[#Headers],0),FALSE)</f>
        <v>1024 W DAMON</v>
      </c>
      <c r="G22" s="69" t="str">
        <f>VLOOKUP($A22,SP_TaxPar_DB[],MATCH(G$2,SP_TaxPar_DB[#Headers],0),FALSE)</f>
        <v>WHARTON</v>
      </c>
      <c r="H22" s="69" t="str">
        <f>VLOOKUP($A22,SP_TaxPar_DB[],MATCH(H$2,SP_TaxPar_DB[#Headers],0),FALSE)</f>
        <v>TX</v>
      </c>
      <c r="I22" s="69" t="str">
        <f>VLOOKUP($A22,SP_TaxPar_DB[],MATCH(I$2,SP_TaxPar_DB[#Headers],0),FALSE)</f>
        <v>77488</v>
      </c>
      <c r="J22" s="69" t="str">
        <f>VLOOKUP($A22,SP_TaxPar_DB[],MATCH(J$2,SP_TaxPar_DB[#Headers],0),FALSE)</f>
        <v>1024 W DAMON</v>
      </c>
      <c r="K22" s="69" t="str">
        <f>VLOOKUP($A22,SP_TaxPar_DB[],MATCH(K$2,SP_TaxPar_DB[#Headers],0),FALSE)</f>
        <v>CLINE BLOCK 4 LOT 8 Acres:0.1664</v>
      </c>
      <c r="L22" s="69">
        <f>VLOOKUP($A22,SP_TaxPar_DB[],MATCH(L$2,SP_TaxPar_DB[#Headers],0),FALSE)</f>
        <v>0</v>
      </c>
      <c r="M22" s="69">
        <f>VLOOKUP($A22,SP_TaxPar_DB[],MATCH(M$2,SP_TaxPar_DB[#Headers],0),FALSE)</f>
        <v>0</v>
      </c>
      <c r="N22" s="69">
        <f>VLOOKUP($A22,SP_TaxPar_DB[],MATCH(N$2,SP_TaxPar_DB[#Headers],0),FALSE)</f>
        <v>0</v>
      </c>
      <c r="O22" s="71">
        <f>VLOOKUP($A22,SP_TaxPar_DB[],MATCH(O$2,SP_TaxPar_DB[#Headers],0),FALSE)</f>
        <v>0</v>
      </c>
      <c r="P22" s="72"/>
      <c r="Q22" s="69"/>
      <c r="R22" s="73"/>
      <c r="S22" s="73"/>
      <c r="T22" s="69"/>
      <c r="U22" s="69"/>
      <c r="V22" s="69"/>
      <c r="W22" s="69"/>
      <c r="X22" s="69"/>
      <c r="Y22" s="69"/>
      <c r="Z22" s="69"/>
      <c r="AA22" s="69"/>
      <c r="AB22" s="74"/>
      <c r="AC22" s="73"/>
      <c r="AD22" s="73"/>
      <c r="AE22" s="74"/>
      <c r="AF22" s="68"/>
      <c r="AG22" s="68"/>
      <c r="AH22" s="74"/>
      <c r="AI22" s="68"/>
      <c r="AJ22" s="68"/>
      <c r="AK22" s="68"/>
      <c r="AL22" s="80"/>
      <c r="AM22" s="81"/>
      <c r="AN22" s="74"/>
      <c r="AO22" s="74"/>
      <c r="AP22" s="74"/>
      <c r="AQ22" s="74"/>
      <c r="AR22" s="74"/>
      <c r="AS22" s="74"/>
      <c r="AT22" s="74"/>
      <c r="AU22" s="74"/>
      <c r="AV22" s="74"/>
      <c r="AW22" s="84"/>
    </row>
    <row r="23" spans="1:49" ht="15.75" hidden="1" x14ac:dyDescent="0.2">
      <c r="A23" s="129" t="s">
        <v>1878</v>
      </c>
      <c r="B23" s="68" t="str">
        <f>VLOOKUP($A23,SP_TaxPar_DB[],MATCH(B$2,SP_TaxPar_DB[#Headers],0),FALSE)</f>
        <v>ENV</v>
      </c>
      <c r="C23" s="67">
        <f>IF(VLOOKUP($A23,SP_TaxPar_DB[],MATCH(C$2,SP_TaxPar_DB[#Headers],0),FALSE)="",0,VLOOKUP($A23,SP_TaxPar_DB[],MATCH(C$2,SP_TaxPar_DB[#Headers],0),FALSE))</f>
        <v>0</v>
      </c>
      <c r="D23" s="67" t="str">
        <f>IF(VLOOKUP($A23,SP_TaxPar_DB[],MATCH(D$2,SP_TaxPar_DB[#Headers],0),FALSE)="",0,VLOOKUP($A23,SP_TaxPar_DB[],MATCH(D$2,SP_TaxPar_DB[#Headers],0),FALSE))</f>
        <v>015</v>
      </c>
      <c r="E23" s="69" t="str">
        <f>VLOOKUP($A23,SP_TaxPar_DB[],MATCH(E$2,SP_TaxPar_DB[#Headers],0),FALSE)</f>
        <v>JOHNSON JAKE HOMER JR</v>
      </c>
      <c r="F23" s="69" t="str">
        <f>VLOOKUP($A23,SP_TaxPar_DB[],MATCH(F$2,SP_TaxPar_DB[#Headers],0),FALSE)</f>
        <v>1014 DAMON</v>
      </c>
      <c r="G23" s="69" t="str">
        <f>VLOOKUP($A23,SP_TaxPar_DB[],MATCH(G$2,SP_TaxPar_DB[#Headers],0),FALSE)</f>
        <v>WHARTON</v>
      </c>
      <c r="H23" s="69" t="str">
        <f>VLOOKUP($A23,SP_TaxPar_DB[],MATCH(H$2,SP_TaxPar_DB[#Headers],0),FALSE)</f>
        <v>TX</v>
      </c>
      <c r="I23" s="69" t="str">
        <f>VLOOKUP($A23,SP_TaxPar_DB[],MATCH(I$2,SP_TaxPar_DB[#Headers],0),FALSE)</f>
        <v>77488</v>
      </c>
      <c r="J23" s="69" t="str">
        <f>VLOOKUP($A23,SP_TaxPar_DB[],MATCH(J$2,SP_TaxPar_DB[#Headers],0),FALSE)</f>
        <v>1014 W DAMON</v>
      </c>
      <c r="K23" s="69" t="str">
        <f>VLOOKUP($A23,SP_TaxPar_DB[],MATCH(K$2,SP_TaxPar_DB[#Headers],0),FALSE)</f>
        <v>CLINE BLOCK 4 LOT 9 Acres:0.1664</v>
      </c>
      <c r="L23" s="69">
        <f>VLOOKUP($A23,SP_TaxPar_DB[],MATCH(L$2,SP_TaxPar_DB[#Headers],0),FALSE)</f>
        <v>0</v>
      </c>
      <c r="M23" s="69">
        <f>VLOOKUP($A23,SP_TaxPar_DB[],MATCH(M$2,SP_TaxPar_DB[#Headers],0),FALSE)</f>
        <v>0</v>
      </c>
      <c r="N23" s="69">
        <f>VLOOKUP($A23,SP_TaxPar_DB[],MATCH(N$2,SP_TaxPar_DB[#Headers],0),FALSE)</f>
        <v>0</v>
      </c>
      <c r="O23" s="71">
        <f>VLOOKUP($A23,SP_TaxPar_DB[],MATCH(O$2,SP_TaxPar_DB[#Headers],0),FALSE)</f>
        <v>0</v>
      </c>
      <c r="P23" s="72"/>
      <c r="Q23" s="69"/>
      <c r="R23" s="73"/>
      <c r="S23" s="73"/>
      <c r="T23" s="69"/>
      <c r="U23" s="69"/>
      <c r="V23" s="69"/>
      <c r="W23" s="69"/>
      <c r="X23" s="69"/>
      <c r="Y23" s="69"/>
      <c r="Z23" s="69"/>
      <c r="AA23" s="69"/>
      <c r="AB23" s="74"/>
      <c r="AC23" s="73"/>
      <c r="AD23" s="73"/>
      <c r="AE23" s="74"/>
      <c r="AF23" s="68"/>
      <c r="AG23" s="68"/>
      <c r="AH23" s="74"/>
      <c r="AI23" s="68"/>
      <c r="AJ23" s="68"/>
      <c r="AK23" s="68"/>
      <c r="AL23" s="80"/>
      <c r="AM23" s="81"/>
      <c r="AN23" s="74"/>
      <c r="AO23" s="74"/>
      <c r="AP23" s="74"/>
      <c r="AQ23" s="74"/>
      <c r="AR23" s="74"/>
      <c r="AS23" s="74"/>
      <c r="AT23" s="74"/>
      <c r="AU23" s="74"/>
      <c r="AV23" s="74"/>
      <c r="AW23" s="84"/>
    </row>
    <row r="24" spans="1:49" ht="15.75" hidden="1" x14ac:dyDescent="0.2">
      <c r="A24" s="129" t="s">
        <v>1883</v>
      </c>
      <c r="B24" s="68" t="str">
        <f>VLOOKUP($A24,SP_TaxPar_DB[],MATCH(B$2,SP_TaxPar_DB[#Headers],0),FALSE)</f>
        <v>ENV</v>
      </c>
      <c r="C24" s="67">
        <f>IF(VLOOKUP($A24,SP_TaxPar_DB[],MATCH(C$2,SP_TaxPar_DB[#Headers],0),FALSE)="",0,VLOOKUP($A24,SP_TaxPar_DB[],MATCH(C$2,SP_TaxPar_DB[#Headers],0),FALSE))</f>
        <v>0</v>
      </c>
      <c r="D24" s="67" t="str">
        <f>IF(VLOOKUP($A24,SP_TaxPar_DB[],MATCH(D$2,SP_TaxPar_DB[#Headers],0),FALSE)="",0,VLOOKUP($A24,SP_TaxPar_DB[],MATCH(D$2,SP_TaxPar_DB[#Headers],0),FALSE))</f>
        <v>016</v>
      </c>
      <c r="E24" s="69" t="str">
        <f>VLOOKUP($A24,SP_TaxPar_DB[],MATCH(E$2,SP_TaxPar_DB[#Headers],0),FALSE)</f>
        <v>THOMAS BILLIE JEAN H</v>
      </c>
      <c r="F24" s="69" t="str">
        <f>VLOOKUP($A24,SP_TaxPar_DB[],MATCH(F$2,SP_TaxPar_DB[#Headers],0),FALSE)</f>
        <v>3921 N MOUNT ROYAL PLACE</v>
      </c>
      <c r="G24" s="69" t="str">
        <f>VLOOKUP($A24,SP_TaxPar_DB[],MATCH(G$2,SP_TaxPar_DB[#Headers],0),FALSE)</f>
        <v>TUCSON</v>
      </c>
      <c r="H24" s="69" t="str">
        <f>VLOOKUP($A24,SP_TaxPar_DB[],MATCH(H$2,SP_TaxPar_DB[#Headers],0),FALSE)</f>
        <v>AZ</v>
      </c>
      <c r="I24" s="69" t="str">
        <f>VLOOKUP($A24,SP_TaxPar_DB[],MATCH(I$2,SP_TaxPar_DB[#Headers],0),FALSE)</f>
        <v>85749</v>
      </c>
      <c r="J24" s="69" t="str">
        <f>VLOOKUP($A24,SP_TaxPar_DB[],MATCH(J$2,SP_TaxPar_DB[#Headers],0),FALSE)</f>
        <v>0 W DAMON</v>
      </c>
      <c r="K24" s="69" t="str">
        <f>VLOOKUP($A24,SP_TaxPar_DB[],MATCH(K$2,SP_TaxPar_DB[#Headers],0),FALSE)</f>
        <v>CLINE BLOCK 4 LOT 10 Acres:0.1664</v>
      </c>
      <c r="L24" s="69">
        <f>VLOOKUP($A24,SP_TaxPar_DB[],MATCH(L$2,SP_TaxPar_DB[#Headers],0),FALSE)</f>
        <v>0</v>
      </c>
      <c r="M24" s="69">
        <f>VLOOKUP($A24,SP_TaxPar_DB[],MATCH(M$2,SP_TaxPar_DB[#Headers],0),FALSE)</f>
        <v>0</v>
      </c>
      <c r="N24" s="69">
        <f>VLOOKUP($A24,SP_TaxPar_DB[],MATCH(N$2,SP_TaxPar_DB[#Headers],0),FALSE)</f>
        <v>0</v>
      </c>
      <c r="O24" s="71">
        <f>VLOOKUP($A24,SP_TaxPar_DB[],MATCH(O$2,SP_TaxPar_DB[#Headers],0),FALSE)</f>
        <v>0</v>
      </c>
      <c r="P24" s="72"/>
      <c r="Q24" s="69"/>
      <c r="R24" s="73"/>
      <c r="S24" s="73"/>
      <c r="T24" s="69"/>
      <c r="U24" s="69"/>
      <c r="V24" s="69"/>
      <c r="W24" s="69"/>
      <c r="X24" s="69"/>
      <c r="Y24" s="69"/>
      <c r="Z24" s="69"/>
      <c r="AA24" s="69"/>
      <c r="AB24" s="74"/>
      <c r="AC24" s="73"/>
      <c r="AD24" s="73"/>
      <c r="AE24" s="74"/>
      <c r="AF24" s="68"/>
      <c r="AG24" s="68"/>
      <c r="AH24" s="74"/>
      <c r="AI24" s="68"/>
      <c r="AJ24" s="68"/>
      <c r="AK24" s="68"/>
      <c r="AL24" s="80"/>
      <c r="AM24" s="81"/>
      <c r="AN24" s="74"/>
      <c r="AO24" s="74"/>
      <c r="AP24" s="74"/>
      <c r="AQ24" s="74"/>
      <c r="AR24" s="74"/>
      <c r="AS24" s="74"/>
      <c r="AT24" s="74"/>
      <c r="AU24" s="74"/>
      <c r="AV24" s="74"/>
      <c r="AW24" s="84"/>
    </row>
    <row r="25" spans="1:49" ht="15.75" hidden="1" x14ac:dyDescent="0.2">
      <c r="A25" s="129" t="s">
        <v>1891</v>
      </c>
      <c r="B25" s="68" t="str">
        <f>VLOOKUP($A25,SP_TaxPar_DB[],MATCH(B$2,SP_TaxPar_DB[#Headers],0),FALSE)</f>
        <v>ENV</v>
      </c>
      <c r="C25" s="67">
        <f>IF(VLOOKUP($A25,SP_TaxPar_DB[],MATCH(C$2,SP_TaxPar_DB[#Headers],0),FALSE)="",0,VLOOKUP($A25,SP_TaxPar_DB[],MATCH(C$2,SP_TaxPar_DB[#Headers],0),FALSE))</f>
        <v>0</v>
      </c>
      <c r="D25" s="67" t="str">
        <f>IF(VLOOKUP($A25,SP_TaxPar_DB[],MATCH(D$2,SP_TaxPar_DB[#Headers],0),FALSE)="",0,VLOOKUP($A25,SP_TaxPar_DB[],MATCH(D$2,SP_TaxPar_DB[#Headers],0),FALSE))</f>
        <v>017</v>
      </c>
      <c r="E25" s="69" t="str">
        <f>VLOOKUP($A25,SP_TaxPar_DB[],MATCH(E$2,SP_TaxPar_DB[#Headers],0),FALSE)</f>
        <v>HARDEMON GENE &amp; CHRYLE</v>
      </c>
      <c r="F25" s="69" t="str">
        <f>VLOOKUP($A25,SP_TaxPar_DB[],MATCH(F$2,SP_TaxPar_DB[#Headers],0),FALSE)</f>
        <v>131 HOLINESS LANE</v>
      </c>
      <c r="G25" s="69" t="str">
        <f>VLOOKUP($A25,SP_TaxPar_DB[],MATCH(G$2,SP_TaxPar_DB[#Headers],0),FALSE)</f>
        <v>WHARTON</v>
      </c>
      <c r="H25" s="69" t="str">
        <f>VLOOKUP($A25,SP_TaxPar_DB[],MATCH(H$2,SP_TaxPar_DB[#Headers],0),FALSE)</f>
        <v>TX</v>
      </c>
      <c r="I25" s="69" t="str">
        <f>VLOOKUP($A25,SP_TaxPar_DB[],MATCH(I$2,SP_TaxPar_DB[#Headers],0),FALSE)</f>
        <v>77488</v>
      </c>
      <c r="J25" s="69" t="str">
        <f>VLOOKUP($A25,SP_TaxPar_DB[],MATCH(J$2,SP_TaxPar_DB[#Headers],0),FALSE)</f>
        <v>1010 DAMON</v>
      </c>
      <c r="K25" s="69" t="str">
        <f>VLOOKUP($A25,SP_TaxPar_DB[],MATCH(K$2,SP_TaxPar_DB[#Headers],0),FALSE)</f>
        <v>CLINE BLOCK 4 LOT 11,12 Acres:0.3329</v>
      </c>
      <c r="L25" s="69">
        <f>VLOOKUP($A25,SP_TaxPar_DB[],MATCH(L$2,SP_TaxPar_DB[#Headers],0),FALSE)</f>
        <v>0</v>
      </c>
      <c r="M25" s="69">
        <f>VLOOKUP($A25,SP_TaxPar_DB[],MATCH(M$2,SP_TaxPar_DB[#Headers],0),FALSE)</f>
        <v>0</v>
      </c>
      <c r="N25" s="69">
        <f>VLOOKUP($A25,SP_TaxPar_DB[],MATCH(N$2,SP_TaxPar_DB[#Headers],0),FALSE)</f>
        <v>0</v>
      </c>
      <c r="O25" s="71">
        <f>VLOOKUP($A25,SP_TaxPar_DB[],MATCH(O$2,SP_TaxPar_DB[#Headers],0),FALSE)</f>
        <v>0</v>
      </c>
      <c r="P25" s="72"/>
      <c r="Q25" s="69"/>
      <c r="R25" s="73"/>
      <c r="S25" s="73"/>
      <c r="T25" s="69"/>
      <c r="U25" s="69"/>
      <c r="V25" s="69"/>
      <c r="W25" s="69"/>
      <c r="X25" s="69"/>
      <c r="Y25" s="69"/>
      <c r="Z25" s="69"/>
      <c r="AA25" s="69"/>
      <c r="AB25" s="74"/>
      <c r="AC25" s="73"/>
      <c r="AD25" s="73"/>
      <c r="AE25" s="74"/>
      <c r="AF25" s="68"/>
      <c r="AG25" s="68"/>
      <c r="AH25" s="74"/>
      <c r="AI25" s="68"/>
      <c r="AJ25" s="68"/>
      <c r="AK25" s="68"/>
      <c r="AL25" s="80"/>
      <c r="AM25" s="81"/>
      <c r="AN25" s="74"/>
      <c r="AO25" s="74"/>
      <c r="AP25" s="74"/>
      <c r="AQ25" s="74"/>
      <c r="AR25" s="74"/>
      <c r="AS25" s="74"/>
      <c r="AT25" s="74"/>
      <c r="AU25" s="74"/>
      <c r="AV25" s="74"/>
      <c r="AW25" s="84"/>
    </row>
    <row r="26" spans="1:49" ht="15.75" hidden="1" x14ac:dyDescent="0.2">
      <c r="A26" s="129" t="s">
        <v>1896</v>
      </c>
      <c r="B26" s="68" t="str">
        <f>VLOOKUP($A26,SP_TaxPar_DB[],MATCH(B$2,SP_TaxPar_DB[#Headers],0),FALSE)</f>
        <v>ENV</v>
      </c>
      <c r="C26" s="67">
        <f>IF(VLOOKUP($A26,SP_TaxPar_DB[],MATCH(C$2,SP_TaxPar_DB[#Headers],0),FALSE)="",0,VLOOKUP($A26,SP_TaxPar_DB[],MATCH(C$2,SP_TaxPar_DB[#Headers],0),FALSE))</f>
        <v>0</v>
      </c>
      <c r="D26" s="67" t="str">
        <f>IF(VLOOKUP($A26,SP_TaxPar_DB[],MATCH(D$2,SP_TaxPar_DB[#Headers],0),FALSE)="",0,VLOOKUP($A26,SP_TaxPar_DB[],MATCH(D$2,SP_TaxPar_DB[#Headers],0),FALSE))</f>
        <v>018</v>
      </c>
      <c r="E26" s="69" t="str">
        <f>VLOOKUP($A26,SP_TaxPar_DB[],MATCH(E$2,SP_TaxPar_DB[#Headers],0),FALSE)</f>
        <v>KING EDDIE EST %PHYNON EDDIE</v>
      </c>
      <c r="F26" s="69" t="str">
        <f>VLOOKUP($A26,SP_TaxPar_DB[],MATCH(F$2,SP_TaxPar_DB[#Headers],0),FALSE)</f>
        <v>314 S SHEPPARD</v>
      </c>
      <c r="G26" s="69" t="str">
        <f>VLOOKUP($A26,SP_TaxPar_DB[],MATCH(G$2,SP_TaxPar_DB[#Headers],0),FALSE)</f>
        <v>WHARTON</v>
      </c>
      <c r="H26" s="69" t="str">
        <f>VLOOKUP($A26,SP_TaxPar_DB[],MATCH(H$2,SP_TaxPar_DB[#Headers],0),FALSE)</f>
        <v>TX</v>
      </c>
      <c r="I26" s="69" t="str">
        <f>VLOOKUP($A26,SP_TaxPar_DB[],MATCH(I$2,SP_TaxPar_DB[#Headers],0),FALSE)</f>
        <v>77488</v>
      </c>
      <c r="J26" s="69" t="str">
        <f>VLOOKUP($A26,SP_TaxPar_DB[],MATCH(J$2,SP_TaxPar_DB[#Headers],0),FALSE)</f>
        <v>314 S SHEPPARD</v>
      </c>
      <c r="K26" s="69" t="str">
        <f>VLOOKUP($A26,SP_TaxPar_DB[],MATCH(K$2,SP_TaxPar_DB[#Headers],0),FALSE)</f>
        <v>CLINE BLOCK 4 LOT 13A,14A Acres:0.1033</v>
      </c>
      <c r="L26" s="69">
        <f>VLOOKUP($A26,SP_TaxPar_DB[],MATCH(L$2,SP_TaxPar_DB[#Headers],0),FALSE)</f>
        <v>0</v>
      </c>
      <c r="M26" s="69">
        <f>VLOOKUP($A26,SP_TaxPar_DB[],MATCH(M$2,SP_TaxPar_DB[#Headers],0),FALSE)</f>
        <v>0</v>
      </c>
      <c r="N26" s="69">
        <f>VLOOKUP($A26,SP_TaxPar_DB[],MATCH(N$2,SP_TaxPar_DB[#Headers],0),FALSE)</f>
        <v>0</v>
      </c>
      <c r="O26" s="71">
        <f>VLOOKUP($A26,SP_TaxPar_DB[],MATCH(O$2,SP_TaxPar_DB[#Headers],0),FALSE)</f>
        <v>0</v>
      </c>
      <c r="P26" s="72"/>
      <c r="Q26" s="69"/>
      <c r="R26" s="73"/>
      <c r="S26" s="73"/>
      <c r="T26" s="69"/>
      <c r="U26" s="69"/>
      <c r="V26" s="69"/>
      <c r="W26" s="69"/>
      <c r="X26" s="69"/>
      <c r="Y26" s="69"/>
      <c r="Z26" s="69"/>
      <c r="AA26" s="69"/>
      <c r="AB26" s="74"/>
      <c r="AC26" s="73"/>
      <c r="AD26" s="73"/>
      <c r="AE26" s="74"/>
      <c r="AF26" s="68"/>
      <c r="AG26" s="68"/>
      <c r="AH26" s="74"/>
      <c r="AI26" s="68"/>
      <c r="AJ26" s="68"/>
      <c r="AK26" s="68"/>
      <c r="AL26" s="80"/>
      <c r="AM26" s="81"/>
      <c r="AN26" s="74"/>
      <c r="AO26" s="74"/>
      <c r="AP26" s="74"/>
      <c r="AQ26" s="74"/>
      <c r="AR26" s="74"/>
      <c r="AS26" s="74"/>
      <c r="AT26" s="74"/>
      <c r="AU26" s="74"/>
      <c r="AV26" s="74"/>
      <c r="AW26" s="84"/>
    </row>
    <row r="27" spans="1:49" ht="15.75" hidden="1" x14ac:dyDescent="0.2">
      <c r="A27" s="129" t="s">
        <v>1900</v>
      </c>
      <c r="B27" s="68" t="str">
        <f>VLOOKUP($A27,SP_TaxPar_DB[],MATCH(B$2,SP_TaxPar_DB[#Headers],0),FALSE)</f>
        <v>ENV</v>
      </c>
      <c r="C27" s="67">
        <f>IF(VLOOKUP($A27,SP_TaxPar_DB[],MATCH(C$2,SP_TaxPar_DB[#Headers],0),FALSE)="",0,VLOOKUP($A27,SP_TaxPar_DB[],MATCH(C$2,SP_TaxPar_DB[#Headers],0),FALSE))</f>
        <v>0</v>
      </c>
      <c r="D27" s="67" t="str">
        <f>IF(VLOOKUP($A27,SP_TaxPar_DB[],MATCH(D$2,SP_TaxPar_DB[#Headers],0),FALSE)="",0,VLOOKUP($A27,SP_TaxPar_DB[],MATCH(D$2,SP_TaxPar_DB[#Headers],0),FALSE))</f>
        <v>019</v>
      </c>
      <c r="E27" s="69" t="str">
        <f>VLOOKUP($A27,SP_TaxPar_DB[],MATCH(E$2,SP_TaxPar_DB[#Headers],0),FALSE)</f>
        <v>HARDEMON GENE CHRYLE</v>
      </c>
      <c r="F27" s="69" t="str">
        <f>VLOOKUP($A27,SP_TaxPar_DB[],MATCH(F$2,SP_TaxPar_DB[#Headers],0),FALSE)</f>
        <v>131 HOLINESS LANE</v>
      </c>
      <c r="G27" s="69" t="str">
        <f>VLOOKUP($A27,SP_TaxPar_DB[],MATCH(G$2,SP_TaxPar_DB[#Headers],0),FALSE)</f>
        <v>WHARTON</v>
      </c>
      <c r="H27" s="69" t="str">
        <f>VLOOKUP($A27,SP_TaxPar_DB[],MATCH(H$2,SP_TaxPar_DB[#Headers],0),FALSE)</f>
        <v>TX</v>
      </c>
      <c r="I27" s="69" t="str">
        <f>VLOOKUP($A27,SP_TaxPar_DB[],MATCH(I$2,SP_TaxPar_DB[#Headers],0),FALSE)</f>
        <v>77488</v>
      </c>
      <c r="J27" s="69" t="str">
        <f>VLOOKUP($A27,SP_TaxPar_DB[],MATCH(J$2,SP_TaxPar_DB[#Headers],0),FALSE)</f>
        <v>310 S SHEPPARD</v>
      </c>
      <c r="K27" s="69" t="str">
        <f>VLOOKUP($A27,SP_TaxPar_DB[],MATCH(K$2,SP_TaxPar_DB[#Headers],0),FALSE)</f>
        <v>CLINE BLOCK 4 LOT 13B,14B Acres:0.2296</v>
      </c>
      <c r="L27" s="69">
        <f>VLOOKUP($A27,SP_TaxPar_DB[],MATCH(L$2,SP_TaxPar_DB[#Headers],0),FALSE)</f>
        <v>0</v>
      </c>
      <c r="M27" s="69">
        <f>VLOOKUP($A27,SP_TaxPar_DB[],MATCH(M$2,SP_TaxPar_DB[#Headers],0),FALSE)</f>
        <v>0</v>
      </c>
      <c r="N27" s="69">
        <f>VLOOKUP($A27,SP_TaxPar_DB[],MATCH(N$2,SP_TaxPar_DB[#Headers],0),FALSE)</f>
        <v>0</v>
      </c>
      <c r="O27" s="71">
        <f>VLOOKUP($A27,SP_TaxPar_DB[],MATCH(O$2,SP_TaxPar_DB[#Headers],0),FALSE)</f>
        <v>0</v>
      </c>
      <c r="P27" s="72"/>
      <c r="Q27" s="69"/>
      <c r="R27" s="73"/>
      <c r="S27" s="73"/>
      <c r="T27" s="69"/>
      <c r="U27" s="69"/>
      <c r="V27" s="69"/>
      <c r="W27" s="69"/>
      <c r="X27" s="69"/>
      <c r="Y27" s="69"/>
      <c r="Z27" s="69"/>
      <c r="AA27" s="69"/>
      <c r="AB27" s="74"/>
      <c r="AC27" s="73"/>
      <c r="AD27" s="73"/>
      <c r="AE27" s="74"/>
      <c r="AF27" s="68"/>
      <c r="AG27" s="68"/>
      <c r="AH27" s="74"/>
      <c r="AI27" s="68"/>
      <c r="AJ27" s="68"/>
      <c r="AK27" s="68"/>
      <c r="AL27" s="80"/>
      <c r="AM27" s="81"/>
      <c r="AN27" s="74"/>
      <c r="AO27" s="74"/>
      <c r="AP27" s="74"/>
      <c r="AQ27" s="74"/>
      <c r="AR27" s="74"/>
      <c r="AS27" s="74"/>
      <c r="AT27" s="74"/>
      <c r="AU27" s="74"/>
      <c r="AV27" s="74"/>
      <c r="AW27" s="84"/>
    </row>
    <row r="28" spans="1:49" ht="15.75" hidden="1" x14ac:dyDescent="0.2">
      <c r="A28" s="129" t="s">
        <v>242</v>
      </c>
      <c r="B28" s="68" t="str">
        <f>VLOOKUP($A28,SP_TaxPar_DB[],MATCH(B$2,SP_TaxPar_DB[#Headers],0),FALSE)</f>
        <v>PH1</v>
      </c>
      <c r="C28" s="67" t="str">
        <f>IF(VLOOKUP($A28,SP_TaxPar_DB[],MATCH(C$2,SP_TaxPar_DB[#Headers],0),FALSE)="",0,VLOOKUP($A28,SP_TaxPar_DB[],MATCH(C$2,SP_TaxPar_DB[#Headers],0),FALSE))</f>
        <v>311</v>
      </c>
      <c r="D28" s="67">
        <f>IF(VLOOKUP($A28,SP_TaxPar_DB[],MATCH(D$2,SP_TaxPar_DB[#Headers],0),FALSE)="",0,VLOOKUP($A28,SP_TaxPar_DB[],MATCH(D$2,SP_TaxPar_DB[#Headers],0),FALSE))</f>
        <v>0</v>
      </c>
      <c r="E28" s="69" t="str">
        <f>VLOOKUP($A28,SP_TaxPar_DB[],MATCH(E$2,SP_TaxPar_DB[#Headers],0),FALSE)</f>
        <v>Isreal Cruz</v>
      </c>
      <c r="F28" s="69" t="str">
        <f>VLOOKUP($A28,SP_TaxPar_DB[],MATCH(F$2,SP_TaxPar_DB[#Headers],0),FALSE)</f>
        <v>1213 Ebbtide CV</v>
      </c>
      <c r="G28" s="69" t="str">
        <f>VLOOKUP($A28,SP_TaxPar_DB[],MATCH(G$2,SP_TaxPar_DB[#Headers],0),FALSE)</f>
        <v>College Station</v>
      </c>
      <c r="H28" s="69" t="str">
        <f>VLOOKUP($A28,SP_TaxPar_DB[],MATCH(H$2,SP_TaxPar_DB[#Headers],0),FALSE)</f>
        <v>TX</v>
      </c>
      <c r="I28" s="69" t="str">
        <f>VLOOKUP($A28,SP_TaxPar_DB[],MATCH(I$2,SP_TaxPar_DB[#Headers],0),FALSE)</f>
        <v>77845</v>
      </c>
      <c r="J28" s="69" t="str">
        <f>VLOOKUP($A28,SP_TaxPar_DB[],MATCH(J$2,SP_TaxPar_DB[#Headers],0),FALSE)</f>
        <v>509 Bell</v>
      </c>
      <c r="K28" s="69" t="str">
        <f>VLOOKUP($A28,SP_TaxPar_DB[],MATCH(K$2,SP_TaxPar_DB[#Headers],0),FALSE)</f>
        <v>Cotman Lot 8, 9 &amp; Cotman 2nd Lot 8 Lot 8, 9 &amp; 2nd Lot 8</v>
      </c>
      <c r="L28" s="69">
        <f>VLOOKUP($A28,SP_TaxPar_DB[],MATCH(L$2,SP_TaxPar_DB[#Headers],0),FALSE)</f>
        <v>0.34520000000000001</v>
      </c>
      <c r="M28" s="69">
        <f>VLOOKUP($A28,SP_TaxPar_DB[],MATCH(M$2,SP_TaxPar_DB[#Headers],0),FALSE)</f>
        <v>0</v>
      </c>
      <c r="N28" s="69">
        <f>VLOOKUP($A28,SP_TaxPar_DB[],MATCH(N$2,SP_TaxPar_DB[#Headers],0),FALSE)</f>
        <v>0</v>
      </c>
      <c r="O28" s="71">
        <f>VLOOKUP($A28,SP_TaxPar_DB[],MATCH(O$2,SP_TaxPar_DB[#Headers],0),FALSE)</f>
        <v>0</v>
      </c>
      <c r="P28" s="72"/>
      <c r="Q28" s="69"/>
      <c r="R28" s="73"/>
      <c r="S28" s="73"/>
      <c r="T28" s="69"/>
      <c r="U28" s="69"/>
      <c r="V28" s="69"/>
      <c r="W28" s="69"/>
      <c r="X28" s="69"/>
      <c r="Y28" s="69"/>
      <c r="Z28" s="69"/>
      <c r="AA28" s="69"/>
      <c r="AB28" s="74"/>
      <c r="AC28" s="73"/>
      <c r="AD28" s="73"/>
      <c r="AE28" s="74"/>
      <c r="AF28" s="68"/>
      <c r="AG28" s="68"/>
      <c r="AH28" s="74"/>
      <c r="AI28" s="68"/>
      <c r="AJ28" s="68"/>
      <c r="AK28" s="68"/>
      <c r="AL28" s="80"/>
      <c r="AM28" s="81"/>
      <c r="AN28" s="74"/>
      <c r="AO28" s="74"/>
      <c r="AP28" s="74"/>
      <c r="AQ28" s="74"/>
      <c r="AR28" s="74"/>
      <c r="AS28" s="74"/>
      <c r="AT28" s="74"/>
      <c r="AU28" s="74"/>
      <c r="AV28" s="74"/>
      <c r="AW28" s="84"/>
    </row>
    <row r="29" spans="1:49" ht="15.75" hidden="1" x14ac:dyDescent="0.2">
      <c r="A29" s="129" t="s">
        <v>247</v>
      </c>
      <c r="B29" s="68" t="str">
        <f>VLOOKUP($A29,SP_TaxPar_DB[],MATCH(B$2,SP_TaxPar_DB[#Headers],0),FALSE)</f>
        <v>PH1</v>
      </c>
      <c r="C29" s="67" t="str">
        <f>IF(VLOOKUP($A29,SP_TaxPar_DB[],MATCH(C$2,SP_TaxPar_DB[#Headers],0),FALSE)="",0,VLOOKUP($A29,SP_TaxPar_DB[],MATCH(C$2,SP_TaxPar_DB[#Headers],0),FALSE))</f>
        <v>315</v>
      </c>
      <c r="D29" s="67">
        <f>IF(VLOOKUP($A29,SP_TaxPar_DB[],MATCH(D$2,SP_TaxPar_DB[#Headers],0),FALSE)="",0,VLOOKUP($A29,SP_TaxPar_DB[],MATCH(D$2,SP_TaxPar_DB[#Headers],0),FALSE))</f>
        <v>0</v>
      </c>
      <c r="E29" s="69" t="str">
        <f>VLOOKUP($A29,SP_TaxPar_DB[],MATCH(E$2,SP_TaxPar_DB[#Headers],0),FALSE)</f>
        <v>Marcelo &amp; Julia Esparza c/o Martha Saenz</v>
      </c>
      <c r="F29" s="69" t="str">
        <f>VLOOKUP($A29,SP_TaxPar_DB[],MATCH(F$2,SP_TaxPar_DB[#Headers],0),FALSE)</f>
        <v>4336 Otero Vista Point</v>
      </c>
      <c r="G29" s="69" t="str">
        <f>VLOOKUP($A29,SP_TaxPar_DB[],MATCH(G$2,SP_TaxPar_DB[#Headers],0),FALSE)</f>
        <v>Colorado Springs</v>
      </c>
      <c r="H29" s="69" t="str">
        <f>VLOOKUP($A29,SP_TaxPar_DB[],MATCH(H$2,SP_TaxPar_DB[#Headers],0),FALSE)</f>
        <v>CO</v>
      </c>
      <c r="I29" s="69" t="str">
        <f>VLOOKUP($A29,SP_TaxPar_DB[],MATCH(I$2,SP_TaxPar_DB[#Headers],0),FALSE)</f>
        <v>80916</v>
      </c>
      <c r="J29" s="69" t="str">
        <f>VLOOKUP($A29,SP_TaxPar_DB[],MATCH(J$2,SP_TaxPar_DB[#Headers],0),FALSE)</f>
        <v>523 Sunset</v>
      </c>
      <c r="K29" s="69" t="str">
        <f>VLOOKUP($A29,SP_TaxPar_DB[],MATCH(K$2,SP_TaxPar_DB[#Headers],0),FALSE)</f>
        <v>Cotman 2nd Lot 1, 2</v>
      </c>
      <c r="L29" s="69">
        <f>VLOOKUP($A29,SP_TaxPar_DB[],MATCH(L$2,SP_TaxPar_DB[#Headers],0),FALSE)</f>
        <v>0.1726</v>
      </c>
      <c r="M29" s="69" t="str">
        <f>VLOOKUP($A29,SP_TaxPar_DB[],MATCH(M$2,SP_TaxPar_DB[#Headers],0),FALSE)</f>
        <v>Residential</v>
      </c>
      <c r="N29" s="69" t="str">
        <f>VLOOKUP($A29,SP_TaxPar_DB[],MATCH(N$2,SP_TaxPar_DB[#Headers],0),FALSE)</f>
        <v>635 / 313</v>
      </c>
      <c r="O29" s="71" t="str">
        <f>VLOOKUP($A29,SP_TaxPar_DB[],MATCH(O$2,SP_TaxPar_DB[#Headers],0),FALSE)</f>
        <v>address correction w/WCAD and verified w/agent in Negotiator's Log</v>
      </c>
      <c r="P29" s="72"/>
      <c r="Q29" s="69"/>
      <c r="R29" s="73"/>
      <c r="S29" s="73"/>
      <c r="T29" s="69"/>
      <c r="U29" s="69"/>
      <c r="V29" s="69"/>
      <c r="W29" s="69"/>
      <c r="X29" s="69"/>
      <c r="Y29" s="69"/>
      <c r="Z29" s="69"/>
      <c r="AA29" s="69"/>
      <c r="AB29" s="74"/>
      <c r="AC29" s="73"/>
      <c r="AD29" s="73"/>
      <c r="AE29" s="74"/>
      <c r="AF29" s="68"/>
      <c r="AG29" s="68"/>
      <c r="AH29" s="74"/>
      <c r="AI29" s="68"/>
      <c r="AJ29" s="68"/>
      <c r="AK29" s="68"/>
      <c r="AL29" s="80"/>
      <c r="AM29" s="81"/>
      <c r="AN29" s="74"/>
      <c r="AO29" s="74"/>
      <c r="AP29" s="74"/>
      <c r="AQ29" s="74"/>
      <c r="AR29" s="74"/>
      <c r="AS29" s="74"/>
      <c r="AT29" s="74"/>
      <c r="AU29" s="74"/>
      <c r="AV29" s="74"/>
      <c r="AW29" s="84"/>
    </row>
    <row r="30" spans="1:49" ht="15.75" hidden="1" x14ac:dyDescent="0.2">
      <c r="A30" s="129" t="s">
        <v>253</v>
      </c>
      <c r="B30" s="68" t="str">
        <f>VLOOKUP($A30,SP_TaxPar_DB[],MATCH(B$2,SP_TaxPar_DB[#Headers],0),FALSE)</f>
        <v>PH1</v>
      </c>
      <c r="C30" s="67" t="str">
        <f>IF(VLOOKUP($A30,SP_TaxPar_DB[],MATCH(C$2,SP_TaxPar_DB[#Headers],0),FALSE)="",0,VLOOKUP($A30,SP_TaxPar_DB[],MATCH(C$2,SP_TaxPar_DB[#Headers],0),FALSE))</f>
        <v>314</v>
      </c>
      <c r="D30" s="67">
        <f>IF(VLOOKUP($A30,SP_TaxPar_DB[],MATCH(D$2,SP_TaxPar_DB[#Headers],0),FALSE)="",0,VLOOKUP($A30,SP_TaxPar_DB[],MATCH(D$2,SP_TaxPar_DB[#Headers],0),FALSE))</f>
        <v>0</v>
      </c>
      <c r="E30" s="69" t="str">
        <f>VLOOKUP($A30,SP_TaxPar_DB[],MATCH(E$2,SP_TaxPar_DB[#Headers],0),FALSE)</f>
        <v>Gilbert Garza, Jr, et ux Ida</v>
      </c>
      <c r="F30" s="69" t="str">
        <f>VLOOKUP($A30,SP_TaxPar_DB[],MATCH(F$2,SP_TaxPar_DB[#Headers],0),FALSE)</f>
        <v>212 Stavena Road</v>
      </c>
      <c r="G30" s="69" t="str">
        <f>VLOOKUP($A30,SP_TaxPar_DB[],MATCH(G$2,SP_TaxPar_DB[#Headers],0),FALSE)</f>
        <v>Wharton</v>
      </c>
      <c r="H30" s="69" t="str">
        <f>VLOOKUP($A30,SP_TaxPar_DB[],MATCH(H$2,SP_TaxPar_DB[#Headers],0),FALSE)</f>
        <v>TX</v>
      </c>
      <c r="I30" s="69" t="str">
        <f>VLOOKUP($A30,SP_TaxPar_DB[],MATCH(I$2,SP_TaxPar_DB[#Headers],0),FALSE)</f>
        <v>77488</v>
      </c>
      <c r="J30" s="69" t="str">
        <f>VLOOKUP($A30,SP_TaxPar_DB[],MATCH(J$2,SP_TaxPar_DB[#Headers],0),FALSE)</f>
        <v>0 Sunset</v>
      </c>
      <c r="K30" s="69" t="str">
        <f>VLOOKUP($A30,SP_TaxPar_DB[],MATCH(K$2,SP_TaxPar_DB[#Headers],0),FALSE)</f>
        <v>Cotman 2nd Lot 3</v>
      </c>
      <c r="L30" s="69">
        <f>VLOOKUP($A30,SP_TaxPar_DB[],MATCH(L$2,SP_TaxPar_DB[#Headers],0),FALSE)</f>
        <v>9.6600000000000005E-2</v>
      </c>
      <c r="M30" s="69" t="str">
        <f>VLOOKUP($A30,SP_TaxPar_DB[],MATCH(M$2,SP_TaxPar_DB[#Headers],0),FALSE)</f>
        <v>Res -Vacant</v>
      </c>
      <c r="N30" s="69" t="str">
        <f>VLOOKUP($A30,SP_TaxPar_DB[],MATCH(N$2,SP_TaxPar_DB[#Headers],0),FALSE)</f>
        <v>763 / 275</v>
      </c>
      <c r="O30" s="71">
        <f>VLOOKUP($A30,SP_TaxPar_DB[],MATCH(O$2,SP_TaxPar_DB[#Headers],0),FALSE)</f>
        <v>0</v>
      </c>
      <c r="P30" s="72"/>
      <c r="Q30" s="69"/>
      <c r="R30" s="73"/>
      <c r="S30" s="73"/>
      <c r="T30" s="69"/>
      <c r="U30" s="69"/>
      <c r="V30" s="69"/>
      <c r="W30" s="69"/>
      <c r="X30" s="69"/>
      <c r="Y30" s="69"/>
      <c r="Z30" s="69"/>
      <c r="AA30" s="69"/>
      <c r="AB30" s="74"/>
      <c r="AC30" s="73"/>
      <c r="AD30" s="73"/>
      <c r="AE30" s="74"/>
      <c r="AF30" s="68"/>
      <c r="AG30" s="68"/>
      <c r="AH30" s="74"/>
      <c r="AI30" s="68"/>
      <c r="AJ30" s="68"/>
      <c r="AK30" s="68"/>
      <c r="AL30" s="80"/>
      <c r="AM30" s="81"/>
      <c r="AN30" s="74"/>
      <c r="AO30" s="74"/>
      <c r="AP30" s="74"/>
      <c r="AQ30" s="74"/>
      <c r="AR30" s="74"/>
      <c r="AS30" s="74"/>
      <c r="AT30" s="74"/>
      <c r="AU30" s="74"/>
      <c r="AV30" s="74"/>
      <c r="AW30" s="84"/>
    </row>
    <row r="31" spans="1:49" ht="15.75" hidden="1" x14ac:dyDescent="0.2">
      <c r="A31" s="129" t="s">
        <v>259</v>
      </c>
      <c r="B31" s="68" t="str">
        <f>VLOOKUP($A31,SP_TaxPar_DB[],MATCH(B$2,SP_TaxPar_DB[#Headers],0),FALSE)</f>
        <v>PH1</v>
      </c>
      <c r="C31" s="67" t="str">
        <f>IF(VLOOKUP($A31,SP_TaxPar_DB[],MATCH(C$2,SP_TaxPar_DB[#Headers],0),FALSE)="",0,VLOOKUP($A31,SP_TaxPar_DB[],MATCH(C$2,SP_TaxPar_DB[#Headers],0),FALSE))</f>
        <v>314</v>
      </c>
      <c r="D31" s="67">
        <f>IF(VLOOKUP($A31,SP_TaxPar_DB[],MATCH(D$2,SP_TaxPar_DB[#Headers],0),FALSE)="",0,VLOOKUP($A31,SP_TaxPar_DB[],MATCH(D$2,SP_TaxPar_DB[#Headers],0),FALSE))</f>
        <v>0</v>
      </c>
      <c r="E31" s="69" t="str">
        <f>VLOOKUP($A31,SP_TaxPar_DB[],MATCH(E$2,SP_TaxPar_DB[#Headers],0),FALSE)</f>
        <v>Gilbert Garza, Jr, et ux Ida</v>
      </c>
      <c r="F31" s="69" t="str">
        <f>VLOOKUP($A31,SP_TaxPar_DB[],MATCH(F$2,SP_TaxPar_DB[#Headers],0),FALSE)</f>
        <v>212 Stavena Road</v>
      </c>
      <c r="G31" s="69" t="str">
        <f>VLOOKUP($A31,SP_TaxPar_DB[],MATCH(G$2,SP_TaxPar_DB[#Headers],0),FALSE)</f>
        <v>Wharton</v>
      </c>
      <c r="H31" s="69" t="str">
        <f>VLOOKUP($A31,SP_TaxPar_DB[],MATCH(H$2,SP_TaxPar_DB[#Headers],0),FALSE)</f>
        <v>TX</v>
      </c>
      <c r="I31" s="69" t="str">
        <f>VLOOKUP($A31,SP_TaxPar_DB[],MATCH(I$2,SP_TaxPar_DB[#Headers],0),FALSE)</f>
        <v>77488</v>
      </c>
      <c r="J31" s="69" t="str">
        <f>VLOOKUP($A31,SP_TaxPar_DB[],MATCH(J$2,SP_TaxPar_DB[#Headers],0),FALSE)</f>
        <v>0 Sunset</v>
      </c>
      <c r="K31" s="69" t="str">
        <f>VLOOKUP($A31,SP_TaxPar_DB[],MATCH(K$2,SP_TaxPar_DB[#Headers],0),FALSE)</f>
        <v>Cotman 2nd Lot 4</v>
      </c>
      <c r="L31" s="69">
        <f>VLOOKUP($A31,SP_TaxPar_DB[],MATCH(L$2,SP_TaxPar_DB[#Headers],0),FALSE)</f>
        <v>9.6600000000000005E-2</v>
      </c>
      <c r="M31" s="69" t="str">
        <f>VLOOKUP($A31,SP_TaxPar_DB[],MATCH(M$2,SP_TaxPar_DB[#Headers],0),FALSE)</f>
        <v>Res -Vacant</v>
      </c>
      <c r="N31" s="69" t="str">
        <f>VLOOKUP($A31,SP_TaxPar_DB[],MATCH(N$2,SP_TaxPar_DB[#Headers],0),FALSE)</f>
        <v>763 / 278</v>
      </c>
      <c r="O31" s="71">
        <f>VLOOKUP($A31,SP_TaxPar_DB[],MATCH(O$2,SP_TaxPar_DB[#Headers],0),FALSE)</f>
        <v>0</v>
      </c>
      <c r="P31" s="72"/>
      <c r="Q31" s="69"/>
      <c r="R31" s="73"/>
      <c r="S31" s="73"/>
      <c r="T31" s="69"/>
      <c r="U31" s="69"/>
      <c r="V31" s="69"/>
      <c r="W31" s="69"/>
      <c r="X31" s="69"/>
      <c r="Y31" s="69"/>
      <c r="Z31" s="69"/>
      <c r="AA31" s="69"/>
      <c r="AB31" s="74"/>
      <c r="AC31" s="73"/>
      <c r="AD31" s="73"/>
      <c r="AE31" s="74"/>
      <c r="AF31" s="68"/>
      <c r="AG31" s="68"/>
      <c r="AH31" s="74"/>
      <c r="AI31" s="68"/>
      <c r="AJ31" s="68"/>
      <c r="AK31" s="68"/>
      <c r="AL31" s="80"/>
      <c r="AM31" s="81"/>
      <c r="AN31" s="74"/>
      <c r="AO31" s="74"/>
      <c r="AP31" s="74"/>
      <c r="AQ31" s="74"/>
      <c r="AR31" s="74"/>
      <c r="AS31" s="74"/>
      <c r="AT31" s="74"/>
      <c r="AU31" s="74"/>
      <c r="AV31" s="74"/>
      <c r="AW31" s="84"/>
    </row>
    <row r="32" spans="1:49" ht="15.75" hidden="1" x14ac:dyDescent="0.2">
      <c r="A32" s="129" t="s">
        <v>262</v>
      </c>
      <c r="B32" s="68" t="str">
        <f>VLOOKUP($A32,SP_TaxPar_DB[],MATCH(B$2,SP_TaxPar_DB[#Headers],0),FALSE)</f>
        <v>PH1</v>
      </c>
      <c r="C32" s="67" t="str">
        <f>IF(VLOOKUP($A32,SP_TaxPar_DB[],MATCH(C$2,SP_TaxPar_DB[#Headers],0),FALSE)="",0,VLOOKUP($A32,SP_TaxPar_DB[],MATCH(C$2,SP_TaxPar_DB[#Headers],0),FALSE))</f>
        <v>312</v>
      </c>
      <c r="D32" s="67">
        <f>IF(VLOOKUP($A32,SP_TaxPar_DB[],MATCH(D$2,SP_TaxPar_DB[#Headers],0),FALSE)="",0,VLOOKUP($A32,SP_TaxPar_DB[],MATCH(D$2,SP_TaxPar_DB[#Headers],0),FALSE))</f>
        <v>0</v>
      </c>
      <c r="E32" s="69" t="str">
        <f>VLOOKUP($A32,SP_TaxPar_DB[],MATCH(E$2,SP_TaxPar_DB[#Headers],0),FALSE)</f>
        <v>Raymond Limas</v>
      </c>
      <c r="F32" s="69" t="str">
        <f>VLOOKUP($A32,SP_TaxPar_DB[],MATCH(F$2,SP_TaxPar_DB[#Headers],0),FALSE)</f>
        <v>616 S Sunset</v>
      </c>
      <c r="G32" s="69" t="str">
        <f>VLOOKUP($A32,SP_TaxPar_DB[],MATCH(G$2,SP_TaxPar_DB[#Headers],0),FALSE)</f>
        <v>Wharton</v>
      </c>
      <c r="H32" s="69" t="str">
        <f>VLOOKUP($A32,SP_TaxPar_DB[],MATCH(H$2,SP_TaxPar_DB[#Headers],0),FALSE)</f>
        <v>TX</v>
      </c>
      <c r="I32" s="69" t="str">
        <f>VLOOKUP($A32,SP_TaxPar_DB[],MATCH(I$2,SP_TaxPar_DB[#Headers],0),FALSE)</f>
        <v>77488</v>
      </c>
      <c r="J32" s="69" t="str">
        <f>VLOOKUP($A32,SP_TaxPar_DB[],MATCH(J$2,SP_TaxPar_DB[#Headers],0),FALSE)</f>
        <v>0 Sunset</v>
      </c>
      <c r="K32" s="69" t="str">
        <f>VLOOKUP($A32,SP_TaxPar_DB[],MATCH(K$2,SP_TaxPar_DB[#Headers],0),FALSE)</f>
        <v>Cotman 2nd Lot 5</v>
      </c>
      <c r="L32" s="69">
        <f>VLOOKUP($A32,SP_TaxPar_DB[],MATCH(L$2,SP_TaxPar_DB[#Headers],0),FALSE)</f>
        <v>9.6600000000000005E-2</v>
      </c>
      <c r="M32" s="69" t="str">
        <f>VLOOKUP($A32,SP_TaxPar_DB[],MATCH(M$2,SP_TaxPar_DB[#Headers],0),FALSE)</f>
        <v>Res -Vacant</v>
      </c>
      <c r="N32" s="69" t="str">
        <f>VLOOKUP($A32,SP_TaxPar_DB[],MATCH(N$2,SP_TaxPar_DB[#Headers],0),FALSE)</f>
        <v>818 / 245</v>
      </c>
      <c r="O32" s="71">
        <f>VLOOKUP($A32,SP_TaxPar_DB[],MATCH(O$2,SP_TaxPar_DB[#Headers],0),FALSE)</f>
        <v>0</v>
      </c>
      <c r="P32" s="72"/>
      <c r="Q32" s="69"/>
      <c r="R32" s="73"/>
      <c r="S32" s="73"/>
      <c r="T32" s="69"/>
      <c r="U32" s="69"/>
      <c r="V32" s="69"/>
      <c r="W32" s="69"/>
      <c r="X32" s="69"/>
      <c r="Y32" s="69"/>
      <c r="Z32" s="69"/>
      <c r="AA32" s="69"/>
      <c r="AB32" s="74"/>
      <c r="AC32" s="73"/>
      <c r="AD32" s="73"/>
      <c r="AE32" s="74"/>
      <c r="AF32" s="68"/>
      <c r="AG32" s="68"/>
      <c r="AH32" s="74"/>
      <c r="AI32" s="68"/>
      <c r="AJ32" s="68"/>
      <c r="AK32" s="68"/>
      <c r="AL32" s="80"/>
      <c r="AM32" s="81"/>
      <c r="AN32" s="74"/>
      <c r="AO32" s="74"/>
      <c r="AP32" s="74"/>
      <c r="AQ32" s="74"/>
      <c r="AR32" s="74"/>
      <c r="AS32" s="74"/>
      <c r="AT32" s="74"/>
      <c r="AU32" s="74"/>
      <c r="AV32" s="74"/>
      <c r="AW32" s="84"/>
    </row>
    <row r="33" spans="1:49" ht="15.75" hidden="1" x14ac:dyDescent="0.2">
      <c r="A33" s="129" t="s">
        <v>266</v>
      </c>
      <c r="B33" s="68" t="str">
        <f>VLOOKUP($A33,SP_TaxPar_DB[],MATCH(B$2,SP_TaxPar_DB[#Headers],0),FALSE)</f>
        <v>PH1</v>
      </c>
      <c r="C33" s="67" t="str">
        <f>IF(VLOOKUP($A33,SP_TaxPar_DB[],MATCH(C$2,SP_TaxPar_DB[#Headers],0),FALSE)="",0,VLOOKUP($A33,SP_TaxPar_DB[],MATCH(C$2,SP_TaxPar_DB[#Headers],0),FALSE))</f>
        <v>310</v>
      </c>
      <c r="D33" s="67">
        <f>IF(VLOOKUP($A33,SP_TaxPar_DB[],MATCH(D$2,SP_TaxPar_DB[#Headers],0),FALSE)="",0,VLOOKUP($A33,SP_TaxPar_DB[],MATCH(D$2,SP_TaxPar_DB[#Headers],0),FALSE))</f>
        <v>0</v>
      </c>
      <c r="E33" s="69" t="str">
        <f>VLOOKUP($A33,SP_TaxPar_DB[],MATCH(E$2,SP_TaxPar_DB[#Headers],0),FALSE)</f>
        <v>Fred Esparza Estate c/o Estella Gomez</v>
      </c>
      <c r="F33" s="69" t="str">
        <f>VLOOKUP($A33,SP_TaxPar_DB[],MATCH(F$2,SP_TaxPar_DB[#Headers],0),FALSE)</f>
        <v>206 E Wayside</v>
      </c>
      <c r="G33" s="69" t="str">
        <f>VLOOKUP($A33,SP_TaxPar_DB[],MATCH(G$2,SP_TaxPar_DB[#Headers],0),FALSE)</f>
        <v>Wharton</v>
      </c>
      <c r="H33" s="69" t="str">
        <f>VLOOKUP($A33,SP_TaxPar_DB[],MATCH(H$2,SP_TaxPar_DB[#Headers],0),FALSE)</f>
        <v>TX</v>
      </c>
      <c r="I33" s="69" t="str">
        <f>VLOOKUP($A33,SP_TaxPar_DB[],MATCH(I$2,SP_TaxPar_DB[#Headers],0),FALSE)</f>
        <v>77488</v>
      </c>
      <c r="J33" s="69" t="str">
        <f>VLOOKUP($A33,SP_TaxPar_DB[],MATCH(J$2,SP_TaxPar_DB[#Headers],0),FALSE)</f>
        <v>621 Sunset</v>
      </c>
      <c r="K33" s="69" t="str">
        <f>VLOOKUP($A33,SP_TaxPar_DB[],MATCH(K$2,SP_TaxPar_DB[#Headers],0),FALSE)</f>
        <v>Cotman 2nd Lot 6, 7</v>
      </c>
      <c r="L33" s="69">
        <f>VLOOKUP($A33,SP_TaxPar_DB[],MATCH(L$2,SP_TaxPar_DB[#Headers],0),FALSE)</f>
        <v>0.19309999999999999</v>
      </c>
      <c r="M33" s="69" t="str">
        <f>VLOOKUP($A33,SP_TaxPar_DB[],MATCH(M$2,SP_TaxPar_DB[#Headers],0),FALSE)</f>
        <v>Res -Vacant</v>
      </c>
      <c r="N33" s="69">
        <f>VLOOKUP($A33,SP_TaxPar_DB[],MATCH(N$2,SP_TaxPar_DB[#Headers],0),FALSE)</f>
        <v>0</v>
      </c>
      <c r="O33" s="71" t="str">
        <f>VLOOKUP($A33,SP_TaxPar_DB[],MATCH(O$2,SP_TaxPar_DB[#Headers],0),FALSE)</f>
        <v>Estella Gomez on tax card</v>
      </c>
      <c r="P33" s="72"/>
      <c r="Q33" s="69"/>
      <c r="R33" s="73"/>
      <c r="S33" s="73"/>
      <c r="T33" s="69"/>
      <c r="U33" s="69"/>
      <c r="V33" s="69"/>
      <c r="W33" s="69"/>
      <c r="X33" s="69"/>
      <c r="Y33" s="69"/>
      <c r="Z33" s="69"/>
      <c r="AA33" s="69"/>
      <c r="AB33" s="74"/>
      <c r="AC33" s="73"/>
      <c r="AD33" s="73"/>
      <c r="AE33" s="74"/>
      <c r="AF33" s="68"/>
      <c r="AG33" s="68"/>
      <c r="AH33" s="74"/>
      <c r="AI33" s="68"/>
      <c r="AJ33" s="68"/>
      <c r="AK33" s="68"/>
      <c r="AL33" s="80"/>
      <c r="AM33" s="81"/>
      <c r="AN33" s="74"/>
      <c r="AO33" s="74"/>
      <c r="AP33" s="74"/>
      <c r="AQ33" s="74"/>
      <c r="AR33" s="74"/>
      <c r="AS33" s="74"/>
      <c r="AT33" s="74"/>
      <c r="AU33" s="74"/>
      <c r="AV33" s="74"/>
      <c r="AW33" s="84"/>
    </row>
    <row r="34" spans="1:49" ht="15.75" hidden="1" x14ac:dyDescent="0.2">
      <c r="A34" s="129" t="s">
        <v>270</v>
      </c>
      <c r="B34" s="68" t="str">
        <f>VLOOKUP($A34,SP_TaxPar_DB[],MATCH(B$2,SP_TaxPar_DB[#Headers],0),FALSE)</f>
        <v>PH1</v>
      </c>
      <c r="C34" s="67" t="str">
        <f>IF(VLOOKUP($A34,SP_TaxPar_DB[],MATCH(C$2,SP_TaxPar_DB[#Headers],0),FALSE)="",0,VLOOKUP($A34,SP_TaxPar_DB[],MATCH(C$2,SP_TaxPar_DB[#Headers],0),FALSE))</f>
        <v>313</v>
      </c>
      <c r="D34" s="67">
        <f>IF(VLOOKUP($A34,SP_TaxPar_DB[],MATCH(D$2,SP_TaxPar_DB[#Headers],0),FALSE)="",0,VLOOKUP($A34,SP_TaxPar_DB[],MATCH(D$2,SP_TaxPar_DB[#Headers],0),FALSE))</f>
        <v>0</v>
      </c>
      <c r="E34" s="69" t="str">
        <f>VLOOKUP($A34,SP_TaxPar_DB[],MATCH(E$2,SP_TaxPar_DB[#Headers],0),FALSE)</f>
        <v>Raymond Limas, et ux Cindy</v>
      </c>
      <c r="F34" s="69" t="str">
        <f>VLOOKUP($A34,SP_TaxPar_DB[],MATCH(F$2,SP_TaxPar_DB[#Headers],0),FALSE)</f>
        <v>616 S Sunset</v>
      </c>
      <c r="G34" s="69" t="str">
        <f>VLOOKUP($A34,SP_TaxPar_DB[],MATCH(G$2,SP_TaxPar_DB[#Headers],0),FALSE)</f>
        <v>Wharton</v>
      </c>
      <c r="H34" s="69" t="str">
        <f>VLOOKUP($A34,SP_TaxPar_DB[],MATCH(H$2,SP_TaxPar_DB[#Headers],0),FALSE)</f>
        <v>TX</v>
      </c>
      <c r="I34" s="69" t="str">
        <f>VLOOKUP($A34,SP_TaxPar_DB[],MATCH(I$2,SP_TaxPar_DB[#Headers],0),FALSE)</f>
        <v>77488</v>
      </c>
      <c r="J34" s="69" t="str">
        <f>VLOOKUP($A34,SP_TaxPar_DB[],MATCH(J$2,SP_TaxPar_DB[#Headers],0),FALSE)</f>
        <v>616 Sunset</v>
      </c>
      <c r="K34" s="69" t="str">
        <f>VLOOKUP($A34,SP_TaxPar_DB[],MATCH(K$2,SP_TaxPar_DB[#Headers],0),FALSE)</f>
        <v>Cotman 2nd Lot 9</v>
      </c>
      <c r="L34" s="69">
        <f>VLOOKUP($A34,SP_TaxPar_DB[],MATCH(L$2,SP_TaxPar_DB[#Headers],0),FALSE)</f>
        <v>9.6299999999999997E-2</v>
      </c>
      <c r="M34" s="69" t="str">
        <f>VLOOKUP($A34,SP_TaxPar_DB[],MATCH(M$2,SP_TaxPar_DB[#Headers],0),FALSE)</f>
        <v>Residential</v>
      </c>
      <c r="N34" s="69" t="str">
        <f>VLOOKUP($A34,SP_TaxPar_DB[],MATCH(N$2,SP_TaxPar_DB[#Headers],0),FALSE)</f>
        <v>492 / 379</v>
      </c>
      <c r="O34" s="71">
        <f>VLOOKUP($A34,SP_TaxPar_DB[],MATCH(O$2,SP_TaxPar_DB[#Headers],0),FALSE)</f>
        <v>0</v>
      </c>
      <c r="P34" s="72"/>
      <c r="Q34" s="69"/>
      <c r="R34" s="73"/>
      <c r="S34" s="73"/>
      <c r="T34" s="69"/>
      <c r="U34" s="69"/>
      <c r="V34" s="69"/>
      <c r="W34" s="69"/>
      <c r="X34" s="69"/>
      <c r="Y34" s="69"/>
      <c r="Z34" s="69"/>
      <c r="AA34" s="69"/>
      <c r="AB34" s="74"/>
      <c r="AC34" s="73"/>
      <c r="AD34" s="73"/>
      <c r="AE34" s="74"/>
      <c r="AF34" s="68"/>
      <c r="AG34" s="68"/>
      <c r="AH34" s="74"/>
      <c r="AI34" s="68"/>
      <c r="AJ34" s="68"/>
      <c r="AK34" s="68"/>
      <c r="AL34" s="80"/>
      <c r="AM34" s="81"/>
      <c r="AN34" s="74"/>
      <c r="AO34" s="74"/>
      <c r="AP34" s="74"/>
      <c r="AQ34" s="74"/>
      <c r="AR34" s="74"/>
      <c r="AS34" s="74"/>
      <c r="AT34" s="74"/>
      <c r="AU34" s="74"/>
      <c r="AV34" s="74"/>
      <c r="AW34" s="84"/>
    </row>
    <row r="35" spans="1:49" ht="15.75" hidden="1" x14ac:dyDescent="0.2">
      <c r="A35" s="129" t="s">
        <v>274</v>
      </c>
      <c r="B35" s="68" t="str">
        <f>VLOOKUP($A35,SP_TaxPar_DB[],MATCH(B$2,SP_TaxPar_DB[#Headers],0),FALSE)</f>
        <v>PH1</v>
      </c>
      <c r="C35" s="67" t="str">
        <f>IF(VLOOKUP($A35,SP_TaxPar_DB[],MATCH(C$2,SP_TaxPar_DB[#Headers],0),FALSE)="",0,VLOOKUP($A35,SP_TaxPar_DB[],MATCH(C$2,SP_TaxPar_DB[#Headers],0),FALSE))</f>
        <v>313</v>
      </c>
      <c r="D35" s="67">
        <f>IF(VLOOKUP($A35,SP_TaxPar_DB[],MATCH(D$2,SP_TaxPar_DB[#Headers],0),FALSE)="",0,VLOOKUP($A35,SP_TaxPar_DB[],MATCH(D$2,SP_TaxPar_DB[#Headers],0),FALSE))</f>
        <v>0</v>
      </c>
      <c r="E35" s="69" t="str">
        <f>VLOOKUP($A35,SP_TaxPar_DB[],MATCH(E$2,SP_TaxPar_DB[#Headers],0),FALSE)</f>
        <v>Raymond Limas, et ux Cindy</v>
      </c>
      <c r="F35" s="69" t="str">
        <f>VLOOKUP($A35,SP_TaxPar_DB[],MATCH(F$2,SP_TaxPar_DB[#Headers],0),FALSE)</f>
        <v>616 S Sunset</v>
      </c>
      <c r="G35" s="69" t="str">
        <f>VLOOKUP($A35,SP_TaxPar_DB[],MATCH(G$2,SP_TaxPar_DB[#Headers],0),FALSE)</f>
        <v>Wharton</v>
      </c>
      <c r="H35" s="69" t="str">
        <f>VLOOKUP($A35,SP_TaxPar_DB[],MATCH(H$2,SP_TaxPar_DB[#Headers],0),FALSE)</f>
        <v>TX</v>
      </c>
      <c r="I35" s="69" t="str">
        <f>VLOOKUP($A35,SP_TaxPar_DB[],MATCH(I$2,SP_TaxPar_DB[#Headers],0),FALSE)</f>
        <v>77488</v>
      </c>
      <c r="J35" s="69" t="str">
        <f>VLOOKUP($A35,SP_TaxPar_DB[],MATCH(J$2,SP_TaxPar_DB[#Headers],0),FALSE)</f>
        <v>616 Sunset</v>
      </c>
      <c r="K35" s="69" t="str">
        <f>VLOOKUP($A35,SP_TaxPar_DB[],MATCH(K$2,SP_TaxPar_DB[#Headers],0),FALSE)</f>
        <v>Cotman 2nd Lot 10, 11</v>
      </c>
      <c r="L35" s="69">
        <f>VLOOKUP($A35,SP_TaxPar_DB[],MATCH(L$2,SP_TaxPar_DB[#Headers],0),FALSE)</f>
        <v>0.1923</v>
      </c>
      <c r="M35" s="69" t="str">
        <f>VLOOKUP($A35,SP_TaxPar_DB[],MATCH(M$2,SP_TaxPar_DB[#Headers],0),FALSE)</f>
        <v>Residential</v>
      </c>
      <c r="N35" s="69" t="str">
        <f>VLOOKUP($A35,SP_TaxPar_DB[],MATCH(N$2,SP_TaxPar_DB[#Headers],0),FALSE)</f>
        <v>492 / 379</v>
      </c>
      <c r="O35" s="71" t="str">
        <f>VLOOKUP($A35,SP_TaxPar_DB[],MATCH(O$2,SP_TaxPar_DB[#Headers],0),FALSE)</f>
        <v>Mobil Home 16 X 76</v>
      </c>
      <c r="P35" s="72"/>
      <c r="Q35" s="69"/>
      <c r="R35" s="73"/>
      <c r="S35" s="73"/>
      <c r="T35" s="69"/>
      <c r="U35" s="69"/>
      <c r="V35" s="69"/>
      <c r="W35" s="69"/>
      <c r="X35" s="69"/>
      <c r="Y35" s="69"/>
      <c r="Z35" s="69"/>
      <c r="AA35" s="69"/>
      <c r="AB35" s="74"/>
      <c r="AC35" s="73"/>
      <c r="AD35" s="73"/>
      <c r="AE35" s="74"/>
      <c r="AF35" s="68"/>
      <c r="AG35" s="68"/>
      <c r="AH35" s="74"/>
      <c r="AI35" s="68"/>
      <c r="AJ35" s="68"/>
      <c r="AK35" s="68"/>
      <c r="AL35" s="80"/>
      <c r="AM35" s="81"/>
      <c r="AN35" s="74"/>
      <c r="AO35" s="74"/>
      <c r="AP35" s="74"/>
      <c r="AQ35" s="74"/>
      <c r="AR35" s="74"/>
      <c r="AS35" s="74"/>
      <c r="AT35" s="74"/>
      <c r="AU35" s="74"/>
      <c r="AV35" s="74"/>
      <c r="AW35" s="84"/>
    </row>
    <row r="36" spans="1:49" ht="15.75" hidden="1" x14ac:dyDescent="0.2">
      <c r="A36" s="129" t="s">
        <v>277</v>
      </c>
      <c r="B36" s="68" t="str">
        <f>VLOOKUP($A36,SP_TaxPar_DB[],MATCH(B$2,SP_TaxPar_DB[#Headers],0),FALSE)</f>
        <v>PH1</v>
      </c>
      <c r="C36" s="67" t="str">
        <f>IF(VLOOKUP($A36,SP_TaxPar_DB[],MATCH(C$2,SP_TaxPar_DB[#Headers],0),FALSE)="",0,VLOOKUP($A36,SP_TaxPar_DB[],MATCH(C$2,SP_TaxPar_DB[#Headers],0),FALSE))</f>
        <v>201</v>
      </c>
      <c r="D36" s="67">
        <f>IF(VLOOKUP($A36,SP_TaxPar_DB[],MATCH(D$2,SP_TaxPar_DB[#Headers],0),FALSE)="",0,VLOOKUP($A36,SP_TaxPar_DB[],MATCH(D$2,SP_TaxPar_DB[#Headers],0),FALSE))</f>
        <v>0</v>
      </c>
      <c r="E36" s="69" t="str">
        <f>VLOOKUP($A36,SP_TaxPar_DB[],MATCH(E$2,SP_TaxPar_DB[#Headers],0),FALSE)</f>
        <v>J-M Manufacturing Co Property Tax Department</v>
      </c>
      <c r="F36" s="69" t="str">
        <f>VLOOKUP($A36,SP_TaxPar_DB[],MATCH(F$2,SP_TaxPar_DB[#Headers],0),FALSE)</f>
        <v>5200 W Century Blvd 10th Floor</v>
      </c>
      <c r="G36" s="69" t="str">
        <f>VLOOKUP($A36,SP_TaxPar_DB[],MATCH(G$2,SP_TaxPar_DB[#Headers],0),FALSE)</f>
        <v>Los Angeles</v>
      </c>
      <c r="H36" s="69" t="str">
        <f>VLOOKUP($A36,SP_TaxPar_DB[],MATCH(H$2,SP_TaxPar_DB[#Headers],0),FALSE)</f>
        <v>CA</v>
      </c>
      <c r="I36" s="69" t="str">
        <f>VLOOKUP($A36,SP_TaxPar_DB[],MATCH(I$2,SP_TaxPar_DB[#Headers],0),FALSE)</f>
        <v>90045</v>
      </c>
      <c r="J36" s="69" t="str">
        <f>VLOOKUP($A36,SP_TaxPar_DB[],MATCH(J$2,SP_TaxPar_DB[#Headers],0),FALSE)</f>
        <v>0 Wilkes</v>
      </c>
      <c r="K36" s="69" t="str">
        <f>VLOOKUP($A36,SP_TaxPar_DB[],MATCH(K$2,SP_TaxPar_DB[#Headers],0),FALSE)</f>
        <v>John Harris Lot 64D-1</v>
      </c>
      <c r="L36" s="69">
        <f>VLOOKUP($A36,SP_TaxPar_DB[],MATCH(L$2,SP_TaxPar_DB[#Headers],0),FALSE)</f>
        <v>6.3771000000000004</v>
      </c>
      <c r="M36" s="69" t="str">
        <f>VLOOKUP($A36,SP_TaxPar_DB[],MATCH(M$2,SP_TaxPar_DB[#Headers],0),FALSE)</f>
        <v>Commercial - Vacant</v>
      </c>
      <c r="N36" s="69">
        <f>VLOOKUP($A36,SP_TaxPar_DB[],MATCH(N$2,SP_TaxPar_DB[#Headers],0),FALSE)</f>
        <v>0</v>
      </c>
      <c r="O36" s="71">
        <f>VLOOKUP($A36,SP_TaxPar_DB[],MATCH(O$2,SP_TaxPar_DB[#Headers],0),FALSE)</f>
        <v>0</v>
      </c>
      <c r="P36" s="72"/>
      <c r="Q36" s="69"/>
      <c r="R36" s="73"/>
      <c r="S36" s="73"/>
      <c r="T36" s="69"/>
      <c r="U36" s="69"/>
      <c r="V36" s="69"/>
      <c r="W36" s="69"/>
      <c r="X36" s="69"/>
      <c r="Y36" s="69"/>
      <c r="Z36" s="69"/>
      <c r="AA36" s="69"/>
      <c r="AB36" s="74"/>
      <c r="AC36" s="73"/>
      <c r="AD36" s="73"/>
      <c r="AE36" s="74"/>
      <c r="AF36" s="68"/>
      <c r="AG36" s="68"/>
      <c r="AH36" s="74"/>
      <c r="AI36" s="68"/>
      <c r="AJ36" s="68"/>
      <c r="AK36" s="68"/>
      <c r="AL36" s="80"/>
      <c r="AM36" s="81"/>
      <c r="AN36" s="74"/>
      <c r="AO36" s="74"/>
      <c r="AP36" s="74"/>
      <c r="AQ36" s="74"/>
      <c r="AR36" s="74"/>
      <c r="AS36" s="74"/>
      <c r="AT36" s="74"/>
      <c r="AU36" s="74"/>
      <c r="AV36" s="74"/>
      <c r="AW36" s="84"/>
    </row>
    <row r="37" spans="1:49" ht="15.75" hidden="1" x14ac:dyDescent="0.2">
      <c r="A37" s="129" t="s">
        <v>1904</v>
      </c>
      <c r="B37" s="68" t="str">
        <f>VLOOKUP($A37,SP_TaxPar_DB[],MATCH(B$2,SP_TaxPar_DB[#Headers],0),FALSE)</f>
        <v>ENV</v>
      </c>
      <c r="C37" s="67">
        <f>IF(VLOOKUP($A37,SP_TaxPar_DB[],MATCH(C$2,SP_TaxPar_DB[#Headers],0),FALSE)="",0,VLOOKUP($A37,SP_TaxPar_DB[],MATCH(C$2,SP_TaxPar_DB[#Headers],0),FALSE))</f>
        <v>0</v>
      </c>
      <c r="D37" s="67" t="str">
        <f>IF(VLOOKUP($A37,SP_TaxPar_DB[],MATCH(D$2,SP_TaxPar_DB[#Headers],0),FALSE)="",0,VLOOKUP($A37,SP_TaxPar_DB[],MATCH(D$2,SP_TaxPar_DB[#Headers],0),FALSE))</f>
        <v>024</v>
      </c>
      <c r="E37" s="69" t="str">
        <f>VLOOKUP($A37,SP_TaxPar_DB[],MATCH(E$2,SP_TaxPar_DB[#Headers],0),FALSE)</f>
        <v>J-M MANUFACTURING CO</v>
      </c>
      <c r="F37" s="69" t="str">
        <f>VLOOKUP($A37,SP_TaxPar_DB[],MATCH(F$2,SP_TaxPar_DB[#Headers],0),FALSE)</f>
        <v>5200 W CENTURY BLVD 10TH FLOOR</v>
      </c>
      <c r="G37" s="69" t="str">
        <f>VLOOKUP($A37,SP_TaxPar_DB[],MATCH(G$2,SP_TaxPar_DB[#Headers],0),FALSE)</f>
        <v>LOS ANGELES</v>
      </c>
      <c r="H37" s="69" t="str">
        <f>VLOOKUP($A37,SP_TaxPar_DB[],MATCH(H$2,SP_TaxPar_DB[#Headers],0),FALSE)</f>
        <v>CA</v>
      </c>
      <c r="I37" s="69" t="str">
        <f>VLOOKUP($A37,SP_TaxPar_DB[],MATCH(I$2,SP_TaxPar_DB[#Headers],0),FALSE)</f>
        <v>90045</v>
      </c>
      <c r="J37" s="69" t="str">
        <f>VLOOKUP($A37,SP_TaxPar_DB[],MATCH(J$2,SP_TaxPar_DB[#Headers],0),FALSE)</f>
        <v>0 MLK BLVD</v>
      </c>
      <c r="K37" s="69" t="str">
        <f>VLOOKUP($A37,SP_TaxPar_DB[],MATCH(K$2,SP_TaxPar_DB[#Headers],0),FALSE)</f>
        <v>JOHN HARRIS LOT 64D-4,64D-5 Acres:5.7900</v>
      </c>
      <c r="L37" s="69">
        <f>VLOOKUP($A37,SP_TaxPar_DB[],MATCH(L$2,SP_TaxPar_DB[#Headers],0),FALSE)</f>
        <v>0</v>
      </c>
      <c r="M37" s="69">
        <f>VLOOKUP($A37,SP_TaxPar_DB[],MATCH(M$2,SP_TaxPar_DB[#Headers],0),FALSE)</f>
        <v>0</v>
      </c>
      <c r="N37" s="69">
        <f>VLOOKUP($A37,SP_TaxPar_DB[],MATCH(N$2,SP_TaxPar_DB[#Headers],0),FALSE)</f>
        <v>0</v>
      </c>
      <c r="O37" s="71">
        <f>VLOOKUP($A37,SP_TaxPar_DB[],MATCH(O$2,SP_TaxPar_DB[#Headers],0),FALSE)</f>
        <v>0</v>
      </c>
      <c r="P37" s="72"/>
      <c r="Q37" s="69"/>
      <c r="R37" s="73"/>
      <c r="S37" s="73"/>
      <c r="T37" s="69"/>
      <c r="U37" s="69"/>
      <c r="V37" s="69"/>
      <c r="W37" s="69"/>
      <c r="X37" s="69"/>
      <c r="Y37" s="69"/>
      <c r="Z37" s="69"/>
      <c r="AA37" s="69"/>
      <c r="AB37" s="74"/>
      <c r="AC37" s="73"/>
      <c r="AD37" s="73"/>
      <c r="AE37" s="74"/>
      <c r="AF37" s="68"/>
      <c r="AG37" s="68"/>
      <c r="AH37" s="74"/>
      <c r="AI37" s="68"/>
      <c r="AJ37" s="68"/>
      <c r="AK37" s="68"/>
      <c r="AL37" s="80"/>
      <c r="AM37" s="81"/>
      <c r="AN37" s="74"/>
      <c r="AO37" s="74"/>
      <c r="AP37" s="74"/>
      <c r="AQ37" s="74"/>
      <c r="AR37" s="74"/>
      <c r="AS37" s="74"/>
      <c r="AT37" s="74"/>
      <c r="AU37" s="74"/>
      <c r="AV37" s="74"/>
      <c r="AW37" s="84"/>
    </row>
    <row r="38" spans="1:49" ht="15.75" hidden="1" x14ac:dyDescent="0.2">
      <c r="A38" s="129" t="s">
        <v>1910</v>
      </c>
      <c r="B38" s="68" t="str">
        <f>VLOOKUP($A38,SP_TaxPar_DB[],MATCH(B$2,SP_TaxPar_DB[#Headers],0),FALSE)</f>
        <v>ENV</v>
      </c>
      <c r="C38" s="67">
        <f>IF(VLOOKUP($A38,SP_TaxPar_DB[],MATCH(C$2,SP_TaxPar_DB[#Headers],0),FALSE)="",0,VLOOKUP($A38,SP_TaxPar_DB[],MATCH(C$2,SP_TaxPar_DB[#Headers],0),FALSE))</f>
        <v>0</v>
      </c>
      <c r="D38" s="67" t="str">
        <f>IF(VLOOKUP($A38,SP_TaxPar_DB[],MATCH(D$2,SP_TaxPar_DB[#Headers],0),FALSE)="",0,VLOOKUP($A38,SP_TaxPar_DB[],MATCH(D$2,SP_TaxPar_DB[#Headers],0),FALSE))</f>
        <v>025</v>
      </c>
      <c r="E38" s="69" t="str">
        <f>VLOOKUP($A38,SP_TaxPar_DB[],MATCH(E$2,SP_TaxPar_DB[#Headers],0),FALSE)</f>
        <v>ARGUIJO ALICE</v>
      </c>
      <c r="F38" s="69" t="str">
        <f>VLOOKUP($A38,SP_TaxPar_DB[],MATCH(F$2,SP_TaxPar_DB[#Headers],0),FALSE)</f>
        <v>321 HOUSTON ST</v>
      </c>
      <c r="G38" s="69" t="str">
        <f>VLOOKUP($A38,SP_TaxPar_DB[],MATCH(G$2,SP_TaxPar_DB[#Headers],0),FALSE)</f>
        <v>ROSENBERG</v>
      </c>
      <c r="H38" s="69" t="str">
        <f>VLOOKUP($A38,SP_TaxPar_DB[],MATCH(H$2,SP_TaxPar_DB[#Headers],0),FALSE)</f>
        <v>TX</v>
      </c>
      <c r="I38" s="69" t="str">
        <f>VLOOKUP($A38,SP_TaxPar_DB[],MATCH(I$2,SP_TaxPar_DB[#Headers],0),FALSE)</f>
        <v>77471</v>
      </c>
      <c r="J38" s="69" t="str">
        <f>VLOOKUP($A38,SP_TaxPar_DB[],MATCH(J$2,SP_TaxPar_DB[#Headers],0),FALSE)</f>
        <v>414 WILKES</v>
      </c>
      <c r="K38" s="69" t="str">
        <f>VLOOKUP($A38,SP_TaxPar_DB[],MATCH(K$2,SP_TaxPar_DB[#Headers],0),FALSE)</f>
        <v>JOHN HARRIS LOT 64D-7,64D-15 Acres:0.2755</v>
      </c>
      <c r="L38" s="69">
        <f>VLOOKUP($A38,SP_TaxPar_DB[],MATCH(L$2,SP_TaxPar_DB[#Headers],0),FALSE)</f>
        <v>0</v>
      </c>
      <c r="M38" s="69">
        <f>VLOOKUP($A38,SP_TaxPar_DB[],MATCH(M$2,SP_TaxPar_DB[#Headers],0),FALSE)</f>
        <v>0</v>
      </c>
      <c r="N38" s="69">
        <f>VLOOKUP($A38,SP_TaxPar_DB[],MATCH(N$2,SP_TaxPar_DB[#Headers],0),FALSE)</f>
        <v>0</v>
      </c>
      <c r="O38" s="71">
        <f>VLOOKUP($A38,SP_TaxPar_DB[],MATCH(O$2,SP_TaxPar_DB[#Headers],0),FALSE)</f>
        <v>0</v>
      </c>
      <c r="P38" s="72"/>
      <c r="Q38" s="69"/>
      <c r="R38" s="73"/>
      <c r="S38" s="73"/>
      <c r="T38" s="69"/>
      <c r="U38" s="69"/>
      <c r="V38" s="69"/>
      <c r="W38" s="69"/>
      <c r="X38" s="69"/>
      <c r="Y38" s="69"/>
      <c r="Z38" s="69"/>
      <c r="AA38" s="69"/>
      <c r="AB38" s="74"/>
      <c r="AC38" s="73"/>
      <c r="AD38" s="73"/>
      <c r="AE38" s="74"/>
      <c r="AF38" s="68"/>
      <c r="AG38" s="68"/>
      <c r="AH38" s="74"/>
      <c r="AI38" s="68"/>
      <c r="AJ38" s="68"/>
      <c r="AK38" s="68"/>
      <c r="AL38" s="80"/>
      <c r="AM38" s="81"/>
      <c r="AN38" s="74"/>
      <c r="AO38" s="74"/>
      <c r="AP38" s="74"/>
      <c r="AQ38" s="74"/>
      <c r="AR38" s="74"/>
      <c r="AS38" s="74"/>
      <c r="AT38" s="74"/>
      <c r="AU38" s="74"/>
      <c r="AV38" s="74"/>
      <c r="AW38" s="84"/>
    </row>
    <row r="39" spans="1:49" ht="15.75" hidden="1" x14ac:dyDescent="0.2">
      <c r="A39" s="129" t="s">
        <v>1917</v>
      </c>
      <c r="B39" s="68" t="str">
        <f>VLOOKUP($A39,SP_TaxPar_DB[],MATCH(B$2,SP_TaxPar_DB[#Headers],0),FALSE)</f>
        <v>ENV</v>
      </c>
      <c r="C39" s="67">
        <f>IF(VLOOKUP($A39,SP_TaxPar_DB[],MATCH(C$2,SP_TaxPar_DB[#Headers],0),FALSE)="",0,VLOOKUP($A39,SP_TaxPar_DB[],MATCH(C$2,SP_TaxPar_DB[#Headers],0),FALSE))</f>
        <v>0</v>
      </c>
      <c r="D39" s="67" t="str">
        <f>IF(VLOOKUP($A39,SP_TaxPar_DB[],MATCH(D$2,SP_TaxPar_DB[#Headers],0),FALSE)="",0,VLOOKUP($A39,SP_TaxPar_DB[],MATCH(D$2,SP_TaxPar_DB[#Headers],0),FALSE))</f>
        <v>027</v>
      </c>
      <c r="E39" s="69" t="str">
        <f>VLOOKUP($A39,SP_TaxPar_DB[],MATCH(E$2,SP_TaxPar_DB[#Headers],0),FALSE)</f>
        <v>PHILLIPS EDNA</v>
      </c>
      <c r="F39" s="69" t="str">
        <f>VLOOKUP($A39,SP_TaxPar_DB[],MATCH(F$2,SP_TaxPar_DB[#Headers],0),FALSE)</f>
        <v>410 WILKES</v>
      </c>
      <c r="G39" s="69" t="str">
        <f>VLOOKUP($A39,SP_TaxPar_DB[],MATCH(G$2,SP_TaxPar_DB[#Headers],0),FALSE)</f>
        <v>WHARTON</v>
      </c>
      <c r="H39" s="69" t="str">
        <f>VLOOKUP($A39,SP_TaxPar_DB[],MATCH(H$2,SP_TaxPar_DB[#Headers],0),FALSE)</f>
        <v>TX</v>
      </c>
      <c r="I39" s="69" t="str">
        <f>VLOOKUP($A39,SP_TaxPar_DB[],MATCH(I$2,SP_TaxPar_DB[#Headers],0),FALSE)</f>
        <v>77488</v>
      </c>
      <c r="J39" s="69" t="str">
        <f>VLOOKUP($A39,SP_TaxPar_DB[],MATCH(J$2,SP_TaxPar_DB[#Headers],0),FALSE)</f>
        <v>410 WILKES</v>
      </c>
      <c r="K39" s="69" t="str">
        <f>VLOOKUP($A39,SP_TaxPar_DB[],MATCH(K$2,SP_TaxPar_DB[#Headers],0),FALSE)</f>
        <v>JOHN HARRIS LOT 64D-10 Acres:0.1377</v>
      </c>
      <c r="L39" s="69">
        <f>VLOOKUP($A39,SP_TaxPar_DB[],MATCH(L$2,SP_TaxPar_DB[#Headers],0),FALSE)</f>
        <v>0</v>
      </c>
      <c r="M39" s="69">
        <f>VLOOKUP($A39,SP_TaxPar_DB[],MATCH(M$2,SP_TaxPar_DB[#Headers],0),FALSE)</f>
        <v>0</v>
      </c>
      <c r="N39" s="69">
        <f>VLOOKUP($A39,SP_TaxPar_DB[],MATCH(N$2,SP_TaxPar_DB[#Headers],0),FALSE)</f>
        <v>0</v>
      </c>
      <c r="O39" s="71">
        <f>VLOOKUP($A39,SP_TaxPar_DB[],MATCH(O$2,SP_TaxPar_DB[#Headers],0),FALSE)</f>
        <v>0</v>
      </c>
      <c r="P39" s="72"/>
      <c r="Q39" s="69"/>
      <c r="R39" s="73"/>
      <c r="S39" s="73"/>
      <c r="T39" s="69"/>
      <c r="U39" s="69"/>
      <c r="V39" s="69"/>
      <c r="W39" s="69"/>
      <c r="X39" s="69"/>
      <c r="Y39" s="69"/>
      <c r="Z39" s="69"/>
      <c r="AA39" s="69"/>
      <c r="AB39" s="74"/>
      <c r="AC39" s="73"/>
      <c r="AD39" s="73"/>
      <c r="AE39" s="74"/>
      <c r="AF39" s="68"/>
      <c r="AG39" s="68"/>
      <c r="AH39" s="74"/>
      <c r="AI39" s="68"/>
      <c r="AJ39" s="68"/>
      <c r="AK39" s="68"/>
      <c r="AL39" s="80"/>
      <c r="AM39" s="81"/>
      <c r="AN39" s="74"/>
      <c r="AO39" s="74"/>
      <c r="AP39" s="74"/>
      <c r="AQ39" s="74"/>
      <c r="AR39" s="74"/>
      <c r="AS39" s="74"/>
      <c r="AT39" s="74"/>
      <c r="AU39" s="74"/>
      <c r="AV39" s="74"/>
      <c r="AW39" s="84"/>
    </row>
    <row r="40" spans="1:49" ht="15.75" hidden="1" x14ac:dyDescent="0.2">
      <c r="A40" s="129" t="s">
        <v>1921</v>
      </c>
      <c r="B40" s="68" t="str">
        <f>VLOOKUP($A40,SP_TaxPar_DB[],MATCH(B$2,SP_TaxPar_DB[#Headers],0),FALSE)</f>
        <v>ENV</v>
      </c>
      <c r="C40" s="67">
        <f>IF(VLOOKUP($A40,SP_TaxPar_DB[],MATCH(C$2,SP_TaxPar_DB[#Headers],0),FALSE)="",0,VLOOKUP($A40,SP_TaxPar_DB[],MATCH(C$2,SP_TaxPar_DB[#Headers],0),FALSE))</f>
        <v>0</v>
      </c>
      <c r="D40" s="67" t="str">
        <f>IF(VLOOKUP($A40,SP_TaxPar_DB[],MATCH(D$2,SP_TaxPar_DB[#Headers],0),FALSE)="",0,VLOOKUP($A40,SP_TaxPar_DB[],MATCH(D$2,SP_TaxPar_DB[#Headers],0),FALSE))</f>
        <v>028</v>
      </c>
      <c r="E40" s="69" t="str">
        <f>VLOOKUP($A40,SP_TaxPar_DB[],MATCH(E$2,SP_TaxPar_DB[#Headers],0),FALSE)</f>
        <v>MANSKE RICHARD L</v>
      </c>
      <c r="F40" s="69" t="str">
        <f>VLOOKUP($A40,SP_TaxPar_DB[],MATCH(F$2,SP_TaxPar_DB[#Headers],0),FALSE)</f>
        <v>4499 US 90 AB</v>
      </c>
      <c r="G40" s="69" t="str">
        <f>VLOOKUP($A40,SP_TaxPar_DB[],MATCH(G$2,SP_TaxPar_DB[#Headers],0),FALSE)</f>
        <v>ALLEYTON</v>
      </c>
      <c r="H40" s="69" t="str">
        <f>VLOOKUP($A40,SP_TaxPar_DB[],MATCH(H$2,SP_TaxPar_DB[#Headers],0),FALSE)</f>
        <v>TX</v>
      </c>
      <c r="I40" s="69" t="str">
        <f>VLOOKUP($A40,SP_TaxPar_DB[],MATCH(I$2,SP_TaxPar_DB[#Headers],0),FALSE)</f>
        <v>78935</v>
      </c>
      <c r="J40" s="69" t="str">
        <f>VLOOKUP($A40,SP_TaxPar_DB[],MATCH(J$2,SP_TaxPar_DB[#Headers],0),FALSE)</f>
        <v>0  WILKES</v>
      </c>
      <c r="K40" s="69" t="str">
        <f>VLOOKUP($A40,SP_TaxPar_DB[],MATCH(K$2,SP_TaxPar_DB[#Headers],0),FALSE)</f>
        <v>JOHN HARRIS LOT 64D-29 Acres:0.2755</v>
      </c>
      <c r="L40" s="69">
        <f>VLOOKUP($A40,SP_TaxPar_DB[],MATCH(L$2,SP_TaxPar_DB[#Headers],0),FALSE)</f>
        <v>0</v>
      </c>
      <c r="M40" s="69">
        <f>VLOOKUP($A40,SP_TaxPar_DB[],MATCH(M$2,SP_TaxPar_DB[#Headers],0),FALSE)</f>
        <v>0</v>
      </c>
      <c r="N40" s="69">
        <f>VLOOKUP($A40,SP_TaxPar_DB[],MATCH(N$2,SP_TaxPar_DB[#Headers],0),FALSE)</f>
        <v>0</v>
      </c>
      <c r="O40" s="71">
        <f>VLOOKUP($A40,SP_TaxPar_DB[],MATCH(O$2,SP_TaxPar_DB[#Headers],0),FALSE)</f>
        <v>0</v>
      </c>
      <c r="P40" s="72"/>
      <c r="Q40" s="69"/>
      <c r="R40" s="73"/>
      <c r="S40" s="73"/>
      <c r="T40" s="69"/>
      <c r="U40" s="69"/>
      <c r="V40" s="69"/>
      <c r="W40" s="69"/>
      <c r="X40" s="69"/>
      <c r="Y40" s="69"/>
      <c r="Z40" s="69"/>
      <c r="AA40" s="69"/>
      <c r="AB40" s="74"/>
      <c r="AC40" s="73"/>
      <c r="AD40" s="73"/>
      <c r="AE40" s="74"/>
      <c r="AF40" s="68"/>
      <c r="AG40" s="68"/>
      <c r="AH40" s="74"/>
      <c r="AI40" s="68"/>
      <c r="AJ40" s="68"/>
      <c r="AK40" s="68"/>
      <c r="AL40" s="80"/>
      <c r="AM40" s="81"/>
      <c r="AN40" s="74"/>
      <c r="AO40" s="74"/>
      <c r="AP40" s="74"/>
      <c r="AQ40" s="74"/>
      <c r="AR40" s="74"/>
      <c r="AS40" s="74"/>
      <c r="AT40" s="74"/>
      <c r="AU40" s="74"/>
      <c r="AV40" s="74"/>
      <c r="AW40" s="84"/>
    </row>
    <row r="41" spans="1:49" ht="15.75" hidden="1" x14ac:dyDescent="0.2">
      <c r="A41" s="129" t="s">
        <v>1928</v>
      </c>
      <c r="B41" s="68" t="str">
        <f>VLOOKUP($A41,SP_TaxPar_DB[],MATCH(B$2,SP_TaxPar_DB[#Headers],0),FALSE)</f>
        <v>ENV</v>
      </c>
      <c r="C41" s="67">
        <f>IF(VLOOKUP($A41,SP_TaxPar_DB[],MATCH(C$2,SP_TaxPar_DB[#Headers],0),FALSE)="",0,VLOOKUP($A41,SP_TaxPar_DB[],MATCH(C$2,SP_TaxPar_DB[#Headers],0),FALSE))</f>
        <v>0</v>
      </c>
      <c r="D41" s="67" t="str">
        <f>IF(VLOOKUP($A41,SP_TaxPar_DB[],MATCH(D$2,SP_TaxPar_DB[#Headers],0),FALSE)="",0,VLOOKUP($A41,SP_TaxPar_DB[],MATCH(D$2,SP_TaxPar_DB[#Headers],0),FALSE))</f>
        <v>029</v>
      </c>
      <c r="E41" s="69" t="str">
        <f>VLOOKUP($A41,SP_TaxPar_DB[],MATCH(E$2,SP_TaxPar_DB[#Headers],0),FALSE)</f>
        <v>TANNER LILY</v>
      </c>
      <c r="F41" s="69" t="str">
        <f>VLOOKUP($A41,SP_TaxPar_DB[],MATCH(F$2,SP_TaxPar_DB[#Headers],0),FALSE)</f>
        <v>1539 W 71ST</v>
      </c>
      <c r="G41" s="69" t="str">
        <f>VLOOKUP($A41,SP_TaxPar_DB[],MATCH(G$2,SP_TaxPar_DB[#Headers],0),FALSE)</f>
        <v>LOS ANGELES</v>
      </c>
      <c r="H41" s="69" t="str">
        <f>VLOOKUP($A41,SP_TaxPar_DB[],MATCH(H$2,SP_TaxPar_DB[#Headers],0),FALSE)</f>
        <v>CA</v>
      </c>
      <c r="I41" s="69" t="str">
        <f>VLOOKUP($A41,SP_TaxPar_DB[],MATCH(I$2,SP_TaxPar_DB[#Headers],0),FALSE)</f>
        <v>90047</v>
      </c>
      <c r="J41" s="69" t="str">
        <f>VLOOKUP($A41,SP_TaxPar_DB[],MATCH(J$2,SP_TaxPar_DB[#Headers],0),FALSE)</f>
        <v>0  WILKES</v>
      </c>
      <c r="K41" s="69" t="str">
        <f>VLOOKUP($A41,SP_TaxPar_DB[],MATCH(K$2,SP_TaxPar_DB[#Headers],0),FALSE)</f>
        <v>JOHN HARRIS LOT 64D-30 Acres:0.1377</v>
      </c>
      <c r="L41" s="69">
        <f>VLOOKUP($A41,SP_TaxPar_DB[],MATCH(L$2,SP_TaxPar_DB[#Headers],0),FALSE)</f>
        <v>0</v>
      </c>
      <c r="M41" s="69">
        <f>VLOOKUP($A41,SP_TaxPar_DB[],MATCH(M$2,SP_TaxPar_DB[#Headers],0),FALSE)</f>
        <v>0</v>
      </c>
      <c r="N41" s="69">
        <f>VLOOKUP($A41,SP_TaxPar_DB[],MATCH(N$2,SP_TaxPar_DB[#Headers],0),FALSE)</f>
        <v>0</v>
      </c>
      <c r="O41" s="71">
        <f>VLOOKUP($A41,SP_TaxPar_DB[],MATCH(O$2,SP_TaxPar_DB[#Headers],0),FALSE)</f>
        <v>0</v>
      </c>
      <c r="P41" s="72"/>
      <c r="Q41" s="69"/>
      <c r="R41" s="73"/>
      <c r="S41" s="73"/>
      <c r="T41" s="69"/>
      <c r="U41" s="69"/>
      <c r="V41" s="69"/>
      <c r="W41" s="69"/>
      <c r="X41" s="69"/>
      <c r="Y41" s="69"/>
      <c r="Z41" s="69"/>
      <c r="AA41" s="69"/>
      <c r="AB41" s="74"/>
      <c r="AC41" s="73"/>
      <c r="AD41" s="73"/>
      <c r="AE41" s="74"/>
      <c r="AF41" s="68"/>
      <c r="AG41" s="68"/>
      <c r="AH41" s="74"/>
      <c r="AI41" s="68"/>
      <c r="AJ41" s="68"/>
      <c r="AK41" s="68"/>
      <c r="AL41" s="80"/>
      <c r="AM41" s="81"/>
      <c r="AN41" s="74"/>
      <c r="AO41" s="74"/>
      <c r="AP41" s="74"/>
      <c r="AQ41" s="74"/>
      <c r="AR41" s="74"/>
      <c r="AS41" s="74"/>
      <c r="AT41" s="74"/>
      <c r="AU41" s="74"/>
      <c r="AV41" s="74"/>
      <c r="AW41" s="84"/>
    </row>
    <row r="42" spans="1:49" ht="15.75" hidden="1" x14ac:dyDescent="0.2">
      <c r="A42" s="129" t="s">
        <v>1933</v>
      </c>
      <c r="B42" s="68" t="str">
        <f>VLOOKUP($A42,SP_TaxPar_DB[],MATCH(B$2,SP_TaxPar_DB[#Headers],0),FALSE)</f>
        <v>ENV</v>
      </c>
      <c r="C42" s="67">
        <f>IF(VLOOKUP($A42,SP_TaxPar_DB[],MATCH(C$2,SP_TaxPar_DB[#Headers],0),FALSE)="",0,VLOOKUP($A42,SP_TaxPar_DB[],MATCH(C$2,SP_TaxPar_DB[#Headers],0),FALSE))</f>
        <v>0</v>
      </c>
      <c r="D42" s="67" t="str">
        <f>IF(VLOOKUP($A42,SP_TaxPar_DB[],MATCH(D$2,SP_TaxPar_DB[#Headers],0),FALSE)="",0,VLOOKUP($A42,SP_TaxPar_DB[],MATCH(D$2,SP_TaxPar_DB[#Headers],0),FALSE))</f>
        <v>030</v>
      </c>
      <c r="E42" s="69" t="str">
        <f>VLOOKUP($A42,SP_TaxPar_DB[],MATCH(E$2,SP_TaxPar_DB[#Headers],0),FALSE)</f>
        <v>PHILLIPS MANUEL</v>
      </c>
      <c r="F42" s="69" t="str">
        <f>VLOOKUP($A42,SP_TaxPar_DB[],MATCH(F$2,SP_TaxPar_DB[#Headers],0),FALSE)</f>
        <v>410 WILKES</v>
      </c>
      <c r="G42" s="69" t="str">
        <f>VLOOKUP($A42,SP_TaxPar_DB[],MATCH(G$2,SP_TaxPar_DB[#Headers],0),FALSE)</f>
        <v>WHARTON</v>
      </c>
      <c r="H42" s="69" t="str">
        <f>VLOOKUP($A42,SP_TaxPar_DB[],MATCH(H$2,SP_TaxPar_DB[#Headers],0),FALSE)</f>
        <v>TX</v>
      </c>
      <c r="I42" s="69" t="str">
        <f>VLOOKUP($A42,SP_TaxPar_DB[],MATCH(I$2,SP_TaxPar_DB[#Headers],0),FALSE)</f>
        <v>77488</v>
      </c>
      <c r="J42" s="69" t="str">
        <f>VLOOKUP($A42,SP_TaxPar_DB[],MATCH(J$2,SP_TaxPar_DB[#Headers],0),FALSE)</f>
        <v>0 WILKES</v>
      </c>
      <c r="K42" s="69" t="str">
        <f>VLOOKUP($A42,SP_TaxPar_DB[],MATCH(K$2,SP_TaxPar_DB[#Headers],0),FALSE)</f>
        <v>JOHN HARRIS LOT 64D-32 Acres:0.1377</v>
      </c>
      <c r="L42" s="69">
        <f>VLOOKUP($A42,SP_TaxPar_DB[],MATCH(L$2,SP_TaxPar_DB[#Headers],0),FALSE)</f>
        <v>0</v>
      </c>
      <c r="M42" s="69">
        <f>VLOOKUP($A42,SP_TaxPar_DB[],MATCH(M$2,SP_TaxPar_DB[#Headers],0),FALSE)</f>
        <v>0</v>
      </c>
      <c r="N42" s="69">
        <f>VLOOKUP($A42,SP_TaxPar_DB[],MATCH(N$2,SP_TaxPar_DB[#Headers],0),FALSE)</f>
        <v>0</v>
      </c>
      <c r="O42" s="71">
        <f>VLOOKUP($A42,SP_TaxPar_DB[],MATCH(O$2,SP_TaxPar_DB[#Headers],0),FALSE)</f>
        <v>0</v>
      </c>
      <c r="P42" s="72"/>
      <c r="Q42" s="69"/>
      <c r="R42" s="73"/>
      <c r="S42" s="73"/>
      <c r="T42" s="69"/>
      <c r="U42" s="69"/>
      <c r="V42" s="69"/>
      <c r="W42" s="69"/>
      <c r="X42" s="69"/>
      <c r="Y42" s="69"/>
      <c r="Z42" s="69"/>
      <c r="AA42" s="69"/>
      <c r="AB42" s="74"/>
      <c r="AC42" s="73"/>
      <c r="AD42" s="73"/>
      <c r="AE42" s="74"/>
      <c r="AF42" s="68"/>
      <c r="AG42" s="68"/>
      <c r="AH42" s="74"/>
      <c r="AI42" s="68"/>
      <c r="AJ42" s="68"/>
      <c r="AK42" s="68"/>
      <c r="AL42" s="80"/>
      <c r="AM42" s="81"/>
      <c r="AN42" s="74"/>
      <c r="AO42" s="74"/>
      <c r="AP42" s="74"/>
      <c r="AQ42" s="74"/>
      <c r="AR42" s="74"/>
      <c r="AS42" s="74"/>
      <c r="AT42" s="74"/>
      <c r="AU42" s="74"/>
      <c r="AV42" s="74"/>
      <c r="AW42" s="84"/>
    </row>
    <row r="43" spans="1:49" ht="15.75" hidden="1" x14ac:dyDescent="0.2">
      <c r="A43" s="129" t="s">
        <v>1936</v>
      </c>
      <c r="B43" s="68" t="str">
        <f>VLOOKUP($A43,SP_TaxPar_DB[],MATCH(B$2,SP_TaxPar_DB[#Headers],0),FALSE)</f>
        <v>ENV</v>
      </c>
      <c r="C43" s="67">
        <f>IF(VLOOKUP($A43,SP_TaxPar_DB[],MATCH(C$2,SP_TaxPar_DB[#Headers],0),FALSE)="",0,VLOOKUP($A43,SP_TaxPar_DB[],MATCH(C$2,SP_TaxPar_DB[#Headers],0),FALSE))</f>
        <v>0</v>
      </c>
      <c r="D43" s="67" t="str">
        <f>IF(VLOOKUP($A43,SP_TaxPar_DB[],MATCH(D$2,SP_TaxPar_DB[#Headers],0),FALSE)="",0,VLOOKUP($A43,SP_TaxPar_DB[],MATCH(D$2,SP_TaxPar_DB[#Headers],0),FALSE))</f>
        <v>031</v>
      </c>
      <c r="E43" s="69" t="str">
        <f>VLOOKUP($A43,SP_TaxPar_DB[],MATCH(E$2,SP_TaxPar_DB[#Headers],0),FALSE)</f>
        <v>NELSON RODNEY B &amp; NELSON SHANICE NE SHAY</v>
      </c>
      <c r="F43" s="69" t="str">
        <f>VLOOKUP($A43,SP_TaxPar_DB[],MATCH(F$2,SP_TaxPar_DB[#Headers],0),FALSE)</f>
        <v>220 WILKE</v>
      </c>
      <c r="G43" s="69" t="str">
        <f>VLOOKUP($A43,SP_TaxPar_DB[],MATCH(G$2,SP_TaxPar_DB[#Headers],0),FALSE)</f>
        <v>WHARTON</v>
      </c>
      <c r="H43" s="69" t="str">
        <f>VLOOKUP($A43,SP_TaxPar_DB[],MATCH(H$2,SP_TaxPar_DB[#Headers],0),FALSE)</f>
        <v>TX</v>
      </c>
      <c r="I43" s="69" t="str">
        <f>VLOOKUP($A43,SP_TaxPar_DB[],MATCH(I$2,SP_TaxPar_DB[#Headers],0),FALSE)</f>
        <v>77488</v>
      </c>
      <c r="J43" s="69" t="str">
        <f>VLOOKUP($A43,SP_TaxPar_DB[],MATCH(J$2,SP_TaxPar_DB[#Headers],0),FALSE)</f>
        <v>0 WILKES</v>
      </c>
      <c r="K43" s="69" t="str">
        <f>VLOOKUP($A43,SP_TaxPar_DB[],MATCH(K$2,SP_TaxPar_DB[#Headers],0),FALSE)</f>
        <v>JOHN HARRIS LOT 64D-35 Acres:0.1377</v>
      </c>
      <c r="L43" s="69">
        <f>VLOOKUP($A43,SP_TaxPar_DB[],MATCH(L$2,SP_TaxPar_DB[#Headers],0),FALSE)</f>
        <v>0</v>
      </c>
      <c r="M43" s="69">
        <f>VLOOKUP($A43,SP_TaxPar_DB[],MATCH(M$2,SP_TaxPar_DB[#Headers],0),FALSE)</f>
        <v>0</v>
      </c>
      <c r="N43" s="69">
        <f>VLOOKUP($A43,SP_TaxPar_DB[],MATCH(N$2,SP_TaxPar_DB[#Headers],0),FALSE)</f>
        <v>0</v>
      </c>
      <c r="O43" s="71">
        <f>VLOOKUP($A43,SP_TaxPar_DB[],MATCH(O$2,SP_TaxPar_DB[#Headers],0),FALSE)</f>
        <v>0</v>
      </c>
      <c r="P43" s="72"/>
      <c r="Q43" s="69"/>
      <c r="R43" s="73"/>
      <c r="S43" s="73"/>
      <c r="T43" s="69"/>
      <c r="U43" s="69"/>
      <c r="V43" s="69"/>
      <c r="W43" s="69"/>
      <c r="X43" s="69"/>
      <c r="Y43" s="69"/>
      <c r="Z43" s="69"/>
      <c r="AA43" s="69"/>
      <c r="AB43" s="74"/>
      <c r="AC43" s="73"/>
      <c r="AD43" s="73"/>
      <c r="AE43" s="74"/>
      <c r="AF43" s="68"/>
      <c r="AG43" s="68"/>
      <c r="AH43" s="74"/>
      <c r="AI43" s="68"/>
      <c r="AJ43" s="68"/>
      <c r="AK43" s="68"/>
      <c r="AL43" s="80"/>
      <c r="AM43" s="81"/>
      <c r="AN43" s="74"/>
      <c r="AO43" s="74"/>
      <c r="AP43" s="74"/>
      <c r="AQ43" s="74"/>
      <c r="AR43" s="74"/>
      <c r="AS43" s="74"/>
      <c r="AT43" s="74"/>
      <c r="AU43" s="74"/>
      <c r="AV43" s="74"/>
      <c r="AW43" s="84"/>
    </row>
    <row r="44" spans="1:49" ht="15.75" hidden="1" x14ac:dyDescent="0.2">
      <c r="A44" s="129" t="s">
        <v>1940</v>
      </c>
      <c r="B44" s="68" t="str">
        <f>VLOOKUP($A44,SP_TaxPar_DB[],MATCH(B$2,SP_TaxPar_DB[#Headers],0),FALSE)</f>
        <v>ENV</v>
      </c>
      <c r="C44" s="67">
        <f>IF(VLOOKUP($A44,SP_TaxPar_DB[],MATCH(C$2,SP_TaxPar_DB[#Headers],0),FALSE)="",0,VLOOKUP($A44,SP_TaxPar_DB[],MATCH(C$2,SP_TaxPar_DB[#Headers],0),FALSE))</f>
        <v>0</v>
      </c>
      <c r="D44" s="67" t="str">
        <f>IF(VLOOKUP($A44,SP_TaxPar_DB[],MATCH(D$2,SP_TaxPar_DB[#Headers],0),FALSE)="",0,VLOOKUP($A44,SP_TaxPar_DB[],MATCH(D$2,SP_TaxPar_DB[#Headers],0),FALSE))</f>
        <v>032</v>
      </c>
      <c r="E44" s="69" t="str">
        <f>VLOOKUP($A44,SP_TaxPar_DB[],MATCH(E$2,SP_TaxPar_DB[#Headers],0),FALSE)</f>
        <v>NELSON RODNEY B &amp; NELSON SHANICE NE SHAY</v>
      </c>
      <c r="F44" s="69" t="str">
        <f>VLOOKUP($A44,SP_TaxPar_DB[],MATCH(F$2,SP_TaxPar_DB[#Headers],0),FALSE)</f>
        <v>220 WILKE</v>
      </c>
      <c r="G44" s="69" t="str">
        <f>VLOOKUP($A44,SP_TaxPar_DB[],MATCH(G$2,SP_TaxPar_DB[#Headers],0),FALSE)</f>
        <v>WHARTON</v>
      </c>
      <c r="H44" s="69" t="str">
        <f>VLOOKUP($A44,SP_TaxPar_DB[],MATCH(H$2,SP_TaxPar_DB[#Headers],0),FALSE)</f>
        <v>TX</v>
      </c>
      <c r="I44" s="69" t="str">
        <f>VLOOKUP($A44,SP_TaxPar_DB[],MATCH(I$2,SP_TaxPar_DB[#Headers],0),FALSE)</f>
        <v>77488</v>
      </c>
      <c r="J44" s="69" t="str">
        <f>VLOOKUP($A44,SP_TaxPar_DB[],MATCH(J$2,SP_TaxPar_DB[#Headers],0),FALSE)</f>
        <v>0 WILKES</v>
      </c>
      <c r="K44" s="69" t="str">
        <f>VLOOKUP($A44,SP_TaxPar_DB[],MATCH(K$2,SP_TaxPar_DB[#Headers],0),FALSE)</f>
        <v>JOHN HARRIS LOT 64D-40 Acres:0.1377</v>
      </c>
      <c r="L44" s="69">
        <f>VLOOKUP($A44,SP_TaxPar_DB[],MATCH(L$2,SP_TaxPar_DB[#Headers],0),FALSE)</f>
        <v>0</v>
      </c>
      <c r="M44" s="69">
        <f>VLOOKUP($A44,SP_TaxPar_DB[],MATCH(M$2,SP_TaxPar_DB[#Headers],0),FALSE)</f>
        <v>0</v>
      </c>
      <c r="N44" s="69">
        <f>VLOOKUP($A44,SP_TaxPar_DB[],MATCH(N$2,SP_TaxPar_DB[#Headers],0),FALSE)</f>
        <v>0</v>
      </c>
      <c r="O44" s="71">
        <f>VLOOKUP($A44,SP_TaxPar_DB[],MATCH(O$2,SP_TaxPar_DB[#Headers],0),FALSE)</f>
        <v>0</v>
      </c>
      <c r="P44" s="72"/>
      <c r="Q44" s="69"/>
      <c r="R44" s="73"/>
      <c r="S44" s="73"/>
      <c r="T44" s="69"/>
      <c r="U44" s="69"/>
      <c r="V44" s="69"/>
      <c r="W44" s="69"/>
      <c r="X44" s="69"/>
      <c r="Y44" s="69"/>
      <c r="Z44" s="69"/>
      <c r="AA44" s="69"/>
      <c r="AB44" s="74"/>
      <c r="AC44" s="73"/>
      <c r="AD44" s="73"/>
      <c r="AE44" s="74"/>
      <c r="AF44" s="68"/>
      <c r="AG44" s="68"/>
      <c r="AH44" s="74"/>
      <c r="AI44" s="68"/>
      <c r="AJ44" s="68"/>
      <c r="AK44" s="68"/>
      <c r="AL44" s="80"/>
      <c r="AM44" s="81"/>
      <c r="AN44" s="74"/>
      <c r="AO44" s="74"/>
      <c r="AP44" s="74"/>
      <c r="AQ44" s="74"/>
      <c r="AR44" s="74"/>
      <c r="AS44" s="74"/>
      <c r="AT44" s="74"/>
      <c r="AU44" s="74"/>
      <c r="AV44" s="74"/>
      <c r="AW44" s="84"/>
    </row>
    <row r="45" spans="1:49" ht="15.75" hidden="1" x14ac:dyDescent="0.2">
      <c r="A45" s="129" t="s">
        <v>1942</v>
      </c>
      <c r="B45" s="68" t="str">
        <f>VLOOKUP($A45,SP_TaxPar_DB[],MATCH(B$2,SP_TaxPar_DB[#Headers],0),FALSE)</f>
        <v>ENV</v>
      </c>
      <c r="C45" s="67">
        <f>IF(VLOOKUP($A45,SP_TaxPar_DB[],MATCH(C$2,SP_TaxPar_DB[#Headers],0),FALSE)="",0,VLOOKUP($A45,SP_TaxPar_DB[],MATCH(C$2,SP_TaxPar_DB[#Headers],0),FALSE))</f>
        <v>0</v>
      </c>
      <c r="D45" s="67" t="str">
        <f>IF(VLOOKUP($A45,SP_TaxPar_DB[],MATCH(D$2,SP_TaxPar_DB[#Headers],0),FALSE)="",0,VLOOKUP($A45,SP_TaxPar_DB[],MATCH(D$2,SP_TaxPar_DB[#Headers],0),FALSE))</f>
        <v>033</v>
      </c>
      <c r="E45" s="69" t="str">
        <f>VLOOKUP($A45,SP_TaxPar_DB[],MATCH(E$2,SP_TaxPar_DB[#Headers],0),FALSE)</f>
        <v>LANGSTON EDNA L ETAL</v>
      </c>
      <c r="F45" s="69" t="str">
        <f>VLOOKUP($A45,SP_TaxPar_DB[],MATCH(F$2,SP_TaxPar_DB[#Headers],0),FALSE)</f>
        <v>5520 RAYBURN LN</v>
      </c>
      <c r="G45" s="69" t="str">
        <f>VLOOKUP($A45,SP_TaxPar_DB[],MATCH(G$2,SP_TaxPar_DB[#Headers],0),FALSE)</f>
        <v>AUSTIN</v>
      </c>
      <c r="H45" s="69" t="str">
        <f>VLOOKUP($A45,SP_TaxPar_DB[],MATCH(H$2,SP_TaxPar_DB[#Headers],0),FALSE)</f>
        <v>TX</v>
      </c>
      <c r="I45" s="69" t="str">
        <f>VLOOKUP($A45,SP_TaxPar_DB[],MATCH(I$2,SP_TaxPar_DB[#Headers],0),FALSE)</f>
        <v>78723</v>
      </c>
      <c r="J45" s="69" t="str">
        <f>VLOOKUP($A45,SP_TaxPar_DB[],MATCH(J$2,SP_TaxPar_DB[#Headers],0),FALSE)</f>
        <v>0  HARRIS</v>
      </c>
      <c r="K45" s="69" t="str">
        <f>VLOOKUP($A45,SP_TaxPar_DB[],MATCH(K$2,SP_TaxPar_DB[#Headers],0),FALSE)</f>
        <v>OSCAR JENKINS LOT 12,13,14,15,16 Acres:0.4740</v>
      </c>
      <c r="L45" s="69">
        <f>VLOOKUP($A45,SP_TaxPar_DB[],MATCH(L$2,SP_TaxPar_DB[#Headers],0),FALSE)</f>
        <v>0</v>
      </c>
      <c r="M45" s="69">
        <f>VLOOKUP($A45,SP_TaxPar_DB[],MATCH(M$2,SP_TaxPar_DB[#Headers],0),FALSE)</f>
        <v>0</v>
      </c>
      <c r="N45" s="69">
        <f>VLOOKUP($A45,SP_TaxPar_DB[],MATCH(N$2,SP_TaxPar_DB[#Headers],0),FALSE)</f>
        <v>0</v>
      </c>
      <c r="O45" s="71">
        <f>VLOOKUP($A45,SP_TaxPar_DB[],MATCH(O$2,SP_TaxPar_DB[#Headers],0),FALSE)</f>
        <v>0</v>
      </c>
      <c r="P45" s="72"/>
      <c r="Q45" s="69"/>
      <c r="R45" s="73"/>
      <c r="S45" s="73"/>
      <c r="T45" s="69"/>
      <c r="U45" s="69"/>
      <c r="V45" s="69"/>
      <c r="W45" s="69"/>
      <c r="X45" s="69"/>
      <c r="Y45" s="69"/>
      <c r="Z45" s="69"/>
      <c r="AA45" s="69"/>
      <c r="AB45" s="74"/>
      <c r="AC45" s="73"/>
      <c r="AD45" s="73"/>
      <c r="AE45" s="74"/>
      <c r="AF45" s="68"/>
      <c r="AG45" s="68"/>
      <c r="AH45" s="74"/>
      <c r="AI45" s="68"/>
      <c r="AJ45" s="68"/>
      <c r="AK45" s="68"/>
      <c r="AL45" s="80"/>
      <c r="AM45" s="81"/>
      <c r="AN45" s="74"/>
      <c r="AO45" s="74"/>
      <c r="AP45" s="74"/>
      <c r="AQ45" s="74"/>
      <c r="AR45" s="74"/>
      <c r="AS45" s="74"/>
      <c r="AT45" s="74"/>
      <c r="AU45" s="74"/>
      <c r="AV45" s="74"/>
      <c r="AW45" s="84"/>
    </row>
    <row r="46" spans="1:49" ht="15.75" hidden="1" x14ac:dyDescent="0.2">
      <c r="A46" s="129" t="s">
        <v>285</v>
      </c>
      <c r="B46" s="68" t="str">
        <f>VLOOKUP($A46,SP_TaxPar_DB[],MATCH(B$2,SP_TaxPar_DB[#Headers],0),FALSE)</f>
        <v>PH1</v>
      </c>
      <c r="C46" s="67" t="str">
        <f>IF(VLOOKUP($A46,SP_TaxPar_DB[],MATCH(C$2,SP_TaxPar_DB[#Headers],0),FALSE)="",0,VLOOKUP($A46,SP_TaxPar_DB[],MATCH(C$2,SP_TaxPar_DB[#Headers],0),FALSE))</f>
        <v>212</v>
      </c>
      <c r="D46" s="67">
        <f>IF(VLOOKUP($A46,SP_TaxPar_DB[],MATCH(D$2,SP_TaxPar_DB[#Headers],0),FALSE)="",0,VLOOKUP($A46,SP_TaxPar_DB[],MATCH(D$2,SP_TaxPar_DB[#Headers],0),FALSE))</f>
        <v>0</v>
      </c>
      <c r="E46" s="69" t="str">
        <f>VLOOKUP($A46,SP_TaxPar_DB[],MATCH(E$2,SP_TaxPar_DB[#Headers],0),FALSE)</f>
        <v>City of Wharton</v>
      </c>
      <c r="F46" s="69" t="str">
        <f>VLOOKUP($A46,SP_TaxPar_DB[],MATCH(F$2,SP_TaxPar_DB[#Headers],0),FALSE)</f>
        <v>120 E Caney</v>
      </c>
      <c r="G46" s="69" t="str">
        <f>VLOOKUP($A46,SP_TaxPar_DB[],MATCH(G$2,SP_TaxPar_DB[#Headers],0),FALSE)</f>
        <v>Wharton</v>
      </c>
      <c r="H46" s="69" t="str">
        <f>VLOOKUP($A46,SP_TaxPar_DB[],MATCH(H$2,SP_TaxPar_DB[#Headers],0),FALSE)</f>
        <v>TX</v>
      </c>
      <c r="I46" s="69" t="str">
        <f>VLOOKUP($A46,SP_TaxPar_DB[],MATCH(I$2,SP_TaxPar_DB[#Headers],0),FALSE)</f>
        <v>77488</v>
      </c>
      <c r="J46" s="69" t="str">
        <f>VLOOKUP($A46,SP_TaxPar_DB[],MATCH(J$2,SP_TaxPar_DB[#Headers],0),FALSE)</f>
        <v>0 Sheppard</v>
      </c>
      <c r="K46" s="69" t="str">
        <f>VLOOKUP($A46,SP_TaxPar_DB[],MATCH(K$2,SP_TaxPar_DB[#Headers],0),FALSE)</f>
        <v>Wm Kincheloe Block 63 LT 154A, 154E, 155, 156B, 156C, 160, 161, 162 Cline Blk 5 Lot 1 Thru 20 Little Mexico, BLK 161 Lot 10</v>
      </c>
      <c r="L46" s="69">
        <f>VLOOKUP($A46,SP_TaxPar_DB[],MATCH(L$2,SP_TaxPar_DB[#Headers],0),FALSE)</f>
        <v>18.962700000000002</v>
      </c>
      <c r="M46" s="69">
        <f>VLOOKUP($A46,SP_TaxPar_DB[],MATCH(M$2,SP_TaxPar_DB[#Headers],0),FALSE)</f>
        <v>0</v>
      </c>
      <c r="N46" s="69">
        <f>VLOOKUP($A46,SP_TaxPar_DB[],MATCH(N$2,SP_TaxPar_DB[#Headers],0),FALSE)</f>
        <v>0</v>
      </c>
      <c r="O46" s="71">
        <f>VLOOKUP($A46,SP_TaxPar_DB[],MATCH(O$2,SP_TaxPar_DB[#Headers],0),FALSE)</f>
        <v>0</v>
      </c>
      <c r="P46" s="72"/>
      <c r="Q46" s="69"/>
      <c r="R46" s="73"/>
      <c r="S46" s="73"/>
      <c r="T46" s="69"/>
      <c r="U46" s="69"/>
      <c r="V46" s="69"/>
      <c r="W46" s="69"/>
      <c r="X46" s="69"/>
      <c r="Y46" s="69"/>
      <c r="Z46" s="69"/>
      <c r="AA46" s="69"/>
      <c r="AB46" s="74"/>
      <c r="AC46" s="73"/>
      <c r="AD46" s="73"/>
      <c r="AE46" s="74"/>
      <c r="AF46" s="68"/>
      <c r="AG46" s="68"/>
      <c r="AH46" s="74"/>
      <c r="AI46" s="68"/>
      <c r="AJ46" s="68"/>
      <c r="AK46" s="68"/>
      <c r="AL46" s="80"/>
      <c r="AM46" s="81"/>
      <c r="AN46" s="74"/>
      <c r="AO46" s="74"/>
      <c r="AP46" s="74"/>
      <c r="AQ46" s="74"/>
      <c r="AR46" s="74"/>
      <c r="AS46" s="74"/>
      <c r="AT46" s="74"/>
      <c r="AU46" s="74"/>
      <c r="AV46" s="74"/>
      <c r="AW46" s="84"/>
    </row>
    <row r="47" spans="1:49" ht="15.75" hidden="1" x14ac:dyDescent="0.2">
      <c r="A47" s="129" t="s">
        <v>1948</v>
      </c>
      <c r="B47" s="68" t="str">
        <f>VLOOKUP($A47,SP_TaxPar_DB[],MATCH(B$2,SP_TaxPar_DB[#Headers],0),FALSE)</f>
        <v>ENV</v>
      </c>
      <c r="C47" s="67">
        <f>IF(VLOOKUP($A47,SP_TaxPar_DB[],MATCH(C$2,SP_TaxPar_DB[#Headers],0),FALSE)="",0,VLOOKUP($A47,SP_TaxPar_DB[],MATCH(C$2,SP_TaxPar_DB[#Headers],0),FALSE))</f>
        <v>0</v>
      </c>
      <c r="D47" s="67" t="str">
        <f>IF(VLOOKUP($A47,SP_TaxPar_DB[],MATCH(D$2,SP_TaxPar_DB[#Headers],0),FALSE)="",0,VLOOKUP($A47,SP_TaxPar_DB[],MATCH(D$2,SP_TaxPar_DB[#Headers],0),FALSE))</f>
        <v>035</v>
      </c>
      <c r="E47" s="69" t="str">
        <f>VLOOKUP($A47,SP_TaxPar_DB[],MATCH(E$2,SP_TaxPar_DB[#Headers],0),FALSE)</f>
        <v>GREEN FERBE</v>
      </c>
      <c r="F47" s="69" t="str">
        <f>VLOOKUP($A47,SP_TaxPar_DB[],MATCH(F$2,SP_TaxPar_DB[#Headers],0),FALSE)</f>
        <v>1113 W MILAM</v>
      </c>
      <c r="G47" s="69" t="str">
        <f>VLOOKUP($A47,SP_TaxPar_DB[],MATCH(G$2,SP_TaxPar_DB[#Headers],0),FALSE)</f>
        <v>WHARTON</v>
      </c>
      <c r="H47" s="69" t="str">
        <f>VLOOKUP($A47,SP_TaxPar_DB[],MATCH(H$2,SP_TaxPar_DB[#Headers],0),FALSE)</f>
        <v>TX</v>
      </c>
      <c r="I47" s="69" t="str">
        <f>VLOOKUP($A47,SP_TaxPar_DB[],MATCH(I$2,SP_TaxPar_DB[#Headers],0),FALSE)</f>
        <v>77488</v>
      </c>
      <c r="J47" s="69" t="str">
        <f>VLOOKUP($A47,SP_TaxPar_DB[],MATCH(J$2,SP_TaxPar_DB[#Headers],0),FALSE)</f>
        <v>1113 W MILAM</v>
      </c>
      <c r="K47" s="69" t="str">
        <f>VLOOKUP($A47,SP_TaxPar_DB[],MATCH(K$2,SP_TaxPar_DB[#Headers],0),FALSE)</f>
        <v>WM.KINCHELOE BLOCK 63 LOT 154D Acres:0.1664</v>
      </c>
      <c r="L47" s="69">
        <f>VLOOKUP($A47,SP_TaxPar_DB[],MATCH(L$2,SP_TaxPar_DB[#Headers],0),FALSE)</f>
        <v>0</v>
      </c>
      <c r="M47" s="69">
        <f>VLOOKUP($A47,SP_TaxPar_DB[],MATCH(M$2,SP_TaxPar_DB[#Headers],0),FALSE)</f>
        <v>0</v>
      </c>
      <c r="N47" s="69">
        <f>VLOOKUP($A47,SP_TaxPar_DB[],MATCH(N$2,SP_TaxPar_DB[#Headers],0),FALSE)</f>
        <v>0</v>
      </c>
      <c r="O47" s="71">
        <f>VLOOKUP($A47,SP_TaxPar_DB[],MATCH(O$2,SP_TaxPar_DB[#Headers],0),FALSE)</f>
        <v>0</v>
      </c>
      <c r="P47" s="72"/>
      <c r="Q47" s="69"/>
      <c r="R47" s="73"/>
      <c r="S47" s="73"/>
      <c r="T47" s="69"/>
      <c r="U47" s="69"/>
      <c r="V47" s="69"/>
      <c r="W47" s="69"/>
      <c r="X47" s="69"/>
      <c r="Y47" s="69"/>
      <c r="Z47" s="69"/>
      <c r="AA47" s="69"/>
      <c r="AB47" s="74"/>
      <c r="AC47" s="73"/>
      <c r="AD47" s="73"/>
      <c r="AE47" s="74"/>
      <c r="AF47" s="68"/>
      <c r="AG47" s="68"/>
      <c r="AH47" s="74"/>
      <c r="AI47" s="68"/>
      <c r="AJ47" s="68"/>
      <c r="AK47" s="68"/>
      <c r="AL47" s="80"/>
      <c r="AM47" s="81"/>
      <c r="AN47" s="74"/>
      <c r="AO47" s="74"/>
      <c r="AP47" s="74"/>
      <c r="AQ47" s="74"/>
      <c r="AR47" s="74"/>
      <c r="AS47" s="74"/>
      <c r="AT47" s="74"/>
      <c r="AU47" s="74"/>
      <c r="AV47" s="74"/>
      <c r="AW47" s="84"/>
    </row>
    <row r="48" spans="1:49" ht="15.75" hidden="1" x14ac:dyDescent="0.2">
      <c r="A48" s="129" t="s">
        <v>1952</v>
      </c>
      <c r="B48" s="68" t="str">
        <f>VLOOKUP($A48,SP_TaxPar_DB[],MATCH(B$2,SP_TaxPar_DB[#Headers],0),FALSE)</f>
        <v>ENV</v>
      </c>
      <c r="C48" s="67">
        <f>IF(VLOOKUP($A48,SP_TaxPar_DB[],MATCH(C$2,SP_TaxPar_DB[#Headers],0),FALSE)="",0,VLOOKUP($A48,SP_TaxPar_DB[],MATCH(C$2,SP_TaxPar_DB[#Headers],0),FALSE))</f>
        <v>0</v>
      </c>
      <c r="D48" s="67" t="str">
        <f>IF(VLOOKUP($A48,SP_TaxPar_DB[],MATCH(D$2,SP_TaxPar_DB[#Headers],0),FALSE)="",0,VLOOKUP($A48,SP_TaxPar_DB[],MATCH(D$2,SP_TaxPar_DB[#Headers],0),FALSE))</f>
        <v>036</v>
      </c>
      <c r="E48" s="69" t="str">
        <f>VLOOKUP($A48,SP_TaxPar_DB[],MATCH(E$2,SP_TaxPar_DB[#Headers],0),FALSE)</f>
        <v>SCARLET DURIA III</v>
      </c>
      <c r="F48" s="69" t="str">
        <f>VLOOKUP($A48,SP_TaxPar_DB[],MATCH(F$2,SP_TaxPar_DB[#Headers],0),FALSE)</f>
        <v>1318 HARRIS ST</v>
      </c>
      <c r="G48" s="69" t="str">
        <f>VLOOKUP($A48,SP_TaxPar_DB[],MATCH(G$2,SP_TaxPar_DB[#Headers],0),FALSE)</f>
        <v>WHARTON</v>
      </c>
      <c r="H48" s="69" t="str">
        <f>VLOOKUP($A48,SP_TaxPar_DB[],MATCH(H$2,SP_TaxPar_DB[#Headers],0),FALSE)</f>
        <v>TX</v>
      </c>
      <c r="I48" s="69" t="str">
        <f>VLOOKUP($A48,SP_TaxPar_DB[],MATCH(I$2,SP_TaxPar_DB[#Headers],0),FALSE)</f>
        <v>77488-3905</v>
      </c>
      <c r="J48" s="69" t="str">
        <f>VLOOKUP($A48,SP_TaxPar_DB[],MATCH(J$2,SP_TaxPar_DB[#Headers],0),FALSE)</f>
        <v>0  S SHEPPARD</v>
      </c>
      <c r="K48" s="69" t="str">
        <f>VLOOKUP($A48,SP_TaxPar_DB[],MATCH(K$2,SP_TaxPar_DB[#Headers],0),FALSE)</f>
        <v>WM.KINCHELOE BLOCK 63 LOT 165B Acres:0.1664</v>
      </c>
      <c r="L48" s="69">
        <f>VLOOKUP($A48,SP_TaxPar_DB[],MATCH(L$2,SP_TaxPar_DB[#Headers],0),FALSE)</f>
        <v>0</v>
      </c>
      <c r="M48" s="69">
        <f>VLOOKUP($A48,SP_TaxPar_DB[],MATCH(M$2,SP_TaxPar_DB[#Headers],0),FALSE)</f>
        <v>0</v>
      </c>
      <c r="N48" s="69">
        <f>VLOOKUP($A48,SP_TaxPar_DB[],MATCH(N$2,SP_TaxPar_DB[#Headers],0),FALSE)</f>
        <v>0</v>
      </c>
      <c r="O48" s="71">
        <f>VLOOKUP($A48,SP_TaxPar_DB[],MATCH(O$2,SP_TaxPar_DB[#Headers],0),FALSE)</f>
        <v>0</v>
      </c>
      <c r="P48" s="72"/>
      <c r="Q48" s="69"/>
      <c r="R48" s="73"/>
      <c r="S48" s="73"/>
      <c r="T48" s="69"/>
      <c r="U48" s="69"/>
      <c r="V48" s="69"/>
      <c r="W48" s="69"/>
      <c r="X48" s="69"/>
      <c r="Y48" s="69"/>
      <c r="Z48" s="69"/>
      <c r="AA48" s="69"/>
      <c r="AB48" s="74"/>
      <c r="AC48" s="73"/>
      <c r="AD48" s="73"/>
      <c r="AE48" s="74"/>
      <c r="AF48" s="68"/>
      <c r="AG48" s="68"/>
      <c r="AH48" s="74"/>
      <c r="AI48" s="68"/>
      <c r="AJ48" s="68"/>
      <c r="AK48" s="68"/>
      <c r="AL48" s="80"/>
      <c r="AM48" s="81"/>
      <c r="AN48" s="74"/>
      <c r="AO48" s="74"/>
      <c r="AP48" s="74"/>
      <c r="AQ48" s="74"/>
      <c r="AR48" s="74"/>
      <c r="AS48" s="74"/>
      <c r="AT48" s="74"/>
      <c r="AU48" s="74"/>
      <c r="AV48" s="74"/>
      <c r="AW48" s="84"/>
    </row>
    <row r="49" spans="1:49" ht="15.75" hidden="1" x14ac:dyDescent="0.2">
      <c r="A49" s="129" t="s">
        <v>167</v>
      </c>
      <c r="B49" s="68" t="str">
        <f>VLOOKUP($A49,SP_TaxPar_DB[],MATCH(B$2,SP_TaxPar_DB[#Headers],0),FALSE)</f>
        <v>PH1</v>
      </c>
      <c r="C49" s="67" t="str">
        <f>IF(VLOOKUP($A49,SP_TaxPar_DB[],MATCH(C$2,SP_TaxPar_DB[#Headers],0),FALSE)="",0,VLOOKUP($A49,SP_TaxPar_DB[],MATCH(C$2,SP_TaxPar_DB[#Headers],0),FALSE))</f>
        <v>301</v>
      </c>
      <c r="D49" s="67">
        <f>IF(VLOOKUP($A49,SP_TaxPar_DB[],MATCH(D$2,SP_TaxPar_DB[#Headers],0),FALSE)="",0,VLOOKUP($A49,SP_TaxPar_DB[],MATCH(D$2,SP_TaxPar_DB[#Headers],0),FALSE))</f>
        <v>0</v>
      </c>
      <c r="E49" s="69" t="str">
        <f>VLOOKUP($A49,SP_TaxPar_DB[],MATCH(E$2,SP_TaxPar_DB[#Headers],0),FALSE)</f>
        <v>Centerpoint Energy Houston Electric c/o PropertyTax Dept</v>
      </c>
      <c r="F49" s="69" t="str">
        <f>VLOOKUP($A49,SP_TaxPar_DB[],MATCH(F$2,SP_TaxPar_DB[#Headers],0),FALSE)</f>
        <v>PO Box 1475</v>
      </c>
      <c r="G49" s="69" t="str">
        <f>VLOOKUP($A49,SP_TaxPar_DB[],MATCH(G$2,SP_TaxPar_DB[#Headers],0),FALSE)</f>
        <v>Houston</v>
      </c>
      <c r="H49" s="69" t="str">
        <f>VLOOKUP($A49,SP_TaxPar_DB[],MATCH(H$2,SP_TaxPar_DB[#Headers],0),FALSE)</f>
        <v>TX</v>
      </c>
      <c r="I49" s="69" t="str">
        <f>VLOOKUP($A49,SP_TaxPar_DB[],MATCH(I$2,SP_TaxPar_DB[#Headers],0),FALSE)</f>
        <v>77251-1475</v>
      </c>
      <c r="J49" s="69">
        <f>VLOOKUP($A49,SP_TaxPar_DB[],MATCH(J$2,SP_TaxPar_DB[#Headers],0),FALSE)</f>
        <v>0</v>
      </c>
      <c r="K49" s="69" t="str">
        <f>VLOOKUP($A49,SP_TaxPar_DB[],MATCH(K$2,SP_TaxPar_DB[#Headers],0),FALSE)</f>
        <v>Wm Kincheloe Block 63 Lot 173A-1</v>
      </c>
      <c r="L49" s="69">
        <f>VLOOKUP($A49,SP_TaxPar_DB[],MATCH(L$2,SP_TaxPar_DB[#Headers],0),FALSE)</f>
        <v>1.8540000000000001</v>
      </c>
      <c r="M49" s="69" t="str">
        <f>VLOOKUP($A49,SP_TaxPar_DB[],MATCH(M$2,SP_TaxPar_DB[#Headers],0),FALSE)</f>
        <v>Commercial</v>
      </c>
      <c r="N49" s="69">
        <f>VLOOKUP($A49,SP_TaxPar_DB[],MATCH(N$2,SP_TaxPar_DB[#Headers],0),FALSE)</f>
        <v>0</v>
      </c>
      <c r="O49" s="71">
        <f>VLOOKUP($A49,SP_TaxPar_DB[],MATCH(O$2,SP_TaxPar_DB[#Headers],0),FALSE)</f>
        <v>0</v>
      </c>
      <c r="P49" s="72"/>
      <c r="Q49" s="69"/>
      <c r="R49" s="73"/>
      <c r="S49" s="73"/>
      <c r="T49" s="69"/>
      <c r="U49" s="69"/>
      <c r="V49" s="69"/>
      <c r="W49" s="69"/>
      <c r="X49" s="69"/>
      <c r="Y49" s="69"/>
      <c r="Z49" s="69"/>
      <c r="AA49" s="69"/>
      <c r="AB49" s="74"/>
      <c r="AC49" s="73"/>
      <c r="AD49" s="73"/>
      <c r="AE49" s="74"/>
      <c r="AF49" s="68"/>
      <c r="AG49" s="68"/>
      <c r="AH49" s="74"/>
      <c r="AI49" s="68"/>
      <c r="AJ49" s="68"/>
      <c r="AK49" s="68"/>
      <c r="AL49" s="80"/>
      <c r="AM49" s="81"/>
      <c r="AN49" s="74"/>
      <c r="AO49" s="74"/>
      <c r="AP49" s="74"/>
      <c r="AQ49" s="74"/>
      <c r="AR49" s="74"/>
      <c r="AS49" s="74"/>
      <c r="AT49" s="74"/>
      <c r="AU49" s="74"/>
      <c r="AV49" s="74"/>
      <c r="AW49" s="84"/>
    </row>
    <row r="50" spans="1:49" ht="15.75" hidden="1" x14ac:dyDescent="0.2">
      <c r="A50" s="129" t="s">
        <v>1958</v>
      </c>
      <c r="B50" s="68" t="str">
        <f>VLOOKUP($A50,SP_TaxPar_DB[],MATCH(B$2,SP_TaxPar_DB[#Headers],0),FALSE)</f>
        <v>ENV</v>
      </c>
      <c r="C50" s="67">
        <f>IF(VLOOKUP($A50,SP_TaxPar_DB[],MATCH(C$2,SP_TaxPar_DB[#Headers],0),FALSE)="",0,VLOOKUP($A50,SP_TaxPar_DB[],MATCH(C$2,SP_TaxPar_DB[#Headers],0),FALSE))</f>
        <v>0</v>
      </c>
      <c r="D50" s="67" t="str">
        <f>IF(VLOOKUP($A50,SP_TaxPar_DB[],MATCH(D$2,SP_TaxPar_DB[#Headers],0),FALSE)="",0,VLOOKUP($A50,SP_TaxPar_DB[],MATCH(D$2,SP_TaxPar_DB[#Headers],0),FALSE))</f>
        <v>038</v>
      </c>
      <c r="E50" s="69" t="str">
        <f>VLOOKUP($A50,SP_TaxPar_DB[],MATCH(E$2,SP_TaxPar_DB[#Headers],0),FALSE)</f>
        <v>EDWARDS CURTIS E</v>
      </c>
      <c r="F50" s="69" t="str">
        <f>VLOOKUP($A50,SP_TaxPar_DB[],MATCH(F$2,SP_TaxPar_DB[#Headers],0),FALSE)</f>
        <v>303 S SHEPPARD</v>
      </c>
      <c r="G50" s="69" t="str">
        <f>VLOOKUP($A50,SP_TaxPar_DB[],MATCH(G$2,SP_TaxPar_DB[#Headers],0),FALSE)</f>
        <v>WHARTON</v>
      </c>
      <c r="H50" s="69" t="str">
        <f>VLOOKUP($A50,SP_TaxPar_DB[],MATCH(H$2,SP_TaxPar_DB[#Headers],0),FALSE)</f>
        <v>TX</v>
      </c>
      <c r="I50" s="69" t="str">
        <f>VLOOKUP($A50,SP_TaxPar_DB[],MATCH(I$2,SP_TaxPar_DB[#Headers],0),FALSE)</f>
        <v>77488</v>
      </c>
      <c r="J50" s="69" t="str">
        <f>VLOOKUP($A50,SP_TaxPar_DB[],MATCH(J$2,SP_TaxPar_DB[#Headers],0),FALSE)</f>
        <v>303 S SHEPPARD</v>
      </c>
      <c r="K50" s="69" t="str">
        <f>VLOOKUP($A50,SP_TaxPar_DB[],MATCH(K$2,SP_TaxPar_DB[#Headers],0),FALSE)</f>
        <v>WM.KINCHELOE BLOCK 63 LOT 173E Acres:0.3329</v>
      </c>
      <c r="L50" s="69">
        <f>VLOOKUP($A50,SP_TaxPar_DB[],MATCH(L$2,SP_TaxPar_DB[#Headers],0),FALSE)</f>
        <v>0</v>
      </c>
      <c r="M50" s="69">
        <f>VLOOKUP($A50,SP_TaxPar_DB[],MATCH(M$2,SP_TaxPar_DB[#Headers],0),FALSE)</f>
        <v>0</v>
      </c>
      <c r="N50" s="69">
        <f>VLOOKUP($A50,SP_TaxPar_DB[],MATCH(N$2,SP_TaxPar_DB[#Headers],0),FALSE)</f>
        <v>0</v>
      </c>
      <c r="O50" s="71">
        <f>VLOOKUP($A50,SP_TaxPar_DB[],MATCH(O$2,SP_TaxPar_DB[#Headers],0),FALSE)</f>
        <v>0</v>
      </c>
      <c r="P50" s="72"/>
      <c r="Q50" s="69"/>
      <c r="R50" s="73"/>
      <c r="S50" s="73"/>
      <c r="T50" s="69"/>
      <c r="U50" s="69"/>
      <c r="V50" s="69"/>
      <c r="W50" s="69"/>
      <c r="X50" s="69"/>
      <c r="Y50" s="69"/>
      <c r="Z50" s="69"/>
      <c r="AA50" s="69"/>
      <c r="AB50" s="74"/>
      <c r="AC50" s="73"/>
      <c r="AD50" s="73"/>
      <c r="AE50" s="74"/>
      <c r="AF50" s="68"/>
      <c r="AG50" s="68"/>
      <c r="AH50" s="74"/>
      <c r="AI50" s="68"/>
      <c r="AJ50" s="68"/>
      <c r="AK50" s="68"/>
      <c r="AL50" s="80"/>
      <c r="AM50" s="81"/>
      <c r="AN50" s="74"/>
      <c r="AO50" s="74"/>
      <c r="AP50" s="74"/>
      <c r="AQ50" s="74"/>
      <c r="AR50" s="74"/>
      <c r="AS50" s="74"/>
      <c r="AT50" s="74"/>
      <c r="AU50" s="74"/>
      <c r="AV50" s="74"/>
      <c r="AW50" s="84"/>
    </row>
    <row r="51" spans="1:49" ht="15.75" hidden="1" x14ac:dyDescent="0.2">
      <c r="A51" s="129" t="s">
        <v>1962</v>
      </c>
      <c r="B51" s="68" t="str">
        <f>VLOOKUP($A51,SP_TaxPar_DB[],MATCH(B$2,SP_TaxPar_DB[#Headers],0),FALSE)</f>
        <v>ENV</v>
      </c>
      <c r="C51" s="67">
        <f>IF(VLOOKUP($A51,SP_TaxPar_DB[],MATCH(C$2,SP_TaxPar_DB[#Headers],0),FALSE)="",0,VLOOKUP($A51,SP_TaxPar_DB[],MATCH(C$2,SP_TaxPar_DB[#Headers],0),FALSE))</f>
        <v>0</v>
      </c>
      <c r="D51" s="67" t="str">
        <f>IF(VLOOKUP($A51,SP_TaxPar_DB[],MATCH(D$2,SP_TaxPar_DB[#Headers],0),FALSE)="",0,VLOOKUP($A51,SP_TaxPar_DB[],MATCH(D$2,SP_TaxPar_DB[#Headers],0),FALSE))</f>
        <v>039</v>
      </c>
      <c r="E51" s="69" t="str">
        <f>VLOOKUP($A51,SP_TaxPar_DB[],MATCH(E$2,SP_TaxPar_DB[#Headers],0),FALSE)</f>
        <v>EDWARDS CURTIS E</v>
      </c>
      <c r="F51" s="69" t="str">
        <f>VLOOKUP($A51,SP_TaxPar_DB[],MATCH(F$2,SP_TaxPar_DB[#Headers],0),FALSE)</f>
        <v>303 S SHEPPARD</v>
      </c>
      <c r="G51" s="69" t="str">
        <f>VLOOKUP($A51,SP_TaxPar_DB[],MATCH(G$2,SP_TaxPar_DB[#Headers],0),FALSE)</f>
        <v>WHARTON</v>
      </c>
      <c r="H51" s="69" t="str">
        <f>VLOOKUP($A51,SP_TaxPar_DB[],MATCH(H$2,SP_TaxPar_DB[#Headers],0),FALSE)</f>
        <v>TX</v>
      </c>
      <c r="I51" s="69" t="str">
        <f>VLOOKUP($A51,SP_TaxPar_DB[],MATCH(I$2,SP_TaxPar_DB[#Headers],0),FALSE)</f>
        <v>77488</v>
      </c>
      <c r="J51" s="69" t="str">
        <f>VLOOKUP($A51,SP_TaxPar_DB[],MATCH(J$2,SP_TaxPar_DB[#Headers],0),FALSE)</f>
        <v>0  KEARNEY</v>
      </c>
      <c r="K51" s="69" t="str">
        <f>VLOOKUP($A51,SP_TaxPar_DB[],MATCH(K$2,SP_TaxPar_DB[#Headers],0),FALSE)</f>
        <v>WM.KINCHELOE BLOCK 63 LOT 173C Acres:0.1664</v>
      </c>
      <c r="L51" s="69">
        <f>VLOOKUP($A51,SP_TaxPar_DB[],MATCH(L$2,SP_TaxPar_DB[#Headers],0),FALSE)</f>
        <v>0</v>
      </c>
      <c r="M51" s="69">
        <f>VLOOKUP($A51,SP_TaxPar_DB[],MATCH(M$2,SP_TaxPar_DB[#Headers],0),FALSE)</f>
        <v>0</v>
      </c>
      <c r="N51" s="69">
        <f>VLOOKUP($A51,SP_TaxPar_DB[],MATCH(N$2,SP_TaxPar_DB[#Headers],0),FALSE)</f>
        <v>0</v>
      </c>
      <c r="O51" s="71">
        <f>VLOOKUP($A51,SP_TaxPar_DB[],MATCH(O$2,SP_TaxPar_DB[#Headers],0),FALSE)</f>
        <v>0</v>
      </c>
      <c r="P51" s="72"/>
      <c r="Q51" s="69"/>
      <c r="R51" s="73"/>
      <c r="S51" s="73"/>
      <c r="T51" s="69"/>
      <c r="U51" s="69"/>
      <c r="V51" s="69"/>
      <c r="W51" s="69"/>
      <c r="X51" s="69"/>
      <c r="Y51" s="69"/>
      <c r="Z51" s="69"/>
      <c r="AA51" s="69"/>
      <c r="AB51" s="74"/>
      <c r="AC51" s="73"/>
      <c r="AD51" s="73"/>
      <c r="AE51" s="74"/>
      <c r="AF51" s="68"/>
      <c r="AG51" s="68"/>
      <c r="AH51" s="74"/>
      <c r="AI51" s="68"/>
      <c r="AJ51" s="68"/>
      <c r="AK51" s="68"/>
      <c r="AL51" s="80"/>
      <c r="AM51" s="81"/>
      <c r="AN51" s="74"/>
      <c r="AO51" s="74"/>
      <c r="AP51" s="74"/>
      <c r="AQ51" s="74"/>
      <c r="AR51" s="74"/>
      <c r="AS51" s="74"/>
      <c r="AT51" s="74"/>
      <c r="AU51" s="74"/>
      <c r="AV51" s="74"/>
      <c r="AW51" s="84"/>
    </row>
    <row r="52" spans="1:49" ht="15.75" hidden="1" x14ac:dyDescent="0.2">
      <c r="A52" s="129" t="s">
        <v>1965</v>
      </c>
      <c r="B52" s="68" t="str">
        <f>VLOOKUP($A52,SP_TaxPar_DB[],MATCH(B$2,SP_TaxPar_DB[#Headers],0),FALSE)</f>
        <v>ENV</v>
      </c>
      <c r="C52" s="67">
        <f>IF(VLOOKUP($A52,SP_TaxPar_DB[],MATCH(C$2,SP_TaxPar_DB[#Headers],0),FALSE)="",0,VLOOKUP($A52,SP_TaxPar_DB[],MATCH(C$2,SP_TaxPar_DB[#Headers],0),FALSE))</f>
        <v>0</v>
      </c>
      <c r="D52" s="67" t="str">
        <f>IF(VLOOKUP($A52,SP_TaxPar_DB[],MATCH(D$2,SP_TaxPar_DB[#Headers],0),FALSE)="",0,VLOOKUP($A52,SP_TaxPar_DB[],MATCH(D$2,SP_TaxPar_DB[#Headers],0),FALSE))</f>
        <v>040</v>
      </c>
      <c r="E52" s="69" t="str">
        <f>VLOOKUP($A52,SP_TaxPar_DB[],MATCH(E$2,SP_TaxPar_DB[#Headers],0),FALSE)</f>
        <v>EDWARDS CURTIS E &amp; WF</v>
      </c>
      <c r="F52" s="69" t="str">
        <f>VLOOKUP($A52,SP_TaxPar_DB[],MATCH(F$2,SP_TaxPar_DB[#Headers],0),FALSE)</f>
        <v>303 S SHEPPARD</v>
      </c>
      <c r="G52" s="69" t="str">
        <f>VLOOKUP($A52,SP_TaxPar_DB[],MATCH(G$2,SP_TaxPar_DB[#Headers],0),FALSE)</f>
        <v>WHARTON</v>
      </c>
      <c r="H52" s="69" t="str">
        <f>VLOOKUP($A52,SP_TaxPar_DB[],MATCH(H$2,SP_TaxPar_DB[#Headers],0),FALSE)</f>
        <v>TX</v>
      </c>
      <c r="I52" s="69" t="str">
        <f>VLOOKUP($A52,SP_TaxPar_DB[],MATCH(I$2,SP_TaxPar_DB[#Headers],0),FALSE)</f>
        <v>77488</v>
      </c>
      <c r="J52" s="69" t="str">
        <f>VLOOKUP($A52,SP_TaxPar_DB[],MATCH(J$2,SP_TaxPar_DB[#Headers],0),FALSE)</f>
        <v>0 S SHEPPARD</v>
      </c>
      <c r="K52" s="69" t="str">
        <f>VLOOKUP($A52,SP_TaxPar_DB[],MATCH(K$2,SP_TaxPar_DB[#Headers],0),FALSE)</f>
        <v>WM.KINCHELOE BLOCK 63 LOT 173D Acres:0.1664</v>
      </c>
      <c r="L52" s="69">
        <f>VLOOKUP($A52,SP_TaxPar_DB[],MATCH(L$2,SP_TaxPar_DB[#Headers],0),FALSE)</f>
        <v>0</v>
      </c>
      <c r="M52" s="69">
        <f>VLOOKUP($A52,SP_TaxPar_DB[],MATCH(M$2,SP_TaxPar_DB[#Headers],0),FALSE)</f>
        <v>0</v>
      </c>
      <c r="N52" s="69">
        <f>VLOOKUP($A52,SP_TaxPar_DB[],MATCH(N$2,SP_TaxPar_DB[#Headers],0),FALSE)</f>
        <v>0</v>
      </c>
      <c r="O52" s="71">
        <f>VLOOKUP($A52,SP_TaxPar_DB[],MATCH(O$2,SP_TaxPar_DB[#Headers],0),FALSE)</f>
        <v>0</v>
      </c>
      <c r="P52" s="72"/>
      <c r="Q52" s="69"/>
      <c r="R52" s="73"/>
      <c r="S52" s="73"/>
      <c r="T52" s="69"/>
      <c r="U52" s="69"/>
      <c r="V52" s="69"/>
      <c r="W52" s="69"/>
      <c r="X52" s="69"/>
      <c r="Y52" s="69"/>
      <c r="Z52" s="69"/>
      <c r="AA52" s="69"/>
      <c r="AB52" s="74"/>
      <c r="AC52" s="73"/>
      <c r="AD52" s="73"/>
      <c r="AE52" s="74"/>
      <c r="AF52" s="68"/>
      <c r="AG52" s="68"/>
      <c r="AH52" s="74"/>
      <c r="AI52" s="68"/>
      <c r="AJ52" s="68"/>
      <c r="AK52" s="68"/>
      <c r="AL52" s="80"/>
      <c r="AM52" s="81"/>
      <c r="AN52" s="74"/>
      <c r="AO52" s="74"/>
      <c r="AP52" s="74"/>
      <c r="AQ52" s="74"/>
      <c r="AR52" s="74"/>
      <c r="AS52" s="74"/>
      <c r="AT52" s="74"/>
      <c r="AU52" s="74"/>
      <c r="AV52" s="74"/>
      <c r="AW52" s="84"/>
    </row>
    <row r="53" spans="1:49" ht="15.75" hidden="1" x14ac:dyDescent="0.2">
      <c r="A53" s="129" t="s">
        <v>1969</v>
      </c>
      <c r="B53" s="68" t="str">
        <f>VLOOKUP($A53,SP_TaxPar_DB[],MATCH(B$2,SP_TaxPar_DB[#Headers],0),FALSE)</f>
        <v>ENV</v>
      </c>
      <c r="C53" s="67">
        <f>IF(VLOOKUP($A53,SP_TaxPar_DB[],MATCH(C$2,SP_TaxPar_DB[#Headers],0),FALSE)="",0,VLOOKUP($A53,SP_TaxPar_DB[],MATCH(C$2,SP_TaxPar_DB[#Headers],0),FALSE))</f>
        <v>0</v>
      </c>
      <c r="D53" s="67" t="str">
        <f>IF(VLOOKUP($A53,SP_TaxPar_DB[],MATCH(D$2,SP_TaxPar_DB[#Headers],0),FALSE)="",0,VLOOKUP($A53,SP_TaxPar_DB[],MATCH(D$2,SP_TaxPar_DB[#Headers],0),FALSE))</f>
        <v>041</v>
      </c>
      <c r="E53" s="69" t="str">
        <f>VLOOKUP($A53,SP_TaxPar_DB[],MATCH(E$2,SP_TaxPar_DB[#Headers],0),FALSE)</f>
        <v>HAYNES ERNESTINE EST</v>
      </c>
      <c r="F53" s="69" t="str">
        <f>VLOOKUP($A53,SP_TaxPar_DB[],MATCH(F$2,SP_TaxPar_DB[#Headers],0),FALSE)</f>
        <v>306 S FORD</v>
      </c>
      <c r="G53" s="69" t="str">
        <f>VLOOKUP($A53,SP_TaxPar_DB[],MATCH(G$2,SP_TaxPar_DB[#Headers],0),FALSE)</f>
        <v>WHARTON</v>
      </c>
      <c r="H53" s="69" t="str">
        <f>VLOOKUP($A53,SP_TaxPar_DB[],MATCH(H$2,SP_TaxPar_DB[#Headers],0),FALSE)</f>
        <v>TX</v>
      </c>
      <c r="I53" s="69" t="str">
        <f>VLOOKUP($A53,SP_TaxPar_DB[],MATCH(I$2,SP_TaxPar_DB[#Headers],0),FALSE)</f>
        <v>77488-5314</v>
      </c>
      <c r="J53" s="69" t="str">
        <f>VLOOKUP($A53,SP_TaxPar_DB[],MATCH(J$2,SP_TaxPar_DB[#Headers],0),FALSE)</f>
        <v>306 S FORD</v>
      </c>
      <c r="K53" s="69" t="str">
        <f>VLOOKUP($A53,SP_TaxPar_DB[],MATCH(K$2,SP_TaxPar_DB[#Headers],0),FALSE)</f>
        <v>WM.KINCHELOE BLOCK 63 LOT 177, TRACT 78 1994 14X56 LABEL # TEX0500647 Acres:0.3444</v>
      </c>
      <c r="L53" s="69">
        <f>VLOOKUP($A53,SP_TaxPar_DB[],MATCH(L$2,SP_TaxPar_DB[#Headers],0),FALSE)</f>
        <v>0</v>
      </c>
      <c r="M53" s="69">
        <f>VLOOKUP($A53,SP_TaxPar_DB[],MATCH(M$2,SP_TaxPar_DB[#Headers],0),FALSE)</f>
        <v>0</v>
      </c>
      <c r="N53" s="69">
        <f>VLOOKUP($A53,SP_TaxPar_DB[],MATCH(N$2,SP_TaxPar_DB[#Headers],0),FALSE)</f>
        <v>0</v>
      </c>
      <c r="O53" s="71">
        <f>VLOOKUP($A53,SP_TaxPar_DB[],MATCH(O$2,SP_TaxPar_DB[#Headers],0),FALSE)</f>
        <v>0</v>
      </c>
      <c r="P53" s="72"/>
      <c r="Q53" s="69"/>
      <c r="R53" s="73"/>
      <c r="S53" s="73"/>
      <c r="T53" s="69"/>
      <c r="U53" s="69"/>
      <c r="V53" s="69"/>
      <c r="W53" s="69"/>
      <c r="X53" s="69"/>
      <c r="Y53" s="69"/>
      <c r="Z53" s="69"/>
      <c r="AA53" s="69"/>
      <c r="AB53" s="74"/>
      <c r="AC53" s="73"/>
      <c r="AD53" s="73"/>
      <c r="AE53" s="74"/>
      <c r="AF53" s="68"/>
      <c r="AG53" s="68"/>
      <c r="AH53" s="74"/>
      <c r="AI53" s="68"/>
      <c r="AJ53" s="68"/>
      <c r="AK53" s="68"/>
      <c r="AL53" s="80"/>
      <c r="AM53" s="81"/>
      <c r="AN53" s="74"/>
      <c r="AO53" s="74"/>
      <c r="AP53" s="74"/>
      <c r="AQ53" s="74"/>
      <c r="AR53" s="74"/>
      <c r="AS53" s="74"/>
      <c r="AT53" s="74"/>
      <c r="AU53" s="74"/>
      <c r="AV53" s="74"/>
      <c r="AW53" s="84"/>
    </row>
    <row r="54" spans="1:49" ht="15.75" hidden="1" x14ac:dyDescent="0.2">
      <c r="A54" s="129" t="s">
        <v>1974</v>
      </c>
      <c r="B54" s="68" t="str">
        <f>VLOOKUP($A54,SP_TaxPar_DB[],MATCH(B$2,SP_TaxPar_DB[#Headers],0),FALSE)</f>
        <v>ENV</v>
      </c>
      <c r="C54" s="67">
        <f>IF(VLOOKUP($A54,SP_TaxPar_DB[],MATCH(C$2,SP_TaxPar_DB[#Headers],0),FALSE)="",0,VLOOKUP($A54,SP_TaxPar_DB[],MATCH(C$2,SP_TaxPar_DB[#Headers],0),FALSE))</f>
        <v>0</v>
      </c>
      <c r="D54" s="67" t="str">
        <f>IF(VLOOKUP($A54,SP_TaxPar_DB[],MATCH(D$2,SP_TaxPar_DB[#Headers],0),FALSE)="",0,VLOOKUP($A54,SP_TaxPar_DB[],MATCH(D$2,SP_TaxPar_DB[#Headers],0),FALSE))</f>
        <v>044</v>
      </c>
      <c r="E54" s="69" t="str">
        <f>VLOOKUP($A54,SP_TaxPar_DB[],MATCH(E$2,SP_TaxPar_DB[#Headers],0),FALSE)</f>
        <v>HAYES JEFFERY ETUX BESSIE</v>
      </c>
      <c r="F54" s="69" t="str">
        <f>VLOOKUP($A54,SP_TaxPar_DB[],MATCH(F$2,SP_TaxPar_DB[#Headers],0),FALSE)</f>
        <v>404 S FORD</v>
      </c>
      <c r="G54" s="69" t="str">
        <f>VLOOKUP($A54,SP_TaxPar_DB[],MATCH(G$2,SP_TaxPar_DB[#Headers],0),FALSE)</f>
        <v>WHARTON</v>
      </c>
      <c r="H54" s="69" t="str">
        <f>VLOOKUP($A54,SP_TaxPar_DB[],MATCH(H$2,SP_TaxPar_DB[#Headers],0),FALSE)</f>
        <v>TX</v>
      </c>
      <c r="I54" s="69" t="str">
        <f>VLOOKUP($A54,SP_TaxPar_DB[],MATCH(I$2,SP_TaxPar_DB[#Headers],0),FALSE)</f>
        <v>77488</v>
      </c>
      <c r="J54" s="69" t="str">
        <f>VLOOKUP($A54,SP_TaxPar_DB[],MATCH(J$2,SP_TaxPar_DB[#Headers],0),FALSE)</f>
        <v>322 S FORD</v>
      </c>
      <c r="K54" s="69" t="str">
        <f>VLOOKUP($A54,SP_TaxPar_DB[],MATCH(K$2,SP_TaxPar_DB[#Headers],0),FALSE)</f>
        <v>WM.KINCHELOE BLOCK 63 LOT 182 Acres:0.1664</v>
      </c>
      <c r="L54" s="69">
        <f>VLOOKUP($A54,SP_TaxPar_DB[],MATCH(L$2,SP_TaxPar_DB[#Headers],0),FALSE)</f>
        <v>0</v>
      </c>
      <c r="M54" s="69">
        <f>VLOOKUP($A54,SP_TaxPar_DB[],MATCH(M$2,SP_TaxPar_DB[#Headers],0),FALSE)</f>
        <v>0</v>
      </c>
      <c r="N54" s="69">
        <f>VLOOKUP($A54,SP_TaxPar_DB[],MATCH(N$2,SP_TaxPar_DB[#Headers],0),FALSE)</f>
        <v>0</v>
      </c>
      <c r="O54" s="71">
        <f>VLOOKUP($A54,SP_TaxPar_DB[],MATCH(O$2,SP_TaxPar_DB[#Headers],0),FALSE)</f>
        <v>0</v>
      </c>
      <c r="P54" s="72"/>
      <c r="Q54" s="69"/>
      <c r="R54" s="73"/>
      <c r="S54" s="73"/>
      <c r="T54" s="69"/>
      <c r="U54" s="69"/>
      <c r="V54" s="69"/>
      <c r="W54" s="69"/>
      <c r="X54" s="69"/>
      <c r="Y54" s="69"/>
      <c r="Z54" s="69"/>
      <c r="AA54" s="69"/>
      <c r="AB54" s="74"/>
      <c r="AC54" s="73"/>
      <c r="AD54" s="73"/>
      <c r="AE54" s="74"/>
      <c r="AF54" s="68"/>
      <c r="AG54" s="68"/>
      <c r="AH54" s="74"/>
      <c r="AI54" s="68"/>
      <c r="AJ54" s="68"/>
      <c r="AK54" s="68"/>
      <c r="AL54" s="80"/>
      <c r="AM54" s="81"/>
      <c r="AN54" s="74"/>
      <c r="AO54" s="74"/>
      <c r="AP54" s="74"/>
      <c r="AQ54" s="74"/>
      <c r="AR54" s="74"/>
      <c r="AS54" s="74"/>
      <c r="AT54" s="74"/>
      <c r="AU54" s="74"/>
      <c r="AV54" s="74"/>
      <c r="AW54" s="84"/>
    </row>
    <row r="55" spans="1:49" ht="15.75" hidden="1" x14ac:dyDescent="0.2">
      <c r="A55" s="129" t="s">
        <v>1979</v>
      </c>
      <c r="B55" s="68" t="str">
        <f>VLOOKUP($A55,SP_TaxPar_DB[],MATCH(B$2,SP_TaxPar_DB[#Headers],0),FALSE)</f>
        <v>ENV</v>
      </c>
      <c r="C55" s="67">
        <f>IF(VLOOKUP($A55,SP_TaxPar_DB[],MATCH(C$2,SP_TaxPar_DB[#Headers],0),FALSE)="",0,VLOOKUP($A55,SP_TaxPar_DB[],MATCH(C$2,SP_TaxPar_DB[#Headers],0),FALSE))</f>
        <v>0</v>
      </c>
      <c r="D55" s="67" t="str">
        <f>IF(VLOOKUP($A55,SP_TaxPar_DB[],MATCH(D$2,SP_TaxPar_DB[#Headers],0),FALSE)="",0,VLOOKUP($A55,SP_TaxPar_DB[],MATCH(D$2,SP_TaxPar_DB[#Headers],0),FALSE))</f>
        <v>045</v>
      </c>
      <c r="E55" s="69" t="str">
        <f>VLOOKUP($A55,SP_TaxPar_DB[],MATCH(E$2,SP_TaxPar_DB[#Headers],0),FALSE)</f>
        <v>HAYES BESSIE J</v>
      </c>
      <c r="F55" s="69" t="str">
        <f>VLOOKUP($A55,SP_TaxPar_DB[],MATCH(F$2,SP_TaxPar_DB[#Headers],0),FALSE)</f>
        <v>404 S FORD</v>
      </c>
      <c r="G55" s="69" t="str">
        <f>VLOOKUP($A55,SP_TaxPar_DB[],MATCH(G$2,SP_TaxPar_DB[#Headers],0),FALSE)</f>
        <v>WHARTON</v>
      </c>
      <c r="H55" s="69" t="str">
        <f>VLOOKUP($A55,SP_TaxPar_DB[],MATCH(H$2,SP_TaxPar_DB[#Headers],0),FALSE)</f>
        <v>TX</v>
      </c>
      <c r="I55" s="69" t="str">
        <f>VLOOKUP($A55,SP_TaxPar_DB[],MATCH(I$2,SP_TaxPar_DB[#Headers],0),FALSE)</f>
        <v>77488</v>
      </c>
      <c r="J55" s="69" t="str">
        <f>VLOOKUP($A55,SP_TaxPar_DB[],MATCH(J$2,SP_TaxPar_DB[#Headers],0),FALSE)</f>
        <v>404 S FORD</v>
      </c>
      <c r="K55" s="69" t="str">
        <f>VLOOKUP($A55,SP_TaxPar_DB[],MATCH(K$2,SP_TaxPar_DB[#Headers],0),FALSE)</f>
        <v>WM.KINCHELOE BLOCK 63 LOT 183 1994 FLEETWOOD HOMES SUNCREST 28X48 DW LABEL # TEX0499714 SERIAL # TXFLR84A08412 Acres:0.1664</v>
      </c>
      <c r="L55" s="69">
        <f>VLOOKUP($A55,SP_TaxPar_DB[],MATCH(L$2,SP_TaxPar_DB[#Headers],0),FALSE)</f>
        <v>0</v>
      </c>
      <c r="M55" s="69">
        <f>VLOOKUP($A55,SP_TaxPar_DB[],MATCH(M$2,SP_TaxPar_DB[#Headers],0),FALSE)</f>
        <v>0</v>
      </c>
      <c r="N55" s="69">
        <f>VLOOKUP($A55,SP_TaxPar_DB[],MATCH(N$2,SP_TaxPar_DB[#Headers],0),FALSE)</f>
        <v>0</v>
      </c>
      <c r="O55" s="71">
        <f>VLOOKUP($A55,SP_TaxPar_DB[],MATCH(O$2,SP_TaxPar_DB[#Headers],0),FALSE)</f>
        <v>0</v>
      </c>
      <c r="P55" s="72"/>
      <c r="Q55" s="69"/>
      <c r="R55" s="73"/>
      <c r="S55" s="73"/>
      <c r="T55" s="69"/>
      <c r="U55" s="69"/>
      <c r="V55" s="69"/>
      <c r="W55" s="69"/>
      <c r="X55" s="69"/>
      <c r="Y55" s="69"/>
      <c r="Z55" s="69"/>
      <c r="AA55" s="69"/>
      <c r="AB55" s="74"/>
      <c r="AC55" s="73"/>
      <c r="AD55" s="73"/>
      <c r="AE55" s="74"/>
      <c r="AF55" s="68"/>
      <c r="AG55" s="68"/>
      <c r="AH55" s="74"/>
      <c r="AI55" s="68"/>
      <c r="AJ55" s="68"/>
      <c r="AK55" s="68"/>
      <c r="AL55" s="80"/>
      <c r="AM55" s="81"/>
      <c r="AN55" s="74"/>
      <c r="AO55" s="74"/>
      <c r="AP55" s="74"/>
      <c r="AQ55" s="74"/>
      <c r="AR55" s="74"/>
      <c r="AS55" s="74"/>
      <c r="AT55" s="74"/>
      <c r="AU55" s="74"/>
      <c r="AV55" s="74"/>
      <c r="AW55" s="84"/>
    </row>
    <row r="56" spans="1:49" ht="15.75" hidden="1" x14ac:dyDescent="0.2">
      <c r="A56" s="129" t="s">
        <v>1982</v>
      </c>
      <c r="B56" s="68" t="str">
        <f>VLOOKUP($A56,SP_TaxPar_DB[],MATCH(B$2,SP_TaxPar_DB[#Headers],0),FALSE)</f>
        <v>ENV</v>
      </c>
      <c r="C56" s="67">
        <f>IF(VLOOKUP($A56,SP_TaxPar_DB[],MATCH(C$2,SP_TaxPar_DB[#Headers],0),FALSE)="",0,VLOOKUP($A56,SP_TaxPar_DB[],MATCH(C$2,SP_TaxPar_DB[#Headers],0),FALSE))</f>
        <v>0</v>
      </c>
      <c r="D56" s="67" t="str">
        <f>IF(VLOOKUP($A56,SP_TaxPar_DB[],MATCH(D$2,SP_TaxPar_DB[#Headers],0),FALSE)="",0,VLOOKUP($A56,SP_TaxPar_DB[],MATCH(D$2,SP_TaxPar_DB[#Headers],0),FALSE))</f>
        <v>047</v>
      </c>
      <c r="E56" s="69" t="str">
        <f>VLOOKUP($A56,SP_TaxPar_DB[],MATCH(E$2,SP_TaxPar_DB[#Headers],0),FALSE)</f>
        <v>RODRIGUEZ JULIA R</v>
      </c>
      <c r="F56" s="69" t="str">
        <f>VLOOKUP($A56,SP_TaxPar_DB[],MATCH(F$2,SP_TaxPar_DB[#Headers],0),FALSE)</f>
        <v>408 S FORD</v>
      </c>
      <c r="G56" s="69" t="str">
        <f>VLOOKUP($A56,SP_TaxPar_DB[],MATCH(G$2,SP_TaxPar_DB[#Headers],0),FALSE)</f>
        <v>WHARTON</v>
      </c>
      <c r="H56" s="69" t="str">
        <f>VLOOKUP($A56,SP_TaxPar_DB[],MATCH(H$2,SP_TaxPar_DB[#Headers],0),FALSE)</f>
        <v>TX</v>
      </c>
      <c r="I56" s="69" t="str">
        <f>VLOOKUP($A56,SP_TaxPar_DB[],MATCH(I$2,SP_TaxPar_DB[#Headers],0),FALSE)</f>
        <v>77488</v>
      </c>
      <c r="J56" s="69" t="str">
        <f>VLOOKUP($A56,SP_TaxPar_DB[],MATCH(J$2,SP_TaxPar_DB[#Headers],0),FALSE)</f>
        <v>408 S FORD</v>
      </c>
      <c r="K56" s="69" t="str">
        <f>VLOOKUP($A56,SP_TaxPar_DB[],MATCH(K$2,SP_TaxPar_DB[#Headers],0),FALSE)</f>
        <v>WM.KINCHELOE BLOCK 63 LOT 185,186A Acres:0.2583</v>
      </c>
      <c r="L56" s="69">
        <f>VLOOKUP($A56,SP_TaxPar_DB[],MATCH(L$2,SP_TaxPar_DB[#Headers],0),FALSE)</f>
        <v>0</v>
      </c>
      <c r="M56" s="69">
        <f>VLOOKUP($A56,SP_TaxPar_DB[],MATCH(M$2,SP_TaxPar_DB[#Headers],0),FALSE)</f>
        <v>0</v>
      </c>
      <c r="N56" s="69">
        <f>VLOOKUP($A56,SP_TaxPar_DB[],MATCH(N$2,SP_TaxPar_DB[#Headers],0),FALSE)</f>
        <v>0</v>
      </c>
      <c r="O56" s="71">
        <f>VLOOKUP($A56,SP_TaxPar_DB[],MATCH(O$2,SP_TaxPar_DB[#Headers],0),FALSE)</f>
        <v>0</v>
      </c>
      <c r="P56" s="72"/>
      <c r="Q56" s="69"/>
      <c r="R56" s="73"/>
      <c r="S56" s="73"/>
      <c r="T56" s="69"/>
      <c r="U56" s="69"/>
      <c r="V56" s="69"/>
      <c r="W56" s="69"/>
      <c r="X56" s="69"/>
      <c r="Y56" s="69"/>
      <c r="Z56" s="69"/>
      <c r="AA56" s="69"/>
      <c r="AB56" s="74"/>
      <c r="AC56" s="73"/>
      <c r="AD56" s="73"/>
      <c r="AE56" s="74"/>
      <c r="AF56" s="68"/>
      <c r="AG56" s="68"/>
      <c r="AH56" s="74"/>
      <c r="AI56" s="68"/>
      <c r="AJ56" s="68"/>
      <c r="AK56" s="68"/>
      <c r="AL56" s="80"/>
      <c r="AM56" s="81"/>
      <c r="AN56" s="74"/>
      <c r="AO56" s="74"/>
      <c r="AP56" s="74"/>
      <c r="AQ56" s="74"/>
      <c r="AR56" s="74"/>
      <c r="AS56" s="74"/>
      <c r="AT56" s="74"/>
      <c r="AU56" s="74"/>
      <c r="AV56" s="74"/>
      <c r="AW56" s="84"/>
    </row>
    <row r="57" spans="1:49" ht="15.75" hidden="1" x14ac:dyDescent="0.2">
      <c r="A57" s="129" t="s">
        <v>1986</v>
      </c>
      <c r="B57" s="68" t="str">
        <f>VLOOKUP($A57,SP_TaxPar_DB[],MATCH(B$2,SP_TaxPar_DB[#Headers],0),FALSE)</f>
        <v>ENV</v>
      </c>
      <c r="C57" s="67">
        <f>IF(VLOOKUP($A57,SP_TaxPar_DB[],MATCH(C$2,SP_TaxPar_DB[#Headers],0),FALSE)="",0,VLOOKUP($A57,SP_TaxPar_DB[],MATCH(C$2,SP_TaxPar_DB[#Headers],0),FALSE))</f>
        <v>0</v>
      </c>
      <c r="D57" s="67" t="str">
        <f>IF(VLOOKUP($A57,SP_TaxPar_DB[],MATCH(D$2,SP_TaxPar_DB[#Headers],0),FALSE)="",0,VLOOKUP($A57,SP_TaxPar_DB[],MATCH(D$2,SP_TaxPar_DB[#Headers],0),FALSE))</f>
        <v>048</v>
      </c>
      <c r="E57" s="69" t="str">
        <f>VLOOKUP($A57,SP_TaxPar_DB[],MATCH(E$2,SP_TaxPar_DB[#Headers],0),FALSE)</f>
        <v>LLANES JUANITA</v>
      </c>
      <c r="F57" s="69" t="str">
        <f>VLOOKUP($A57,SP_TaxPar_DB[],MATCH(F$2,SP_TaxPar_DB[#Headers],0),FALSE)</f>
        <v>500 S FORD</v>
      </c>
      <c r="G57" s="69" t="str">
        <f>VLOOKUP($A57,SP_TaxPar_DB[],MATCH(G$2,SP_TaxPar_DB[#Headers],0),FALSE)</f>
        <v>WHARTON</v>
      </c>
      <c r="H57" s="69" t="str">
        <f>VLOOKUP($A57,SP_TaxPar_DB[],MATCH(H$2,SP_TaxPar_DB[#Headers],0),FALSE)</f>
        <v>TX</v>
      </c>
      <c r="I57" s="69" t="str">
        <f>VLOOKUP($A57,SP_TaxPar_DB[],MATCH(I$2,SP_TaxPar_DB[#Headers],0),FALSE)</f>
        <v>77488</v>
      </c>
      <c r="J57" s="69" t="str">
        <f>VLOOKUP($A57,SP_TaxPar_DB[],MATCH(J$2,SP_TaxPar_DB[#Headers],0),FALSE)</f>
        <v>500 S FORD</v>
      </c>
      <c r="K57" s="69" t="str">
        <f>VLOOKUP($A57,SP_TaxPar_DB[],MATCH(K$2,SP_TaxPar_DB[#Headers],0),FALSE)</f>
        <v>WM.KINCHELOE BLOCK 63 LOT 186B,187 Acres:0.2583</v>
      </c>
      <c r="L57" s="69">
        <f>VLOOKUP($A57,SP_TaxPar_DB[],MATCH(L$2,SP_TaxPar_DB[#Headers],0),FALSE)</f>
        <v>0</v>
      </c>
      <c r="M57" s="69">
        <f>VLOOKUP($A57,SP_TaxPar_DB[],MATCH(M$2,SP_TaxPar_DB[#Headers],0),FALSE)</f>
        <v>0</v>
      </c>
      <c r="N57" s="69">
        <f>VLOOKUP($A57,SP_TaxPar_DB[],MATCH(N$2,SP_TaxPar_DB[#Headers],0),FALSE)</f>
        <v>0</v>
      </c>
      <c r="O57" s="71">
        <f>VLOOKUP($A57,SP_TaxPar_DB[],MATCH(O$2,SP_TaxPar_DB[#Headers],0),FALSE)</f>
        <v>0</v>
      </c>
      <c r="P57" s="72"/>
      <c r="Q57" s="69"/>
      <c r="R57" s="73"/>
      <c r="S57" s="73"/>
      <c r="T57" s="69"/>
      <c r="U57" s="69"/>
      <c r="V57" s="69"/>
      <c r="W57" s="69"/>
      <c r="X57" s="69"/>
      <c r="Y57" s="69"/>
      <c r="Z57" s="69"/>
      <c r="AA57" s="69"/>
      <c r="AB57" s="74"/>
      <c r="AC57" s="73"/>
      <c r="AD57" s="73"/>
      <c r="AE57" s="74"/>
      <c r="AF57" s="68"/>
      <c r="AG57" s="68"/>
      <c r="AH57" s="74"/>
      <c r="AI57" s="68"/>
      <c r="AJ57" s="68"/>
      <c r="AK57" s="68"/>
      <c r="AL57" s="80"/>
      <c r="AM57" s="81"/>
      <c r="AN57" s="74"/>
      <c r="AO57" s="74"/>
      <c r="AP57" s="74"/>
      <c r="AQ57" s="74"/>
      <c r="AR57" s="74"/>
      <c r="AS57" s="74"/>
      <c r="AT57" s="74"/>
      <c r="AU57" s="74"/>
      <c r="AV57" s="74"/>
      <c r="AW57" s="84"/>
    </row>
    <row r="58" spans="1:49" ht="15.75" hidden="1" x14ac:dyDescent="0.2">
      <c r="A58" s="129" t="s">
        <v>1990</v>
      </c>
      <c r="B58" s="68" t="str">
        <f>VLOOKUP($A58,SP_TaxPar_DB[],MATCH(B$2,SP_TaxPar_DB[#Headers],0),FALSE)</f>
        <v>ENV</v>
      </c>
      <c r="C58" s="67">
        <f>IF(VLOOKUP($A58,SP_TaxPar_DB[],MATCH(C$2,SP_TaxPar_DB[#Headers],0),FALSE)="",0,VLOOKUP($A58,SP_TaxPar_DB[],MATCH(C$2,SP_TaxPar_DB[#Headers],0),FALSE))</f>
        <v>0</v>
      </c>
      <c r="D58" s="67" t="str">
        <f>IF(VLOOKUP($A58,SP_TaxPar_DB[],MATCH(D$2,SP_TaxPar_DB[#Headers],0),FALSE)="",0,VLOOKUP($A58,SP_TaxPar_DB[],MATCH(D$2,SP_TaxPar_DB[#Headers],0),FALSE))</f>
        <v>049</v>
      </c>
      <c r="E58" s="69" t="str">
        <f>VLOOKUP($A58,SP_TaxPar_DB[],MATCH(E$2,SP_TaxPar_DB[#Headers],0),FALSE)</f>
        <v>NUNEZ ELIDA</v>
      </c>
      <c r="F58" s="69" t="str">
        <f>VLOOKUP($A58,SP_TaxPar_DB[],MATCH(F$2,SP_TaxPar_DB[#Headers],0),FALSE)</f>
        <v>502 S FORD ST</v>
      </c>
      <c r="G58" s="69" t="str">
        <f>VLOOKUP($A58,SP_TaxPar_DB[],MATCH(G$2,SP_TaxPar_DB[#Headers],0),FALSE)</f>
        <v>WHARTON</v>
      </c>
      <c r="H58" s="69" t="str">
        <f>VLOOKUP($A58,SP_TaxPar_DB[],MATCH(H$2,SP_TaxPar_DB[#Headers],0),FALSE)</f>
        <v>TX</v>
      </c>
      <c r="I58" s="69" t="str">
        <f>VLOOKUP($A58,SP_TaxPar_DB[],MATCH(I$2,SP_TaxPar_DB[#Headers],0),FALSE)</f>
        <v>77488</v>
      </c>
      <c r="J58" s="69" t="str">
        <f>VLOOKUP($A58,SP_TaxPar_DB[],MATCH(J$2,SP_TaxPar_DB[#Headers],0),FALSE)</f>
        <v>302 S FORD</v>
      </c>
      <c r="K58" s="69" t="str">
        <f>VLOOKUP($A58,SP_TaxPar_DB[],MATCH(K$2,SP_TaxPar_DB[#Headers],0),FALSE)</f>
        <v>WM.KINCHELOE BLOCK 63 LOT 188 Acres:0.1722</v>
      </c>
      <c r="L58" s="69">
        <f>VLOOKUP($A58,SP_TaxPar_DB[],MATCH(L$2,SP_TaxPar_DB[#Headers],0),FALSE)</f>
        <v>0</v>
      </c>
      <c r="M58" s="69">
        <f>VLOOKUP($A58,SP_TaxPar_DB[],MATCH(M$2,SP_TaxPar_DB[#Headers],0),FALSE)</f>
        <v>0</v>
      </c>
      <c r="N58" s="69">
        <f>VLOOKUP($A58,SP_TaxPar_DB[],MATCH(N$2,SP_TaxPar_DB[#Headers],0),FALSE)</f>
        <v>0</v>
      </c>
      <c r="O58" s="71">
        <f>VLOOKUP($A58,SP_TaxPar_DB[],MATCH(O$2,SP_TaxPar_DB[#Headers],0),FALSE)</f>
        <v>0</v>
      </c>
      <c r="P58" s="72"/>
      <c r="Q58" s="69"/>
      <c r="R58" s="73"/>
      <c r="S58" s="73"/>
      <c r="T58" s="69"/>
      <c r="U58" s="69"/>
      <c r="V58" s="69"/>
      <c r="W58" s="69"/>
      <c r="X58" s="69"/>
      <c r="Y58" s="69"/>
      <c r="Z58" s="69"/>
      <c r="AA58" s="69"/>
      <c r="AB58" s="74"/>
      <c r="AC58" s="73"/>
      <c r="AD58" s="73"/>
      <c r="AE58" s="74"/>
      <c r="AF58" s="68"/>
      <c r="AG58" s="68"/>
      <c r="AH58" s="74"/>
      <c r="AI58" s="68"/>
      <c r="AJ58" s="68"/>
      <c r="AK58" s="68"/>
      <c r="AL58" s="80"/>
      <c r="AM58" s="81"/>
      <c r="AN58" s="74"/>
      <c r="AO58" s="74"/>
      <c r="AP58" s="74"/>
      <c r="AQ58" s="74"/>
      <c r="AR58" s="74"/>
      <c r="AS58" s="74"/>
      <c r="AT58" s="74"/>
      <c r="AU58" s="74"/>
      <c r="AV58" s="74"/>
      <c r="AW58" s="84"/>
    </row>
    <row r="59" spans="1:49" ht="15.75" hidden="1" x14ac:dyDescent="0.2">
      <c r="A59" s="129" t="s">
        <v>1995</v>
      </c>
      <c r="B59" s="68" t="str">
        <f>VLOOKUP($A59,SP_TaxPar_DB[],MATCH(B$2,SP_TaxPar_DB[#Headers],0),FALSE)</f>
        <v>ENV</v>
      </c>
      <c r="C59" s="67">
        <f>IF(VLOOKUP($A59,SP_TaxPar_DB[],MATCH(C$2,SP_TaxPar_DB[#Headers],0),FALSE)="",0,VLOOKUP($A59,SP_TaxPar_DB[],MATCH(C$2,SP_TaxPar_DB[#Headers],0),FALSE))</f>
        <v>0</v>
      </c>
      <c r="D59" s="67" t="str">
        <f>IF(VLOOKUP($A59,SP_TaxPar_DB[],MATCH(D$2,SP_TaxPar_DB[#Headers],0),FALSE)="",0,VLOOKUP($A59,SP_TaxPar_DB[],MATCH(D$2,SP_TaxPar_DB[#Headers],0),FALSE))</f>
        <v>050</v>
      </c>
      <c r="E59" s="69" t="str">
        <f>VLOOKUP($A59,SP_TaxPar_DB[],MATCH(E$2,SP_TaxPar_DB[#Headers],0),FALSE)</f>
        <v>RIVERA ERNEST &amp; ELIDA</v>
      </c>
      <c r="F59" s="69" t="str">
        <f>VLOOKUP($A59,SP_TaxPar_DB[],MATCH(F$2,SP_TaxPar_DB[#Headers],0),FALSE)</f>
        <v>502 S FORD</v>
      </c>
      <c r="G59" s="69" t="str">
        <f>VLOOKUP($A59,SP_TaxPar_DB[],MATCH(G$2,SP_TaxPar_DB[#Headers],0),FALSE)</f>
        <v>WHARTON</v>
      </c>
      <c r="H59" s="69" t="str">
        <f>VLOOKUP($A59,SP_TaxPar_DB[],MATCH(H$2,SP_TaxPar_DB[#Headers],0),FALSE)</f>
        <v>TX</v>
      </c>
      <c r="I59" s="69" t="str">
        <f>VLOOKUP($A59,SP_TaxPar_DB[],MATCH(I$2,SP_TaxPar_DB[#Headers],0),FALSE)</f>
        <v>77488</v>
      </c>
      <c r="J59" s="69" t="str">
        <f>VLOOKUP($A59,SP_TaxPar_DB[],MATCH(J$2,SP_TaxPar_DB[#Headers],0),FALSE)</f>
        <v>502 S FORD</v>
      </c>
      <c r="K59" s="69" t="str">
        <f>VLOOKUP($A59,SP_TaxPar_DB[],MATCH(K$2,SP_TaxPar_DB[#Headers],0),FALSE)</f>
        <v>WM.KINCHELOE BLOCK 63 LOT 189 Acres:0.1722</v>
      </c>
      <c r="L59" s="69">
        <f>VLOOKUP($A59,SP_TaxPar_DB[],MATCH(L$2,SP_TaxPar_DB[#Headers],0),FALSE)</f>
        <v>0</v>
      </c>
      <c r="M59" s="69">
        <f>VLOOKUP($A59,SP_TaxPar_DB[],MATCH(M$2,SP_TaxPar_DB[#Headers],0),FALSE)</f>
        <v>0</v>
      </c>
      <c r="N59" s="69">
        <f>VLOOKUP($A59,SP_TaxPar_DB[],MATCH(N$2,SP_TaxPar_DB[#Headers],0),FALSE)</f>
        <v>0</v>
      </c>
      <c r="O59" s="71">
        <f>VLOOKUP($A59,SP_TaxPar_DB[],MATCH(O$2,SP_TaxPar_DB[#Headers],0),FALSE)</f>
        <v>0</v>
      </c>
      <c r="P59" s="72"/>
      <c r="Q59" s="69"/>
      <c r="R59" s="73"/>
      <c r="S59" s="73"/>
      <c r="T59" s="69"/>
      <c r="U59" s="69"/>
      <c r="V59" s="69"/>
      <c r="W59" s="69"/>
      <c r="X59" s="69"/>
      <c r="Y59" s="69"/>
      <c r="Z59" s="69"/>
      <c r="AA59" s="69"/>
      <c r="AB59" s="74"/>
      <c r="AC59" s="73"/>
      <c r="AD59" s="73"/>
      <c r="AE59" s="74"/>
      <c r="AF59" s="68"/>
      <c r="AG59" s="68"/>
      <c r="AH59" s="74"/>
      <c r="AI59" s="68"/>
      <c r="AJ59" s="68"/>
      <c r="AK59" s="68"/>
      <c r="AL59" s="80"/>
      <c r="AM59" s="81"/>
      <c r="AN59" s="74"/>
      <c r="AO59" s="74"/>
      <c r="AP59" s="74"/>
      <c r="AQ59" s="74"/>
      <c r="AR59" s="74"/>
      <c r="AS59" s="74"/>
      <c r="AT59" s="74"/>
      <c r="AU59" s="74"/>
      <c r="AV59" s="74"/>
      <c r="AW59" s="84"/>
    </row>
    <row r="60" spans="1:49" ht="15.75" hidden="1" x14ac:dyDescent="0.2">
      <c r="A60" s="129" t="s">
        <v>1999</v>
      </c>
      <c r="B60" s="68" t="str">
        <f>VLOOKUP($A60,SP_TaxPar_DB[],MATCH(B$2,SP_TaxPar_DB[#Headers],0),FALSE)</f>
        <v>ENV</v>
      </c>
      <c r="C60" s="67">
        <f>IF(VLOOKUP($A60,SP_TaxPar_DB[],MATCH(C$2,SP_TaxPar_DB[#Headers],0),FALSE)="",0,VLOOKUP($A60,SP_TaxPar_DB[],MATCH(C$2,SP_TaxPar_DB[#Headers],0),FALSE))</f>
        <v>0</v>
      </c>
      <c r="D60" s="67" t="str">
        <f>IF(VLOOKUP($A60,SP_TaxPar_DB[],MATCH(D$2,SP_TaxPar_DB[#Headers],0),FALSE)="",0,VLOOKUP($A60,SP_TaxPar_DB[],MATCH(D$2,SP_TaxPar_DB[#Headers],0),FALSE))</f>
        <v>051</v>
      </c>
      <c r="E60" s="69" t="str">
        <f>VLOOKUP($A60,SP_TaxPar_DB[],MATCH(E$2,SP_TaxPar_DB[#Headers],0),FALSE)</f>
        <v>RIVERA RAUL</v>
      </c>
      <c r="F60" s="69" t="str">
        <f>VLOOKUP($A60,SP_TaxPar_DB[],MATCH(F$2,SP_TaxPar_DB[#Headers],0),FALSE)</f>
        <v>520 S FORD</v>
      </c>
      <c r="G60" s="69" t="str">
        <f>VLOOKUP($A60,SP_TaxPar_DB[],MATCH(G$2,SP_TaxPar_DB[#Headers],0),FALSE)</f>
        <v>WHARTON</v>
      </c>
      <c r="H60" s="69" t="str">
        <f>VLOOKUP($A60,SP_TaxPar_DB[],MATCH(H$2,SP_TaxPar_DB[#Headers],0),FALSE)</f>
        <v>TX</v>
      </c>
      <c r="I60" s="69" t="str">
        <f>VLOOKUP($A60,SP_TaxPar_DB[],MATCH(I$2,SP_TaxPar_DB[#Headers],0),FALSE)</f>
        <v>77488</v>
      </c>
      <c r="J60" s="69" t="str">
        <f>VLOOKUP($A60,SP_TaxPar_DB[],MATCH(J$2,SP_TaxPar_DB[#Headers],0),FALSE)</f>
        <v>504 S FORD</v>
      </c>
      <c r="K60" s="69" t="str">
        <f>VLOOKUP($A60,SP_TaxPar_DB[],MATCH(K$2,SP_TaxPar_DB[#Headers],0),FALSE)</f>
        <v>WM.KINCHELOE BLOCK 63 LOT 190 Acres:0.1722</v>
      </c>
      <c r="L60" s="69">
        <f>VLOOKUP($A60,SP_TaxPar_DB[],MATCH(L$2,SP_TaxPar_DB[#Headers],0),FALSE)</f>
        <v>0</v>
      </c>
      <c r="M60" s="69">
        <f>VLOOKUP($A60,SP_TaxPar_DB[],MATCH(M$2,SP_TaxPar_DB[#Headers],0),FALSE)</f>
        <v>0</v>
      </c>
      <c r="N60" s="69">
        <f>VLOOKUP($A60,SP_TaxPar_DB[],MATCH(N$2,SP_TaxPar_DB[#Headers],0),FALSE)</f>
        <v>0</v>
      </c>
      <c r="O60" s="71">
        <f>VLOOKUP($A60,SP_TaxPar_DB[],MATCH(O$2,SP_TaxPar_DB[#Headers],0),FALSE)</f>
        <v>0</v>
      </c>
      <c r="P60" s="72"/>
      <c r="Q60" s="69"/>
      <c r="R60" s="73"/>
      <c r="S60" s="73"/>
      <c r="T60" s="69"/>
      <c r="U60" s="69"/>
      <c r="V60" s="69"/>
      <c r="W60" s="69"/>
      <c r="X60" s="69"/>
      <c r="Y60" s="69"/>
      <c r="Z60" s="69"/>
      <c r="AA60" s="69"/>
      <c r="AB60" s="74"/>
      <c r="AC60" s="73"/>
      <c r="AD60" s="73"/>
      <c r="AE60" s="74"/>
      <c r="AF60" s="68"/>
      <c r="AG60" s="68"/>
      <c r="AH60" s="74"/>
      <c r="AI60" s="68"/>
      <c r="AJ60" s="68"/>
      <c r="AK60" s="68"/>
      <c r="AL60" s="80"/>
      <c r="AM60" s="81"/>
      <c r="AN60" s="74"/>
      <c r="AO60" s="74"/>
      <c r="AP60" s="74"/>
      <c r="AQ60" s="74"/>
      <c r="AR60" s="74"/>
      <c r="AS60" s="74"/>
      <c r="AT60" s="74"/>
      <c r="AU60" s="74"/>
      <c r="AV60" s="74"/>
      <c r="AW60" s="84"/>
    </row>
    <row r="61" spans="1:49" ht="15.75" hidden="1" x14ac:dyDescent="0.2">
      <c r="A61" s="129" t="s">
        <v>2004</v>
      </c>
      <c r="B61" s="68" t="str">
        <f>VLOOKUP($A61,SP_TaxPar_DB[],MATCH(B$2,SP_TaxPar_DB[#Headers],0),FALSE)</f>
        <v>ENV</v>
      </c>
      <c r="C61" s="67">
        <f>IF(VLOOKUP($A61,SP_TaxPar_DB[],MATCH(C$2,SP_TaxPar_DB[#Headers],0),FALSE)="",0,VLOOKUP($A61,SP_TaxPar_DB[],MATCH(C$2,SP_TaxPar_DB[#Headers],0),FALSE))</f>
        <v>0</v>
      </c>
      <c r="D61" s="67" t="str">
        <f>IF(VLOOKUP($A61,SP_TaxPar_DB[],MATCH(D$2,SP_TaxPar_DB[#Headers],0),FALSE)="",0,VLOOKUP($A61,SP_TaxPar_DB[],MATCH(D$2,SP_TaxPar_DB[#Headers],0),FALSE))</f>
        <v>052</v>
      </c>
      <c r="E61" s="69" t="str">
        <f>VLOOKUP($A61,SP_TaxPar_DB[],MATCH(E$2,SP_TaxPar_DB[#Headers],0),FALSE)</f>
        <v>ANDERSON VELMA L ESTATE</v>
      </c>
      <c r="F61" s="69" t="str">
        <f>VLOOKUP($A61,SP_TaxPar_DB[],MATCH(F$2,SP_TaxPar_DB[#Headers],0),FALSE)</f>
        <v>4530 CR 166 RD</v>
      </c>
      <c r="G61" s="69" t="str">
        <f>VLOOKUP($A61,SP_TaxPar_DB[],MATCH(G$2,SP_TaxPar_DB[#Headers],0),FALSE)</f>
        <v>WHARTON</v>
      </c>
      <c r="H61" s="69" t="str">
        <f>VLOOKUP($A61,SP_TaxPar_DB[],MATCH(H$2,SP_TaxPar_DB[#Headers],0),FALSE)</f>
        <v>TX</v>
      </c>
      <c r="I61" s="69" t="str">
        <f>VLOOKUP($A61,SP_TaxPar_DB[],MATCH(I$2,SP_TaxPar_DB[#Headers],0),FALSE)</f>
        <v>77488</v>
      </c>
      <c r="J61" s="69" t="str">
        <f>VLOOKUP($A61,SP_TaxPar_DB[],MATCH(J$2,SP_TaxPar_DB[#Headers],0),FALSE)</f>
        <v>510 S FORD</v>
      </c>
      <c r="K61" s="69" t="str">
        <f>VLOOKUP($A61,SP_TaxPar_DB[],MATCH(K$2,SP_TaxPar_DB[#Headers],0),FALSE)</f>
        <v>WM.KINCHELOE BLOCK 63 LOT 191 Acres:0.1722</v>
      </c>
      <c r="L61" s="69">
        <f>VLOOKUP($A61,SP_TaxPar_DB[],MATCH(L$2,SP_TaxPar_DB[#Headers],0),FALSE)</f>
        <v>0</v>
      </c>
      <c r="M61" s="69">
        <f>VLOOKUP($A61,SP_TaxPar_DB[],MATCH(M$2,SP_TaxPar_DB[#Headers],0),FALSE)</f>
        <v>0</v>
      </c>
      <c r="N61" s="69">
        <f>VLOOKUP($A61,SP_TaxPar_DB[],MATCH(N$2,SP_TaxPar_DB[#Headers],0),FALSE)</f>
        <v>0</v>
      </c>
      <c r="O61" s="71">
        <f>VLOOKUP($A61,SP_TaxPar_DB[],MATCH(O$2,SP_TaxPar_DB[#Headers],0),FALSE)</f>
        <v>0</v>
      </c>
      <c r="P61" s="72"/>
      <c r="Q61" s="69"/>
      <c r="R61" s="73"/>
      <c r="S61" s="73"/>
      <c r="T61" s="69"/>
      <c r="U61" s="69"/>
      <c r="V61" s="69"/>
      <c r="W61" s="69"/>
      <c r="X61" s="69"/>
      <c r="Y61" s="69"/>
      <c r="Z61" s="69"/>
      <c r="AA61" s="69"/>
      <c r="AB61" s="74"/>
      <c r="AC61" s="73"/>
      <c r="AD61" s="73"/>
      <c r="AE61" s="74"/>
      <c r="AF61" s="68"/>
      <c r="AG61" s="68"/>
      <c r="AH61" s="74"/>
      <c r="AI61" s="68"/>
      <c r="AJ61" s="68"/>
      <c r="AK61" s="68"/>
      <c r="AL61" s="80"/>
      <c r="AM61" s="81"/>
      <c r="AN61" s="74"/>
      <c r="AO61" s="74"/>
      <c r="AP61" s="74"/>
      <c r="AQ61" s="74"/>
      <c r="AR61" s="74"/>
      <c r="AS61" s="74"/>
      <c r="AT61" s="74"/>
      <c r="AU61" s="74"/>
      <c r="AV61" s="74"/>
      <c r="AW61" s="84"/>
    </row>
    <row r="62" spans="1:49" ht="15.75" hidden="1" x14ac:dyDescent="0.2">
      <c r="A62" s="129" t="s">
        <v>2009</v>
      </c>
      <c r="B62" s="68" t="str">
        <f>VLOOKUP($A62,SP_TaxPar_DB[],MATCH(B$2,SP_TaxPar_DB[#Headers],0),FALSE)</f>
        <v>ENV</v>
      </c>
      <c r="C62" s="67">
        <f>IF(VLOOKUP($A62,SP_TaxPar_DB[],MATCH(C$2,SP_TaxPar_DB[#Headers],0),FALSE)="",0,VLOOKUP($A62,SP_TaxPar_DB[],MATCH(C$2,SP_TaxPar_DB[#Headers],0),FALSE))</f>
        <v>0</v>
      </c>
      <c r="D62" s="67" t="str">
        <f>IF(VLOOKUP($A62,SP_TaxPar_DB[],MATCH(D$2,SP_TaxPar_DB[#Headers],0),FALSE)="",0,VLOOKUP($A62,SP_TaxPar_DB[],MATCH(D$2,SP_TaxPar_DB[#Headers],0),FALSE))</f>
        <v>053</v>
      </c>
      <c r="E62" s="69" t="str">
        <f>VLOOKUP($A62,SP_TaxPar_DB[],MATCH(E$2,SP_TaxPar_DB[#Headers],0),FALSE)</f>
        <v>JC RENTALS LLC</v>
      </c>
      <c r="F62" s="69" t="str">
        <f>VLOOKUP($A62,SP_TaxPar_DB[],MATCH(F$2,SP_TaxPar_DB[#Headers],0),FALSE)</f>
        <v>PO BOX 223</v>
      </c>
      <c r="G62" s="69" t="str">
        <f>VLOOKUP($A62,SP_TaxPar_DB[],MATCH(G$2,SP_TaxPar_DB[#Headers],0),FALSE)</f>
        <v>HUNGERFORD</v>
      </c>
      <c r="H62" s="69" t="str">
        <f>VLOOKUP($A62,SP_TaxPar_DB[],MATCH(H$2,SP_TaxPar_DB[#Headers],0),FALSE)</f>
        <v>TX</v>
      </c>
      <c r="I62" s="69" t="str">
        <f>VLOOKUP($A62,SP_TaxPar_DB[],MATCH(I$2,SP_TaxPar_DB[#Headers],0),FALSE)</f>
        <v>77448</v>
      </c>
      <c r="J62" s="69" t="str">
        <f>VLOOKUP($A62,SP_TaxPar_DB[],MATCH(J$2,SP_TaxPar_DB[#Headers],0),FALSE)</f>
        <v>516 S FORD</v>
      </c>
      <c r="K62" s="69" t="str">
        <f>VLOOKUP($A62,SP_TaxPar_DB[],MATCH(K$2,SP_TaxPar_DB[#Headers],0),FALSE)</f>
        <v>WM.KINCHELOE BLOCK 63 LOT 192 Acres:0.1722</v>
      </c>
      <c r="L62" s="69">
        <f>VLOOKUP($A62,SP_TaxPar_DB[],MATCH(L$2,SP_TaxPar_DB[#Headers],0),FALSE)</f>
        <v>0</v>
      </c>
      <c r="M62" s="69">
        <f>VLOOKUP($A62,SP_TaxPar_DB[],MATCH(M$2,SP_TaxPar_DB[#Headers],0),FALSE)</f>
        <v>0</v>
      </c>
      <c r="N62" s="69">
        <f>VLOOKUP($A62,SP_TaxPar_DB[],MATCH(N$2,SP_TaxPar_DB[#Headers],0),FALSE)</f>
        <v>0</v>
      </c>
      <c r="O62" s="71">
        <f>VLOOKUP($A62,SP_TaxPar_DB[],MATCH(O$2,SP_TaxPar_DB[#Headers],0),FALSE)</f>
        <v>0</v>
      </c>
      <c r="P62" s="72"/>
      <c r="Q62" s="69"/>
      <c r="R62" s="73"/>
      <c r="S62" s="73"/>
      <c r="T62" s="69"/>
      <c r="U62" s="69"/>
      <c r="V62" s="69"/>
      <c r="W62" s="69"/>
      <c r="X62" s="69"/>
      <c r="Y62" s="69"/>
      <c r="Z62" s="69"/>
      <c r="AA62" s="69"/>
      <c r="AB62" s="74"/>
      <c r="AC62" s="73"/>
      <c r="AD62" s="73"/>
      <c r="AE62" s="74"/>
      <c r="AF62" s="68"/>
      <c r="AG62" s="68"/>
      <c r="AH62" s="74"/>
      <c r="AI62" s="68"/>
      <c r="AJ62" s="68"/>
      <c r="AK62" s="68"/>
      <c r="AL62" s="80"/>
      <c r="AM62" s="81"/>
      <c r="AN62" s="74"/>
      <c r="AO62" s="74"/>
      <c r="AP62" s="74"/>
      <c r="AQ62" s="74"/>
      <c r="AR62" s="74"/>
      <c r="AS62" s="74"/>
      <c r="AT62" s="74"/>
      <c r="AU62" s="74"/>
      <c r="AV62" s="74"/>
      <c r="AW62" s="84"/>
    </row>
    <row r="63" spans="1:49" ht="15.75" hidden="1" x14ac:dyDescent="0.2">
      <c r="A63" s="129" t="s">
        <v>2016</v>
      </c>
      <c r="B63" s="68" t="str">
        <f>VLOOKUP($A63,SP_TaxPar_DB[],MATCH(B$2,SP_TaxPar_DB[#Headers],0),FALSE)</f>
        <v>ENV</v>
      </c>
      <c r="C63" s="67">
        <f>IF(VLOOKUP($A63,SP_TaxPar_DB[],MATCH(C$2,SP_TaxPar_DB[#Headers],0),FALSE)="",0,VLOOKUP($A63,SP_TaxPar_DB[],MATCH(C$2,SP_TaxPar_DB[#Headers],0),FALSE))</f>
        <v>0</v>
      </c>
      <c r="D63" s="67" t="str">
        <f>IF(VLOOKUP($A63,SP_TaxPar_DB[],MATCH(D$2,SP_TaxPar_DB[#Headers],0),FALSE)="",0,VLOOKUP($A63,SP_TaxPar_DB[],MATCH(D$2,SP_TaxPar_DB[#Headers],0),FALSE))</f>
        <v>054</v>
      </c>
      <c r="E63" s="69" t="str">
        <f>VLOOKUP($A63,SP_TaxPar_DB[],MATCH(E$2,SP_TaxPar_DB[#Headers],0),FALSE)</f>
        <v>RIVERA RAUL</v>
      </c>
      <c r="F63" s="69" t="str">
        <f>VLOOKUP($A63,SP_TaxPar_DB[],MATCH(F$2,SP_TaxPar_DB[#Headers],0),FALSE)</f>
        <v>520 S FORD</v>
      </c>
      <c r="G63" s="69" t="str">
        <f>VLOOKUP($A63,SP_TaxPar_DB[],MATCH(G$2,SP_TaxPar_DB[#Headers],0),FALSE)</f>
        <v>WHARTON</v>
      </c>
      <c r="H63" s="69" t="str">
        <f>VLOOKUP($A63,SP_TaxPar_DB[],MATCH(H$2,SP_TaxPar_DB[#Headers],0),FALSE)</f>
        <v>TX</v>
      </c>
      <c r="I63" s="69" t="str">
        <f>VLOOKUP($A63,SP_TaxPar_DB[],MATCH(I$2,SP_TaxPar_DB[#Headers],0),FALSE)</f>
        <v>77488</v>
      </c>
      <c r="J63" s="69" t="str">
        <f>VLOOKUP($A63,SP_TaxPar_DB[],MATCH(J$2,SP_TaxPar_DB[#Headers],0),FALSE)</f>
        <v>520 S FORD</v>
      </c>
      <c r="K63" s="69" t="str">
        <f>VLOOKUP($A63,SP_TaxPar_DB[],MATCH(K$2,SP_TaxPar_DB[#Headers],0),FALSE)</f>
        <v>WM.KINCHELOE BLOCK 63 LOT 193 Acres:0.1722</v>
      </c>
      <c r="L63" s="69">
        <f>VLOOKUP($A63,SP_TaxPar_DB[],MATCH(L$2,SP_TaxPar_DB[#Headers],0),FALSE)</f>
        <v>0</v>
      </c>
      <c r="M63" s="69">
        <f>VLOOKUP($A63,SP_TaxPar_DB[],MATCH(M$2,SP_TaxPar_DB[#Headers],0),FALSE)</f>
        <v>0</v>
      </c>
      <c r="N63" s="69">
        <f>VLOOKUP($A63,SP_TaxPar_DB[],MATCH(N$2,SP_TaxPar_DB[#Headers],0),FALSE)</f>
        <v>0</v>
      </c>
      <c r="O63" s="71">
        <f>VLOOKUP($A63,SP_TaxPar_DB[],MATCH(O$2,SP_TaxPar_DB[#Headers],0),FALSE)</f>
        <v>0</v>
      </c>
      <c r="P63" s="72"/>
      <c r="Q63" s="69"/>
      <c r="R63" s="73"/>
      <c r="S63" s="73"/>
      <c r="T63" s="69"/>
      <c r="U63" s="69"/>
      <c r="V63" s="69"/>
      <c r="W63" s="69"/>
      <c r="X63" s="69"/>
      <c r="Y63" s="69"/>
      <c r="Z63" s="69"/>
      <c r="AA63" s="69"/>
      <c r="AB63" s="74"/>
      <c r="AC63" s="73"/>
      <c r="AD63" s="73"/>
      <c r="AE63" s="74"/>
      <c r="AF63" s="68"/>
      <c r="AG63" s="68"/>
      <c r="AH63" s="74"/>
      <c r="AI63" s="68"/>
      <c r="AJ63" s="68"/>
      <c r="AK63" s="68"/>
      <c r="AL63" s="80"/>
      <c r="AM63" s="81"/>
      <c r="AN63" s="74"/>
      <c r="AO63" s="74"/>
      <c r="AP63" s="74"/>
      <c r="AQ63" s="74"/>
      <c r="AR63" s="74"/>
      <c r="AS63" s="74"/>
      <c r="AT63" s="74"/>
      <c r="AU63" s="74"/>
      <c r="AV63" s="74"/>
      <c r="AW63" s="84"/>
    </row>
    <row r="64" spans="1:49" ht="15.75" hidden="1" x14ac:dyDescent="0.2">
      <c r="A64" s="129" t="s">
        <v>2018</v>
      </c>
      <c r="B64" s="68" t="str">
        <f>VLOOKUP($A64,SP_TaxPar_DB[],MATCH(B$2,SP_TaxPar_DB[#Headers],0),FALSE)</f>
        <v>ENV</v>
      </c>
      <c r="C64" s="67">
        <f>IF(VLOOKUP($A64,SP_TaxPar_DB[],MATCH(C$2,SP_TaxPar_DB[#Headers],0),FALSE)="",0,VLOOKUP($A64,SP_TaxPar_DB[],MATCH(C$2,SP_TaxPar_DB[#Headers],0),FALSE))</f>
        <v>0</v>
      </c>
      <c r="D64" s="67" t="str">
        <f>IF(VLOOKUP($A64,SP_TaxPar_DB[],MATCH(D$2,SP_TaxPar_DB[#Headers],0),FALSE)="",0,VLOOKUP($A64,SP_TaxPar_DB[],MATCH(D$2,SP_TaxPar_DB[#Headers],0),FALSE))</f>
        <v>055</v>
      </c>
      <c r="E64" s="69" t="str">
        <f>VLOOKUP($A64,SP_TaxPar_DB[],MATCH(E$2,SP_TaxPar_DB[#Headers],0),FALSE)</f>
        <v>RODRIGUEZ ELIAS M</v>
      </c>
      <c r="F64" s="69" t="str">
        <f>VLOOKUP($A64,SP_TaxPar_DB[],MATCH(F$2,SP_TaxPar_DB[#Headers],0),FALSE)</f>
        <v>408 S FORD</v>
      </c>
      <c r="G64" s="69" t="str">
        <f>VLOOKUP($A64,SP_TaxPar_DB[],MATCH(G$2,SP_TaxPar_DB[#Headers],0),FALSE)</f>
        <v>WHARTON</v>
      </c>
      <c r="H64" s="69" t="str">
        <f>VLOOKUP($A64,SP_TaxPar_DB[],MATCH(H$2,SP_TaxPar_DB[#Headers],0),FALSE)</f>
        <v>TX</v>
      </c>
      <c r="I64" s="69" t="str">
        <f>VLOOKUP($A64,SP_TaxPar_DB[],MATCH(I$2,SP_TaxPar_DB[#Headers],0),FALSE)</f>
        <v>77488</v>
      </c>
      <c r="J64" s="69" t="str">
        <f>VLOOKUP($A64,SP_TaxPar_DB[],MATCH(J$2,SP_TaxPar_DB[#Headers],0),FALSE)</f>
        <v>528 S FORD</v>
      </c>
      <c r="K64" s="69" t="str">
        <f>VLOOKUP($A64,SP_TaxPar_DB[],MATCH(K$2,SP_TaxPar_DB[#Headers],0),FALSE)</f>
        <v>WM.KINCHELOE BLOCK 63 LOT 195 Acres:0.1722</v>
      </c>
      <c r="L64" s="69">
        <f>VLOOKUP($A64,SP_TaxPar_DB[],MATCH(L$2,SP_TaxPar_DB[#Headers],0),FALSE)</f>
        <v>0</v>
      </c>
      <c r="M64" s="69">
        <f>VLOOKUP($A64,SP_TaxPar_DB[],MATCH(M$2,SP_TaxPar_DB[#Headers],0),FALSE)</f>
        <v>0</v>
      </c>
      <c r="N64" s="69">
        <f>VLOOKUP($A64,SP_TaxPar_DB[],MATCH(N$2,SP_TaxPar_DB[#Headers],0),FALSE)</f>
        <v>0</v>
      </c>
      <c r="O64" s="71">
        <f>VLOOKUP($A64,SP_TaxPar_DB[],MATCH(O$2,SP_TaxPar_DB[#Headers],0),FALSE)</f>
        <v>0</v>
      </c>
      <c r="P64" s="72"/>
      <c r="Q64" s="69"/>
      <c r="R64" s="73"/>
      <c r="S64" s="73"/>
      <c r="T64" s="69"/>
      <c r="U64" s="69"/>
      <c r="V64" s="69"/>
      <c r="W64" s="69"/>
      <c r="X64" s="69"/>
      <c r="Y64" s="69"/>
      <c r="Z64" s="69"/>
      <c r="AA64" s="69"/>
      <c r="AB64" s="74"/>
      <c r="AC64" s="73"/>
      <c r="AD64" s="73"/>
      <c r="AE64" s="74"/>
      <c r="AF64" s="68"/>
      <c r="AG64" s="68"/>
      <c r="AH64" s="74"/>
      <c r="AI64" s="68"/>
      <c r="AJ64" s="68"/>
      <c r="AK64" s="68"/>
      <c r="AL64" s="80"/>
      <c r="AM64" s="81"/>
      <c r="AN64" s="74"/>
      <c r="AO64" s="74"/>
      <c r="AP64" s="74"/>
      <c r="AQ64" s="74"/>
      <c r="AR64" s="74"/>
      <c r="AS64" s="74"/>
      <c r="AT64" s="74"/>
      <c r="AU64" s="74"/>
      <c r="AV64" s="74"/>
      <c r="AW64" s="84"/>
    </row>
    <row r="65" spans="1:49" ht="15.75" hidden="1" x14ac:dyDescent="0.2">
      <c r="A65" s="129" t="s">
        <v>292</v>
      </c>
      <c r="B65" s="68" t="str">
        <f>VLOOKUP($A65,SP_TaxPar_DB[],MATCH(B$2,SP_TaxPar_DB[#Headers],0),FALSE)</f>
        <v>PH1</v>
      </c>
      <c r="C65" s="67" t="str">
        <f>IF(VLOOKUP($A65,SP_TaxPar_DB[],MATCH(C$2,SP_TaxPar_DB[#Headers],0),FALSE)="",0,VLOOKUP($A65,SP_TaxPar_DB[],MATCH(C$2,SP_TaxPar_DB[#Headers],0),FALSE))</f>
        <v>302</v>
      </c>
      <c r="D65" s="67">
        <f>IF(VLOOKUP($A65,SP_TaxPar_DB[],MATCH(D$2,SP_TaxPar_DB[#Headers],0),FALSE)="",0,VLOOKUP($A65,SP_TaxPar_DB[],MATCH(D$2,SP_TaxPar_DB[#Headers],0),FALSE))</f>
        <v>0</v>
      </c>
      <c r="E65" s="69" t="str">
        <f>VLOOKUP($A65,SP_TaxPar_DB[],MATCH(E$2,SP_TaxPar_DB[#Headers],0),FALSE)</f>
        <v>Elias Rodriguez, Deceased - wife Julia R Rodriguez</v>
      </c>
      <c r="F65" s="69" t="str">
        <f>VLOOKUP($A65,SP_TaxPar_DB[],MATCH(F$2,SP_TaxPar_DB[#Headers],0),FALSE)</f>
        <v>408 S. Ford Street</v>
      </c>
      <c r="G65" s="69" t="str">
        <f>VLOOKUP($A65,SP_TaxPar_DB[],MATCH(G$2,SP_TaxPar_DB[#Headers],0),FALSE)</f>
        <v>Wharton</v>
      </c>
      <c r="H65" s="69" t="str">
        <f>VLOOKUP($A65,SP_TaxPar_DB[],MATCH(H$2,SP_TaxPar_DB[#Headers],0),FALSE)</f>
        <v>TX</v>
      </c>
      <c r="I65" s="69" t="str">
        <f>VLOOKUP($A65,SP_TaxPar_DB[],MATCH(I$2,SP_TaxPar_DB[#Headers],0),FALSE)</f>
        <v>77488</v>
      </c>
      <c r="J65" s="69" t="str">
        <f>VLOOKUP($A65,SP_TaxPar_DB[],MATCH(J$2,SP_TaxPar_DB[#Headers],0),FALSE)</f>
        <v>560 S Ford</v>
      </c>
      <c r="K65" s="69" t="str">
        <f>VLOOKUP($A65,SP_TaxPar_DB[],MATCH(K$2,SP_TaxPar_DB[#Headers],0),FALSE)</f>
        <v>Wm Kincheloe Block 63 Lot 196</v>
      </c>
      <c r="L65" s="69">
        <f>VLOOKUP($A65,SP_TaxPar_DB[],MATCH(L$2,SP_TaxPar_DB[#Headers],0),FALSE)</f>
        <v>0.17219999999999999</v>
      </c>
      <c r="M65" s="69" t="str">
        <f>VLOOKUP($A65,SP_TaxPar_DB[],MATCH(M$2,SP_TaxPar_DB[#Headers],0),FALSE)</f>
        <v>Res -Vacant</v>
      </c>
      <c r="N65" s="69">
        <f>VLOOKUP($A65,SP_TaxPar_DB[],MATCH(N$2,SP_TaxPar_DB[#Headers],0),FALSE)</f>
        <v>0</v>
      </c>
      <c r="O65" s="71" t="str">
        <f>VLOOKUP($A65,SP_TaxPar_DB[],MATCH(O$2,SP_TaxPar_DB[#Headers],0),FALSE)</f>
        <v>Tax Card address is PO Box 244, Weimer, TX 78962-0244 - ALL Mail is returned</v>
      </c>
      <c r="P65" s="72"/>
      <c r="Q65" s="69"/>
      <c r="R65" s="73"/>
      <c r="S65" s="73"/>
      <c r="T65" s="69"/>
      <c r="U65" s="69"/>
      <c r="V65" s="69"/>
      <c r="W65" s="69"/>
      <c r="X65" s="69"/>
      <c r="Y65" s="69"/>
      <c r="Z65" s="69"/>
      <c r="AA65" s="69"/>
      <c r="AB65" s="74"/>
      <c r="AC65" s="73"/>
      <c r="AD65" s="73"/>
      <c r="AE65" s="74"/>
      <c r="AF65" s="68"/>
      <c r="AG65" s="68"/>
      <c r="AH65" s="74"/>
      <c r="AI65" s="68"/>
      <c r="AJ65" s="68"/>
      <c r="AK65" s="68"/>
      <c r="AL65" s="80"/>
      <c r="AM65" s="81"/>
      <c r="AN65" s="74"/>
      <c r="AO65" s="74"/>
      <c r="AP65" s="74"/>
      <c r="AQ65" s="74"/>
      <c r="AR65" s="74"/>
      <c r="AS65" s="74"/>
      <c r="AT65" s="74"/>
      <c r="AU65" s="74"/>
      <c r="AV65" s="74"/>
      <c r="AW65" s="84"/>
    </row>
    <row r="66" spans="1:49" ht="15.75" hidden="1" x14ac:dyDescent="0.2">
      <c r="A66" s="129" t="s">
        <v>172</v>
      </c>
      <c r="B66" s="68" t="str">
        <f>VLOOKUP($A66,SP_TaxPar_DB[],MATCH(B$2,SP_TaxPar_DB[#Headers],0),FALSE)</f>
        <v>PH1</v>
      </c>
      <c r="C66" s="67" t="str">
        <f>IF(VLOOKUP($A66,SP_TaxPar_DB[],MATCH(C$2,SP_TaxPar_DB[#Headers],0),FALSE)="",0,VLOOKUP($A66,SP_TaxPar_DB[],MATCH(C$2,SP_TaxPar_DB[#Headers],0),FALSE))</f>
        <v>303</v>
      </c>
      <c r="D66" s="67">
        <f>IF(VLOOKUP($A66,SP_TaxPar_DB[],MATCH(D$2,SP_TaxPar_DB[#Headers],0),FALSE)="",0,VLOOKUP($A66,SP_TaxPar_DB[],MATCH(D$2,SP_TaxPar_DB[#Headers],0),FALSE))</f>
        <v>0</v>
      </c>
      <c r="E66" s="69" t="str">
        <f>VLOOKUP($A66,SP_TaxPar_DB[],MATCH(E$2,SP_TaxPar_DB[#Headers],0),FALSE)</f>
        <v>David A Pascoe</v>
      </c>
      <c r="F66" s="69" t="str">
        <f>VLOOKUP($A66,SP_TaxPar_DB[],MATCH(F$2,SP_TaxPar_DB[#Headers],0),FALSE)</f>
        <v>310 Paulus</v>
      </c>
      <c r="G66" s="69" t="str">
        <f>VLOOKUP($A66,SP_TaxPar_DB[],MATCH(G$2,SP_TaxPar_DB[#Headers],0),FALSE)</f>
        <v>Schulenburg</v>
      </c>
      <c r="H66" s="69" t="str">
        <f>VLOOKUP($A66,SP_TaxPar_DB[],MATCH(H$2,SP_TaxPar_DB[#Headers],0),FALSE)</f>
        <v>TX</v>
      </c>
      <c r="I66" s="69" t="str">
        <f>VLOOKUP($A66,SP_TaxPar_DB[],MATCH(I$2,SP_TaxPar_DB[#Headers],0),FALSE)</f>
        <v>78956</v>
      </c>
      <c r="J66" s="69" t="str">
        <f>VLOOKUP($A66,SP_TaxPar_DB[],MATCH(J$2,SP_TaxPar_DB[#Headers],0),FALSE)</f>
        <v>532 S Ford</v>
      </c>
      <c r="K66" s="69" t="str">
        <f>VLOOKUP($A66,SP_TaxPar_DB[],MATCH(K$2,SP_TaxPar_DB[#Headers],0),FALSE)</f>
        <v>Wm Kincheloe Block 63 Lot 197</v>
      </c>
      <c r="L66" s="69">
        <f>VLOOKUP($A66,SP_TaxPar_DB[],MATCH(L$2,SP_TaxPar_DB[#Headers],0),FALSE)</f>
        <v>0.18940000000000001</v>
      </c>
      <c r="M66" s="69" t="str">
        <f>VLOOKUP($A66,SP_TaxPar_DB[],MATCH(M$2,SP_TaxPar_DB[#Headers],0),FALSE)</f>
        <v>Residential</v>
      </c>
      <c r="N66" s="69" t="str">
        <f>VLOOKUP($A66,SP_TaxPar_DB[],MATCH(N$2,SP_TaxPar_DB[#Headers],0),FALSE)</f>
        <v>648 / 487</v>
      </c>
      <c r="O66" s="71">
        <f>VLOOKUP($A66,SP_TaxPar_DB[],MATCH(O$2,SP_TaxPar_DB[#Headers],0),FALSE)</f>
        <v>0</v>
      </c>
      <c r="P66" s="72"/>
      <c r="Q66" s="69"/>
      <c r="R66" s="73"/>
      <c r="S66" s="73"/>
      <c r="T66" s="69"/>
      <c r="U66" s="69"/>
      <c r="V66" s="69"/>
      <c r="W66" s="69"/>
      <c r="X66" s="69"/>
      <c r="Y66" s="69"/>
      <c r="Z66" s="69"/>
      <c r="AA66" s="69"/>
      <c r="AB66" s="74"/>
      <c r="AC66" s="73"/>
      <c r="AD66" s="73"/>
      <c r="AE66" s="74"/>
      <c r="AF66" s="68"/>
      <c r="AG66" s="68"/>
      <c r="AH66" s="74"/>
      <c r="AI66" s="68"/>
      <c r="AJ66" s="68"/>
      <c r="AK66" s="68"/>
      <c r="AL66" s="80"/>
      <c r="AM66" s="81"/>
      <c r="AN66" s="74"/>
      <c r="AO66" s="74"/>
      <c r="AP66" s="74"/>
      <c r="AQ66" s="74"/>
      <c r="AR66" s="74"/>
      <c r="AS66" s="74"/>
      <c r="AT66" s="74"/>
      <c r="AU66" s="74"/>
      <c r="AV66" s="74"/>
      <c r="AW66" s="84"/>
    </row>
    <row r="67" spans="1:49" ht="15.75" hidden="1" x14ac:dyDescent="0.2">
      <c r="A67" s="129" t="s">
        <v>301</v>
      </c>
      <c r="B67" s="68" t="str">
        <f>VLOOKUP($A67,SP_TaxPar_DB[],MATCH(B$2,SP_TaxPar_DB[#Headers],0),FALSE)</f>
        <v>PH1</v>
      </c>
      <c r="C67" s="67" t="str">
        <f>IF(VLOOKUP($A67,SP_TaxPar_DB[],MATCH(C$2,SP_TaxPar_DB[#Headers],0),FALSE)="",0,VLOOKUP($A67,SP_TaxPar_DB[],MATCH(C$2,SP_TaxPar_DB[#Headers],0),FALSE))</f>
        <v>304</v>
      </c>
      <c r="D67" s="67">
        <f>IF(VLOOKUP($A67,SP_TaxPar_DB[],MATCH(D$2,SP_TaxPar_DB[#Headers],0),FALSE)="",0,VLOOKUP($A67,SP_TaxPar_DB[],MATCH(D$2,SP_TaxPar_DB[#Headers],0),FALSE))</f>
        <v>0</v>
      </c>
      <c r="E67" s="69" t="str">
        <f>VLOOKUP($A67,SP_TaxPar_DB[],MATCH(E$2,SP_TaxPar_DB[#Headers],0),FALSE)</f>
        <v>Leovigildo Panes, et ux Prospera and Primo Panis,et ux Erlinda</v>
      </c>
      <c r="F67" s="69" t="str">
        <f>VLOOKUP($A67,SP_TaxPar_DB[],MATCH(F$2,SP_TaxPar_DB[#Headers],0),FALSE)</f>
        <v>12809 Tyler Ct</v>
      </c>
      <c r="G67" s="69" t="str">
        <f>VLOOKUP($A67,SP_TaxPar_DB[],MATCH(G$2,SP_TaxPar_DB[#Headers],0),FALSE)</f>
        <v>Stafford</v>
      </c>
      <c r="H67" s="69" t="str">
        <f>VLOOKUP($A67,SP_TaxPar_DB[],MATCH(H$2,SP_TaxPar_DB[#Headers],0),FALSE)</f>
        <v>TX</v>
      </c>
      <c r="I67" s="69" t="str">
        <f>VLOOKUP($A67,SP_TaxPar_DB[],MATCH(I$2,SP_TaxPar_DB[#Headers],0),FALSE)</f>
        <v>77477</v>
      </c>
      <c r="J67" s="69" t="str">
        <f>VLOOKUP($A67,SP_TaxPar_DB[],MATCH(J$2,SP_TaxPar_DB[#Headers],0),FALSE)</f>
        <v>0 S Sheppard</v>
      </c>
      <c r="K67" s="69" t="str">
        <f>VLOOKUP($A67,SP_TaxPar_DB[],MATCH(K$2,SP_TaxPar_DB[#Headers],0),FALSE)</f>
        <v>Wm Kincheloe Block 63 Lot 199</v>
      </c>
      <c r="L67" s="69">
        <f>VLOOKUP($A67,SP_TaxPar_DB[],MATCH(L$2,SP_TaxPar_DB[#Headers],0),FALSE)</f>
        <v>7.3</v>
      </c>
      <c r="M67" s="69" t="str">
        <f>VLOOKUP($A67,SP_TaxPar_DB[],MATCH(M$2,SP_TaxPar_DB[#Headers],0),FALSE)</f>
        <v>Ag Land</v>
      </c>
      <c r="N67" s="69" t="str">
        <f>VLOOKUP($A67,SP_TaxPar_DB[],MATCH(N$2,SP_TaxPar_DB[#Headers],0),FALSE)</f>
        <v>678 / 392</v>
      </c>
      <c r="O67" s="71">
        <f>VLOOKUP($A67,SP_TaxPar_DB[],MATCH(O$2,SP_TaxPar_DB[#Headers],0),FALSE)</f>
        <v>0</v>
      </c>
      <c r="P67" s="72"/>
      <c r="Q67" s="69"/>
      <c r="R67" s="73"/>
      <c r="S67" s="73"/>
      <c r="T67" s="69"/>
      <c r="U67" s="69"/>
      <c r="V67" s="69"/>
      <c r="W67" s="69"/>
      <c r="X67" s="69"/>
      <c r="Y67" s="69"/>
      <c r="Z67" s="69"/>
      <c r="AA67" s="69"/>
      <c r="AB67" s="74"/>
      <c r="AC67" s="73"/>
      <c r="AD67" s="73"/>
      <c r="AE67" s="74"/>
      <c r="AF67" s="68"/>
      <c r="AG67" s="68"/>
      <c r="AH67" s="74"/>
      <c r="AI67" s="68"/>
      <c r="AJ67" s="68"/>
      <c r="AK67" s="68"/>
      <c r="AL67" s="80"/>
      <c r="AM67" s="81"/>
      <c r="AN67" s="74"/>
      <c r="AO67" s="74"/>
      <c r="AP67" s="74"/>
      <c r="AQ67" s="74"/>
      <c r="AR67" s="74"/>
      <c r="AS67" s="74"/>
      <c r="AT67" s="74"/>
      <c r="AU67" s="74"/>
      <c r="AV67" s="74"/>
      <c r="AW67" s="84"/>
    </row>
    <row r="68" spans="1:49" ht="15.75" hidden="1" x14ac:dyDescent="0.2">
      <c r="A68" s="129" t="s">
        <v>307</v>
      </c>
      <c r="B68" s="68" t="str">
        <f>VLOOKUP($A68,SP_TaxPar_DB[],MATCH(B$2,SP_TaxPar_DB[#Headers],0),FALSE)</f>
        <v>PH1</v>
      </c>
      <c r="C68" s="67" t="str">
        <f>IF(VLOOKUP($A68,SP_TaxPar_DB[],MATCH(C$2,SP_TaxPar_DB[#Headers],0),FALSE)="",0,VLOOKUP($A68,SP_TaxPar_DB[],MATCH(C$2,SP_TaxPar_DB[#Headers],0),FALSE))</f>
        <v>304</v>
      </c>
      <c r="D68" s="67">
        <f>IF(VLOOKUP($A68,SP_TaxPar_DB[],MATCH(D$2,SP_TaxPar_DB[#Headers],0),FALSE)="",0,VLOOKUP($A68,SP_TaxPar_DB[],MATCH(D$2,SP_TaxPar_DB[#Headers],0),FALSE))</f>
        <v>0</v>
      </c>
      <c r="E68" s="69" t="str">
        <f>VLOOKUP($A68,SP_TaxPar_DB[],MATCH(E$2,SP_TaxPar_DB[#Headers],0),FALSE)</f>
        <v>Leovigildo Panes, et ux Prospera and Primo Panis,et ux Erlinda</v>
      </c>
      <c r="F68" s="69" t="str">
        <f>VLOOKUP($A68,SP_TaxPar_DB[],MATCH(F$2,SP_TaxPar_DB[#Headers],0),FALSE)</f>
        <v>12809 Tyler Ct</v>
      </c>
      <c r="G68" s="69" t="str">
        <f>VLOOKUP($A68,SP_TaxPar_DB[],MATCH(G$2,SP_TaxPar_DB[#Headers],0),FALSE)</f>
        <v>Stafford</v>
      </c>
      <c r="H68" s="69" t="str">
        <f>VLOOKUP($A68,SP_TaxPar_DB[],MATCH(H$2,SP_TaxPar_DB[#Headers],0),FALSE)</f>
        <v>TX</v>
      </c>
      <c r="I68" s="69" t="str">
        <f>VLOOKUP($A68,SP_TaxPar_DB[],MATCH(I$2,SP_TaxPar_DB[#Headers],0),FALSE)</f>
        <v>77477</v>
      </c>
      <c r="J68" s="69" t="str">
        <f>VLOOKUP($A68,SP_TaxPar_DB[],MATCH(J$2,SP_TaxPar_DB[#Headers],0),FALSE)</f>
        <v>0 S Sheppard</v>
      </c>
      <c r="K68" s="69" t="str">
        <f>VLOOKUP($A68,SP_TaxPar_DB[],MATCH(K$2,SP_TaxPar_DB[#Headers],0),FALSE)</f>
        <v>Wm Kincheloe Block 63 Lot 201, 202</v>
      </c>
      <c r="L68" s="69">
        <f>VLOOKUP($A68,SP_TaxPar_DB[],MATCH(L$2,SP_TaxPar_DB[#Headers],0),FALSE)</f>
        <v>19.43</v>
      </c>
      <c r="M68" s="69" t="str">
        <f>VLOOKUP($A68,SP_TaxPar_DB[],MATCH(M$2,SP_TaxPar_DB[#Headers],0),FALSE)</f>
        <v>Ag Land</v>
      </c>
      <c r="N68" s="69" t="str">
        <f>VLOOKUP($A68,SP_TaxPar_DB[],MATCH(N$2,SP_TaxPar_DB[#Headers],0),FALSE)</f>
        <v>678 / 392</v>
      </c>
      <c r="O68" s="71">
        <f>VLOOKUP($A68,SP_TaxPar_DB[],MATCH(O$2,SP_TaxPar_DB[#Headers],0),FALSE)</f>
        <v>0</v>
      </c>
      <c r="P68" s="72"/>
      <c r="Q68" s="69"/>
      <c r="R68" s="73"/>
      <c r="S68" s="73"/>
      <c r="T68" s="69"/>
      <c r="U68" s="69"/>
      <c r="V68" s="69"/>
      <c r="W68" s="69"/>
      <c r="X68" s="69"/>
      <c r="Y68" s="69"/>
      <c r="Z68" s="69"/>
      <c r="AA68" s="69"/>
      <c r="AB68" s="74"/>
      <c r="AC68" s="73"/>
      <c r="AD68" s="73"/>
      <c r="AE68" s="74"/>
      <c r="AF68" s="68"/>
      <c r="AG68" s="68"/>
      <c r="AH68" s="74"/>
      <c r="AI68" s="68"/>
      <c r="AJ68" s="68"/>
      <c r="AK68" s="68"/>
      <c r="AL68" s="80"/>
      <c r="AM68" s="81"/>
      <c r="AN68" s="74"/>
      <c r="AO68" s="74"/>
      <c r="AP68" s="74"/>
      <c r="AQ68" s="74"/>
      <c r="AR68" s="74"/>
      <c r="AS68" s="74"/>
      <c r="AT68" s="74"/>
      <c r="AU68" s="74"/>
      <c r="AV68" s="74"/>
      <c r="AW68" s="84"/>
    </row>
    <row r="69" spans="1:49" ht="15.75" hidden="1" x14ac:dyDescent="0.2">
      <c r="A69" s="129" t="s">
        <v>309</v>
      </c>
      <c r="B69" s="68" t="str">
        <f>VLOOKUP($A69,SP_TaxPar_DB[],MATCH(B$2,SP_TaxPar_DB[#Headers],0),FALSE)</f>
        <v>PH1</v>
      </c>
      <c r="C69" s="67" t="str">
        <f>IF(VLOOKUP($A69,SP_TaxPar_DB[],MATCH(C$2,SP_TaxPar_DB[#Headers],0),FALSE)="",0,VLOOKUP($A69,SP_TaxPar_DB[],MATCH(C$2,SP_TaxPar_DB[#Headers],0),FALSE))</f>
        <v>305</v>
      </c>
      <c r="D69" s="67">
        <f>IF(VLOOKUP($A69,SP_TaxPar_DB[],MATCH(D$2,SP_TaxPar_DB[#Headers],0),FALSE)="",0,VLOOKUP($A69,SP_TaxPar_DB[],MATCH(D$2,SP_TaxPar_DB[#Headers],0),FALSE))</f>
        <v>0</v>
      </c>
      <c r="E69" s="69" t="str">
        <f>VLOOKUP($A69,SP_TaxPar_DB[],MATCH(E$2,SP_TaxPar_DB[#Headers],0),FALSE)</f>
        <v>Jeffery Hayes</v>
      </c>
      <c r="F69" s="69" t="str">
        <f>VLOOKUP($A69,SP_TaxPar_DB[],MATCH(F$2,SP_TaxPar_DB[#Headers],0),FALSE)</f>
        <v>404 Ford St</v>
      </c>
      <c r="G69" s="69" t="str">
        <f>VLOOKUP($A69,SP_TaxPar_DB[],MATCH(G$2,SP_TaxPar_DB[#Headers],0),FALSE)</f>
        <v>Wharton</v>
      </c>
      <c r="H69" s="69" t="str">
        <f>VLOOKUP($A69,SP_TaxPar_DB[],MATCH(H$2,SP_TaxPar_DB[#Headers],0),FALSE)</f>
        <v>TX</v>
      </c>
      <c r="I69" s="69" t="str">
        <f>VLOOKUP($A69,SP_TaxPar_DB[],MATCH(I$2,SP_TaxPar_DB[#Headers],0),FALSE)</f>
        <v>77488</v>
      </c>
      <c r="J69" s="69" t="str">
        <f>VLOOKUP($A69,SP_TaxPar_DB[],MATCH(J$2,SP_TaxPar_DB[#Headers],0),FALSE)</f>
        <v>521 S Ford</v>
      </c>
      <c r="K69" s="69" t="str">
        <f>VLOOKUP($A69,SP_TaxPar_DB[],MATCH(K$2,SP_TaxPar_DB[#Headers],0),FALSE)</f>
        <v>Wm Kincheloe Block 63 Lot 203</v>
      </c>
      <c r="L69" s="69">
        <f>VLOOKUP($A69,SP_TaxPar_DB[],MATCH(L$2,SP_TaxPar_DB[#Headers],0),FALSE)</f>
        <v>0.16639999999999999</v>
      </c>
      <c r="M69" s="69" t="str">
        <f>VLOOKUP($A69,SP_TaxPar_DB[],MATCH(M$2,SP_TaxPar_DB[#Headers],0),FALSE)</f>
        <v>Res -Vacant</v>
      </c>
      <c r="N69" s="69" t="str">
        <f>VLOOKUP($A69,SP_TaxPar_DB[],MATCH(N$2,SP_TaxPar_DB[#Headers],0),FALSE)</f>
        <v>987 / 328</v>
      </c>
      <c r="O69" s="71">
        <f>VLOOKUP($A69,SP_TaxPar_DB[],MATCH(O$2,SP_TaxPar_DB[#Headers],0),FALSE)</f>
        <v>0</v>
      </c>
      <c r="P69" s="72"/>
      <c r="Q69" s="69"/>
      <c r="R69" s="73"/>
      <c r="S69" s="73"/>
      <c r="T69" s="69"/>
      <c r="U69" s="69"/>
      <c r="V69" s="69"/>
      <c r="W69" s="69"/>
      <c r="X69" s="69"/>
      <c r="Y69" s="69"/>
      <c r="Z69" s="69"/>
      <c r="AA69" s="69"/>
      <c r="AB69" s="74"/>
      <c r="AC69" s="73"/>
      <c r="AD69" s="73"/>
      <c r="AE69" s="74"/>
      <c r="AF69" s="68"/>
      <c r="AG69" s="68"/>
      <c r="AH69" s="74"/>
      <c r="AI69" s="68"/>
      <c r="AJ69" s="68"/>
      <c r="AK69" s="68"/>
      <c r="AL69" s="80"/>
      <c r="AM69" s="81"/>
      <c r="AN69" s="74"/>
      <c r="AO69" s="74"/>
      <c r="AP69" s="74"/>
      <c r="AQ69" s="74"/>
      <c r="AR69" s="74"/>
      <c r="AS69" s="74"/>
      <c r="AT69" s="74"/>
      <c r="AU69" s="74"/>
      <c r="AV69" s="74"/>
      <c r="AW69" s="84"/>
    </row>
    <row r="70" spans="1:49" ht="15.75" hidden="1" x14ac:dyDescent="0.2">
      <c r="A70" s="129" t="s">
        <v>315</v>
      </c>
      <c r="B70" s="68" t="str">
        <f>VLOOKUP($A70,SP_TaxPar_DB[],MATCH(B$2,SP_TaxPar_DB[#Headers],0),FALSE)</f>
        <v>PH1</v>
      </c>
      <c r="C70" s="67" t="str">
        <f>IF(VLOOKUP($A70,SP_TaxPar_DB[],MATCH(C$2,SP_TaxPar_DB[#Headers],0),FALSE)="",0,VLOOKUP($A70,SP_TaxPar_DB[],MATCH(C$2,SP_TaxPar_DB[#Headers],0),FALSE))</f>
        <v>305</v>
      </c>
      <c r="D70" s="67">
        <f>IF(VLOOKUP($A70,SP_TaxPar_DB[],MATCH(D$2,SP_TaxPar_DB[#Headers],0),FALSE)="",0,VLOOKUP($A70,SP_TaxPar_DB[],MATCH(D$2,SP_TaxPar_DB[#Headers],0),FALSE))</f>
        <v>0</v>
      </c>
      <c r="E70" s="69" t="str">
        <f>VLOOKUP($A70,SP_TaxPar_DB[],MATCH(E$2,SP_TaxPar_DB[#Headers],0),FALSE)</f>
        <v>Jeffery Hayes</v>
      </c>
      <c r="F70" s="69" t="str">
        <f>VLOOKUP($A70,SP_TaxPar_DB[],MATCH(F$2,SP_TaxPar_DB[#Headers],0),FALSE)</f>
        <v>404 Ford St</v>
      </c>
      <c r="G70" s="69" t="str">
        <f>VLOOKUP($A70,SP_TaxPar_DB[],MATCH(G$2,SP_TaxPar_DB[#Headers],0),FALSE)</f>
        <v>Wharton</v>
      </c>
      <c r="H70" s="69" t="str">
        <f>VLOOKUP($A70,SP_TaxPar_DB[],MATCH(H$2,SP_TaxPar_DB[#Headers],0),FALSE)</f>
        <v>TX</v>
      </c>
      <c r="I70" s="69" t="str">
        <f>VLOOKUP($A70,SP_TaxPar_DB[],MATCH(I$2,SP_TaxPar_DB[#Headers],0),FALSE)</f>
        <v>77488</v>
      </c>
      <c r="J70" s="69" t="str">
        <f>VLOOKUP($A70,SP_TaxPar_DB[],MATCH(J$2,SP_TaxPar_DB[#Headers],0),FALSE)</f>
        <v>501 S Ford</v>
      </c>
      <c r="K70" s="69" t="str">
        <f>VLOOKUP($A70,SP_TaxPar_DB[],MATCH(K$2,SP_TaxPar_DB[#Headers],0),FALSE)</f>
        <v>Wm Kincheloe Block 63 Lot 204</v>
      </c>
      <c r="L70" s="69">
        <f>VLOOKUP($A70,SP_TaxPar_DB[],MATCH(L$2,SP_TaxPar_DB[#Headers],0),FALSE)</f>
        <v>0.33289999999999997</v>
      </c>
      <c r="M70" s="69" t="str">
        <f>VLOOKUP($A70,SP_TaxPar_DB[],MATCH(M$2,SP_TaxPar_DB[#Headers],0),FALSE)</f>
        <v>Res -Vacant</v>
      </c>
      <c r="N70" s="69" t="str">
        <f>VLOOKUP($A70,SP_TaxPar_DB[],MATCH(N$2,SP_TaxPar_DB[#Headers],0),FALSE)</f>
        <v>987 / 328</v>
      </c>
      <c r="O70" s="71" t="str">
        <f>VLOOKUP($A70,SP_TaxPar_DB[],MATCH(O$2,SP_TaxPar_DB[#Headers],0),FALSE)</f>
        <v>Different property types</v>
      </c>
      <c r="P70" s="72"/>
      <c r="Q70" s="69"/>
      <c r="R70" s="73"/>
      <c r="S70" s="73"/>
      <c r="T70" s="69"/>
      <c r="U70" s="69"/>
      <c r="V70" s="69"/>
      <c r="W70" s="69"/>
      <c r="X70" s="69"/>
      <c r="Y70" s="69"/>
      <c r="Z70" s="69"/>
      <c r="AA70" s="69"/>
      <c r="AB70" s="74"/>
      <c r="AC70" s="73"/>
      <c r="AD70" s="73"/>
      <c r="AE70" s="74"/>
      <c r="AF70" s="68"/>
      <c r="AG70" s="68"/>
      <c r="AH70" s="74"/>
      <c r="AI70" s="68"/>
      <c r="AJ70" s="68"/>
      <c r="AK70" s="68"/>
      <c r="AL70" s="80"/>
      <c r="AM70" s="81"/>
      <c r="AN70" s="74"/>
      <c r="AO70" s="74"/>
      <c r="AP70" s="74"/>
      <c r="AQ70" s="74"/>
      <c r="AR70" s="74"/>
      <c r="AS70" s="74"/>
      <c r="AT70" s="74"/>
      <c r="AU70" s="74"/>
      <c r="AV70" s="74"/>
      <c r="AW70" s="84"/>
    </row>
    <row r="71" spans="1:49" ht="15.75" hidden="1" x14ac:dyDescent="0.2">
      <c r="A71" s="129" t="s">
        <v>318</v>
      </c>
      <c r="B71" s="68" t="str">
        <f>VLOOKUP($A71,SP_TaxPar_DB[],MATCH(B$2,SP_TaxPar_DB[#Headers],0),FALSE)</f>
        <v>PH1</v>
      </c>
      <c r="C71" s="67" t="str">
        <f>IF(VLOOKUP($A71,SP_TaxPar_DB[],MATCH(C$2,SP_TaxPar_DB[#Headers],0),FALSE)="",0,VLOOKUP($A71,SP_TaxPar_DB[],MATCH(C$2,SP_TaxPar_DB[#Headers],0),FALSE))</f>
        <v>305</v>
      </c>
      <c r="D71" s="67">
        <f>IF(VLOOKUP($A71,SP_TaxPar_DB[],MATCH(D$2,SP_TaxPar_DB[#Headers],0),FALSE)="",0,VLOOKUP($A71,SP_TaxPar_DB[],MATCH(D$2,SP_TaxPar_DB[#Headers],0),FALSE))</f>
        <v>0</v>
      </c>
      <c r="E71" s="69" t="str">
        <f>VLOOKUP($A71,SP_TaxPar_DB[],MATCH(E$2,SP_TaxPar_DB[#Headers],0),FALSE)</f>
        <v>Jeffery Hayes et ux Bessie</v>
      </c>
      <c r="F71" s="69" t="str">
        <f>VLOOKUP($A71,SP_TaxPar_DB[],MATCH(F$2,SP_TaxPar_DB[#Headers],0),FALSE)</f>
        <v>404 Ford St</v>
      </c>
      <c r="G71" s="69" t="str">
        <f>VLOOKUP($A71,SP_TaxPar_DB[],MATCH(G$2,SP_TaxPar_DB[#Headers],0),FALSE)</f>
        <v>Wharton</v>
      </c>
      <c r="H71" s="69" t="str">
        <f>VLOOKUP($A71,SP_TaxPar_DB[],MATCH(H$2,SP_TaxPar_DB[#Headers],0),FALSE)</f>
        <v>TX</v>
      </c>
      <c r="I71" s="69" t="str">
        <f>VLOOKUP($A71,SP_TaxPar_DB[],MATCH(I$2,SP_TaxPar_DB[#Headers],0),FALSE)</f>
        <v>77488</v>
      </c>
      <c r="J71" s="69" t="str">
        <f>VLOOKUP($A71,SP_TaxPar_DB[],MATCH(J$2,SP_TaxPar_DB[#Headers],0),FALSE)</f>
        <v>503 S Ford</v>
      </c>
      <c r="K71" s="69" t="str">
        <f>VLOOKUP($A71,SP_TaxPar_DB[],MATCH(K$2,SP_TaxPar_DB[#Headers],0),FALSE)</f>
        <v>Wm Kincheloe Block 63 Lot 205</v>
      </c>
      <c r="L71" s="69">
        <f>VLOOKUP($A71,SP_TaxPar_DB[],MATCH(L$2,SP_TaxPar_DB[#Headers],0),FALSE)</f>
        <v>3.64</v>
      </c>
      <c r="M71" s="69" t="str">
        <f>VLOOKUP($A71,SP_TaxPar_DB[],MATCH(M$2,SP_TaxPar_DB[#Headers],0),FALSE)</f>
        <v>Commercial</v>
      </c>
      <c r="N71" s="69" t="str">
        <f>VLOOKUP($A71,SP_TaxPar_DB[],MATCH(N$2,SP_TaxPar_DB[#Headers],0),FALSE)</f>
        <v>228 / 382</v>
      </c>
      <c r="O71" s="71" t="str">
        <f>VLOOKUP($A71,SP_TaxPar_DB[],MATCH(O$2,SP_TaxPar_DB[#Headers],0),FALSE)</f>
        <v>Different property types</v>
      </c>
      <c r="P71" s="72"/>
      <c r="Q71" s="69"/>
      <c r="R71" s="73"/>
      <c r="S71" s="73"/>
      <c r="T71" s="69"/>
      <c r="U71" s="69"/>
      <c r="V71" s="69"/>
      <c r="W71" s="69"/>
      <c r="X71" s="69"/>
      <c r="Y71" s="69"/>
      <c r="Z71" s="69"/>
      <c r="AA71" s="69"/>
      <c r="AB71" s="74"/>
      <c r="AC71" s="73"/>
      <c r="AD71" s="73"/>
      <c r="AE71" s="74"/>
      <c r="AF71" s="68"/>
      <c r="AG71" s="68"/>
      <c r="AH71" s="74"/>
      <c r="AI71" s="68"/>
      <c r="AJ71" s="68"/>
      <c r="AK71" s="68"/>
      <c r="AL71" s="80"/>
      <c r="AM71" s="81"/>
      <c r="AN71" s="74"/>
      <c r="AO71" s="74"/>
      <c r="AP71" s="74"/>
      <c r="AQ71" s="74"/>
      <c r="AR71" s="74"/>
      <c r="AS71" s="74"/>
      <c r="AT71" s="74"/>
      <c r="AU71" s="74"/>
      <c r="AV71" s="74"/>
      <c r="AW71" s="84"/>
    </row>
    <row r="72" spans="1:49" ht="15.75" hidden="1" x14ac:dyDescent="0.2">
      <c r="A72" s="129" t="s">
        <v>2022</v>
      </c>
      <c r="B72" s="68" t="str">
        <f>VLOOKUP($A72,SP_TaxPar_DB[],MATCH(B$2,SP_TaxPar_DB[#Headers],0),FALSE)</f>
        <v>ENV</v>
      </c>
      <c r="C72" s="67">
        <f>IF(VLOOKUP($A72,SP_TaxPar_DB[],MATCH(C$2,SP_TaxPar_DB[#Headers],0),FALSE)="",0,VLOOKUP($A72,SP_TaxPar_DB[],MATCH(C$2,SP_TaxPar_DB[#Headers],0),FALSE))</f>
        <v>0</v>
      </c>
      <c r="D72" s="67" t="str">
        <f>IF(VLOOKUP($A72,SP_TaxPar_DB[],MATCH(D$2,SP_TaxPar_DB[#Headers],0),FALSE)="",0,VLOOKUP($A72,SP_TaxPar_DB[],MATCH(D$2,SP_TaxPar_DB[#Headers],0),FALSE))</f>
        <v>063</v>
      </c>
      <c r="E72" s="69" t="str">
        <f>VLOOKUP($A72,SP_TaxPar_DB[],MATCH(E$2,SP_TaxPar_DB[#Headers],0),FALSE)</f>
        <v>HAYES JEFFERY L</v>
      </c>
      <c r="F72" s="69" t="str">
        <f>VLOOKUP($A72,SP_TaxPar_DB[],MATCH(F$2,SP_TaxPar_DB[#Headers],0),FALSE)</f>
        <v>404 S FORD</v>
      </c>
      <c r="G72" s="69" t="str">
        <f>VLOOKUP($A72,SP_TaxPar_DB[],MATCH(G$2,SP_TaxPar_DB[#Headers],0),FALSE)</f>
        <v>WHARTON</v>
      </c>
      <c r="H72" s="69" t="str">
        <f>VLOOKUP($A72,SP_TaxPar_DB[],MATCH(H$2,SP_TaxPar_DB[#Headers],0),FALSE)</f>
        <v>TX</v>
      </c>
      <c r="I72" s="69" t="str">
        <f>VLOOKUP($A72,SP_TaxPar_DB[],MATCH(I$2,SP_TaxPar_DB[#Headers],0),FALSE)</f>
        <v>77488</v>
      </c>
      <c r="J72" s="69" t="str">
        <f>VLOOKUP($A72,SP_TaxPar_DB[],MATCH(J$2,SP_TaxPar_DB[#Headers],0),FALSE)</f>
        <v>315 S FORD</v>
      </c>
      <c r="K72" s="69" t="str">
        <f>VLOOKUP($A72,SP_TaxPar_DB[],MATCH(K$2,SP_TaxPar_DB[#Headers],0),FALSE)</f>
        <v>WM.KINCHELOE BLOCK 63 LOT 208 Acres:0.1664</v>
      </c>
      <c r="L72" s="69">
        <f>VLOOKUP($A72,SP_TaxPar_DB[],MATCH(L$2,SP_TaxPar_DB[#Headers],0),FALSE)</f>
        <v>0</v>
      </c>
      <c r="M72" s="69">
        <f>VLOOKUP($A72,SP_TaxPar_DB[],MATCH(M$2,SP_TaxPar_DB[#Headers],0),FALSE)</f>
        <v>0</v>
      </c>
      <c r="N72" s="69">
        <f>VLOOKUP($A72,SP_TaxPar_DB[],MATCH(N$2,SP_TaxPar_DB[#Headers],0),FALSE)</f>
        <v>0</v>
      </c>
      <c r="O72" s="71">
        <f>VLOOKUP($A72,SP_TaxPar_DB[],MATCH(O$2,SP_TaxPar_DB[#Headers],0),FALSE)</f>
        <v>0</v>
      </c>
      <c r="P72" s="72"/>
      <c r="Q72" s="69"/>
      <c r="R72" s="73"/>
      <c r="S72" s="73"/>
      <c r="T72" s="69"/>
      <c r="U72" s="69"/>
      <c r="V72" s="69"/>
      <c r="W72" s="69"/>
      <c r="X72" s="69"/>
      <c r="Y72" s="69"/>
      <c r="Z72" s="69"/>
      <c r="AA72" s="69"/>
      <c r="AB72" s="74"/>
      <c r="AC72" s="73"/>
      <c r="AD72" s="73"/>
      <c r="AE72" s="74"/>
      <c r="AF72" s="68"/>
      <c r="AG72" s="68"/>
      <c r="AH72" s="74"/>
      <c r="AI72" s="68"/>
      <c r="AJ72" s="68"/>
      <c r="AK72" s="68"/>
      <c r="AL72" s="80"/>
      <c r="AM72" s="81"/>
      <c r="AN72" s="74"/>
      <c r="AO72" s="74"/>
      <c r="AP72" s="74"/>
      <c r="AQ72" s="74"/>
      <c r="AR72" s="74"/>
      <c r="AS72" s="74"/>
      <c r="AT72" s="74"/>
      <c r="AU72" s="74"/>
      <c r="AV72" s="74"/>
      <c r="AW72" s="84"/>
    </row>
    <row r="73" spans="1:49" ht="15.75" hidden="1" x14ac:dyDescent="0.2">
      <c r="A73" s="129" t="s">
        <v>2026</v>
      </c>
      <c r="B73" s="68" t="str">
        <f>VLOOKUP($A73,SP_TaxPar_DB[],MATCH(B$2,SP_TaxPar_DB[#Headers],0),FALSE)</f>
        <v>ENV</v>
      </c>
      <c r="C73" s="67">
        <f>IF(VLOOKUP($A73,SP_TaxPar_DB[],MATCH(C$2,SP_TaxPar_DB[#Headers],0),FALSE)="",0,VLOOKUP($A73,SP_TaxPar_DB[],MATCH(C$2,SP_TaxPar_DB[#Headers],0),FALSE))</f>
        <v>0</v>
      </c>
      <c r="D73" s="67" t="str">
        <f>IF(VLOOKUP($A73,SP_TaxPar_DB[],MATCH(D$2,SP_TaxPar_DB[#Headers],0),FALSE)="",0,VLOOKUP($A73,SP_TaxPar_DB[],MATCH(D$2,SP_TaxPar_DB[#Headers],0),FALSE))</f>
        <v>064</v>
      </c>
      <c r="E73" s="69" t="str">
        <f>VLOOKUP($A73,SP_TaxPar_DB[],MATCH(E$2,SP_TaxPar_DB[#Headers],0),FALSE)</f>
        <v>HAYES JEFFERY L</v>
      </c>
      <c r="F73" s="69" t="str">
        <f>VLOOKUP($A73,SP_TaxPar_DB[],MATCH(F$2,SP_TaxPar_DB[#Headers],0),FALSE)</f>
        <v>404 S FORD</v>
      </c>
      <c r="G73" s="69" t="str">
        <f>VLOOKUP($A73,SP_TaxPar_DB[],MATCH(G$2,SP_TaxPar_DB[#Headers],0),FALSE)</f>
        <v>WHARTON</v>
      </c>
      <c r="H73" s="69" t="str">
        <f>VLOOKUP($A73,SP_TaxPar_DB[],MATCH(H$2,SP_TaxPar_DB[#Headers],0),FALSE)</f>
        <v>TX</v>
      </c>
      <c r="I73" s="69" t="str">
        <f>VLOOKUP($A73,SP_TaxPar_DB[],MATCH(I$2,SP_TaxPar_DB[#Headers],0),FALSE)</f>
        <v>77488</v>
      </c>
      <c r="J73" s="69" t="str">
        <f>VLOOKUP($A73,SP_TaxPar_DB[],MATCH(J$2,SP_TaxPar_DB[#Headers],0),FALSE)</f>
        <v>313 S FORD</v>
      </c>
      <c r="K73" s="69" t="str">
        <f>VLOOKUP($A73,SP_TaxPar_DB[],MATCH(K$2,SP_TaxPar_DB[#Headers],0),FALSE)</f>
        <v>WM.KINCHELOE BLOCK 63 LOT 209 Acres:0.1664</v>
      </c>
      <c r="L73" s="69">
        <f>VLOOKUP($A73,SP_TaxPar_DB[],MATCH(L$2,SP_TaxPar_DB[#Headers],0),FALSE)</f>
        <v>0</v>
      </c>
      <c r="M73" s="69">
        <f>VLOOKUP($A73,SP_TaxPar_DB[],MATCH(M$2,SP_TaxPar_DB[#Headers],0),FALSE)</f>
        <v>0</v>
      </c>
      <c r="N73" s="69">
        <f>VLOOKUP($A73,SP_TaxPar_DB[],MATCH(N$2,SP_TaxPar_DB[#Headers],0),FALSE)</f>
        <v>0</v>
      </c>
      <c r="O73" s="71">
        <f>VLOOKUP($A73,SP_TaxPar_DB[],MATCH(O$2,SP_TaxPar_DB[#Headers],0),FALSE)</f>
        <v>0</v>
      </c>
      <c r="P73" s="72"/>
      <c r="Q73" s="69"/>
      <c r="R73" s="73"/>
      <c r="S73" s="73"/>
      <c r="T73" s="69"/>
      <c r="U73" s="69"/>
      <c r="V73" s="69"/>
      <c r="W73" s="69"/>
      <c r="X73" s="69"/>
      <c r="Y73" s="69"/>
      <c r="Z73" s="69"/>
      <c r="AA73" s="69"/>
      <c r="AB73" s="74"/>
      <c r="AC73" s="73"/>
      <c r="AD73" s="73"/>
      <c r="AE73" s="74"/>
      <c r="AF73" s="68"/>
      <c r="AG73" s="68"/>
      <c r="AH73" s="74"/>
      <c r="AI73" s="68"/>
      <c r="AJ73" s="68"/>
      <c r="AK73" s="68"/>
      <c r="AL73" s="80"/>
      <c r="AM73" s="81"/>
      <c r="AN73" s="74"/>
      <c r="AO73" s="74"/>
      <c r="AP73" s="74"/>
      <c r="AQ73" s="74"/>
      <c r="AR73" s="74"/>
      <c r="AS73" s="74"/>
      <c r="AT73" s="74"/>
      <c r="AU73" s="74"/>
      <c r="AV73" s="74"/>
      <c r="AW73" s="84"/>
    </row>
    <row r="74" spans="1:49" ht="15.75" hidden="1" x14ac:dyDescent="0.2">
      <c r="A74" s="129" t="s">
        <v>2029</v>
      </c>
      <c r="B74" s="68" t="str">
        <f>VLOOKUP($A74,SP_TaxPar_DB[],MATCH(B$2,SP_TaxPar_DB[#Headers],0),FALSE)</f>
        <v>ENV</v>
      </c>
      <c r="C74" s="67">
        <f>IF(VLOOKUP($A74,SP_TaxPar_DB[],MATCH(C$2,SP_TaxPar_DB[#Headers],0),FALSE)="",0,VLOOKUP($A74,SP_TaxPar_DB[],MATCH(C$2,SP_TaxPar_DB[#Headers],0),FALSE))</f>
        <v>0</v>
      </c>
      <c r="D74" s="67" t="str">
        <f>IF(VLOOKUP($A74,SP_TaxPar_DB[],MATCH(D$2,SP_TaxPar_DB[#Headers],0),FALSE)="",0,VLOOKUP($A74,SP_TaxPar_DB[],MATCH(D$2,SP_TaxPar_DB[#Headers],0),FALSE))</f>
        <v>065</v>
      </c>
      <c r="E74" s="69" t="str">
        <f>VLOOKUP($A74,SP_TaxPar_DB[],MATCH(E$2,SP_TaxPar_DB[#Headers],0),FALSE)</f>
        <v>MARKS NORMA</v>
      </c>
      <c r="F74" s="69" t="str">
        <f>VLOOKUP($A74,SP_TaxPar_DB[],MATCH(F$2,SP_TaxPar_DB[#Headers],0),FALSE)</f>
        <v>526 S FORD</v>
      </c>
      <c r="G74" s="69" t="str">
        <f>VLOOKUP($A74,SP_TaxPar_DB[],MATCH(G$2,SP_TaxPar_DB[#Headers],0),FALSE)</f>
        <v>WHARTON</v>
      </c>
      <c r="H74" s="69" t="str">
        <f>VLOOKUP($A74,SP_TaxPar_DB[],MATCH(H$2,SP_TaxPar_DB[#Headers],0),FALSE)</f>
        <v>TX</v>
      </c>
      <c r="I74" s="69" t="str">
        <f>VLOOKUP($A74,SP_TaxPar_DB[],MATCH(I$2,SP_TaxPar_DB[#Headers],0),FALSE)</f>
        <v>77488</v>
      </c>
      <c r="J74" s="69" t="str">
        <f>VLOOKUP($A74,SP_TaxPar_DB[],MATCH(J$2,SP_TaxPar_DB[#Headers],0),FALSE)</f>
        <v>526 S FORD</v>
      </c>
      <c r="K74" s="69" t="str">
        <f>VLOOKUP($A74,SP_TaxPar_DB[],MATCH(K$2,SP_TaxPar_DB[#Headers],0),FALSE)</f>
        <v>WM.KINCHELOE BLOCK 63 LOT 194 Acres:0.1722</v>
      </c>
      <c r="L74" s="69">
        <f>VLOOKUP($A74,SP_TaxPar_DB[],MATCH(L$2,SP_TaxPar_DB[#Headers],0),FALSE)</f>
        <v>0</v>
      </c>
      <c r="M74" s="69">
        <f>VLOOKUP($A74,SP_TaxPar_DB[],MATCH(M$2,SP_TaxPar_DB[#Headers],0),FALSE)</f>
        <v>0</v>
      </c>
      <c r="N74" s="69">
        <f>VLOOKUP($A74,SP_TaxPar_DB[],MATCH(N$2,SP_TaxPar_DB[#Headers],0),FALSE)</f>
        <v>0</v>
      </c>
      <c r="O74" s="71">
        <f>VLOOKUP($A74,SP_TaxPar_DB[],MATCH(O$2,SP_TaxPar_DB[#Headers],0),FALSE)</f>
        <v>0</v>
      </c>
      <c r="P74" s="72"/>
      <c r="Q74" s="69"/>
      <c r="R74" s="73"/>
      <c r="S74" s="73"/>
      <c r="T74" s="69"/>
      <c r="U74" s="69"/>
      <c r="V74" s="69"/>
      <c r="W74" s="69"/>
      <c r="X74" s="69"/>
      <c r="Y74" s="69"/>
      <c r="Z74" s="69"/>
      <c r="AA74" s="69"/>
      <c r="AB74" s="74"/>
      <c r="AC74" s="73"/>
      <c r="AD74" s="73"/>
      <c r="AE74" s="74"/>
      <c r="AF74" s="68"/>
      <c r="AG74" s="68"/>
      <c r="AH74" s="74"/>
      <c r="AI74" s="68"/>
      <c r="AJ74" s="68"/>
      <c r="AK74" s="68"/>
      <c r="AL74" s="80"/>
      <c r="AM74" s="81"/>
      <c r="AN74" s="74"/>
      <c r="AO74" s="74"/>
      <c r="AP74" s="74"/>
      <c r="AQ74" s="74"/>
      <c r="AR74" s="74"/>
      <c r="AS74" s="74"/>
      <c r="AT74" s="74"/>
      <c r="AU74" s="74"/>
      <c r="AV74" s="74"/>
      <c r="AW74" s="84"/>
    </row>
    <row r="75" spans="1:49" ht="15.75" hidden="1" x14ac:dyDescent="0.2">
      <c r="A75" s="129" t="s">
        <v>2033</v>
      </c>
      <c r="B75" s="68" t="str">
        <f>VLOOKUP($A75,SP_TaxPar_DB[],MATCH(B$2,SP_TaxPar_DB[#Headers],0),FALSE)</f>
        <v>PH2</v>
      </c>
      <c r="C75" s="67" t="str">
        <f>IF(VLOOKUP($A75,SP_TaxPar_DB[],MATCH(C$2,SP_TaxPar_DB[#Headers],0),FALSE)="",0,VLOOKUP($A75,SP_TaxPar_DB[],MATCH(C$2,SP_TaxPar_DB[#Headers],0),FALSE))</f>
        <v>T066</v>
      </c>
      <c r="D75" s="67">
        <f>IF(VLOOKUP($A75,SP_TaxPar_DB[],MATCH(D$2,SP_TaxPar_DB[#Headers],0),FALSE)="",0,VLOOKUP($A75,SP_TaxPar_DB[],MATCH(D$2,SP_TaxPar_DB[#Headers],0),FALSE))</f>
        <v>0</v>
      </c>
      <c r="E75" s="69" t="str">
        <f>VLOOKUP($A75,SP_TaxPar_DB[],MATCH(E$2,SP_TaxPar_DB[#Headers],0),FALSE)</f>
        <v>RODRIGUEZ JOE SR</v>
      </c>
      <c r="F75" s="69" t="str">
        <f>VLOOKUP($A75,SP_TaxPar_DB[],MATCH(F$2,SP_TaxPar_DB[#Headers],0),FALSE)</f>
        <v>922 CR 188 RD</v>
      </c>
      <c r="G75" s="69" t="str">
        <f>VLOOKUP($A75,SP_TaxPar_DB[],MATCH(G$2,SP_TaxPar_DB[#Headers],0),FALSE)</f>
        <v>WHARTON</v>
      </c>
      <c r="H75" s="69" t="str">
        <f>VLOOKUP($A75,SP_TaxPar_DB[],MATCH(H$2,SP_TaxPar_DB[#Headers],0),FALSE)</f>
        <v>TX</v>
      </c>
      <c r="I75" s="69" t="str">
        <f>VLOOKUP($A75,SP_TaxPar_DB[],MATCH(I$2,SP_TaxPar_DB[#Headers],0),FALSE)</f>
        <v>77488</v>
      </c>
      <c r="J75" s="69" t="str">
        <f>VLOOKUP($A75,SP_TaxPar_DB[],MATCH(J$2,SP_TaxPar_DB[#Headers],0),FALSE)</f>
        <v>922 CR 188</v>
      </c>
      <c r="K75" s="69" t="str">
        <f>VLOOKUP($A75,SP_TaxPar_DB[],MATCH(K$2,SP_TaxPar_DB[#Headers],0),FALSE)</f>
        <v>WM.KINCHELOE BLOCK 68 LOT A,1B-3 Acres:1.1100</v>
      </c>
      <c r="L75" s="69">
        <f>VLOOKUP($A75,SP_TaxPar_DB[],MATCH(L$2,SP_TaxPar_DB[#Headers],0),FALSE)</f>
        <v>0</v>
      </c>
      <c r="M75" s="69">
        <f>VLOOKUP($A75,SP_TaxPar_DB[],MATCH(M$2,SP_TaxPar_DB[#Headers],0),FALSE)</f>
        <v>0</v>
      </c>
      <c r="N75" s="69">
        <f>VLOOKUP($A75,SP_TaxPar_DB[],MATCH(N$2,SP_TaxPar_DB[#Headers],0),FALSE)</f>
        <v>0</v>
      </c>
      <c r="O75" s="71">
        <f>VLOOKUP($A75,SP_TaxPar_DB[],MATCH(O$2,SP_TaxPar_DB[#Headers],0),FALSE)</f>
        <v>0</v>
      </c>
      <c r="P75" s="72"/>
      <c r="Q75" s="69"/>
      <c r="R75" s="73"/>
      <c r="S75" s="73"/>
      <c r="T75" s="69"/>
      <c r="U75" s="69"/>
      <c r="V75" s="69"/>
      <c r="W75" s="69"/>
      <c r="X75" s="69"/>
      <c r="Y75" s="69"/>
      <c r="Z75" s="69"/>
      <c r="AA75" s="69"/>
      <c r="AB75" s="74"/>
      <c r="AC75" s="73"/>
      <c r="AD75" s="73"/>
      <c r="AE75" s="74"/>
      <c r="AF75" s="68"/>
      <c r="AG75" s="68"/>
      <c r="AH75" s="74"/>
      <c r="AI75" s="68"/>
      <c r="AJ75" s="68"/>
      <c r="AK75" s="68"/>
      <c r="AL75" s="80"/>
      <c r="AM75" s="81"/>
      <c r="AN75" s="74"/>
      <c r="AO75" s="74"/>
      <c r="AP75" s="74"/>
      <c r="AQ75" s="74"/>
      <c r="AR75" s="74"/>
      <c r="AS75" s="74"/>
      <c r="AT75" s="74"/>
      <c r="AU75" s="74"/>
      <c r="AV75" s="74"/>
      <c r="AW75" s="84"/>
    </row>
    <row r="76" spans="1:49" ht="15.75" hidden="1" x14ac:dyDescent="0.2">
      <c r="A76" s="129" t="s">
        <v>2038</v>
      </c>
      <c r="B76" s="68" t="str">
        <f>VLOOKUP($A76,SP_TaxPar_DB[],MATCH(B$2,SP_TaxPar_DB[#Headers],0),FALSE)</f>
        <v>PH2</v>
      </c>
      <c r="C76" s="67" t="str">
        <f>IF(VLOOKUP($A76,SP_TaxPar_DB[],MATCH(C$2,SP_TaxPar_DB[#Headers],0),FALSE)="",0,VLOOKUP($A76,SP_TaxPar_DB[],MATCH(C$2,SP_TaxPar_DB[#Headers],0),FALSE))</f>
        <v>T067</v>
      </c>
      <c r="D76" s="67">
        <f>IF(VLOOKUP($A76,SP_TaxPar_DB[],MATCH(D$2,SP_TaxPar_DB[#Headers],0),FALSE)="",0,VLOOKUP($A76,SP_TaxPar_DB[],MATCH(D$2,SP_TaxPar_DB[#Headers],0),FALSE))</f>
        <v>0</v>
      </c>
      <c r="E76" s="69" t="str">
        <f>VLOOKUP($A76,SP_TaxPar_DB[],MATCH(E$2,SP_TaxPar_DB[#Headers],0),FALSE)</f>
        <v>GARCIA JUAN JR</v>
      </c>
      <c r="F76" s="69" t="str">
        <f>VLOOKUP($A76,SP_TaxPar_DB[],MATCH(F$2,SP_TaxPar_DB[#Headers],0),FALSE)</f>
        <v>927 CR 188</v>
      </c>
      <c r="G76" s="69" t="str">
        <f>VLOOKUP($A76,SP_TaxPar_DB[],MATCH(G$2,SP_TaxPar_DB[#Headers],0),FALSE)</f>
        <v>WHARTON</v>
      </c>
      <c r="H76" s="69" t="str">
        <f>VLOOKUP($A76,SP_TaxPar_DB[],MATCH(H$2,SP_TaxPar_DB[#Headers],0),FALSE)</f>
        <v>TX</v>
      </c>
      <c r="I76" s="69" t="str">
        <f>VLOOKUP($A76,SP_TaxPar_DB[],MATCH(I$2,SP_TaxPar_DB[#Headers],0),FALSE)</f>
        <v>77488</v>
      </c>
      <c r="J76" s="69" t="str">
        <f>VLOOKUP($A76,SP_TaxPar_DB[],MATCH(J$2,SP_TaxPar_DB[#Headers],0),FALSE)</f>
        <v>927 CR 188</v>
      </c>
      <c r="K76" s="69" t="str">
        <f>VLOOKUP($A76,SP_TaxPar_DB[],MATCH(K$2,SP_TaxPar_DB[#Headers],0),FALSE)</f>
        <v>WM.KINCHELOE BLOCK 68 LOT B 2006 AMERICAN HOMESTAR GALAXY 16X56 DW LABEL # PFS0965720 SERIAL # OC010717398 Acres:0.8500</v>
      </c>
      <c r="L76" s="69">
        <f>VLOOKUP($A76,SP_TaxPar_DB[],MATCH(L$2,SP_TaxPar_DB[#Headers],0),FALSE)</f>
        <v>0</v>
      </c>
      <c r="M76" s="69">
        <f>VLOOKUP($A76,SP_TaxPar_DB[],MATCH(M$2,SP_TaxPar_DB[#Headers],0),FALSE)</f>
        <v>0</v>
      </c>
      <c r="N76" s="69">
        <f>VLOOKUP($A76,SP_TaxPar_DB[],MATCH(N$2,SP_TaxPar_DB[#Headers],0),FALSE)</f>
        <v>0</v>
      </c>
      <c r="O76" s="71">
        <f>VLOOKUP($A76,SP_TaxPar_DB[],MATCH(O$2,SP_TaxPar_DB[#Headers],0),FALSE)</f>
        <v>0</v>
      </c>
      <c r="P76" s="72"/>
      <c r="Q76" s="69"/>
      <c r="R76" s="73"/>
      <c r="S76" s="73"/>
      <c r="T76" s="69"/>
      <c r="U76" s="69"/>
      <c r="V76" s="69"/>
      <c r="W76" s="69"/>
      <c r="X76" s="69"/>
      <c r="Y76" s="69"/>
      <c r="Z76" s="69"/>
      <c r="AA76" s="69"/>
      <c r="AB76" s="74"/>
      <c r="AC76" s="73"/>
      <c r="AD76" s="73"/>
      <c r="AE76" s="74"/>
      <c r="AF76" s="68"/>
      <c r="AG76" s="68"/>
      <c r="AH76" s="74"/>
      <c r="AI76" s="68"/>
      <c r="AJ76" s="68"/>
      <c r="AK76" s="68"/>
      <c r="AL76" s="80"/>
      <c r="AM76" s="81"/>
      <c r="AN76" s="74"/>
      <c r="AO76" s="74"/>
      <c r="AP76" s="74"/>
      <c r="AQ76" s="74"/>
      <c r="AR76" s="74"/>
      <c r="AS76" s="74"/>
      <c r="AT76" s="74"/>
      <c r="AU76" s="74"/>
      <c r="AV76" s="74"/>
      <c r="AW76" s="84"/>
    </row>
    <row r="77" spans="1:49" ht="15.75" hidden="1" x14ac:dyDescent="0.2">
      <c r="A77" s="129" t="s">
        <v>2042</v>
      </c>
      <c r="B77" s="68" t="str">
        <f>VLOOKUP($A77,SP_TaxPar_DB[],MATCH(B$2,SP_TaxPar_DB[#Headers],0),FALSE)</f>
        <v>PH2</v>
      </c>
      <c r="C77" s="67" t="str">
        <f>IF(VLOOKUP($A77,SP_TaxPar_DB[],MATCH(C$2,SP_TaxPar_DB[#Headers],0),FALSE)="",0,VLOOKUP($A77,SP_TaxPar_DB[],MATCH(C$2,SP_TaxPar_DB[#Headers],0),FALSE))</f>
        <v>T068</v>
      </c>
      <c r="D77" s="67">
        <f>IF(VLOOKUP($A77,SP_TaxPar_DB[],MATCH(D$2,SP_TaxPar_DB[#Headers],0),FALSE)="",0,VLOOKUP($A77,SP_TaxPar_DB[],MATCH(D$2,SP_TaxPar_DB[#Headers],0),FALSE))</f>
        <v>0</v>
      </c>
      <c r="E77" s="69" t="str">
        <f>VLOOKUP($A77,SP_TaxPar_DB[],MATCH(E$2,SP_TaxPar_DB[#Headers],0),FALSE)</f>
        <v>GREENWOOD JOHN M JR ETUX VIRGINIA</v>
      </c>
      <c r="F77" s="69" t="str">
        <f>VLOOKUP($A77,SP_TaxPar_DB[],MATCH(F$2,SP_TaxPar_DB[#Headers],0),FALSE)</f>
        <v>410 WILD OAK</v>
      </c>
      <c r="G77" s="69" t="str">
        <f>VLOOKUP($A77,SP_TaxPar_DB[],MATCH(G$2,SP_TaxPar_DB[#Headers],0),FALSE)</f>
        <v>EULESS</v>
      </c>
      <c r="H77" s="69" t="str">
        <f>VLOOKUP($A77,SP_TaxPar_DB[],MATCH(H$2,SP_TaxPar_DB[#Headers],0),FALSE)</f>
        <v>TX</v>
      </c>
      <c r="I77" s="69" t="str">
        <f>VLOOKUP($A77,SP_TaxPar_DB[],MATCH(I$2,SP_TaxPar_DB[#Headers],0),FALSE)</f>
        <v>76039</v>
      </c>
      <c r="J77" s="69" t="str">
        <f>VLOOKUP($A77,SP_TaxPar_DB[],MATCH(J$2,SP_TaxPar_DB[#Headers],0),FALSE)</f>
        <v>0 FM 1299</v>
      </c>
      <c r="K77" s="69" t="str">
        <f>VLOOKUP($A77,SP_TaxPar_DB[],MATCH(K$2,SP_TaxPar_DB[#Headers],0),FALSE)</f>
        <v>WM.KINCHELOE BLOCK 68 LOT 1B-1,1B-1C,1B-1D Acres:15.8596</v>
      </c>
      <c r="L77" s="69">
        <f>VLOOKUP($A77,SP_TaxPar_DB[],MATCH(L$2,SP_TaxPar_DB[#Headers],0),FALSE)</f>
        <v>0</v>
      </c>
      <c r="M77" s="69">
        <f>VLOOKUP($A77,SP_TaxPar_DB[],MATCH(M$2,SP_TaxPar_DB[#Headers],0),FALSE)</f>
        <v>0</v>
      </c>
      <c r="N77" s="69">
        <f>VLOOKUP($A77,SP_TaxPar_DB[],MATCH(N$2,SP_TaxPar_DB[#Headers],0),FALSE)</f>
        <v>0</v>
      </c>
      <c r="O77" s="71">
        <f>VLOOKUP($A77,SP_TaxPar_DB[],MATCH(O$2,SP_TaxPar_DB[#Headers],0),FALSE)</f>
        <v>0</v>
      </c>
      <c r="P77" s="72"/>
      <c r="Q77" s="69"/>
      <c r="R77" s="73"/>
      <c r="S77" s="73"/>
      <c r="T77" s="69"/>
      <c r="U77" s="69"/>
      <c r="V77" s="69"/>
      <c r="W77" s="69"/>
      <c r="X77" s="69"/>
      <c r="Y77" s="69"/>
      <c r="Z77" s="69"/>
      <c r="AA77" s="69"/>
      <c r="AB77" s="74"/>
      <c r="AC77" s="73"/>
      <c r="AD77" s="73"/>
      <c r="AE77" s="74"/>
      <c r="AF77" s="68"/>
      <c r="AG77" s="68"/>
      <c r="AH77" s="74"/>
      <c r="AI77" s="68"/>
      <c r="AJ77" s="68"/>
      <c r="AK77" s="68"/>
      <c r="AL77" s="80"/>
      <c r="AM77" s="81"/>
      <c r="AN77" s="74"/>
      <c r="AO77" s="74"/>
      <c r="AP77" s="74"/>
      <c r="AQ77" s="74"/>
      <c r="AR77" s="74"/>
      <c r="AS77" s="74"/>
      <c r="AT77" s="74"/>
      <c r="AU77" s="74"/>
      <c r="AV77" s="74"/>
      <c r="AW77" s="84"/>
    </row>
    <row r="78" spans="1:49" ht="15.75" hidden="1" x14ac:dyDescent="0.2">
      <c r="A78" s="129" t="s">
        <v>2049</v>
      </c>
      <c r="B78" s="68" t="str">
        <f>VLOOKUP($A78,SP_TaxPar_DB[],MATCH(B$2,SP_TaxPar_DB[#Headers],0),FALSE)</f>
        <v>PH2</v>
      </c>
      <c r="C78" s="67" t="str">
        <f>IF(VLOOKUP($A78,SP_TaxPar_DB[],MATCH(C$2,SP_TaxPar_DB[#Headers],0),FALSE)="",0,VLOOKUP($A78,SP_TaxPar_DB[],MATCH(C$2,SP_TaxPar_DB[#Headers],0),FALSE))</f>
        <v>T069</v>
      </c>
      <c r="D78" s="67">
        <f>IF(VLOOKUP($A78,SP_TaxPar_DB[],MATCH(D$2,SP_TaxPar_DB[#Headers],0),FALSE)="",0,VLOOKUP($A78,SP_TaxPar_DB[],MATCH(D$2,SP_TaxPar_DB[#Headers],0),FALSE))</f>
        <v>0</v>
      </c>
      <c r="E78" s="69" t="str">
        <f>VLOOKUP($A78,SP_TaxPar_DB[],MATCH(E$2,SP_TaxPar_DB[#Headers],0),FALSE)</f>
        <v>ULLMANN LINDA FRAZIER</v>
      </c>
      <c r="F78" s="69" t="str">
        <f>VLOOKUP($A78,SP_TaxPar_DB[],MATCH(F$2,SP_TaxPar_DB[#Headers],0),FALSE)</f>
        <v>400 E CANEY</v>
      </c>
      <c r="G78" s="69" t="str">
        <f>VLOOKUP($A78,SP_TaxPar_DB[],MATCH(G$2,SP_TaxPar_DB[#Headers],0),FALSE)</f>
        <v>WHARTON</v>
      </c>
      <c r="H78" s="69" t="str">
        <f>VLOOKUP($A78,SP_TaxPar_DB[],MATCH(H$2,SP_TaxPar_DB[#Headers],0),FALSE)</f>
        <v>TX</v>
      </c>
      <c r="I78" s="69" t="str">
        <f>VLOOKUP($A78,SP_TaxPar_DB[],MATCH(I$2,SP_TaxPar_DB[#Headers],0),FALSE)</f>
        <v>77488</v>
      </c>
      <c r="J78" s="69" t="str">
        <f>VLOOKUP($A78,SP_TaxPar_DB[],MATCH(J$2,SP_TaxPar_DB[#Headers],0),FALSE)</f>
        <v>0 FM 1299</v>
      </c>
      <c r="K78" s="69" t="str">
        <f>VLOOKUP($A78,SP_TaxPar_DB[],MATCH(K$2,SP_TaxPar_DB[#Headers],0),FALSE)</f>
        <v>WM.KINCHELOE BLOCK 68 LOT 1B-2 Acres:20.2870</v>
      </c>
      <c r="L78" s="69">
        <f>VLOOKUP($A78,SP_TaxPar_DB[],MATCH(L$2,SP_TaxPar_DB[#Headers],0),FALSE)</f>
        <v>0</v>
      </c>
      <c r="M78" s="69">
        <f>VLOOKUP($A78,SP_TaxPar_DB[],MATCH(M$2,SP_TaxPar_DB[#Headers],0),FALSE)</f>
        <v>0</v>
      </c>
      <c r="N78" s="69">
        <f>VLOOKUP($A78,SP_TaxPar_DB[],MATCH(N$2,SP_TaxPar_DB[#Headers],0),FALSE)</f>
        <v>0</v>
      </c>
      <c r="O78" s="71">
        <f>VLOOKUP($A78,SP_TaxPar_DB[],MATCH(O$2,SP_TaxPar_DB[#Headers],0),FALSE)</f>
        <v>0</v>
      </c>
      <c r="P78" s="72"/>
      <c r="Q78" s="69"/>
      <c r="R78" s="73"/>
      <c r="S78" s="73"/>
      <c r="T78" s="69"/>
      <c r="U78" s="69"/>
      <c r="V78" s="69"/>
      <c r="W78" s="69"/>
      <c r="X78" s="69"/>
      <c r="Y78" s="69"/>
      <c r="Z78" s="69"/>
      <c r="AA78" s="69"/>
      <c r="AB78" s="74"/>
      <c r="AC78" s="73"/>
      <c r="AD78" s="73"/>
      <c r="AE78" s="74"/>
      <c r="AF78" s="68"/>
      <c r="AG78" s="68"/>
      <c r="AH78" s="74"/>
      <c r="AI78" s="68"/>
      <c r="AJ78" s="68"/>
      <c r="AK78" s="68"/>
      <c r="AL78" s="80"/>
      <c r="AM78" s="81"/>
      <c r="AN78" s="74"/>
      <c r="AO78" s="74"/>
      <c r="AP78" s="74"/>
      <c r="AQ78" s="74"/>
      <c r="AR78" s="74"/>
      <c r="AS78" s="74"/>
      <c r="AT78" s="74"/>
      <c r="AU78" s="74"/>
      <c r="AV78" s="74"/>
      <c r="AW78" s="84"/>
    </row>
    <row r="79" spans="1:49" ht="15.75" hidden="1" x14ac:dyDescent="0.2">
      <c r="A79" s="129" t="s">
        <v>2053</v>
      </c>
      <c r="B79" s="68" t="str">
        <f>VLOOKUP($A79,SP_TaxPar_DB[],MATCH(B$2,SP_TaxPar_DB[#Headers],0),FALSE)</f>
        <v>PH2</v>
      </c>
      <c r="C79" s="67" t="str">
        <f>IF(VLOOKUP($A79,SP_TaxPar_DB[],MATCH(C$2,SP_TaxPar_DB[#Headers],0),FALSE)="",0,VLOOKUP($A79,SP_TaxPar_DB[],MATCH(C$2,SP_TaxPar_DB[#Headers],0),FALSE))</f>
        <v>T070</v>
      </c>
      <c r="D79" s="67">
        <f>IF(VLOOKUP($A79,SP_TaxPar_DB[],MATCH(D$2,SP_TaxPar_DB[#Headers],0),FALSE)="",0,VLOOKUP($A79,SP_TaxPar_DB[],MATCH(D$2,SP_TaxPar_DB[#Headers],0),FALSE))</f>
        <v>0</v>
      </c>
      <c r="E79" s="69" t="str">
        <f>VLOOKUP($A79,SP_TaxPar_DB[],MATCH(E$2,SP_TaxPar_DB[#Headers],0),FALSE)</f>
        <v>LOPEZ JUVENAL</v>
      </c>
      <c r="F79" s="69" t="str">
        <f>VLOOKUP($A79,SP_TaxPar_DB[],MATCH(F$2,SP_TaxPar_DB[#Headers],0),FALSE)</f>
        <v>420 E WAYSIDE</v>
      </c>
      <c r="G79" s="69" t="str">
        <f>VLOOKUP($A79,SP_TaxPar_DB[],MATCH(G$2,SP_TaxPar_DB[#Headers],0),FALSE)</f>
        <v>WHARTON</v>
      </c>
      <c r="H79" s="69" t="str">
        <f>VLOOKUP($A79,SP_TaxPar_DB[],MATCH(H$2,SP_TaxPar_DB[#Headers],0),FALSE)</f>
        <v>TX</v>
      </c>
      <c r="I79" s="69" t="str">
        <f>VLOOKUP($A79,SP_TaxPar_DB[],MATCH(I$2,SP_TaxPar_DB[#Headers],0),FALSE)</f>
        <v>77488</v>
      </c>
      <c r="J79" s="69" t="str">
        <f>VLOOKUP($A79,SP_TaxPar_DB[],MATCH(J$2,SP_TaxPar_DB[#Headers],0),FALSE)</f>
        <v>826 S EAST AVE</v>
      </c>
      <c r="K79" s="69" t="str">
        <f>VLOOKUP($A79,SP_TaxPar_DB[],MATCH(K$2,SP_TaxPar_DB[#Headers],0),FALSE)</f>
        <v>WM.KINCHELOE BLOCK 68 LOT 1G,1G-1 Acres:0.7040</v>
      </c>
      <c r="L79" s="69">
        <f>VLOOKUP($A79,SP_TaxPar_DB[],MATCH(L$2,SP_TaxPar_DB[#Headers],0),FALSE)</f>
        <v>0</v>
      </c>
      <c r="M79" s="69">
        <f>VLOOKUP($A79,SP_TaxPar_DB[],MATCH(M$2,SP_TaxPar_DB[#Headers],0),FALSE)</f>
        <v>0</v>
      </c>
      <c r="N79" s="69">
        <f>VLOOKUP($A79,SP_TaxPar_DB[],MATCH(N$2,SP_TaxPar_DB[#Headers],0),FALSE)</f>
        <v>0</v>
      </c>
      <c r="O79" s="71">
        <f>VLOOKUP($A79,SP_TaxPar_DB[],MATCH(O$2,SP_TaxPar_DB[#Headers],0),FALSE)</f>
        <v>0</v>
      </c>
      <c r="P79" s="72"/>
      <c r="Q79" s="69"/>
      <c r="R79" s="73"/>
      <c r="S79" s="73"/>
      <c r="T79" s="69"/>
      <c r="U79" s="69"/>
      <c r="V79" s="69"/>
      <c r="W79" s="69"/>
      <c r="X79" s="69"/>
      <c r="Y79" s="69"/>
      <c r="Z79" s="69"/>
      <c r="AA79" s="69"/>
      <c r="AB79" s="74"/>
      <c r="AC79" s="73"/>
      <c r="AD79" s="73"/>
      <c r="AE79" s="74"/>
      <c r="AF79" s="68"/>
      <c r="AG79" s="68"/>
      <c r="AH79" s="74"/>
      <c r="AI79" s="68"/>
      <c r="AJ79" s="68"/>
      <c r="AK79" s="68"/>
      <c r="AL79" s="80"/>
      <c r="AM79" s="81"/>
      <c r="AN79" s="74"/>
      <c r="AO79" s="74"/>
      <c r="AP79" s="74"/>
      <c r="AQ79" s="74"/>
      <c r="AR79" s="74"/>
      <c r="AS79" s="74"/>
      <c r="AT79" s="74"/>
      <c r="AU79" s="74"/>
      <c r="AV79" s="74"/>
      <c r="AW79" s="84"/>
    </row>
    <row r="80" spans="1:49" ht="15.75" hidden="1" x14ac:dyDescent="0.2">
      <c r="A80" s="129" t="s">
        <v>2058</v>
      </c>
      <c r="B80" s="68" t="str">
        <f>VLOOKUP($A80,SP_TaxPar_DB[],MATCH(B$2,SP_TaxPar_DB[#Headers],0),FALSE)</f>
        <v>PH2</v>
      </c>
      <c r="C80" s="67" t="str">
        <f>IF(VLOOKUP($A80,SP_TaxPar_DB[],MATCH(C$2,SP_TaxPar_DB[#Headers],0),FALSE)="",0,VLOOKUP($A80,SP_TaxPar_DB[],MATCH(C$2,SP_TaxPar_DB[#Headers],0),FALSE))</f>
        <v>T071</v>
      </c>
      <c r="D80" s="67">
        <f>IF(VLOOKUP($A80,SP_TaxPar_DB[],MATCH(D$2,SP_TaxPar_DB[#Headers],0),FALSE)="",0,VLOOKUP($A80,SP_TaxPar_DB[],MATCH(D$2,SP_TaxPar_DB[#Headers],0),FALSE))</f>
        <v>0</v>
      </c>
      <c r="E80" s="69" t="str">
        <f>VLOOKUP($A80,SP_TaxPar_DB[],MATCH(E$2,SP_TaxPar_DB[#Headers],0),FALSE)</f>
        <v>GARCIA NATIVIDAD HEIR OF JESUS GARCIA-DECD</v>
      </c>
      <c r="F80" s="69" t="str">
        <f>VLOOKUP($A80,SP_TaxPar_DB[],MATCH(F$2,SP_TaxPar_DB[#Headers],0),FALSE)</f>
        <v>1264 CR 188 RD</v>
      </c>
      <c r="G80" s="69" t="str">
        <f>VLOOKUP($A80,SP_TaxPar_DB[],MATCH(G$2,SP_TaxPar_DB[#Headers],0),FALSE)</f>
        <v>WHARTON</v>
      </c>
      <c r="H80" s="69" t="str">
        <f>VLOOKUP($A80,SP_TaxPar_DB[],MATCH(H$2,SP_TaxPar_DB[#Headers],0),FALSE)</f>
        <v>TX</v>
      </c>
      <c r="I80" s="69" t="str">
        <f>VLOOKUP($A80,SP_TaxPar_DB[],MATCH(I$2,SP_TaxPar_DB[#Headers],0),FALSE)</f>
        <v>77488</v>
      </c>
      <c r="J80" s="69" t="str">
        <f>VLOOKUP($A80,SP_TaxPar_DB[],MATCH(J$2,SP_TaxPar_DB[#Headers],0),FALSE)</f>
        <v>1264 CR 188</v>
      </c>
      <c r="K80" s="69" t="str">
        <f>VLOOKUP($A80,SP_TaxPar_DB[],MATCH(K$2,SP_TaxPar_DB[#Headers],0),FALSE)</f>
        <v>WM.KINCHELOE BLOCK 68 LOT 1L-1,1L-2 Acres:1.0000</v>
      </c>
      <c r="L80" s="69">
        <f>VLOOKUP($A80,SP_TaxPar_DB[],MATCH(L$2,SP_TaxPar_DB[#Headers],0),FALSE)</f>
        <v>0</v>
      </c>
      <c r="M80" s="69">
        <f>VLOOKUP($A80,SP_TaxPar_DB[],MATCH(M$2,SP_TaxPar_DB[#Headers],0),FALSE)</f>
        <v>0</v>
      </c>
      <c r="N80" s="69">
        <f>VLOOKUP($A80,SP_TaxPar_DB[],MATCH(N$2,SP_TaxPar_DB[#Headers],0),FALSE)</f>
        <v>0</v>
      </c>
      <c r="O80" s="71">
        <f>VLOOKUP($A80,SP_TaxPar_DB[],MATCH(O$2,SP_TaxPar_DB[#Headers],0),FALSE)</f>
        <v>0</v>
      </c>
      <c r="P80" s="72"/>
      <c r="Q80" s="69"/>
      <c r="R80" s="73"/>
      <c r="S80" s="73"/>
      <c r="T80" s="69"/>
      <c r="U80" s="69"/>
      <c r="V80" s="69"/>
      <c r="W80" s="69"/>
      <c r="X80" s="69"/>
      <c r="Y80" s="69"/>
      <c r="Z80" s="69"/>
      <c r="AA80" s="69"/>
      <c r="AB80" s="74"/>
      <c r="AC80" s="73"/>
      <c r="AD80" s="73"/>
      <c r="AE80" s="74"/>
      <c r="AF80" s="68"/>
      <c r="AG80" s="68"/>
      <c r="AH80" s="74"/>
      <c r="AI80" s="68"/>
      <c r="AJ80" s="68"/>
      <c r="AK80" s="68"/>
      <c r="AL80" s="80"/>
      <c r="AM80" s="81"/>
      <c r="AN80" s="74"/>
      <c r="AO80" s="74"/>
      <c r="AP80" s="74"/>
      <c r="AQ80" s="74"/>
      <c r="AR80" s="74"/>
      <c r="AS80" s="74"/>
      <c r="AT80" s="74"/>
      <c r="AU80" s="74"/>
      <c r="AV80" s="74"/>
      <c r="AW80" s="84"/>
    </row>
    <row r="81" spans="1:49" ht="15.75" hidden="1" x14ac:dyDescent="0.2">
      <c r="A81" s="129" t="s">
        <v>2063</v>
      </c>
      <c r="B81" s="68" t="str">
        <f>VLOOKUP($A81,SP_TaxPar_DB[],MATCH(B$2,SP_TaxPar_DB[#Headers],0),FALSE)</f>
        <v>PH2</v>
      </c>
      <c r="C81" s="67" t="str">
        <f>IF(VLOOKUP($A81,SP_TaxPar_DB[],MATCH(C$2,SP_TaxPar_DB[#Headers],0),FALSE)="",0,VLOOKUP($A81,SP_TaxPar_DB[],MATCH(C$2,SP_TaxPar_DB[#Headers],0),FALSE))</f>
        <v>T072</v>
      </c>
      <c r="D81" s="67">
        <f>IF(VLOOKUP($A81,SP_TaxPar_DB[],MATCH(D$2,SP_TaxPar_DB[#Headers],0),FALSE)="",0,VLOOKUP($A81,SP_TaxPar_DB[],MATCH(D$2,SP_TaxPar_DB[#Headers],0),FALSE))</f>
        <v>0</v>
      </c>
      <c r="E81" s="69" t="str">
        <f>VLOOKUP($A81,SP_TaxPar_DB[],MATCH(E$2,SP_TaxPar_DB[#Headers],0),FALSE)</f>
        <v>GOMEZ RICARDO E ETUX ERMINIA L</v>
      </c>
      <c r="F81" s="69" t="str">
        <f>VLOOKUP($A81,SP_TaxPar_DB[],MATCH(F$2,SP_TaxPar_DB[#Headers],0),FALSE)</f>
        <v>914 CR 188 RD</v>
      </c>
      <c r="G81" s="69" t="str">
        <f>VLOOKUP($A81,SP_TaxPar_DB[],MATCH(G$2,SP_TaxPar_DB[#Headers],0),FALSE)</f>
        <v>WHARTON</v>
      </c>
      <c r="H81" s="69" t="str">
        <f>VLOOKUP($A81,SP_TaxPar_DB[],MATCH(H$2,SP_TaxPar_DB[#Headers],0),FALSE)</f>
        <v>TX</v>
      </c>
      <c r="I81" s="69" t="str">
        <f>VLOOKUP($A81,SP_TaxPar_DB[],MATCH(I$2,SP_TaxPar_DB[#Headers],0),FALSE)</f>
        <v>77488-9575</v>
      </c>
      <c r="J81" s="69" t="str">
        <f>VLOOKUP($A81,SP_TaxPar_DB[],MATCH(J$2,SP_TaxPar_DB[#Headers],0),FALSE)</f>
        <v>914 CR 188</v>
      </c>
      <c r="K81" s="69" t="str">
        <f>VLOOKUP($A81,SP_TaxPar_DB[],MATCH(K$2,SP_TaxPar_DB[#Headers],0),FALSE)</f>
        <v>WM.KINCHELOE BLOCK 68 LOT 1J,1J-1 Acres:0.5940</v>
      </c>
      <c r="L81" s="69">
        <f>VLOOKUP($A81,SP_TaxPar_DB[],MATCH(L$2,SP_TaxPar_DB[#Headers],0),FALSE)</f>
        <v>0</v>
      </c>
      <c r="M81" s="69">
        <f>VLOOKUP($A81,SP_TaxPar_DB[],MATCH(M$2,SP_TaxPar_DB[#Headers],0),FALSE)</f>
        <v>0</v>
      </c>
      <c r="N81" s="69">
        <f>VLOOKUP($A81,SP_TaxPar_DB[],MATCH(N$2,SP_TaxPar_DB[#Headers],0),FALSE)</f>
        <v>0</v>
      </c>
      <c r="O81" s="71">
        <f>VLOOKUP($A81,SP_TaxPar_DB[],MATCH(O$2,SP_TaxPar_DB[#Headers],0),FALSE)</f>
        <v>0</v>
      </c>
      <c r="P81" s="72"/>
      <c r="Q81" s="69"/>
      <c r="R81" s="73"/>
      <c r="S81" s="73"/>
      <c r="T81" s="69"/>
      <c r="U81" s="69"/>
      <c r="V81" s="69"/>
      <c r="W81" s="69"/>
      <c r="X81" s="69"/>
      <c r="Y81" s="69"/>
      <c r="Z81" s="69"/>
      <c r="AA81" s="69"/>
      <c r="AB81" s="74"/>
      <c r="AC81" s="73"/>
      <c r="AD81" s="73"/>
      <c r="AE81" s="74"/>
      <c r="AF81" s="68"/>
      <c r="AG81" s="68"/>
      <c r="AH81" s="74"/>
      <c r="AI81" s="68"/>
      <c r="AJ81" s="68"/>
      <c r="AK81" s="68"/>
      <c r="AL81" s="80"/>
      <c r="AM81" s="81"/>
      <c r="AN81" s="74"/>
      <c r="AO81" s="74"/>
      <c r="AP81" s="74"/>
      <c r="AQ81" s="74"/>
      <c r="AR81" s="74"/>
      <c r="AS81" s="74"/>
      <c r="AT81" s="74"/>
      <c r="AU81" s="74"/>
      <c r="AV81" s="74"/>
      <c r="AW81" s="84"/>
    </row>
    <row r="82" spans="1:49" ht="15.75" hidden="1" x14ac:dyDescent="0.2">
      <c r="A82" s="129" t="s">
        <v>2069</v>
      </c>
      <c r="B82" s="68" t="str">
        <f>VLOOKUP($A82,SP_TaxPar_DB[],MATCH(B$2,SP_TaxPar_DB[#Headers],0),FALSE)</f>
        <v>PH2</v>
      </c>
      <c r="C82" s="67" t="str">
        <f>IF(VLOOKUP($A82,SP_TaxPar_DB[],MATCH(C$2,SP_TaxPar_DB[#Headers],0),FALSE)="",0,VLOOKUP($A82,SP_TaxPar_DB[],MATCH(C$2,SP_TaxPar_DB[#Headers],0),FALSE))</f>
        <v>T276</v>
      </c>
      <c r="D82" s="67">
        <f>IF(VLOOKUP($A82,SP_TaxPar_DB[],MATCH(D$2,SP_TaxPar_DB[#Headers],0),FALSE)="",0,VLOOKUP($A82,SP_TaxPar_DB[],MATCH(D$2,SP_TaxPar_DB[#Headers],0),FALSE))</f>
        <v>0</v>
      </c>
      <c r="E82" s="69" t="str">
        <f>VLOOKUP($A82,SP_TaxPar_DB[],MATCH(E$2,SP_TaxPar_DB[#Headers],0),FALSE)</f>
        <v>WHARTON CITY OF %CABRERA SERGIO</v>
      </c>
      <c r="F82" s="69" t="str">
        <f>VLOOKUP($A82,SP_TaxPar_DB[],MATCH(F$2,SP_TaxPar_DB[#Headers],0),FALSE)</f>
        <v>PO BOX 311507</v>
      </c>
      <c r="G82" s="69" t="str">
        <f>VLOOKUP($A82,SP_TaxPar_DB[],MATCH(G$2,SP_TaxPar_DB[#Headers],0),FALSE)</f>
        <v>NEW BRAUNFELS</v>
      </c>
      <c r="H82" s="69" t="str">
        <f>VLOOKUP($A82,SP_TaxPar_DB[],MATCH(H$2,SP_TaxPar_DB[#Headers],0),FALSE)</f>
        <v>TX</v>
      </c>
      <c r="I82" s="69" t="str">
        <f>VLOOKUP($A82,SP_TaxPar_DB[],MATCH(I$2,SP_TaxPar_DB[#Headers],0),FALSE)</f>
        <v>78131-1507</v>
      </c>
      <c r="J82" s="69" t="str">
        <f>VLOOKUP($A82,SP_TaxPar_DB[],MATCH(J$2,SP_TaxPar_DB[#Headers],0),FALSE)</f>
        <v>0 W ELM</v>
      </c>
      <c r="K82" s="69" t="str">
        <f>VLOOKUP($A82,SP_TaxPar_DB[],MATCH(K$2,SP_TaxPar_DB[#Headers],0),FALSE)</f>
        <v>WM.KINCHELOE BLOCK 68 Acres:1.1980</v>
      </c>
      <c r="L82" s="69">
        <f>VLOOKUP($A82,SP_TaxPar_DB[],MATCH(L$2,SP_TaxPar_DB[#Headers],0),FALSE)</f>
        <v>0</v>
      </c>
      <c r="M82" s="69">
        <f>VLOOKUP($A82,SP_TaxPar_DB[],MATCH(M$2,SP_TaxPar_DB[#Headers],0),FALSE)</f>
        <v>0</v>
      </c>
      <c r="N82" s="69">
        <f>VLOOKUP($A82,SP_TaxPar_DB[],MATCH(N$2,SP_TaxPar_DB[#Headers],0),FALSE)</f>
        <v>0</v>
      </c>
      <c r="O82" s="71">
        <f>VLOOKUP($A82,SP_TaxPar_DB[],MATCH(O$2,SP_TaxPar_DB[#Headers],0),FALSE)</f>
        <v>0</v>
      </c>
      <c r="P82" s="72"/>
      <c r="Q82" s="69"/>
      <c r="R82" s="73"/>
      <c r="S82" s="73"/>
      <c r="T82" s="69"/>
      <c r="U82" s="69"/>
      <c r="V82" s="69"/>
      <c r="W82" s="69"/>
      <c r="X82" s="69"/>
      <c r="Y82" s="69"/>
      <c r="Z82" s="69"/>
      <c r="AA82" s="69"/>
      <c r="AB82" s="74"/>
      <c r="AC82" s="73"/>
      <c r="AD82" s="73"/>
      <c r="AE82" s="74"/>
      <c r="AF82" s="68"/>
      <c r="AG82" s="68"/>
      <c r="AH82" s="74"/>
      <c r="AI82" s="68"/>
      <c r="AJ82" s="68"/>
      <c r="AK82" s="68"/>
      <c r="AL82" s="80"/>
      <c r="AM82" s="81"/>
      <c r="AN82" s="74"/>
      <c r="AO82" s="74"/>
      <c r="AP82" s="74"/>
      <c r="AQ82" s="74"/>
      <c r="AR82" s="74"/>
      <c r="AS82" s="74"/>
      <c r="AT82" s="74"/>
      <c r="AU82" s="74"/>
      <c r="AV82" s="74"/>
      <c r="AW82" s="84"/>
    </row>
    <row r="83" spans="1:49" ht="15.75" hidden="1" x14ac:dyDescent="0.2">
      <c r="A83" s="129" t="s">
        <v>129</v>
      </c>
      <c r="B83" s="68" t="str">
        <f>VLOOKUP($A83,SP_TaxPar_DB[],MATCH(B$2,SP_TaxPar_DB[#Headers],0),FALSE)</f>
        <v>PH1</v>
      </c>
      <c r="C83" s="67" t="str">
        <f>IF(VLOOKUP($A83,SP_TaxPar_DB[],MATCH(C$2,SP_TaxPar_DB[#Headers],0),FALSE)="",0,VLOOKUP($A83,SP_TaxPar_DB[],MATCH(C$2,SP_TaxPar_DB[#Headers],0),FALSE))</f>
        <v>216</v>
      </c>
      <c r="D83" s="67">
        <f>IF(VLOOKUP($A83,SP_TaxPar_DB[],MATCH(D$2,SP_TaxPar_DB[#Headers],0),FALSE)="",0,VLOOKUP($A83,SP_TaxPar_DB[],MATCH(D$2,SP_TaxPar_DB[#Headers],0),FALSE))</f>
        <v>0</v>
      </c>
      <c r="E83" s="69" t="str">
        <f>VLOOKUP($A83,SP_TaxPar_DB[],MATCH(E$2,SP_TaxPar_DB[#Headers],0),FALSE)</f>
        <v>Wharton County Recovery Team</v>
      </c>
      <c r="F83" s="69" t="str">
        <f>VLOOKUP($A83,SP_TaxPar_DB[],MATCH(F$2,SP_TaxPar_DB[#Headers],0),FALSE)</f>
        <v>PO Box 641</v>
      </c>
      <c r="G83" s="69" t="str">
        <f>VLOOKUP($A83,SP_TaxPar_DB[],MATCH(G$2,SP_TaxPar_DB[#Headers],0),FALSE)</f>
        <v>Wharton</v>
      </c>
      <c r="H83" s="69" t="str">
        <f>VLOOKUP($A83,SP_TaxPar_DB[],MATCH(H$2,SP_TaxPar_DB[#Headers],0),FALSE)</f>
        <v>TX</v>
      </c>
      <c r="I83" s="69" t="str">
        <f>VLOOKUP($A83,SP_TaxPar_DB[],MATCH(I$2,SP_TaxPar_DB[#Headers],0),FALSE)</f>
        <v>77488</v>
      </c>
      <c r="J83" s="69" t="str">
        <f>VLOOKUP($A83,SP_TaxPar_DB[],MATCH(J$2,SP_TaxPar_DB[#Headers],0),FALSE)</f>
        <v>412 S Sheppard</v>
      </c>
      <c r="K83" s="69" t="str">
        <f>VLOOKUP($A83,SP_TaxPar_DB[],MATCH(K$2,SP_TaxPar_DB[#Headers],0),FALSE)</f>
        <v>Little mexico Lot 4</v>
      </c>
      <c r="L83" s="69">
        <f>VLOOKUP($A83,SP_TaxPar_DB[],MATCH(L$2,SP_TaxPar_DB[#Headers],0),FALSE)</f>
        <v>0.17560000000000001</v>
      </c>
      <c r="M83" s="69" t="str">
        <f>VLOOKUP($A83,SP_TaxPar_DB[],MATCH(M$2,SP_TaxPar_DB[#Headers],0),FALSE)</f>
        <v>Residential</v>
      </c>
      <c r="N83" s="69" t="str">
        <f>VLOOKUP($A83,SP_TaxPar_DB[],MATCH(N$2,SP_TaxPar_DB[#Headers],0),FALSE)</f>
        <v>1135 / 416</v>
      </c>
      <c r="O83" s="71" t="str">
        <f>VLOOKUP($A83,SP_TaxPar_DB[],MATCH(O$2,SP_TaxPar_DB[#Headers],0),FALSE)</f>
        <v>1981 Fleetwood 14 X 56</v>
      </c>
      <c r="P83" s="72"/>
      <c r="Q83" s="69"/>
      <c r="R83" s="73"/>
      <c r="S83" s="73"/>
      <c r="T83" s="69"/>
      <c r="U83" s="69"/>
      <c r="V83" s="69"/>
      <c r="W83" s="69"/>
      <c r="X83" s="69"/>
      <c r="Y83" s="69"/>
      <c r="Z83" s="69"/>
      <c r="AA83" s="69"/>
      <c r="AB83" s="74"/>
      <c r="AC83" s="73"/>
      <c r="AD83" s="73"/>
      <c r="AE83" s="74"/>
      <c r="AF83" s="68"/>
      <c r="AG83" s="68"/>
      <c r="AH83" s="74"/>
      <c r="AI83" s="68"/>
      <c r="AJ83" s="68"/>
      <c r="AK83" s="68"/>
      <c r="AL83" s="80"/>
      <c r="AM83" s="81"/>
      <c r="AN83" s="74"/>
      <c r="AO83" s="74"/>
      <c r="AP83" s="74"/>
      <c r="AQ83" s="74"/>
      <c r="AR83" s="74"/>
      <c r="AS83" s="74"/>
      <c r="AT83" s="74"/>
      <c r="AU83" s="74"/>
      <c r="AV83" s="74"/>
      <c r="AW83" s="84"/>
    </row>
    <row r="84" spans="1:49" ht="15.75" hidden="1" x14ac:dyDescent="0.2">
      <c r="A84" s="129" t="s">
        <v>125</v>
      </c>
      <c r="B84" s="68" t="str">
        <f>VLOOKUP($A84,SP_TaxPar_DB[],MATCH(B$2,SP_TaxPar_DB[#Headers],0),FALSE)</f>
        <v>PH1</v>
      </c>
      <c r="C84" s="67" t="str">
        <f>IF(VLOOKUP($A84,SP_TaxPar_DB[],MATCH(C$2,SP_TaxPar_DB[#Headers],0),FALSE)="",0,VLOOKUP($A84,SP_TaxPar_DB[],MATCH(C$2,SP_TaxPar_DB[#Headers],0),FALSE))</f>
        <v>215</v>
      </c>
      <c r="D84" s="67">
        <f>IF(VLOOKUP($A84,SP_TaxPar_DB[],MATCH(D$2,SP_TaxPar_DB[#Headers],0),FALSE)="",0,VLOOKUP($A84,SP_TaxPar_DB[],MATCH(D$2,SP_TaxPar_DB[#Headers],0),FALSE))</f>
        <v>0</v>
      </c>
      <c r="E84" s="69" t="str">
        <f>VLOOKUP($A84,SP_TaxPar_DB[],MATCH(E$2,SP_TaxPar_DB[#Headers],0),FALSE)</f>
        <v>Brenda R Chavana</v>
      </c>
      <c r="F84" s="69" t="str">
        <f>VLOOKUP($A84,SP_TaxPar_DB[],MATCH(F$2,SP_TaxPar_DB[#Headers],0),FALSE)</f>
        <v>416 S Sheppard</v>
      </c>
      <c r="G84" s="69" t="str">
        <f>VLOOKUP($A84,SP_TaxPar_DB[],MATCH(G$2,SP_TaxPar_DB[#Headers],0),FALSE)</f>
        <v>Wharton</v>
      </c>
      <c r="H84" s="69" t="str">
        <f>VLOOKUP($A84,SP_TaxPar_DB[],MATCH(H$2,SP_TaxPar_DB[#Headers],0),FALSE)</f>
        <v>TX</v>
      </c>
      <c r="I84" s="69" t="str">
        <f>VLOOKUP($A84,SP_TaxPar_DB[],MATCH(I$2,SP_TaxPar_DB[#Headers],0),FALSE)</f>
        <v>77488</v>
      </c>
      <c r="J84" s="69" t="str">
        <f>VLOOKUP($A84,SP_TaxPar_DB[],MATCH(J$2,SP_TaxPar_DB[#Headers],0),FALSE)</f>
        <v>416 S Sheppard</v>
      </c>
      <c r="K84" s="69" t="str">
        <f>VLOOKUP($A84,SP_TaxPar_DB[],MATCH(K$2,SP_TaxPar_DB[#Headers],0),FALSE)</f>
        <v>Little Mexico Lot 5</v>
      </c>
      <c r="L84" s="69">
        <f>VLOOKUP($A84,SP_TaxPar_DB[],MATCH(L$2,SP_TaxPar_DB[#Headers],0),FALSE)</f>
        <v>0.17419999999999999</v>
      </c>
      <c r="M84" s="69" t="str">
        <f>VLOOKUP($A84,SP_TaxPar_DB[],MATCH(M$2,SP_TaxPar_DB[#Headers],0),FALSE)</f>
        <v>Residential</v>
      </c>
      <c r="N84" s="69">
        <f>VLOOKUP($A84,SP_TaxPar_DB[],MATCH(N$2,SP_TaxPar_DB[#Headers],0),FALSE)</f>
        <v>0</v>
      </c>
      <c r="O84" s="71">
        <f>VLOOKUP($A84,SP_TaxPar_DB[],MATCH(O$2,SP_TaxPar_DB[#Headers],0),FALSE)</f>
        <v>0</v>
      </c>
      <c r="P84" s="72"/>
      <c r="Q84" s="69"/>
      <c r="R84" s="73"/>
      <c r="S84" s="73"/>
      <c r="T84" s="69"/>
      <c r="U84" s="69"/>
      <c r="V84" s="69"/>
      <c r="W84" s="69"/>
      <c r="X84" s="69"/>
      <c r="Y84" s="69"/>
      <c r="Z84" s="69"/>
      <c r="AA84" s="69"/>
      <c r="AB84" s="74"/>
      <c r="AC84" s="73"/>
      <c r="AD84" s="73"/>
      <c r="AE84" s="74"/>
      <c r="AF84" s="68"/>
      <c r="AG84" s="68"/>
      <c r="AH84" s="74"/>
      <c r="AI84" s="68"/>
      <c r="AJ84" s="68"/>
      <c r="AK84" s="68"/>
      <c r="AL84" s="80"/>
      <c r="AM84" s="81"/>
      <c r="AN84" s="74"/>
      <c r="AO84" s="74"/>
      <c r="AP84" s="74"/>
      <c r="AQ84" s="74"/>
      <c r="AR84" s="74"/>
      <c r="AS84" s="74"/>
      <c r="AT84" s="74"/>
      <c r="AU84" s="74"/>
      <c r="AV84" s="74"/>
      <c r="AW84" s="84"/>
    </row>
    <row r="85" spans="1:49" ht="15.75" hidden="1" x14ac:dyDescent="0.2">
      <c r="A85" s="129" t="s">
        <v>122</v>
      </c>
      <c r="B85" s="68" t="str">
        <f>VLOOKUP($A85,SP_TaxPar_DB[],MATCH(B$2,SP_TaxPar_DB[#Headers],0),FALSE)</f>
        <v>PH1</v>
      </c>
      <c r="C85" s="67" t="str">
        <f>IF(VLOOKUP($A85,SP_TaxPar_DB[],MATCH(C$2,SP_TaxPar_DB[#Headers],0),FALSE)="",0,VLOOKUP($A85,SP_TaxPar_DB[],MATCH(C$2,SP_TaxPar_DB[#Headers],0),FALSE))</f>
        <v>214</v>
      </c>
      <c r="D85" s="67">
        <f>IF(VLOOKUP($A85,SP_TaxPar_DB[],MATCH(D$2,SP_TaxPar_DB[#Headers],0),FALSE)="",0,VLOOKUP($A85,SP_TaxPar_DB[],MATCH(D$2,SP_TaxPar_DB[#Headers],0),FALSE))</f>
        <v>0</v>
      </c>
      <c r="E85" s="69" t="str">
        <f>VLOOKUP($A85,SP_TaxPar_DB[],MATCH(E$2,SP_TaxPar_DB[#Headers],0),FALSE)</f>
        <v>Marchette Marks</v>
      </c>
      <c r="F85" s="69" t="str">
        <f>VLOOKUP($A85,SP_TaxPar_DB[],MATCH(F$2,SP_TaxPar_DB[#Headers],0),FALSE)</f>
        <v>418 S Sheppard</v>
      </c>
      <c r="G85" s="69" t="str">
        <f>VLOOKUP($A85,SP_TaxPar_DB[],MATCH(G$2,SP_TaxPar_DB[#Headers],0),FALSE)</f>
        <v>Wharton</v>
      </c>
      <c r="H85" s="69" t="str">
        <f>VLOOKUP($A85,SP_TaxPar_DB[],MATCH(H$2,SP_TaxPar_DB[#Headers],0),FALSE)</f>
        <v>TX</v>
      </c>
      <c r="I85" s="69" t="str">
        <f>VLOOKUP($A85,SP_TaxPar_DB[],MATCH(I$2,SP_TaxPar_DB[#Headers],0),FALSE)</f>
        <v>77488</v>
      </c>
      <c r="J85" s="69" t="str">
        <f>VLOOKUP($A85,SP_TaxPar_DB[],MATCH(J$2,SP_TaxPar_DB[#Headers],0),FALSE)</f>
        <v>418 S Sheppard</v>
      </c>
      <c r="K85" s="69" t="str">
        <f>VLOOKUP($A85,SP_TaxPar_DB[],MATCH(K$2,SP_TaxPar_DB[#Headers],0),FALSE)</f>
        <v>Little Mexico Lot 6</v>
      </c>
      <c r="L85" s="69">
        <f>VLOOKUP($A85,SP_TaxPar_DB[],MATCH(L$2,SP_TaxPar_DB[#Headers],0),FALSE)</f>
        <v>0.17280000000000001</v>
      </c>
      <c r="M85" s="69" t="str">
        <f>VLOOKUP($A85,SP_TaxPar_DB[],MATCH(M$2,SP_TaxPar_DB[#Headers],0),FALSE)</f>
        <v>Residential</v>
      </c>
      <c r="N85" s="69">
        <f>VLOOKUP($A85,SP_TaxPar_DB[],MATCH(N$2,SP_TaxPar_DB[#Headers],0),FALSE)</f>
        <v>0</v>
      </c>
      <c r="O85" s="71">
        <f>VLOOKUP($A85,SP_TaxPar_DB[],MATCH(O$2,SP_TaxPar_DB[#Headers],0),FALSE)</f>
        <v>0</v>
      </c>
      <c r="P85" s="72"/>
      <c r="Q85" s="69"/>
      <c r="R85" s="73"/>
      <c r="S85" s="73"/>
      <c r="T85" s="69"/>
      <c r="U85" s="69"/>
      <c r="V85" s="69"/>
      <c r="W85" s="69"/>
      <c r="X85" s="69"/>
      <c r="Y85" s="69"/>
      <c r="Z85" s="69"/>
      <c r="AA85" s="69"/>
      <c r="AB85" s="74"/>
      <c r="AC85" s="73"/>
      <c r="AD85" s="73"/>
      <c r="AE85" s="74"/>
      <c r="AF85" s="68"/>
      <c r="AG85" s="68"/>
      <c r="AH85" s="74"/>
      <c r="AI85" s="68"/>
      <c r="AJ85" s="68"/>
      <c r="AK85" s="68"/>
      <c r="AL85" s="80"/>
      <c r="AM85" s="81"/>
      <c r="AN85" s="74"/>
      <c r="AO85" s="74"/>
      <c r="AP85" s="74"/>
      <c r="AQ85" s="74"/>
      <c r="AR85" s="74"/>
      <c r="AS85" s="74"/>
      <c r="AT85" s="74"/>
      <c r="AU85" s="74"/>
      <c r="AV85" s="74"/>
      <c r="AW85" s="84"/>
    </row>
    <row r="86" spans="1:49" ht="15.75" hidden="1" x14ac:dyDescent="0.2">
      <c r="A86" s="129" t="s">
        <v>118</v>
      </c>
      <c r="B86" s="68" t="str">
        <f>VLOOKUP($A86,SP_TaxPar_DB[],MATCH(B$2,SP_TaxPar_DB[#Headers],0),FALSE)</f>
        <v>PH1</v>
      </c>
      <c r="C86" s="67" t="str">
        <f>IF(VLOOKUP($A86,SP_TaxPar_DB[],MATCH(C$2,SP_TaxPar_DB[#Headers],0),FALSE)="",0,VLOOKUP($A86,SP_TaxPar_DB[],MATCH(C$2,SP_TaxPar_DB[#Headers],0),FALSE))</f>
        <v>213</v>
      </c>
      <c r="D86" s="67">
        <f>IF(VLOOKUP($A86,SP_TaxPar_DB[],MATCH(D$2,SP_TaxPar_DB[#Headers],0),FALSE)="",0,VLOOKUP($A86,SP_TaxPar_DB[],MATCH(D$2,SP_TaxPar_DB[#Headers],0),FALSE))</f>
        <v>0</v>
      </c>
      <c r="E86" s="69" t="str">
        <f>VLOOKUP($A86,SP_TaxPar_DB[],MATCH(E$2,SP_TaxPar_DB[#Headers],0),FALSE)</f>
        <v>Curtis Wade Evans</v>
      </c>
      <c r="F86" s="69" t="str">
        <f>VLOOKUP($A86,SP_TaxPar_DB[],MATCH(F$2,SP_TaxPar_DB[#Headers],0),FALSE)</f>
        <v>436 S Sheppard</v>
      </c>
      <c r="G86" s="69" t="str">
        <f>VLOOKUP($A86,SP_TaxPar_DB[],MATCH(G$2,SP_TaxPar_DB[#Headers],0),FALSE)</f>
        <v>Wharton</v>
      </c>
      <c r="H86" s="69" t="str">
        <f>VLOOKUP($A86,SP_TaxPar_DB[],MATCH(H$2,SP_TaxPar_DB[#Headers],0),FALSE)</f>
        <v>TX</v>
      </c>
      <c r="I86" s="69" t="str">
        <f>VLOOKUP($A86,SP_TaxPar_DB[],MATCH(I$2,SP_TaxPar_DB[#Headers],0),FALSE)</f>
        <v>77488</v>
      </c>
      <c r="J86" s="69" t="str">
        <f>VLOOKUP($A86,SP_TaxPar_DB[],MATCH(J$2,SP_TaxPar_DB[#Headers],0),FALSE)</f>
        <v>436 S Sheppard</v>
      </c>
      <c r="K86" s="69" t="str">
        <f>VLOOKUP($A86,SP_TaxPar_DB[],MATCH(K$2,SP_TaxPar_DB[#Headers],0),FALSE)</f>
        <v>Little Mexico Lot 8, 9</v>
      </c>
      <c r="L86" s="69">
        <f>VLOOKUP($A86,SP_TaxPar_DB[],MATCH(L$2,SP_TaxPar_DB[#Headers],0),FALSE)</f>
        <v>0.33850000000000002</v>
      </c>
      <c r="M86" s="69" t="str">
        <f>VLOOKUP($A86,SP_TaxPar_DB[],MATCH(M$2,SP_TaxPar_DB[#Headers],0),FALSE)</f>
        <v>Residential</v>
      </c>
      <c r="N86" s="69" t="str">
        <f>VLOOKUP($A86,SP_TaxPar_DB[],MATCH(N$2,SP_TaxPar_DB[#Headers],0),FALSE)</f>
        <v>791 / 113</v>
      </c>
      <c r="O86" s="71">
        <f>VLOOKUP($A86,SP_TaxPar_DB[],MATCH(O$2,SP_TaxPar_DB[#Headers],0),FALSE)</f>
        <v>0</v>
      </c>
      <c r="P86" s="72"/>
      <c r="Q86" s="69"/>
      <c r="R86" s="73"/>
      <c r="S86" s="73"/>
      <c r="T86" s="69"/>
      <c r="U86" s="69"/>
      <c r="V86" s="69"/>
      <c r="W86" s="69"/>
      <c r="X86" s="69"/>
      <c r="Y86" s="69"/>
      <c r="Z86" s="69"/>
      <c r="AA86" s="69"/>
      <c r="AB86" s="74"/>
      <c r="AC86" s="73"/>
      <c r="AD86" s="73"/>
      <c r="AE86" s="74"/>
      <c r="AF86" s="68"/>
      <c r="AG86" s="68"/>
      <c r="AH86" s="74"/>
      <c r="AI86" s="68"/>
      <c r="AJ86" s="68"/>
      <c r="AK86" s="68"/>
      <c r="AL86" s="80"/>
      <c r="AM86" s="81"/>
      <c r="AN86" s="74"/>
      <c r="AO86" s="74"/>
      <c r="AP86" s="74"/>
      <c r="AQ86" s="74"/>
      <c r="AR86" s="74"/>
      <c r="AS86" s="74"/>
      <c r="AT86" s="74"/>
      <c r="AU86" s="74"/>
      <c r="AV86" s="74"/>
      <c r="AW86" s="84"/>
    </row>
    <row r="87" spans="1:49" ht="15.75" hidden="1" x14ac:dyDescent="0.2">
      <c r="A87" s="129" t="s">
        <v>2076</v>
      </c>
      <c r="B87" s="68" t="str">
        <f>VLOOKUP($A87,SP_TaxPar_DB[],MATCH(B$2,SP_TaxPar_DB[#Headers],0),FALSE)</f>
        <v>ENV</v>
      </c>
      <c r="C87" s="67">
        <f>IF(VLOOKUP($A87,SP_TaxPar_DB[],MATCH(C$2,SP_TaxPar_DB[#Headers],0),FALSE)="",0,VLOOKUP($A87,SP_TaxPar_DB[],MATCH(C$2,SP_TaxPar_DB[#Headers],0),FALSE))</f>
        <v>0</v>
      </c>
      <c r="D87" s="67" t="str">
        <f>IF(VLOOKUP($A87,SP_TaxPar_DB[],MATCH(D$2,SP_TaxPar_DB[#Headers],0),FALSE)="",0,VLOOKUP($A87,SP_TaxPar_DB[],MATCH(D$2,SP_TaxPar_DB[#Headers],0),FALSE))</f>
        <v>078</v>
      </c>
      <c r="E87" s="69" t="str">
        <f>VLOOKUP($A87,SP_TaxPar_DB[],MATCH(E$2,SP_TaxPar_DB[#Headers],0),FALSE)</f>
        <v>ZAMUDIO JOSE</v>
      </c>
      <c r="F87" s="69" t="str">
        <f>VLOOKUP($A87,SP_TaxPar_DB[],MATCH(F$2,SP_TaxPar_DB[#Headers],0),FALSE)</f>
        <v>534 E CANEY</v>
      </c>
      <c r="G87" s="69" t="str">
        <f>VLOOKUP($A87,SP_TaxPar_DB[],MATCH(G$2,SP_TaxPar_DB[#Headers],0),FALSE)</f>
        <v>WHARTON</v>
      </c>
      <c r="H87" s="69" t="str">
        <f>VLOOKUP($A87,SP_TaxPar_DB[],MATCH(H$2,SP_TaxPar_DB[#Headers],0),FALSE)</f>
        <v>TX</v>
      </c>
      <c r="I87" s="69" t="str">
        <f>VLOOKUP($A87,SP_TaxPar_DB[],MATCH(I$2,SP_TaxPar_DB[#Headers],0),FALSE)</f>
        <v>77488</v>
      </c>
      <c r="J87" s="69" t="str">
        <f>VLOOKUP($A87,SP_TaxPar_DB[],MATCH(J$2,SP_TaxPar_DB[#Headers],0),FALSE)</f>
        <v>604 MURPHY AVE</v>
      </c>
      <c r="K87" s="69" t="str">
        <f>VLOOKUP($A87,SP_TaxPar_DB[],MATCH(K$2,SP_TaxPar_DB[#Headers],0),FALSE)</f>
        <v>MT.CARMEL BLOCK 2 LOT 3,4,17,18 Acres:0.1772</v>
      </c>
      <c r="L87" s="69">
        <f>VLOOKUP($A87,SP_TaxPar_DB[],MATCH(L$2,SP_TaxPar_DB[#Headers],0),FALSE)</f>
        <v>0</v>
      </c>
      <c r="M87" s="69">
        <f>VLOOKUP($A87,SP_TaxPar_DB[],MATCH(M$2,SP_TaxPar_DB[#Headers],0),FALSE)</f>
        <v>0</v>
      </c>
      <c r="N87" s="69">
        <f>VLOOKUP($A87,SP_TaxPar_DB[],MATCH(N$2,SP_TaxPar_DB[#Headers],0),FALSE)</f>
        <v>0</v>
      </c>
      <c r="O87" s="71">
        <f>VLOOKUP($A87,SP_TaxPar_DB[],MATCH(O$2,SP_TaxPar_DB[#Headers],0),FALSE)</f>
        <v>0</v>
      </c>
      <c r="P87" s="72"/>
      <c r="Q87" s="240"/>
      <c r="R87" s="240"/>
      <c r="S87" s="240"/>
      <c r="T87" s="240"/>
      <c r="U87" s="240"/>
      <c r="V87" s="240"/>
      <c r="W87" s="240"/>
      <c r="X87" s="240"/>
      <c r="Y87" s="240"/>
      <c r="Z87" s="240"/>
      <c r="AA87" s="240"/>
      <c r="AB87" s="240"/>
      <c r="AC87" s="240"/>
      <c r="AD87" s="240"/>
      <c r="AE87" s="240"/>
      <c r="AF87" s="240"/>
      <c r="AG87" s="240"/>
      <c r="AH87" s="240"/>
      <c r="AI87" s="240"/>
      <c r="AJ87" s="240"/>
      <c r="AK87" s="240"/>
      <c r="AL87" s="241"/>
      <c r="AM87" s="242"/>
      <c r="AN87" s="240"/>
      <c r="AO87" s="240"/>
      <c r="AP87" s="240"/>
      <c r="AQ87" s="240"/>
      <c r="AR87" s="240"/>
      <c r="AS87" s="240"/>
      <c r="AT87" s="240"/>
      <c r="AU87" s="240"/>
      <c r="AV87" s="240"/>
      <c r="AW87" s="241"/>
    </row>
    <row r="88" spans="1:49" ht="15.75" hidden="1" x14ac:dyDescent="0.2">
      <c r="A88" s="129" t="s">
        <v>2081</v>
      </c>
      <c r="B88" s="68" t="str">
        <f>VLOOKUP($A88,SP_TaxPar_DB[],MATCH(B$2,SP_TaxPar_DB[#Headers],0),FALSE)</f>
        <v>ENV</v>
      </c>
      <c r="C88" s="67">
        <f>IF(VLOOKUP($A88,SP_TaxPar_DB[],MATCH(C$2,SP_TaxPar_DB[#Headers],0),FALSE)="",0,VLOOKUP($A88,SP_TaxPar_DB[],MATCH(C$2,SP_TaxPar_DB[#Headers],0),FALSE))</f>
        <v>0</v>
      </c>
      <c r="D88" s="67" t="str">
        <f>IF(VLOOKUP($A88,SP_TaxPar_DB[],MATCH(D$2,SP_TaxPar_DB[#Headers],0),FALSE)="",0,VLOOKUP($A88,SP_TaxPar_DB[],MATCH(D$2,SP_TaxPar_DB[#Headers],0),FALSE))</f>
        <v>079</v>
      </c>
      <c r="E88" s="69" t="str">
        <f>VLOOKUP($A88,SP_TaxPar_DB[],MATCH(E$2,SP_TaxPar_DB[#Headers],0),FALSE)</f>
        <v>MULTIPLE OWNERS -  CAMACHO JOHN SR LIFE ESTATE</v>
      </c>
      <c r="F88" s="69" t="str">
        <f>VLOOKUP($A88,SP_TaxPar_DB[],MATCH(F$2,SP_TaxPar_DB[#Headers],0),FALSE)</f>
        <v>610 MURPHY AVE</v>
      </c>
      <c r="G88" s="69" t="str">
        <f>VLOOKUP($A88,SP_TaxPar_DB[],MATCH(G$2,SP_TaxPar_DB[#Headers],0),FALSE)</f>
        <v>WHARTON</v>
      </c>
      <c r="H88" s="69" t="str">
        <f>VLOOKUP($A88,SP_TaxPar_DB[],MATCH(H$2,SP_TaxPar_DB[#Headers],0),FALSE)</f>
        <v>TX</v>
      </c>
      <c r="I88" s="69" t="str">
        <f>VLOOKUP($A88,SP_TaxPar_DB[],MATCH(I$2,SP_TaxPar_DB[#Headers],0),FALSE)</f>
        <v>77488</v>
      </c>
      <c r="J88" s="69" t="str">
        <f>VLOOKUP($A88,SP_TaxPar_DB[],MATCH(J$2,SP_TaxPar_DB[#Headers],0),FALSE)</f>
        <v>610 MURPHY AVE</v>
      </c>
      <c r="K88" s="69" t="str">
        <f>VLOOKUP($A88,SP_TaxPar_DB[],MATCH(K$2,SP_TaxPar_DB[#Headers],0),FALSE)</f>
        <v>MT.CARMEL BLOCK 2 LOT 5,6,15,16 Acres:0.1710</v>
      </c>
      <c r="L88" s="69">
        <f>VLOOKUP($A88,SP_TaxPar_DB[],MATCH(L$2,SP_TaxPar_DB[#Headers],0),FALSE)</f>
        <v>0</v>
      </c>
      <c r="M88" s="69">
        <f>VLOOKUP($A88,SP_TaxPar_DB[],MATCH(M$2,SP_TaxPar_DB[#Headers],0),FALSE)</f>
        <v>0</v>
      </c>
      <c r="N88" s="69">
        <f>VLOOKUP($A88,SP_TaxPar_DB[],MATCH(N$2,SP_TaxPar_DB[#Headers],0),FALSE)</f>
        <v>0</v>
      </c>
      <c r="O88" s="71">
        <f>VLOOKUP($A88,SP_TaxPar_DB[],MATCH(O$2,SP_TaxPar_DB[#Headers],0),FALSE)</f>
        <v>0</v>
      </c>
      <c r="P88" s="72"/>
      <c r="Q88" s="69"/>
      <c r="R88" s="73"/>
      <c r="S88" s="73"/>
      <c r="T88" s="69"/>
      <c r="U88" s="69"/>
      <c r="V88" s="69"/>
      <c r="W88" s="69"/>
      <c r="X88" s="69"/>
      <c r="Y88" s="69"/>
      <c r="Z88" s="69"/>
      <c r="AA88" s="69"/>
      <c r="AB88" s="74"/>
      <c r="AC88" s="73"/>
      <c r="AD88" s="73"/>
      <c r="AE88" s="74"/>
      <c r="AF88" s="68"/>
      <c r="AG88" s="68"/>
      <c r="AH88" s="74"/>
      <c r="AI88" s="68"/>
      <c r="AJ88" s="68"/>
      <c r="AK88" s="68"/>
      <c r="AL88" s="80"/>
      <c r="AM88" s="81"/>
      <c r="AN88" s="74"/>
      <c r="AO88" s="74"/>
      <c r="AP88" s="74"/>
      <c r="AQ88" s="74"/>
      <c r="AR88" s="74"/>
      <c r="AS88" s="74"/>
      <c r="AT88" s="74"/>
      <c r="AU88" s="74"/>
      <c r="AV88" s="74"/>
      <c r="AW88" s="84"/>
    </row>
    <row r="89" spans="1:49" ht="15.75" hidden="1" x14ac:dyDescent="0.2">
      <c r="A89" s="129" t="s">
        <v>5097</v>
      </c>
      <c r="B89" s="68" t="str">
        <f>VLOOKUP($A89,SP_TaxPar_DB[],MATCH(B$2,SP_TaxPar_DB[#Headers],0),FALSE)</f>
        <v>PH2</v>
      </c>
      <c r="C89" s="67" t="str">
        <f>IF(VLOOKUP($A89,SP_TaxPar_DB[],MATCH(C$2,SP_TaxPar_DB[#Headers],0),FALSE)="",0,VLOOKUP($A89,SP_TaxPar_DB[],MATCH(C$2,SP_TaxPar_DB[#Headers],0),FALSE))</f>
        <v>T262</v>
      </c>
      <c r="D89" s="67">
        <f>IF(VLOOKUP($A89,SP_TaxPar_DB[],MATCH(D$2,SP_TaxPar_DB[#Headers],0),FALSE)="",0,VLOOKUP($A89,SP_TaxPar_DB[],MATCH(D$2,SP_TaxPar_DB[#Headers],0),FALSE))</f>
        <v>0</v>
      </c>
      <c r="E89" s="69" t="str">
        <f>VLOOKUP($A89,SP_TaxPar_DB[],MATCH(E$2,SP_TaxPar_DB[#Headers],0),FALSE)</f>
        <v>RIVERA NATIVIDAD GUADALUPE RIOS &amp; GUTIERREZ MARIA</v>
      </c>
      <c r="F89" s="69" t="str">
        <f>VLOOKUP($A89,SP_TaxPar_DB[],MATCH(F$2,SP_TaxPar_DB[#Headers],0),FALSE)</f>
        <v>634 MURPHY</v>
      </c>
      <c r="G89" s="69" t="str">
        <f>VLOOKUP($A89,SP_TaxPar_DB[],MATCH(G$2,SP_TaxPar_DB[#Headers],0),FALSE)</f>
        <v>WHARTON</v>
      </c>
      <c r="H89" s="69" t="str">
        <f>VLOOKUP($A89,SP_TaxPar_DB[],MATCH(H$2,SP_TaxPar_DB[#Headers],0),FALSE)</f>
        <v>TX</v>
      </c>
      <c r="I89" s="69" t="str">
        <f>VLOOKUP($A89,SP_TaxPar_DB[],MATCH(I$2,SP_TaxPar_DB[#Headers],0),FALSE)</f>
        <v>77488</v>
      </c>
      <c r="J89" s="69" t="str">
        <f>VLOOKUP($A89,SP_TaxPar_DB[],MATCH(J$2,SP_TaxPar_DB[#Headers],0),FALSE)</f>
        <v>634 MURPHY</v>
      </c>
      <c r="K89" s="69" t="str">
        <f>VLOOKUP($A89,SP_TaxPar_DB[],MATCH(K$2,SP_TaxPar_DB[#Headers],0),FALSE)</f>
        <v>MT CARMEL BLK 3 LOT 10 ACRES: 0.1468</v>
      </c>
      <c r="L89" s="69">
        <f>VLOOKUP($A89,SP_TaxPar_DB[],MATCH(L$2,SP_TaxPar_DB[#Headers],0),FALSE)</f>
        <v>0.14680000000000001</v>
      </c>
      <c r="M89" s="69" t="str">
        <f>VLOOKUP($A89,SP_TaxPar_DB[],MATCH(M$2,SP_TaxPar_DB[#Headers],0),FALSE)</f>
        <v>R</v>
      </c>
      <c r="N89" s="69" t="str">
        <f>VLOOKUP($A89,SP_TaxPar_DB[],MATCH(N$2,SP_TaxPar_DB[#Headers],0),FALSE)</f>
        <v>V985 PG944</v>
      </c>
      <c r="O89" s="71">
        <f>VLOOKUP($A89,SP_TaxPar_DB[],MATCH(O$2,SP_TaxPar_DB[#Headers],0),FALSE)</f>
        <v>0</v>
      </c>
      <c r="P89" s="72"/>
      <c r="Q89" s="69"/>
      <c r="R89" s="73"/>
      <c r="S89" s="73"/>
      <c r="T89" s="69"/>
      <c r="U89" s="69"/>
      <c r="V89" s="69"/>
      <c r="W89" s="69"/>
      <c r="X89" s="69"/>
      <c r="Y89" s="69"/>
      <c r="Z89" s="69"/>
      <c r="AA89" s="69"/>
      <c r="AB89" s="74"/>
      <c r="AC89" s="73"/>
      <c r="AD89" s="73"/>
      <c r="AE89" s="74"/>
      <c r="AF89" s="68"/>
      <c r="AG89" s="68"/>
      <c r="AH89" s="74"/>
      <c r="AI89" s="68"/>
      <c r="AJ89" s="68"/>
      <c r="AK89" s="68"/>
      <c r="AL89" s="80"/>
      <c r="AM89" s="81"/>
      <c r="AN89" s="74"/>
      <c r="AO89" s="74"/>
      <c r="AP89" s="74"/>
      <c r="AQ89" s="74"/>
      <c r="AR89" s="74"/>
      <c r="AS89" s="74"/>
      <c r="AT89" s="74"/>
      <c r="AU89" s="74"/>
      <c r="AV89" s="74"/>
      <c r="AW89" s="84"/>
    </row>
    <row r="90" spans="1:49" ht="15.75" hidden="1" x14ac:dyDescent="0.2">
      <c r="A90" s="129" t="s">
        <v>5100</v>
      </c>
      <c r="B90" s="68" t="str">
        <f>VLOOKUP($A90,SP_TaxPar_DB[],MATCH(B$2,SP_TaxPar_DB[#Headers],0),FALSE)</f>
        <v>PH2</v>
      </c>
      <c r="C90" s="67" t="str">
        <f>IF(VLOOKUP($A90,SP_TaxPar_DB[],MATCH(C$2,SP_TaxPar_DB[#Headers],0),FALSE)="",0,VLOOKUP($A90,SP_TaxPar_DB[],MATCH(C$2,SP_TaxPar_DB[#Headers],0),FALSE))</f>
        <v>T263</v>
      </c>
      <c r="D90" s="67">
        <f>IF(VLOOKUP($A90,SP_TaxPar_DB[],MATCH(D$2,SP_TaxPar_DB[#Headers],0),FALSE)="",0,VLOOKUP($A90,SP_TaxPar_DB[],MATCH(D$2,SP_TaxPar_DB[#Headers],0),FALSE))</f>
        <v>0</v>
      </c>
      <c r="E90" s="69" t="str">
        <f>VLOOKUP($A90,SP_TaxPar_DB[],MATCH(E$2,SP_TaxPar_DB[#Headers],0),FALSE)</f>
        <v>GUTIERREZ MARIA GRISELDA GARCIA</v>
      </c>
      <c r="F90" s="69" t="str">
        <f>VLOOKUP($A90,SP_TaxPar_DB[],MATCH(F$2,SP_TaxPar_DB[#Headers],0),FALSE)</f>
        <v>628 MURPHY</v>
      </c>
      <c r="G90" s="69" t="str">
        <f>VLOOKUP($A90,SP_TaxPar_DB[],MATCH(G$2,SP_TaxPar_DB[#Headers],0),FALSE)</f>
        <v>WHARTON</v>
      </c>
      <c r="H90" s="69" t="str">
        <f>VLOOKUP($A90,SP_TaxPar_DB[],MATCH(H$2,SP_TaxPar_DB[#Headers],0),FALSE)</f>
        <v>TX</v>
      </c>
      <c r="I90" s="69" t="str">
        <f>VLOOKUP($A90,SP_TaxPar_DB[],MATCH(I$2,SP_TaxPar_DB[#Headers],0),FALSE)</f>
        <v>77488</v>
      </c>
      <c r="J90" s="69" t="str">
        <f>VLOOKUP($A90,SP_TaxPar_DB[],MATCH(J$2,SP_TaxPar_DB[#Headers],0),FALSE)</f>
        <v>628 MURPHY</v>
      </c>
      <c r="K90" s="69" t="str">
        <f>VLOOKUP($A90,SP_TaxPar_DB[],MATCH(K$2,SP_TaxPar_DB[#Headers],0),FALSE)</f>
        <v>MT. CARMEL BLK 3 LOT 11 ACRES: 0.1468</v>
      </c>
      <c r="L90" s="69">
        <f>VLOOKUP($A90,SP_TaxPar_DB[],MATCH(L$2,SP_TaxPar_DB[#Headers],0),FALSE)</f>
        <v>0.14680000000000001</v>
      </c>
      <c r="M90" s="69" t="str">
        <f>VLOOKUP($A90,SP_TaxPar_DB[],MATCH(M$2,SP_TaxPar_DB[#Headers],0),FALSE)</f>
        <v>R</v>
      </c>
      <c r="N90" s="69" t="str">
        <f>VLOOKUP($A90,SP_TaxPar_DB[],MATCH(N$2,SP_TaxPar_DB[#Headers],0),FALSE)</f>
        <v>V594 PG154</v>
      </c>
      <c r="O90" s="71">
        <f>VLOOKUP($A90,SP_TaxPar_DB[],MATCH(O$2,SP_TaxPar_DB[#Headers],0),FALSE)</f>
        <v>0</v>
      </c>
      <c r="P90" s="72"/>
      <c r="Q90" s="69"/>
      <c r="R90" s="73"/>
      <c r="S90" s="73"/>
      <c r="T90" s="69"/>
      <c r="U90" s="69"/>
      <c r="V90" s="69"/>
      <c r="W90" s="69"/>
      <c r="X90" s="69"/>
      <c r="Y90" s="69"/>
      <c r="Z90" s="69"/>
      <c r="AA90" s="69"/>
      <c r="AB90" s="74"/>
      <c r="AC90" s="73"/>
      <c r="AD90" s="73"/>
      <c r="AE90" s="74"/>
      <c r="AF90" s="68"/>
      <c r="AG90" s="68"/>
      <c r="AH90" s="74"/>
      <c r="AI90" s="68"/>
      <c r="AJ90" s="68"/>
      <c r="AK90" s="68"/>
      <c r="AL90" s="80"/>
      <c r="AM90" s="81"/>
      <c r="AN90" s="74"/>
      <c r="AO90" s="74"/>
      <c r="AP90" s="74"/>
      <c r="AQ90" s="74"/>
      <c r="AR90" s="74"/>
      <c r="AS90" s="74"/>
      <c r="AT90" s="74"/>
      <c r="AU90" s="74"/>
      <c r="AV90" s="74"/>
      <c r="AW90" s="84"/>
    </row>
    <row r="91" spans="1:49" ht="15.75" hidden="1" x14ac:dyDescent="0.2">
      <c r="A91" s="129" t="s">
        <v>5103</v>
      </c>
      <c r="B91" s="68" t="str">
        <f>VLOOKUP($A91,SP_TaxPar_DB[],MATCH(B$2,SP_TaxPar_DB[#Headers],0),FALSE)</f>
        <v>PH2</v>
      </c>
      <c r="C91" s="67" t="str">
        <f>IF(VLOOKUP($A91,SP_TaxPar_DB[],MATCH(C$2,SP_TaxPar_DB[#Headers],0),FALSE)="",0,VLOOKUP($A91,SP_TaxPar_DB[],MATCH(C$2,SP_TaxPar_DB[#Headers],0),FALSE))</f>
        <v>T264</v>
      </c>
      <c r="D91" s="67">
        <f>IF(VLOOKUP($A91,SP_TaxPar_DB[],MATCH(D$2,SP_TaxPar_DB[#Headers],0),FALSE)="",0,VLOOKUP($A91,SP_TaxPar_DB[],MATCH(D$2,SP_TaxPar_DB[#Headers],0),FALSE))</f>
        <v>0</v>
      </c>
      <c r="E91" s="69" t="str">
        <f>VLOOKUP($A91,SP_TaxPar_DB[],MATCH(E$2,SP_TaxPar_DB[#Headers],0),FALSE)</f>
        <v>RODRIGUEZ AMELIA</v>
      </c>
      <c r="F91" s="69" t="str">
        <f>VLOOKUP($A91,SP_TaxPar_DB[],MATCH(F$2,SP_TaxPar_DB[#Headers],0),FALSE)</f>
        <v>624 MURPHY</v>
      </c>
      <c r="G91" s="69" t="str">
        <f>VLOOKUP($A91,SP_TaxPar_DB[],MATCH(G$2,SP_TaxPar_DB[#Headers],0),FALSE)</f>
        <v>WHARTON</v>
      </c>
      <c r="H91" s="69" t="str">
        <f>VLOOKUP($A91,SP_TaxPar_DB[],MATCH(H$2,SP_TaxPar_DB[#Headers],0),FALSE)</f>
        <v>TX</v>
      </c>
      <c r="I91" s="69" t="str">
        <f>VLOOKUP($A91,SP_TaxPar_DB[],MATCH(I$2,SP_TaxPar_DB[#Headers],0),FALSE)</f>
        <v>77488</v>
      </c>
      <c r="J91" s="69" t="str">
        <f>VLOOKUP($A91,SP_TaxPar_DB[],MATCH(J$2,SP_TaxPar_DB[#Headers],0),FALSE)</f>
        <v>624 MURPHY</v>
      </c>
      <c r="K91" s="69" t="str">
        <f>VLOOKUP($A91,SP_TaxPar_DB[],MATCH(K$2,SP_TaxPar_DB[#Headers],0),FALSE)</f>
        <v>MT. CARMEL BLK 3 LOT 12 ACRES: 0.1197</v>
      </c>
      <c r="L91" s="69">
        <f>VLOOKUP($A91,SP_TaxPar_DB[],MATCH(L$2,SP_TaxPar_DB[#Headers],0),FALSE)</f>
        <v>0.1197</v>
      </c>
      <c r="M91" s="69" t="str">
        <f>VLOOKUP($A91,SP_TaxPar_DB[],MATCH(M$2,SP_TaxPar_DB[#Headers],0),FALSE)</f>
        <v>R</v>
      </c>
      <c r="N91" s="69">
        <f>VLOOKUP($A91,SP_TaxPar_DB[],MATCH(N$2,SP_TaxPar_DB[#Headers],0),FALSE)</f>
        <v>0</v>
      </c>
      <c r="O91" s="71">
        <f>VLOOKUP($A91,SP_TaxPar_DB[],MATCH(O$2,SP_TaxPar_DB[#Headers],0),FALSE)</f>
        <v>0</v>
      </c>
      <c r="P91" s="72"/>
      <c r="Q91" s="69"/>
      <c r="R91" s="73"/>
      <c r="S91" s="73"/>
      <c r="T91" s="69"/>
      <c r="U91" s="69"/>
      <c r="V91" s="69"/>
      <c r="W91" s="69"/>
      <c r="X91" s="69"/>
      <c r="Y91" s="69"/>
      <c r="Z91" s="69"/>
      <c r="AA91" s="69"/>
      <c r="AB91" s="74"/>
      <c r="AC91" s="73"/>
      <c r="AD91" s="73"/>
      <c r="AE91" s="74"/>
      <c r="AF91" s="68"/>
      <c r="AG91" s="68"/>
      <c r="AH91" s="74"/>
      <c r="AI91" s="68"/>
      <c r="AJ91" s="68"/>
      <c r="AK91" s="68"/>
      <c r="AL91" s="80"/>
      <c r="AM91" s="81"/>
      <c r="AN91" s="74"/>
      <c r="AO91" s="74"/>
      <c r="AP91" s="74"/>
      <c r="AQ91" s="74"/>
      <c r="AR91" s="74"/>
      <c r="AS91" s="74"/>
      <c r="AT91" s="74"/>
      <c r="AU91" s="74"/>
      <c r="AV91" s="74"/>
      <c r="AW91" s="84"/>
    </row>
    <row r="92" spans="1:49" ht="15.75" hidden="1" x14ac:dyDescent="0.2">
      <c r="A92" s="129" t="s">
        <v>2085</v>
      </c>
      <c r="B92" s="68" t="str">
        <f>VLOOKUP($A92,SP_TaxPar_DB[],MATCH(B$2,SP_TaxPar_DB[#Headers],0),FALSE)</f>
        <v>ENV</v>
      </c>
      <c r="C92" s="67">
        <f>IF(VLOOKUP($A92,SP_TaxPar_DB[],MATCH(C$2,SP_TaxPar_DB[#Headers],0),FALSE)="",0,VLOOKUP($A92,SP_TaxPar_DB[],MATCH(C$2,SP_TaxPar_DB[#Headers],0),FALSE))</f>
        <v>0</v>
      </c>
      <c r="D92" s="67" t="str">
        <f>IF(VLOOKUP($A92,SP_TaxPar_DB[],MATCH(D$2,SP_TaxPar_DB[#Headers],0),FALSE)="",0,VLOOKUP($A92,SP_TaxPar_DB[],MATCH(D$2,SP_TaxPar_DB[#Headers],0),FALSE))</f>
        <v>082</v>
      </c>
      <c r="E92" s="69" t="str">
        <f>VLOOKUP($A92,SP_TaxPar_DB[],MATCH(E$2,SP_TaxPar_DB[#Headers],0),FALSE)</f>
        <v>SAM HOUSTON AREA COUNCIL OF BOY SCOUTS OF AMERICA</v>
      </c>
      <c r="F92" s="69" t="str">
        <f>VLOOKUP($A92,SP_TaxPar_DB[],MATCH(F$2,SP_TaxPar_DB[#Headers],0),FALSE)</f>
        <v>1522-1/2 HARRIS</v>
      </c>
      <c r="G92" s="69" t="str">
        <f>VLOOKUP($A92,SP_TaxPar_DB[],MATCH(G$2,SP_TaxPar_DB[#Headers],0),FALSE)</f>
        <v>WHARTON</v>
      </c>
      <c r="H92" s="69" t="str">
        <f>VLOOKUP($A92,SP_TaxPar_DB[],MATCH(H$2,SP_TaxPar_DB[#Headers],0),FALSE)</f>
        <v>TX</v>
      </c>
      <c r="I92" s="69" t="str">
        <f>VLOOKUP($A92,SP_TaxPar_DB[],MATCH(I$2,SP_TaxPar_DB[#Headers],0),FALSE)</f>
        <v>77488</v>
      </c>
      <c r="J92" s="69" t="str">
        <f>VLOOKUP($A92,SP_TaxPar_DB[],MATCH(J$2,SP_TaxPar_DB[#Headers],0),FALSE)</f>
        <v>0 HARRIS</v>
      </c>
      <c r="K92" s="69" t="str">
        <f>VLOOKUP($A92,SP_TaxPar_DB[],MATCH(K$2,SP_TaxPar_DB[#Headers],0),FALSE)</f>
        <v>OUTLAR LOT 5B-3 Acres:0.1065</v>
      </c>
      <c r="L92" s="69">
        <f>VLOOKUP($A92,SP_TaxPar_DB[],MATCH(L$2,SP_TaxPar_DB[#Headers],0),FALSE)</f>
        <v>0</v>
      </c>
      <c r="M92" s="69">
        <f>VLOOKUP($A92,SP_TaxPar_DB[],MATCH(M$2,SP_TaxPar_DB[#Headers],0),FALSE)</f>
        <v>0</v>
      </c>
      <c r="N92" s="69">
        <f>VLOOKUP($A92,SP_TaxPar_DB[],MATCH(N$2,SP_TaxPar_DB[#Headers],0),FALSE)</f>
        <v>0</v>
      </c>
      <c r="O92" s="71">
        <f>VLOOKUP($A92,SP_TaxPar_DB[],MATCH(O$2,SP_TaxPar_DB[#Headers],0),FALSE)</f>
        <v>0</v>
      </c>
      <c r="P92" s="72"/>
      <c r="Q92" s="69"/>
      <c r="R92" s="73"/>
      <c r="S92" s="73"/>
      <c r="T92" s="69"/>
      <c r="U92" s="69"/>
      <c r="V92" s="69"/>
      <c r="W92" s="69"/>
      <c r="X92" s="69"/>
      <c r="Y92" s="69"/>
      <c r="Z92" s="69"/>
      <c r="AA92" s="69"/>
      <c r="AB92" s="74"/>
      <c r="AC92" s="73"/>
      <c r="AD92" s="73"/>
      <c r="AE92" s="74"/>
      <c r="AF92" s="68"/>
      <c r="AG92" s="68"/>
      <c r="AH92" s="74"/>
      <c r="AI92" s="68"/>
      <c r="AJ92" s="68"/>
      <c r="AK92" s="68"/>
      <c r="AL92" s="80"/>
      <c r="AM92" s="81"/>
      <c r="AN92" s="74"/>
      <c r="AO92" s="74"/>
      <c r="AP92" s="74"/>
      <c r="AQ92" s="74"/>
      <c r="AR92" s="74"/>
      <c r="AS92" s="74"/>
      <c r="AT92" s="74"/>
      <c r="AU92" s="74"/>
      <c r="AV92" s="74"/>
      <c r="AW92" s="84"/>
    </row>
    <row r="93" spans="1:49" ht="15.75" hidden="1" x14ac:dyDescent="0.2">
      <c r="A93" s="129" t="s">
        <v>2090</v>
      </c>
      <c r="B93" s="68" t="str">
        <f>VLOOKUP($A93,SP_TaxPar_DB[],MATCH(B$2,SP_TaxPar_DB[#Headers],0),FALSE)</f>
        <v>ENV</v>
      </c>
      <c r="C93" s="67">
        <f>IF(VLOOKUP($A93,SP_TaxPar_DB[],MATCH(C$2,SP_TaxPar_DB[#Headers],0),FALSE)="",0,VLOOKUP($A93,SP_TaxPar_DB[],MATCH(C$2,SP_TaxPar_DB[#Headers],0),FALSE))</f>
        <v>0</v>
      </c>
      <c r="D93" s="67" t="str">
        <f>IF(VLOOKUP($A93,SP_TaxPar_DB[],MATCH(D$2,SP_TaxPar_DB[#Headers],0),FALSE)="",0,VLOOKUP($A93,SP_TaxPar_DB[],MATCH(D$2,SP_TaxPar_DB[#Headers],0),FALSE))</f>
        <v>083</v>
      </c>
      <c r="E93" s="69" t="str">
        <f>VLOOKUP($A93,SP_TaxPar_DB[],MATCH(E$2,SP_TaxPar_DB[#Headers],0),FALSE)</f>
        <v>NEAL BURNELL SR &amp; SHANDRA</v>
      </c>
      <c r="F93" s="69" t="str">
        <f>VLOOKUP($A93,SP_TaxPar_DB[],MATCH(F$2,SP_TaxPar_DB[#Headers],0),FALSE)</f>
        <v>1522 COLUMBINE AVE</v>
      </c>
      <c r="G93" s="69" t="str">
        <f>VLOOKUP($A93,SP_TaxPar_DB[],MATCH(G$2,SP_TaxPar_DB[#Headers],0),FALSE)</f>
        <v>WHARTON</v>
      </c>
      <c r="H93" s="69" t="str">
        <f>VLOOKUP($A93,SP_TaxPar_DB[],MATCH(H$2,SP_TaxPar_DB[#Headers],0),FALSE)</f>
        <v>TX</v>
      </c>
      <c r="I93" s="69" t="str">
        <f>VLOOKUP($A93,SP_TaxPar_DB[],MATCH(I$2,SP_TaxPar_DB[#Headers],0),FALSE)</f>
        <v>77488</v>
      </c>
      <c r="J93" s="69" t="str">
        <f>VLOOKUP($A93,SP_TaxPar_DB[],MATCH(J$2,SP_TaxPar_DB[#Headers],0),FALSE)</f>
        <v>0 HARRIS</v>
      </c>
      <c r="K93" s="69" t="str">
        <f>VLOOKUP($A93,SP_TaxPar_DB[],MATCH(K$2,SP_TaxPar_DB[#Headers],0),FALSE)</f>
        <v>OUTLAR LOT 7K Acres:0.3849</v>
      </c>
      <c r="L93" s="69">
        <f>VLOOKUP($A93,SP_TaxPar_DB[],MATCH(L$2,SP_TaxPar_DB[#Headers],0),FALSE)</f>
        <v>0</v>
      </c>
      <c r="M93" s="69">
        <f>VLOOKUP($A93,SP_TaxPar_DB[],MATCH(M$2,SP_TaxPar_DB[#Headers],0),FALSE)</f>
        <v>0</v>
      </c>
      <c r="N93" s="69">
        <f>VLOOKUP($A93,SP_TaxPar_DB[],MATCH(N$2,SP_TaxPar_DB[#Headers],0),FALSE)</f>
        <v>0</v>
      </c>
      <c r="O93" s="71">
        <f>VLOOKUP($A93,SP_TaxPar_DB[],MATCH(O$2,SP_TaxPar_DB[#Headers],0),FALSE)</f>
        <v>0</v>
      </c>
      <c r="P93" s="72"/>
      <c r="Q93" s="69"/>
      <c r="R93" s="73"/>
      <c r="S93" s="73"/>
      <c r="T93" s="69"/>
      <c r="U93" s="69"/>
      <c r="V93" s="69"/>
      <c r="W93" s="69"/>
      <c r="X93" s="69"/>
      <c r="Y93" s="69"/>
      <c r="Z93" s="69"/>
      <c r="AA93" s="69"/>
      <c r="AB93" s="74"/>
      <c r="AC93" s="73"/>
      <c r="AD93" s="73"/>
      <c r="AE93" s="74"/>
      <c r="AF93" s="68"/>
      <c r="AG93" s="68"/>
      <c r="AH93" s="74"/>
      <c r="AI93" s="68"/>
      <c r="AJ93" s="68"/>
      <c r="AK93" s="68"/>
      <c r="AL93" s="80"/>
      <c r="AM93" s="81"/>
      <c r="AN93" s="74"/>
      <c r="AO93" s="74"/>
      <c r="AP93" s="74"/>
      <c r="AQ93" s="74"/>
      <c r="AR93" s="74"/>
      <c r="AS93" s="74"/>
      <c r="AT93" s="74"/>
      <c r="AU93" s="74"/>
      <c r="AV93" s="74"/>
      <c r="AW93" s="84"/>
    </row>
    <row r="94" spans="1:49" ht="15.75" hidden="1" x14ac:dyDescent="0.2">
      <c r="A94" s="129" t="s">
        <v>2094</v>
      </c>
      <c r="B94" s="68" t="str">
        <f>VLOOKUP($A94,SP_TaxPar_DB[],MATCH(B$2,SP_TaxPar_DB[#Headers],0),FALSE)</f>
        <v>ENV</v>
      </c>
      <c r="C94" s="67">
        <f>IF(VLOOKUP($A94,SP_TaxPar_DB[],MATCH(C$2,SP_TaxPar_DB[#Headers],0),FALSE)="",0,VLOOKUP($A94,SP_TaxPar_DB[],MATCH(C$2,SP_TaxPar_DB[#Headers],0),FALSE))</f>
        <v>0</v>
      </c>
      <c r="D94" s="67" t="str">
        <f>IF(VLOOKUP($A94,SP_TaxPar_DB[],MATCH(D$2,SP_TaxPar_DB[#Headers],0),FALSE)="",0,VLOOKUP($A94,SP_TaxPar_DB[],MATCH(D$2,SP_TaxPar_DB[#Headers],0),FALSE))</f>
        <v>084</v>
      </c>
      <c r="E94" s="69" t="str">
        <f>VLOOKUP($A94,SP_TaxPar_DB[],MATCH(E$2,SP_TaxPar_DB[#Headers],0),FALSE)</f>
        <v>MARTINEZ ANITA</v>
      </c>
      <c r="F94" s="69" t="str">
        <f>VLOOKUP($A94,SP_TaxPar_DB[],MATCH(F$2,SP_TaxPar_DB[#Headers],0),FALSE)</f>
        <v>211 N OUTLAR</v>
      </c>
      <c r="G94" s="69" t="str">
        <f>VLOOKUP($A94,SP_TaxPar_DB[],MATCH(G$2,SP_TaxPar_DB[#Headers],0),FALSE)</f>
        <v>WHARTON</v>
      </c>
      <c r="H94" s="69" t="str">
        <f>VLOOKUP($A94,SP_TaxPar_DB[],MATCH(H$2,SP_TaxPar_DB[#Headers],0),FALSE)</f>
        <v>TX</v>
      </c>
      <c r="I94" s="69" t="str">
        <f>VLOOKUP($A94,SP_TaxPar_DB[],MATCH(I$2,SP_TaxPar_DB[#Headers],0),FALSE)</f>
        <v>77488</v>
      </c>
      <c r="J94" s="69" t="str">
        <f>VLOOKUP($A94,SP_TaxPar_DB[],MATCH(J$2,SP_TaxPar_DB[#Headers],0),FALSE)</f>
        <v>0 OUTLAR</v>
      </c>
      <c r="K94" s="69" t="str">
        <f>VLOOKUP($A94,SP_TaxPar_DB[],MATCH(K$2,SP_TaxPar_DB[#Headers],0),FALSE)</f>
        <v>OUTLAR LOT 8B-1 Acres:0.5539</v>
      </c>
      <c r="L94" s="69">
        <f>VLOOKUP($A94,SP_TaxPar_DB[],MATCH(L$2,SP_TaxPar_DB[#Headers],0),FALSE)</f>
        <v>0</v>
      </c>
      <c r="M94" s="69">
        <f>VLOOKUP($A94,SP_TaxPar_DB[],MATCH(M$2,SP_TaxPar_DB[#Headers],0),FALSE)</f>
        <v>0</v>
      </c>
      <c r="N94" s="69">
        <f>VLOOKUP($A94,SP_TaxPar_DB[],MATCH(N$2,SP_TaxPar_DB[#Headers],0),FALSE)</f>
        <v>0</v>
      </c>
      <c r="O94" s="71">
        <f>VLOOKUP($A94,SP_TaxPar_DB[],MATCH(O$2,SP_TaxPar_DB[#Headers],0),FALSE)</f>
        <v>0</v>
      </c>
      <c r="P94" s="72"/>
      <c r="Q94" s="69"/>
      <c r="R94" s="73"/>
      <c r="S94" s="73"/>
      <c r="T94" s="69"/>
      <c r="U94" s="69"/>
      <c r="V94" s="69"/>
      <c r="W94" s="69"/>
      <c r="X94" s="69"/>
      <c r="Y94" s="69"/>
      <c r="Z94" s="69"/>
      <c r="AA94" s="69"/>
      <c r="AB94" s="74"/>
      <c r="AC94" s="73"/>
      <c r="AD94" s="73"/>
      <c r="AE94" s="74"/>
      <c r="AF94" s="68"/>
      <c r="AG94" s="68"/>
      <c r="AH94" s="74"/>
      <c r="AI94" s="68"/>
      <c r="AJ94" s="68"/>
      <c r="AK94" s="68"/>
      <c r="AL94" s="80"/>
      <c r="AM94" s="81"/>
      <c r="AN94" s="74"/>
      <c r="AO94" s="74"/>
      <c r="AP94" s="74"/>
      <c r="AQ94" s="74"/>
      <c r="AR94" s="74"/>
      <c r="AS94" s="74"/>
      <c r="AT94" s="74"/>
      <c r="AU94" s="74"/>
      <c r="AV94" s="74"/>
      <c r="AW94" s="84"/>
    </row>
    <row r="95" spans="1:49" ht="15.75" hidden="1" x14ac:dyDescent="0.2">
      <c r="A95" s="129" t="s">
        <v>2099</v>
      </c>
      <c r="B95" s="68" t="str">
        <f>VLOOKUP($A95,SP_TaxPar_DB[],MATCH(B$2,SP_TaxPar_DB[#Headers],0),FALSE)</f>
        <v>ENV</v>
      </c>
      <c r="C95" s="67">
        <f>IF(VLOOKUP($A95,SP_TaxPar_DB[],MATCH(C$2,SP_TaxPar_DB[#Headers],0),FALSE)="",0,VLOOKUP($A95,SP_TaxPar_DB[],MATCH(C$2,SP_TaxPar_DB[#Headers],0),FALSE))</f>
        <v>0</v>
      </c>
      <c r="D95" s="67" t="str">
        <f>IF(VLOOKUP($A95,SP_TaxPar_DB[],MATCH(D$2,SP_TaxPar_DB[#Headers],0),FALSE)="",0,VLOOKUP($A95,SP_TaxPar_DB[],MATCH(D$2,SP_TaxPar_DB[#Headers],0),FALSE))</f>
        <v>085</v>
      </c>
      <c r="E95" s="69" t="str">
        <f>VLOOKUP($A95,SP_TaxPar_DB[],MATCH(E$2,SP_TaxPar_DB[#Headers],0),FALSE)</f>
        <v>MARTINEZ GUADALUPE EST</v>
      </c>
      <c r="F95" s="69" t="str">
        <f>VLOOKUP($A95,SP_TaxPar_DB[],MATCH(F$2,SP_TaxPar_DB[#Headers],0),FALSE)</f>
        <v>211 N OUTLAR</v>
      </c>
      <c r="G95" s="69" t="str">
        <f>VLOOKUP($A95,SP_TaxPar_DB[],MATCH(G$2,SP_TaxPar_DB[#Headers],0),FALSE)</f>
        <v>WHARTON</v>
      </c>
      <c r="H95" s="69" t="str">
        <f>VLOOKUP($A95,SP_TaxPar_DB[],MATCH(H$2,SP_TaxPar_DB[#Headers],0),FALSE)</f>
        <v>TX</v>
      </c>
      <c r="I95" s="69" t="str">
        <f>VLOOKUP($A95,SP_TaxPar_DB[],MATCH(I$2,SP_TaxPar_DB[#Headers],0),FALSE)</f>
        <v>77488</v>
      </c>
      <c r="J95" s="69" t="str">
        <f>VLOOKUP($A95,SP_TaxPar_DB[],MATCH(J$2,SP_TaxPar_DB[#Headers],0),FALSE)</f>
        <v>209 N OUTLAR</v>
      </c>
      <c r="K95" s="69" t="str">
        <f>VLOOKUP($A95,SP_TaxPar_DB[],MATCH(K$2,SP_TaxPar_DB[#Headers],0),FALSE)</f>
        <v>OUTLAR LOT 8C Acres:0.1864</v>
      </c>
      <c r="L95" s="69">
        <f>VLOOKUP($A95,SP_TaxPar_DB[],MATCH(L$2,SP_TaxPar_DB[#Headers],0),FALSE)</f>
        <v>0</v>
      </c>
      <c r="M95" s="69">
        <f>VLOOKUP($A95,SP_TaxPar_DB[],MATCH(M$2,SP_TaxPar_DB[#Headers],0),FALSE)</f>
        <v>0</v>
      </c>
      <c r="N95" s="69">
        <f>VLOOKUP($A95,SP_TaxPar_DB[],MATCH(N$2,SP_TaxPar_DB[#Headers],0),FALSE)</f>
        <v>0</v>
      </c>
      <c r="O95" s="71">
        <f>VLOOKUP($A95,SP_TaxPar_DB[],MATCH(O$2,SP_TaxPar_DB[#Headers],0),FALSE)</f>
        <v>0</v>
      </c>
      <c r="P95" s="72"/>
      <c r="Q95" s="69"/>
      <c r="R95" s="73"/>
      <c r="S95" s="73"/>
      <c r="T95" s="69"/>
      <c r="U95" s="69"/>
      <c r="V95" s="69"/>
      <c r="W95" s="69"/>
      <c r="X95" s="69"/>
      <c r="Y95" s="69"/>
      <c r="Z95" s="69"/>
      <c r="AA95" s="69"/>
      <c r="AB95" s="74"/>
      <c r="AC95" s="73"/>
      <c r="AD95" s="73"/>
      <c r="AE95" s="74"/>
      <c r="AF95" s="68"/>
      <c r="AG95" s="68"/>
      <c r="AH95" s="74"/>
      <c r="AI95" s="68"/>
      <c r="AJ95" s="68"/>
      <c r="AK95" s="68"/>
      <c r="AL95" s="80"/>
      <c r="AM95" s="81"/>
      <c r="AN95" s="74"/>
      <c r="AO95" s="74"/>
      <c r="AP95" s="74"/>
      <c r="AQ95" s="74"/>
      <c r="AR95" s="74"/>
      <c r="AS95" s="74"/>
      <c r="AT95" s="74"/>
      <c r="AU95" s="74"/>
      <c r="AV95" s="74"/>
      <c r="AW95" s="84"/>
    </row>
    <row r="96" spans="1:49" ht="15.75" hidden="1" x14ac:dyDescent="0.2">
      <c r="A96" s="129" t="s">
        <v>2103</v>
      </c>
      <c r="B96" s="68" t="str">
        <f>VLOOKUP($A96,SP_TaxPar_DB[],MATCH(B$2,SP_TaxPar_DB[#Headers],0),FALSE)</f>
        <v>ENV</v>
      </c>
      <c r="C96" s="67">
        <f>IF(VLOOKUP($A96,SP_TaxPar_DB[],MATCH(C$2,SP_TaxPar_DB[#Headers],0),FALSE)="",0,VLOOKUP($A96,SP_TaxPar_DB[],MATCH(C$2,SP_TaxPar_DB[#Headers],0),FALSE))</f>
        <v>0</v>
      </c>
      <c r="D96" s="67" t="str">
        <f>IF(VLOOKUP($A96,SP_TaxPar_DB[],MATCH(D$2,SP_TaxPar_DB[#Headers],0),FALSE)="",0,VLOOKUP($A96,SP_TaxPar_DB[],MATCH(D$2,SP_TaxPar_DB[#Headers],0),FALSE))</f>
        <v>086</v>
      </c>
      <c r="E96" s="69" t="str">
        <f>VLOOKUP($A96,SP_TaxPar_DB[],MATCH(E$2,SP_TaxPar_DB[#Headers],0),FALSE)</f>
        <v>HAYES MICHAEL</v>
      </c>
      <c r="F96" s="69" t="str">
        <f>VLOOKUP($A96,SP_TaxPar_DB[],MATCH(F$2,SP_TaxPar_DB[#Headers],0),FALSE)</f>
        <v>1014 TRAVELERS CT</v>
      </c>
      <c r="G96" s="69" t="str">
        <f>VLOOKUP($A96,SP_TaxPar_DB[],MATCH(G$2,SP_TaxPar_DB[#Headers],0),FALSE)</f>
        <v>ROSENBERG</v>
      </c>
      <c r="H96" s="69" t="str">
        <f>VLOOKUP($A96,SP_TaxPar_DB[],MATCH(H$2,SP_TaxPar_DB[#Headers],0),FALSE)</f>
        <v>TX</v>
      </c>
      <c r="I96" s="69" t="str">
        <f>VLOOKUP($A96,SP_TaxPar_DB[],MATCH(I$2,SP_TaxPar_DB[#Headers],0),FALSE)</f>
        <v>77471</v>
      </c>
      <c r="J96" s="69" t="str">
        <f>VLOOKUP($A96,SP_TaxPar_DB[],MATCH(J$2,SP_TaxPar_DB[#Headers],0),FALSE)</f>
        <v>127 OUTLAR</v>
      </c>
      <c r="K96" s="69" t="str">
        <f>VLOOKUP($A96,SP_TaxPar_DB[],MATCH(K$2,SP_TaxPar_DB[#Headers],0),FALSE)</f>
        <v>OUTLAR LOT 9A Acres:0.9998</v>
      </c>
      <c r="L96" s="69">
        <f>VLOOKUP($A96,SP_TaxPar_DB[],MATCH(L$2,SP_TaxPar_DB[#Headers],0),FALSE)</f>
        <v>0</v>
      </c>
      <c r="M96" s="69">
        <f>VLOOKUP($A96,SP_TaxPar_DB[],MATCH(M$2,SP_TaxPar_DB[#Headers],0),FALSE)</f>
        <v>0</v>
      </c>
      <c r="N96" s="69">
        <f>VLOOKUP($A96,SP_TaxPar_DB[],MATCH(N$2,SP_TaxPar_DB[#Headers],0),FALSE)</f>
        <v>0</v>
      </c>
      <c r="O96" s="71">
        <f>VLOOKUP($A96,SP_TaxPar_DB[],MATCH(O$2,SP_TaxPar_DB[#Headers],0),FALSE)</f>
        <v>0</v>
      </c>
      <c r="P96" s="72"/>
      <c r="Q96" s="69"/>
      <c r="R96" s="73"/>
      <c r="S96" s="73"/>
      <c r="T96" s="69"/>
      <c r="U96" s="69"/>
      <c r="V96" s="69"/>
      <c r="W96" s="69"/>
      <c r="X96" s="69"/>
      <c r="Y96" s="69"/>
      <c r="Z96" s="69"/>
      <c r="AA96" s="69"/>
      <c r="AB96" s="74"/>
      <c r="AC96" s="73"/>
      <c r="AD96" s="73"/>
      <c r="AE96" s="74"/>
      <c r="AF96" s="68"/>
      <c r="AG96" s="68"/>
      <c r="AH96" s="74"/>
      <c r="AI96" s="68"/>
      <c r="AJ96" s="68"/>
      <c r="AK96" s="68"/>
      <c r="AL96" s="80"/>
      <c r="AM96" s="81"/>
      <c r="AN96" s="74"/>
      <c r="AO96" s="74"/>
      <c r="AP96" s="74"/>
      <c r="AQ96" s="74"/>
      <c r="AR96" s="74"/>
      <c r="AS96" s="74"/>
      <c r="AT96" s="74"/>
      <c r="AU96" s="74"/>
      <c r="AV96" s="74"/>
      <c r="AW96" s="84"/>
    </row>
    <row r="97" spans="1:49" ht="15.75" hidden="1" x14ac:dyDescent="0.2">
      <c r="A97" s="129" t="s">
        <v>2108</v>
      </c>
      <c r="B97" s="68" t="str">
        <f>VLOOKUP($A97,SP_TaxPar_DB[],MATCH(B$2,SP_TaxPar_DB[#Headers],0),FALSE)</f>
        <v>ENV</v>
      </c>
      <c r="C97" s="67">
        <f>IF(VLOOKUP($A97,SP_TaxPar_DB[],MATCH(C$2,SP_TaxPar_DB[#Headers],0),FALSE)="",0,VLOOKUP($A97,SP_TaxPar_DB[],MATCH(C$2,SP_TaxPar_DB[#Headers],0),FALSE))</f>
        <v>0</v>
      </c>
      <c r="D97" s="67" t="str">
        <f>IF(VLOOKUP($A97,SP_TaxPar_DB[],MATCH(D$2,SP_TaxPar_DB[#Headers],0),FALSE)="",0,VLOOKUP($A97,SP_TaxPar_DB[],MATCH(D$2,SP_TaxPar_DB[#Headers],0),FALSE))</f>
        <v>087</v>
      </c>
      <c r="E97" s="69" t="str">
        <f>VLOOKUP($A97,SP_TaxPar_DB[],MATCH(E$2,SP_TaxPar_DB[#Headers],0),FALSE)</f>
        <v>HAYES MICHAEL</v>
      </c>
      <c r="F97" s="69" t="str">
        <f>VLOOKUP($A97,SP_TaxPar_DB[],MATCH(F$2,SP_TaxPar_DB[#Headers],0),FALSE)</f>
        <v>1014 TRAVELERS CT</v>
      </c>
      <c r="G97" s="69" t="str">
        <f>VLOOKUP($A97,SP_TaxPar_DB[],MATCH(G$2,SP_TaxPar_DB[#Headers],0),FALSE)</f>
        <v>ROSENBERG</v>
      </c>
      <c r="H97" s="69" t="str">
        <f>VLOOKUP($A97,SP_TaxPar_DB[],MATCH(H$2,SP_TaxPar_DB[#Headers],0),FALSE)</f>
        <v>TX</v>
      </c>
      <c r="I97" s="69" t="str">
        <f>VLOOKUP($A97,SP_TaxPar_DB[],MATCH(I$2,SP_TaxPar_DB[#Headers],0),FALSE)</f>
        <v>77471</v>
      </c>
      <c r="J97" s="69" t="str">
        <f>VLOOKUP($A97,SP_TaxPar_DB[],MATCH(J$2,SP_TaxPar_DB[#Headers],0),FALSE)</f>
        <v>0  OUTLAR</v>
      </c>
      <c r="K97" s="69" t="str">
        <f>VLOOKUP($A97,SP_TaxPar_DB[],MATCH(K$2,SP_TaxPar_DB[#Headers],0),FALSE)</f>
        <v>OUTLAR LOT 9B Acres:0.9998</v>
      </c>
      <c r="L97" s="69">
        <f>VLOOKUP($A97,SP_TaxPar_DB[],MATCH(L$2,SP_TaxPar_DB[#Headers],0),FALSE)</f>
        <v>0</v>
      </c>
      <c r="M97" s="69">
        <f>VLOOKUP($A97,SP_TaxPar_DB[],MATCH(M$2,SP_TaxPar_DB[#Headers],0),FALSE)</f>
        <v>0</v>
      </c>
      <c r="N97" s="69">
        <f>VLOOKUP($A97,SP_TaxPar_DB[],MATCH(N$2,SP_TaxPar_DB[#Headers],0),FALSE)</f>
        <v>0</v>
      </c>
      <c r="O97" s="71">
        <f>VLOOKUP($A97,SP_TaxPar_DB[],MATCH(O$2,SP_TaxPar_DB[#Headers],0),FALSE)</f>
        <v>0</v>
      </c>
      <c r="P97" s="72"/>
      <c r="Q97" s="69"/>
      <c r="R97" s="73"/>
      <c r="S97" s="73"/>
      <c r="T97" s="69"/>
      <c r="U97" s="69"/>
      <c r="V97" s="69"/>
      <c r="W97" s="69"/>
      <c r="X97" s="69"/>
      <c r="Y97" s="69"/>
      <c r="Z97" s="69"/>
      <c r="AA97" s="69"/>
      <c r="AB97" s="74"/>
      <c r="AC97" s="73"/>
      <c r="AD97" s="73"/>
      <c r="AE97" s="74"/>
      <c r="AF97" s="68"/>
      <c r="AG97" s="68"/>
      <c r="AH97" s="74"/>
      <c r="AI97" s="68"/>
      <c r="AJ97" s="68"/>
      <c r="AK97" s="68"/>
      <c r="AL97" s="80"/>
      <c r="AM97" s="81"/>
      <c r="AN97" s="74"/>
      <c r="AO97" s="74"/>
      <c r="AP97" s="74"/>
      <c r="AQ97" s="74"/>
      <c r="AR97" s="74"/>
      <c r="AS97" s="74"/>
      <c r="AT97" s="74"/>
      <c r="AU97" s="74"/>
      <c r="AV97" s="74"/>
      <c r="AW97" s="84"/>
    </row>
    <row r="98" spans="1:49" ht="15.75" hidden="1" x14ac:dyDescent="0.2">
      <c r="A98" s="129" t="s">
        <v>2111</v>
      </c>
      <c r="B98" s="68" t="str">
        <f>VLOOKUP($A98,SP_TaxPar_DB[],MATCH(B$2,SP_TaxPar_DB[#Headers],0),FALSE)</f>
        <v>ENV</v>
      </c>
      <c r="C98" s="67">
        <f>IF(VLOOKUP($A98,SP_TaxPar_DB[],MATCH(C$2,SP_TaxPar_DB[#Headers],0),FALSE)="",0,VLOOKUP($A98,SP_TaxPar_DB[],MATCH(C$2,SP_TaxPar_DB[#Headers],0),FALSE))</f>
        <v>0</v>
      </c>
      <c r="D98" s="67" t="str">
        <f>IF(VLOOKUP($A98,SP_TaxPar_DB[],MATCH(D$2,SP_TaxPar_DB[#Headers],0),FALSE)="",0,VLOOKUP($A98,SP_TaxPar_DB[],MATCH(D$2,SP_TaxPar_DB[#Headers],0),FALSE))</f>
        <v>088</v>
      </c>
      <c r="E98" s="69" t="str">
        <f>VLOOKUP($A98,SP_TaxPar_DB[],MATCH(E$2,SP_TaxPar_DB[#Headers],0),FALSE)</f>
        <v>HAYES THELMA JEAN</v>
      </c>
      <c r="F98" s="69" t="str">
        <f>VLOOKUP($A98,SP_TaxPar_DB[],MATCH(F$2,SP_TaxPar_DB[#Headers],0),FALSE)</f>
        <v>125 N OUTLAR</v>
      </c>
      <c r="G98" s="69" t="str">
        <f>VLOOKUP($A98,SP_TaxPar_DB[],MATCH(G$2,SP_TaxPar_DB[#Headers],0),FALSE)</f>
        <v>WHARTON</v>
      </c>
      <c r="H98" s="69" t="str">
        <f>VLOOKUP($A98,SP_TaxPar_DB[],MATCH(H$2,SP_TaxPar_DB[#Headers],0),FALSE)</f>
        <v>TX</v>
      </c>
      <c r="I98" s="69" t="str">
        <f>VLOOKUP($A98,SP_TaxPar_DB[],MATCH(I$2,SP_TaxPar_DB[#Headers],0),FALSE)</f>
        <v>77488</v>
      </c>
      <c r="J98" s="69" t="str">
        <f>VLOOKUP($A98,SP_TaxPar_DB[],MATCH(J$2,SP_TaxPar_DB[#Headers],0),FALSE)</f>
        <v>125 OUTLAR</v>
      </c>
      <c r="K98" s="69" t="str">
        <f>VLOOKUP($A98,SP_TaxPar_DB[],MATCH(K$2,SP_TaxPar_DB[#Headers],0),FALSE)</f>
        <v>OUTLAR LOT 10A Acres:0.9998</v>
      </c>
      <c r="L98" s="69">
        <f>VLOOKUP($A98,SP_TaxPar_DB[],MATCH(L$2,SP_TaxPar_DB[#Headers],0),FALSE)</f>
        <v>0</v>
      </c>
      <c r="M98" s="69">
        <f>VLOOKUP($A98,SP_TaxPar_DB[],MATCH(M$2,SP_TaxPar_DB[#Headers],0),FALSE)</f>
        <v>0</v>
      </c>
      <c r="N98" s="69">
        <f>VLOOKUP($A98,SP_TaxPar_DB[],MATCH(N$2,SP_TaxPar_DB[#Headers],0),FALSE)</f>
        <v>0</v>
      </c>
      <c r="O98" s="71">
        <f>VLOOKUP($A98,SP_TaxPar_DB[],MATCH(O$2,SP_TaxPar_DB[#Headers],0),FALSE)</f>
        <v>0</v>
      </c>
      <c r="P98" s="72"/>
      <c r="Q98" s="69"/>
      <c r="R98" s="73"/>
      <c r="S98" s="73"/>
      <c r="T98" s="69"/>
      <c r="U98" s="69"/>
      <c r="V98" s="69"/>
      <c r="W98" s="69"/>
      <c r="X98" s="69"/>
      <c r="Y98" s="69"/>
      <c r="Z98" s="69"/>
      <c r="AA98" s="69"/>
      <c r="AB98" s="74"/>
      <c r="AC98" s="73"/>
      <c r="AD98" s="73"/>
      <c r="AE98" s="74"/>
      <c r="AF98" s="68"/>
      <c r="AG98" s="68"/>
      <c r="AH98" s="74"/>
      <c r="AI98" s="68"/>
      <c r="AJ98" s="68"/>
      <c r="AK98" s="68"/>
      <c r="AL98" s="80"/>
      <c r="AM98" s="81"/>
      <c r="AN98" s="74"/>
      <c r="AO98" s="74"/>
      <c r="AP98" s="74"/>
      <c r="AQ98" s="74"/>
      <c r="AR98" s="74"/>
      <c r="AS98" s="74"/>
      <c r="AT98" s="74"/>
      <c r="AU98" s="74"/>
      <c r="AV98" s="74"/>
      <c r="AW98" s="84"/>
    </row>
    <row r="99" spans="1:49" ht="15.75" hidden="1" x14ac:dyDescent="0.2">
      <c r="A99" s="129" t="s">
        <v>2116</v>
      </c>
      <c r="B99" s="68" t="str">
        <f>VLOOKUP($A99,SP_TaxPar_DB[],MATCH(B$2,SP_TaxPar_DB[#Headers],0),FALSE)</f>
        <v>ENV</v>
      </c>
      <c r="C99" s="67">
        <f>IF(VLOOKUP($A99,SP_TaxPar_DB[],MATCH(C$2,SP_TaxPar_DB[#Headers],0),FALSE)="",0,VLOOKUP($A99,SP_TaxPar_DB[],MATCH(C$2,SP_TaxPar_DB[#Headers],0),FALSE))</f>
        <v>0</v>
      </c>
      <c r="D99" s="67" t="str">
        <f>IF(VLOOKUP($A99,SP_TaxPar_DB[],MATCH(D$2,SP_TaxPar_DB[#Headers],0),FALSE)="",0,VLOOKUP($A99,SP_TaxPar_DB[],MATCH(D$2,SP_TaxPar_DB[#Headers],0),FALSE))</f>
        <v>090</v>
      </c>
      <c r="E99" s="69" t="str">
        <f>VLOOKUP($A99,SP_TaxPar_DB[],MATCH(E$2,SP_TaxPar_DB[#Headers],0),FALSE)</f>
        <v>DAVENPORT AUSTIN DEC'D %FRANCIS DORIS</v>
      </c>
      <c r="F99" s="69" t="str">
        <f>VLOOKUP($A99,SP_TaxPar_DB[],MATCH(F$2,SP_TaxPar_DB[#Headers],0),FALSE)</f>
        <v>521 ABELL</v>
      </c>
      <c r="G99" s="69" t="str">
        <f>VLOOKUP($A99,SP_TaxPar_DB[],MATCH(G$2,SP_TaxPar_DB[#Headers],0),FALSE)</f>
        <v>WHARTON</v>
      </c>
      <c r="H99" s="69" t="str">
        <f>VLOOKUP($A99,SP_TaxPar_DB[],MATCH(H$2,SP_TaxPar_DB[#Headers],0),FALSE)</f>
        <v>TX</v>
      </c>
      <c r="I99" s="69" t="str">
        <f>VLOOKUP($A99,SP_TaxPar_DB[],MATCH(I$2,SP_TaxPar_DB[#Headers],0),FALSE)</f>
        <v>77488</v>
      </c>
      <c r="J99" s="69" t="str">
        <f>VLOOKUP($A99,SP_TaxPar_DB[],MATCH(J$2,SP_TaxPar_DB[#Headers],0),FALSE)</f>
        <v>101 OUTLAR</v>
      </c>
      <c r="K99" s="69" t="str">
        <f>VLOOKUP($A99,SP_TaxPar_DB[],MATCH(K$2,SP_TaxPar_DB[#Headers],0),FALSE)</f>
        <v>OUTLAR LOT 13 Acres:1.5298</v>
      </c>
      <c r="L99" s="69">
        <f>VLOOKUP($A99,SP_TaxPar_DB[],MATCH(L$2,SP_TaxPar_DB[#Headers],0),FALSE)</f>
        <v>0</v>
      </c>
      <c r="M99" s="69">
        <f>VLOOKUP($A99,SP_TaxPar_DB[],MATCH(M$2,SP_TaxPar_DB[#Headers],0),FALSE)</f>
        <v>0</v>
      </c>
      <c r="N99" s="69">
        <f>VLOOKUP($A99,SP_TaxPar_DB[],MATCH(N$2,SP_TaxPar_DB[#Headers],0),FALSE)</f>
        <v>0</v>
      </c>
      <c r="O99" s="71">
        <f>VLOOKUP($A99,SP_TaxPar_DB[],MATCH(O$2,SP_TaxPar_DB[#Headers],0),FALSE)</f>
        <v>0</v>
      </c>
      <c r="P99" s="72"/>
      <c r="Q99" s="69"/>
      <c r="R99" s="73"/>
      <c r="S99" s="73"/>
      <c r="T99" s="69"/>
      <c r="U99" s="69"/>
      <c r="V99" s="69"/>
      <c r="W99" s="69"/>
      <c r="X99" s="69"/>
      <c r="Y99" s="69"/>
      <c r="Z99" s="69"/>
      <c r="AA99" s="69"/>
      <c r="AB99" s="74"/>
      <c r="AC99" s="73"/>
      <c r="AD99" s="73"/>
      <c r="AE99" s="74"/>
      <c r="AF99" s="68"/>
      <c r="AG99" s="68"/>
      <c r="AH99" s="74"/>
      <c r="AI99" s="68"/>
      <c r="AJ99" s="68"/>
      <c r="AK99" s="68"/>
      <c r="AL99" s="80"/>
      <c r="AM99" s="81"/>
      <c r="AN99" s="74"/>
      <c r="AO99" s="74"/>
      <c r="AP99" s="74"/>
      <c r="AQ99" s="74"/>
      <c r="AR99" s="74"/>
      <c r="AS99" s="74"/>
      <c r="AT99" s="74"/>
      <c r="AU99" s="74"/>
      <c r="AV99" s="74"/>
      <c r="AW99" s="84"/>
    </row>
    <row r="100" spans="1:49" ht="15.75" hidden="1" x14ac:dyDescent="0.2">
      <c r="A100" s="129" t="s">
        <v>2121</v>
      </c>
      <c r="B100" s="68" t="str">
        <f>VLOOKUP($A100,SP_TaxPar_DB[],MATCH(B$2,SP_TaxPar_DB[#Headers],0),FALSE)</f>
        <v>PH2</v>
      </c>
      <c r="C100" s="67" t="str">
        <f>IF(VLOOKUP($A100,SP_TaxPar_DB[],MATCH(C$2,SP_TaxPar_DB[#Headers],0),FALSE)="",0,VLOOKUP($A100,SP_TaxPar_DB[],MATCH(C$2,SP_TaxPar_DB[#Headers],0),FALSE))</f>
        <v>T091</v>
      </c>
      <c r="D100" s="67">
        <f>IF(VLOOKUP($A100,SP_TaxPar_DB[],MATCH(D$2,SP_TaxPar_DB[#Headers],0),FALSE)="",0,VLOOKUP($A100,SP_TaxPar_DB[],MATCH(D$2,SP_TaxPar_DB[#Headers],0),FALSE))</f>
        <v>0</v>
      </c>
      <c r="E100" s="69" t="str">
        <f>VLOOKUP($A100,SP_TaxPar_DB[],MATCH(E$2,SP_TaxPar_DB[#Headers],0),FALSE)</f>
        <v>WORTH RICHARD KEITH</v>
      </c>
      <c r="F100" s="69" t="str">
        <f>VLOOKUP($A100,SP_TaxPar_DB[],MATCH(F$2,SP_TaxPar_DB[#Headers],0),FALSE)</f>
        <v>7930 CORPORATE DR #187</v>
      </c>
      <c r="G100" s="69" t="str">
        <f>VLOOKUP($A100,SP_TaxPar_DB[],MATCH(G$2,SP_TaxPar_DB[#Headers],0),FALSE)</f>
        <v>HOUSTON</v>
      </c>
      <c r="H100" s="69" t="str">
        <f>VLOOKUP($A100,SP_TaxPar_DB[],MATCH(H$2,SP_TaxPar_DB[#Headers],0),FALSE)</f>
        <v>TX</v>
      </c>
      <c r="I100" s="69" t="str">
        <f>VLOOKUP($A100,SP_TaxPar_DB[],MATCH(I$2,SP_TaxPar_DB[#Headers],0),FALSE)</f>
        <v>77036-6500</v>
      </c>
      <c r="J100" s="69" t="str">
        <f>VLOOKUP($A100,SP_TaxPar_DB[],MATCH(J$2,SP_TaxPar_DB[#Headers],0),FALSE)</f>
        <v>0 FM 1299</v>
      </c>
      <c r="K100" s="69" t="str">
        <f>VLOOKUP($A100,SP_TaxPar_DB[],MATCH(K$2,SP_TaxPar_DB[#Headers],0),FALSE)</f>
        <v>RIVERSIDE LOT 1,2 Acres:1.6529</v>
      </c>
      <c r="L100" s="69">
        <f>VLOOKUP($A100,SP_TaxPar_DB[],MATCH(L$2,SP_TaxPar_DB[#Headers],0),FALSE)</f>
        <v>0</v>
      </c>
      <c r="M100" s="69">
        <f>VLOOKUP($A100,SP_TaxPar_DB[],MATCH(M$2,SP_TaxPar_DB[#Headers],0),FALSE)</f>
        <v>0</v>
      </c>
      <c r="N100" s="69">
        <f>VLOOKUP($A100,SP_TaxPar_DB[],MATCH(N$2,SP_TaxPar_DB[#Headers],0),FALSE)</f>
        <v>0</v>
      </c>
      <c r="O100" s="71">
        <f>VLOOKUP($A100,SP_TaxPar_DB[],MATCH(O$2,SP_TaxPar_DB[#Headers],0),FALSE)</f>
        <v>0</v>
      </c>
      <c r="P100" s="72"/>
      <c r="Q100" s="240"/>
      <c r="R100" s="240"/>
      <c r="S100" s="240"/>
      <c r="T100" s="240"/>
      <c r="U100" s="240"/>
      <c r="V100" s="240"/>
      <c r="W100" s="240"/>
      <c r="X100" s="240"/>
      <c r="Y100" s="240"/>
      <c r="Z100" s="240"/>
      <c r="AA100" s="240"/>
      <c r="AB100" s="240"/>
      <c r="AC100" s="240"/>
      <c r="AD100" s="240"/>
      <c r="AE100" s="240"/>
      <c r="AF100" s="240"/>
      <c r="AG100" s="240"/>
      <c r="AH100" s="240"/>
      <c r="AI100" s="240"/>
      <c r="AJ100" s="240"/>
      <c r="AK100" s="240"/>
      <c r="AL100" s="241"/>
      <c r="AM100" s="242"/>
      <c r="AN100" s="240"/>
      <c r="AO100" s="240"/>
      <c r="AP100" s="240"/>
      <c r="AQ100" s="240"/>
      <c r="AR100" s="240"/>
      <c r="AS100" s="240"/>
      <c r="AT100" s="240"/>
      <c r="AU100" s="240"/>
      <c r="AV100" s="240"/>
      <c r="AW100" s="241"/>
    </row>
    <row r="101" spans="1:49" ht="15.75" hidden="1" x14ac:dyDescent="0.2">
      <c r="A101" s="129" t="s">
        <v>2126</v>
      </c>
      <c r="B101" s="68" t="str">
        <f>VLOOKUP($A101,SP_TaxPar_DB[],MATCH(B$2,SP_TaxPar_DB[#Headers],0),FALSE)</f>
        <v>ENV</v>
      </c>
      <c r="C101" s="67">
        <f>IF(VLOOKUP($A101,SP_TaxPar_DB[],MATCH(C$2,SP_TaxPar_DB[#Headers],0),FALSE)="",0,VLOOKUP($A101,SP_TaxPar_DB[],MATCH(C$2,SP_TaxPar_DB[#Headers],0),FALSE))</f>
        <v>0</v>
      </c>
      <c r="D101" s="67" t="str">
        <f>IF(VLOOKUP($A101,SP_TaxPar_DB[],MATCH(D$2,SP_TaxPar_DB[#Headers],0),FALSE)="",0,VLOOKUP($A101,SP_TaxPar_DB[],MATCH(D$2,SP_TaxPar_DB[#Headers],0),FALSE))</f>
        <v>092</v>
      </c>
      <c r="E101" s="69" t="str">
        <f>VLOOKUP($A101,SP_TaxPar_DB[],MATCH(E$2,SP_TaxPar_DB[#Headers],0),FALSE)</f>
        <v>FRANKUM BRADLEY L &amp; COLETTE M</v>
      </c>
      <c r="F101" s="69" t="str">
        <f>VLOOKUP($A101,SP_TaxPar_DB[],MATCH(F$2,SP_TaxPar_DB[#Headers],0),FALSE)</f>
        <v>1316 FM 1299</v>
      </c>
      <c r="G101" s="69" t="str">
        <f>VLOOKUP($A101,SP_TaxPar_DB[],MATCH(G$2,SP_TaxPar_DB[#Headers],0),FALSE)</f>
        <v>WHARTON</v>
      </c>
      <c r="H101" s="69" t="str">
        <f>VLOOKUP($A101,SP_TaxPar_DB[],MATCH(H$2,SP_TaxPar_DB[#Headers],0),FALSE)</f>
        <v>TX</v>
      </c>
      <c r="I101" s="69" t="str">
        <f>VLOOKUP($A101,SP_TaxPar_DB[],MATCH(I$2,SP_TaxPar_DB[#Headers],0),FALSE)</f>
        <v>77488</v>
      </c>
      <c r="J101" s="69" t="str">
        <f>VLOOKUP($A101,SP_TaxPar_DB[],MATCH(J$2,SP_TaxPar_DB[#Headers],0),FALSE)</f>
        <v>1316 FM 1299</v>
      </c>
      <c r="K101" s="69" t="str">
        <f>VLOOKUP($A101,SP_TaxPar_DB[],MATCH(K$2,SP_TaxPar_DB[#Headers],0),FALSE)</f>
        <v>RIVERSIDE LOT 3 Acres:0.8052</v>
      </c>
      <c r="L101" s="69">
        <f>VLOOKUP($A101,SP_TaxPar_DB[],MATCH(L$2,SP_TaxPar_DB[#Headers],0),FALSE)</f>
        <v>0</v>
      </c>
      <c r="M101" s="69">
        <f>VLOOKUP($A101,SP_TaxPar_DB[],MATCH(M$2,SP_TaxPar_DB[#Headers],0),FALSE)</f>
        <v>0</v>
      </c>
      <c r="N101" s="69">
        <f>VLOOKUP($A101,SP_TaxPar_DB[],MATCH(N$2,SP_TaxPar_DB[#Headers],0),FALSE)</f>
        <v>0</v>
      </c>
      <c r="O101" s="71">
        <f>VLOOKUP($A101,SP_TaxPar_DB[],MATCH(O$2,SP_TaxPar_DB[#Headers],0),FALSE)</f>
        <v>0</v>
      </c>
      <c r="P101" s="72"/>
      <c r="Q101" s="69"/>
      <c r="R101" s="73"/>
      <c r="S101" s="73"/>
      <c r="T101" s="69"/>
      <c r="U101" s="69"/>
      <c r="V101" s="69"/>
      <c r="W101" s="69"/>
      <c r="X101" s="69"/>
      <c r="Y101" s="69"/>
      <c r="Z101" s="69"/>
      <c r="AA101" s="69"/>
      <c r="AB101" s="74"/>
      <c r="AC101" s="73"/>
      <c r="AD101" s="73"/>
      <c r="AE101" s="74"/>
      <c r="AF101" s="68"/>
      <c r="AG101" s="68"/>
      <c r="AH101" s="74"/>
      <c r="AI101" s="68"/>
      <c r="AJ101" s="68"/>
      <c r="AK101" s="68"/>
      <c r="AL101" s="80"/>
      <c r="AM101" s="81"/>
      <c r="AN101" s="74"/>
      <c r="AO101" s="74"/>
      <c r="AP101" s="74"/>
      <c r="AQ101" s="74"/>
      <c r="AR101" s="74"/>
      <c r="AS101" s="74"/>
      <c r="AT101" s="74"/>
      <c r="AU101" s="74"/>
      <c r="AV101" s="74"/>
      <c r="AW101" s="84"/>
    </row>
    <row r="102" spans="1:49" ht="15.75" hidden="1" x14ac:dyDescent="0.2">
      <c r="A102" s="129" t="s">
        <v>2130</v>
      </c>
      <c r="B102" s="68" t="str">
        <f>VLOOKUP($A102,SP_TaxPar_DB[],MATCH(B$2,SP_TaxPar_DB[#Headers],0),FALSE)</f>
        <v>ENV</v>
      </c>
      <c r="C102" s="67">
        <f>IF(VLOOKUP($A102,SP_TaxPar_DB[],MATCH(C$2,SP_TaxPar_DB[#Headers],0),FALSE)="",0,VLOOKUP($A102,SP_TaxPar_DB[],MATCH(C$2,SP_TaxPar_DB[#Headers],0),FALSE))</f>
        <v>0</v>
      </c>
      <c r="D102" s="67" t="str">
        <f>IF(VLOOKUP($A102,SP_TaxPar_DB[],MATCH(D$2,SP_TaxPar_DB[#Headers],0),FALSE)="",0,VLOOKUP($A102,SP_TaxPar_DB[],MATCH(D$2,SP_TaxPar_DB[#Headers],0),FALSE))</f>
        <v>093</v>
      </c>
      <c r="E102" s="69" t="str">
        <f>VLOOKUP($A102,SP_TaxPar_DB[],MATCH(E$2,SP_TaxPar_DB[#Headers],0),FALSE)</f>
        <v>MATHEWS DARREN R ETUX KIMBERLY D</v>
      </c>
      <c r="F102" s="69" t="str">
        <f>VLOOKUP($A102,SP_TaxPar_DB[],MATCH(F$2,SP_TaxPar_DB[#Headers],0),FALSE)</f>
        <v>1318 FM 1299</v>
      </c>
      <c r="G102" s="69" t="str">
        <f>VLOOKUP($A102,SP_TaxPar_DB[],MATCH(G$2,SP_TaxPar_DB[#Headers],0),FALSE)</f>
        <v>WHARTON</v>
      </c>
      <c r="H102" s="69" t="str">
        <f>VLOOKUP($A102,SP_TaxPar_DB[],MATCH(H$2,SP_TaxPar_DB[#Headers],0),FALSE)</f>
        <v>TX</v>
      </c>
      <c r="I102" s="69" t="str">
        <f>VLOOKUP($A102,SP_TaxPar_DB[],MATCH(I$2,SP_TaxPar_DB[#Headers],0),FALSE)</f>
        <v>77488</v>
      </c>
      <c r="J102" s="69" t="str">
        <f>VLOOKUP($A102,SP_TaxPar_DB[],MATCH(J$2,SP_TaxPar_DB[#Headers],0),FALSE)</f>
        <v>1318 FM 1299</v>
      </c>
      <c r="K102" s="69" t="str">
        <f>VLOOKUP($A102,SP_TaxPar_DB[],MATCH(K$2,SP_TaxPar_DB[#Headers],0),FALSE)</f>
        <v>RIVERSIDE LOT 4 Acres:0.7902</v>
      </c>
      <c r="L102" s="69">
        <f>VLOOKUP($A102,SP_TaxPar_DB[],MATCH(L$2,SP_TaxPar_DB[#Headers],0),FALSE)</f>
        <v>0</v>
      </c>
      <c r="M102" s="69">
        <f>VLOOKUP($A102,SP_TaxPar_DB[],MATCH(M$2,SP_TaxPar_DB[#Headers],0),FALSE)</f>
        <v>0</v>
      </c>
      <c r="N102" s="69">
        <f>VLOOKUP($A102,SP_TaxPar_DB[],MATCH(N$2,SP_TaxPar_DB[#Headers],0),FALSE)</f>
        <v>0</v>
      </c>
      <c r="O102" s="71">
        <f>VLOOKUP($A102,SP_TaxPar_DB[],MATCH(O$2,SP_TaxPar_DB[#Headers],0),FALSE)</f>
        <v>0</v>
      </c>
      <c r="P102" s="72"/>
      <c r="Q102" s="69"/>
      <c r="R102" s="73"/>
      <c r="S102" s="73"/>
      <c r="T102" s="69"/>
      <c r="U102" s="69"/>
      <c r="V102" s="69"/>
      <c r="W102" s="69"/>
      <c r="X102" s="69"/>
      <c r="Y102" s="69"/>
      <c r="Z102" s="69"/>
      <c r="AA102" s="69"/>
      <c r="AB102" s="74"/>
      <c r="AC102" s="73"/>
      <c r="AD102" s="73"/>
      <c r="AE102" s="74"/>
      <c r="AF102" s="68"/>
      <c r="AG102" s="68"/>
      <c r="AH102" s="74"/>
      <c r="AI102" s="68"/>
      <c r="AJ102" s="68"/>
      <c r="AK102" s="68"/>
      <c r="AL102" s="80"/>
      <c r="AM102" s="81"/>
      <c r="AN102" s="74"/>
      <c r="AO102" s="74"/>
      <c r="AP102" s="74"/>
      <c r="AQ102" s="74"/>
      <c r="AR102" s="74"/>
      <c r="AS102" s="74"/>
      <c r="AT102" s="74"/>
      <c r="AU102" s="74"/>
      <c r="AV102" s="74"/>
      <c r="AW102" s="84"/>
    </row>
    <row r="103" spans="1:49" ht="15.75" hidden="1" x14ac:dyDescent="0.2">
      <c r="A103" s="129" t="s">
        <v>2134</v>
      </c>
      <c r="B103" s="68" t="str">
        <f>VLOOKUP($A103,SP_TaxPar_DB[],MATCH(B$2,SP_TaxPar_DB[#Headers],0),FALSE)</f>
        <v>ENV</v>
      </c>
      <c r="C103" s="67">
        <f>IF(VLOOKUP($A103,SP_TaxPar_DB[],MATCH(C$2,SP_TaxPar_DB[#Headers],0),FALSE)="",0,VLOOKUP($A103,SP_TaxPar_DB[],MATCH(C$2,SP_TaxPar_DB[#Headers],0),FALSE))</f>
        <v>0</v>
      </c>
      <c r="D103" s="67" t="str">
        <f>IF(VLOOKUP($A103,SP_TaxPar_DB[],MATCH(D$2,SP_TaxPar_DB[#Headers],0),FALSE)="",0,VLOOKUP($A103,SP_TaxPar_DB[],MATCH(D$2,SP_TaxPar_DB[#Headers],0),FALSE))</f>
        <v>094</v>
      </c>
      <c r="E103" s="69" t="str">
        <f>VLOOKUP($A103,SP_TaxPar_DB[],MATCH(E$2,SP_TaxPar_DB[#Headers],0),FALSE)</f>
        <v>FREESE RILEY C</v>
      </c>
      <c r="F103" s="69" t="str">
        <f>VLOOKUP($A103,SP_TaxPar_DB[],MATCH(F$2,SP_TaxPar_DB[#Headers],0),FALSE)</f>
        <v>1225 N ALABAMA RD</v>
      </c>
      <c r="G103" s="69" t="str">
        <f>VLOOKUP($A103,SP_TaxPar_DB[],MATCH(G$2,SP_TaxPar_DB[#Headers],0),FALSE)</f>
        <v>WHARTON</v>
      </c>
      <c r="H103" s="69" t="str">
        <f>VLOOKUP($A103,SP_TaxPar_DB[],MATCH(H$2,SP_TaxPar_DB[#Headers],0),FALSE)</f>
        <v>TX</v>
      </c>
      <c r="I103" s="69" t="str">
        <f>VLOOKUP($A103,SP_TaxPar_DB[],MATCH(I$2,SP_TaxPar_DB[#Headers],0),FALSE)</f>
        <v>77488</v>
      </c>
      <c r="J103" s="69" t="str">
        <f>VLOOKUP($A103,SP_TaxPar_DB[],MATCH(J$2,SP_TaxPar_DB[#Headers],0),FALSE)</f>
        <v>1400 FM 1299</v>
      </c>
      <c r="K103" s="69" t="str">
        <f>VLOOKUP($A103,SP_TaxPar_DB[],MATCH(K$2,SP_TaxPar_DB[#Headers],0),FALSE)</f>
        <v>RIVERSIDE LOT 5 Acres:0.7677</v>
      </c>
      <c r="L103" s="69">
        <f>VLOOKUP($A103,SP_TaxPar_DB[],MATCH(L$2,SP_TaxPar_DB[#Headers],0),FALSE)</f>
        <v>0</v>
      </c>
      <c r="M103" s="69">
        <f>VLOOKUP($A103,SP_TaxPar_DB[],MATCH(M$2,SP_TaxPar_DB[#Headers],0),FALSE)</f>
        <v>0</v>
      </c>
      <c r="N103" s="69">
        <f>VLOOKUP($A103,SP_TaxPar_DB[],MATCH(N$2,SP_TaxPar_DB[#Headers],0),FALSE)</f>
        <v>0</v>
      </c>
      <c r="O103" s="71">
        <f>VLOOKUP($A103,SP_TaxPar_DB[],MATCH(O$2,SP_TaxPar_DB[#Headers],0),FALSE)</f>
        <v>0</v>
      </c>
      <c r="P103" s="72"/>
      <c r="Q103" s="69"/>
      <c r="R103" s="73"/>
      <c r="S103" s="73"/>
      <c r="T103" s="69"/>
      <c r="U103" s="69"/>
      <c r="V103" s="69"/>
      <c r="W103" s="69"/>
      <c r="X103" s="69"/>
      <c r="Y103" s="69"/>
      <c r="Z103" s="69"/>
      <c r="AA103" s="69"/>
      <c r="AB103" s="74"/>
      <c r="AC103" s="73"/>
      <c r="AD103" s="73"/>
      <c r="AE103" s="74"/>
      <c r="AF103" s="68"/>
      <c r="AG103" s="68"/>
      <c r="AH103" s="74"/>
      <c r="AI103" s="68"/>
      <c r="AJ103" s="68"/>
      <c r="AK103" s="68"/>
      <c r="AL103" s="80"/>
      <c r="AM103" s="81"/>
      <c r="AN103" s="74"/>
      <c r="AO103" s="74"/>
      <c r="AP103" s="74"/>
      <c r="AQ103" s="74"/>
      <c r="AR103" s="74"/>
      <c r="AS103" s="74"/>
      <c r="AT103" s="74"/>
      <c r="AU103" s="74"/>
      <c r="AV103" s="74"/>
      <c r="AW103" s="84"/>
    </row>
    <row r="104" spans="1:49" ht="15.75" hidden="1" x14ac:dyDescent="0.2">
      <c r="A104" s="129" t="s">
        <v>2139</v>
      </c>
      <c r="B104" s="68" t="str">
        <f>VLOOKUP($A104,SP_TaxPar_DB[],MATCH(B$2,SP_TaxPar_DB[#Headers],0),FALSE)</f>
        <v>ENV</v>
      </c>
      <c r="C104" s="67">
        <f>IF(VLOOKUP($A104,SP_TaxPar_DB[],MATCH(C$2,SP_TaxPar_DB[#Headers],0),FALSE)="",0,VLOOKUP($A104,SP_TaxPar_DB[],MATCH(C$2,SP_TaxPar_DB[#Headers],0),FALSE))</f>
        <v>0</v>
      </c>
      <c r="D104" s="67" t="str">
        <f>IF(VLOOKUP($A104,SP_TaxPar_DB[],MATCH(D$2,SP_TaxPar_DB[#Headers],0),FALSE)="",0,VLOOKUP($A104,SP_TaxPar_DB[],MATCH(D$2,SP_TaxPar_DB[#Headers],0),FALSE))</f>
        <v>095</v>
      </c>
      <c r="E104" s="69" t="str">
        <f>VLOOKUP($A104,SP_TaxPar_DB[],MATCH(E$2,SP_TaxPar_DB[#Headers],0),FALSE)</f>
        <v>ROSENBERG CARPET CENTER INC</v>
      </c>
      <c r="F104" s="69" t="str">
        <f>VLOOKUP($A104,SP_TaxPar_DB[],MATCH(F$2,SP_TaxPar_DB[#Headers],0),FALSE)</f>
        <v>PO BOX 731</v>
      </c>
      <c r="G104" s="69" t="str">
        <f>VLOOKUP($A104,SP_TaxPar_DB[],MATCH(G$2,SP_TaxPar_DB[#Headers],0),FALSE)</f>
        <v>ROSENBERG</v>
      </c>
      <c r="H104" s="69" t="str">
        <f>VLOOKUP($A104,SP_TaxPar_DB[],MATCH(H$2,SP_TaxPar_DB[#Headers],0),FALSE)</f>
        <v>TX</v>
      </c>
      <c r="I104" s="69" t="str">
        <f>VLOOKUP($A104,SP_TaxPar_DB[],MATCH(I$2,SP_TaxPar_DB[#Headers],0),FALSE)</f>
        <v>77471</v>
      </c>
      <c r="J104" s="69" t="str">
        <f>VLOOKUP($A104,SP_TaxPar_DB[],MATCH(J$2,SP_TaxPar_DB[#Headers],0),FALSE)</f>
        <v>0  FM 1299</v>
      </c>
      <c r="K104" s="69" t="str">
        <f>VLOOKUP($A104,SP_TaxPar_DB[],MATCH(K$2,SP_TaxPar_DB[#Headers],0),FALSE)</f>
        <v>RIVERSIDE LOT 6 Acres:0.7378</v>
      </c>
      <c r="L104" s="69">
        <f>VLOOKUP($A104,SP_TaxPar_DB[],MATCH(L$2,SP_TaxPar_DB[#Headers],0),FALSE)</f>
        <v>0</v>
      </c>
      <c r="M104" s="69">
        <f>VLOOKUP($A104,SP_TaxPar_DB[],MATCH(M$2,SP_TaxPar_DB[#Headers],0),FALSE)</f>
        <v>0</v>
      </c>
      <c r="N104" s="69">
        <f>VLOOKUP($A104,SP_TaxPar_DB[],MATCH(N$2,SP_TaxPar_DB[#Headers],0),FALSE)</f>
        <v>0</v>
      </c>
      <c r="O104" s="71">
        <f>VLOOKUP($A104,SP_TaxPar_DB[],MATCH(O$2,SP_TaxPar_DB[#Headers],0),FALSE)</f>
        <v>0</v>
      </c>
      <c r="P104" s="72"/>
      <c r="Q104" s="69"/>
      <c r="R104" s="73"/>
      <c r="S104" s="73"/>
      <c r="T104" s="69"/>
      <c r="U104" s="69"/>
      <c r="V104" s="69"/>
      <c r="W104" s="69"/>
      <c r="X104" s="69"/>
      <c r="Y104" s="69"/>
      <c r="Z104" s="69"/>
      <c r="AA104" s="69"/>
      <c r="AB104" s="74"/>
      <c r="AC104" s="73"/>
      <c r="AD104" s="73"/>
      <c r="AE104" s="74"/>
      <c r="AF104" s="68"/>
      <c r="AG104" s="68"/>
      <c r="AH104" s="74"/>
      <c r="AI104" s="68"/>
      <c r="AJ104" s="68"/>
      <c r="AK104" s="68"/>
      <c r="AL104" s="80"/>
      <c r="AM104" s="81"/>
      <c r="AN104" s="74"/>
      <c r="AO104" s="74"/>
      <c r="AP104" s="74"/>
      <c r="AQ104" s="74"/>
      <c r="AR104" s="74"/>
      <c r="AS104" s="74"/>
      <c r="AT104" s="74"/>
      <c r="AU104" s="74"/>
      <c r="AV104" s="74"/>
      <c r="AW104" s="84"/>
    </row>
    <row r="105" spans="1:49" ht="15.75" hidden="1" x14ac:dyDescent="0.2">
      <c r="A105" s="129" t="s">
        <v>2144</v>
      </c>
      <c r="B105" s="68" t="str">
        <f>VLOOKUP($A105,SP_TaxPar_DB[],MATCH(B$2,SP_TaxPar_DB[#Headers],0),FALSE)</f>
        <v>ENV</v>
      </c>
      <c r="C105" s="67">
        <f>IF(VLOOKUP($A105,SP_TaxPar_DB[],MATCH(C$2,SP_TaxPar_DB[#Headers],0),FALSE)="",0,VLOOKUP($A105,SP_TaxPar_DB[],MATCH(C$2,SP_TaxPar_DB[#Headers],0),FALSE))</f>
        <v>0</v>
      </c>
      <c r="D105" s="67" t="str">
        <f>IF(VLOOKUP($A105,SP_TaxPar_DB[],MATCH(D$2,SP_TaxPar_DB[#Headers],0),FALSE)="",0,VLOOKUP($A105,SP_TaxPar_DB[],MATCH(D$2,SP_TaxPar_DB[#Headers],0),FALSE))</f>
        <v>096</v>
      </c>
      <c r="E105" s="69" t="str">
        <f>VLOOKUP($A105,SP_TaxPar_DB[],MATCH(E$2,SP_TaxPar_DB[#Headers],0),FALSE)</f>
        <v>ROSENBERG CARPET CENTER INC</v>
      </c>
      <c r="F105" s="69" t="str">
        <f>VLOOKUP($A105,SP_TaxPar_DB[],MATCH(F$2,SP_TaxPar_DB[#Headers],0),FALSE)</f>
        <v>PO BOX 731</v>
      </c>
      <c r="G105" s="69" t="str">
        <f>VLOOKUP($A105,SP_TaxPar_DB[],MATCH(G$2,SP_TaxPar_DB[#Headers],0),FALSE)</f>
        <v>ROSENBERG</v>
      </c>
      <c r="H105" s="69" t="str">
        <f>VLOOKUP($A105,SP_TaxPar_DB[],MATCH(H$2,SP_TaxPar_DB[#Headers],0),FALSE)</f>
        <v>TX</v>
      </c>
      <c r="I105" s="69" t="str">
        <f>VLOOKUP($A105,SP_TaxPar_DB[],MATCH(I$2,SP_TaxPar_DB[#Headers],0),FALSE)</f>
        <v>77471</v>
      </c>
      <c r="J105" s="69" t="str">
        <f>VLOOKUP($A105,SP_TaxPar_DB[],MATCH(J$2,SP_TaxPar_DB[#Headers],0),FALSE)</f>
        <v>0 FM 1299</v>
      </c>
      <c r="K105" s="69" t="str">
        <f>VLOOKUP($A105,SP_TaxPar_DB[],MATCH(K$2,SP_TaxPar_DB[#Headers],0),FALSE)</f>
        <v>RIVERSIDE LOT 7 Acres:0.7246</v>
      </c>
      <c r="L105" s="69">
        <f>VLOOKUP($A105,SP_TaxPar_DB[],MATCH(L$2,SP_TaxPar_DB[#Headers],0),FALSE)</f>
        <v>0</v>
      </c>
      <c r="M105" s="69">
        <f>VLOOKUP($A105,SP_TaxPar_DB[],MATCH(M$2,SP_TaxPar_DB[#Headers],0),FALSE)</f>
        <v>0</v>
      </c>
      <c r="N105" s="69">
        <f>VLOOKUP($A105,SP_TaxPar_DB[],MATCH(N$2,SP_TaxPar_DB[#Headers],0),FALSE)</f>
        <v>0</v>
      </c>
      <c r="O105" s="71">
        <f>VLOOKUP($A105,SP_TaxPar_DB[],MATCH(O$2,SP_TaxPar_DB[#Headers],0),FALSE)</f>
        <v>0</v>
      </c>
      <c r="P105" s="72"/>
      <c r="Q105" s="69"/>
      <c r="R105" s="73"/>
      <c r="S105" s="73"/>
      <c r="T105" s="69"/>
      <c r="U105" s="69"/>
      <c r="V105" s="69"/>
      <c r="W105" s="69"/>
      <c r="X105" s="69"/>
      <c r="Y105" s="69"/>
      <c r="Z105" s="69"/>
      <c r="AA105" s="69"/>
      <c r="AB105" s="74"/>
      <c r="AC105" s="73"/>
      <c r="AD105" s="73"/>
      <c r="AE105" s="74"/>
      <c r="AF105" s="68"/>
      <c r="AG105" s="68"/>
      <c r="AH105" s="74"/>
      <c r="AI105" s="68"/>
      <c r="AJ105" s="68"/>
      <c r="AK105" s="68"/>
      <c r="AL105" s="80"/>
      <c r="AM105" s="81"/>
      <c r="AN105" s="74"/>
      <c r="AO105" s="74"/>
      <c r="AP105" s="74"/>
      <c r="AQ105" s="74"/>
      <c r="AR105" s="74"/>
      <c r="AS105" s="74"/>
      <c r="AT105" s="74"/>
      <c r="AU105" s="74"/>
      <c r="AV105" s="74"/>
      <c r="AW105" s="84"/>
    </row>
    <row r="106" spans="1:49" ht="15.75" hidden="1" x14ac:dyDescent="0.2">
      <c r="A106" s="129" t="s">
        <v>2146</v>
      </c>
      <c r="B106" s="68" t="str">
        <f>VLOOKUP($A106,SP_TaxPar_DB[],MATCH(B$2,SP_TaxPar_DB[#Headers],0),FALSE)</f>
        <v>ENV</v>
      </c>
      <c r="C106" s="67">
        <f>IF(VLOOKUP($A106,SP_TaxPar_DB[],MATCH(C$2,SP_TaxPar_DB[#Headers],0),FALSE)="",0,VLOOKUP($A106,SP_TaxPar_DB[],MATCH(C$2,SP_TaxPar_DB[#Headers],0),FALSE))</f>
        <v>0</v>
      </c>
      <c r="D106" s="67" t="str">
        <f>IF(VLOOKUP($A106,SP_TaxPar_DB[],MATCH(D$2,SP_TaxPar_DB[#Headers],0),FALSE)="",0,VLOOKUP($A106,SP_TaxPar_DB[],MATCH(D$2,SP_TaxPar_DB[#Headers],0),FALSE))</f>
        <v>097</v>
      </c>
      <c r="E106" s="69" t="str">
        <f>VLOOKUP($A106,SP_TaxPar_DB[],MATCH(E$2,SP_TaxPar_DB[#Headers],0),FALSE)</f>
        <v>ROSENBERG CARPET CENTER INC</v>
      </c>
      <c r="F106" s="69" t="str">
        <f>VLOOKUP($A106,SP_TaxPar_DB[],MATCH(F$2,SP_TaxPar_DB[#Headers],0),FALSE)</f>
        <v>PO BOX 731</v>
      </c>
      <c r="G106" s="69" t="str">
        <f>VLOOKUP($A106,SP_TaxPar_DB[],MATCH(G$2,SP_TaxPar_DB[#Headers],0),FALSE)</f>
        <v>ROSENBERG</v>
      </c>
      <c r="H106" s="69" t="str">
        <f>VLOOKUP($A106,SP_TaxPar_DB[],MATCH(H$2,SP_TaxPar_DB[#Headers],0),FALSE)</f>
        <v>TX</v>
      </c>
      <c r="I106" s="69" t="str">
        <f>VLOOKUP($A106,SP_TaxPar_DB[],MATCH(I$2,SP_TaxPar_DB[#Headers],0),FALSE)</f>
        <v>77471</v>
      </c>
      <c r="J106" s="69" t="str">
        <f>VLOOKUP($A106,SP_TaxPar_DB[],MATCH(J$2,SP_TaxPar_DB[#Headers],0),FALSE)</f>
        <v>0 FM 1299</v>
      </c>
      <c r="K106" s="69" t="str">
        <f>VLOOKUP($A106,SP_TaxPar_DB[],MATCH(K$2,SP_TaxPar_DB[#Headers],0),FALSE)</f>
        <v>RIVERSIDE LOT 8 Acres:0.7280</v>
      </c>
      <c r="L106" s="69">
        <f>VLOOKUP($A106,SP_TaxPar_DB[],MATCH(L$2,SP_TaxPar_DB[#Headers],0),FALSE)</f>
        <v>0</v>
      </c>
      <c r="M106" s="69">
        <f>VLOOKUP($A106,SP_TaxPar_DB[],MATCH(M$2,SP_TaxPar_DB[#Headers],0),FALSE)</f>
        <v>0</v>
      </c>
      <c r="N106" s="69">
        <f>VLOOKUP($A106,SP_TaxPar_DB[],MATCH(N$2,SP_TaxPar_DB[#Headers],0),FALSE)</f>
        <v>0</v>
      </c>
      <c r="O106" s="71">
        <f>VLOOKUP($A106,SP_TaxPar_DB[],MATCH(O$2,SP_TaxPar_DB[#Headers],0),FALSE)</f>
        <v>0</v>
      </c>
      <c r="P106" s="72"/>
      <c r="Q106" s="69"/>
      <c r="R106" s="73"/>
      <c r="S106" s="73"/>
      <c r="T106" s="69"/>
      <c r="U106" s="69"/>
      <c r="V106" s="69"/>
      <c r="W106" s="69"/>
      <c r="X106" s="69"/>
      <c r="Y106" s="69"/>
      <c r="Z106" s="69"/>
      <c r="AA106" s="69"/>
      <c r="AB106" s="74"/>
      <c r="AC106" s="73"/>
      <c r="AD106" s="73"/>
      <c r="AE106" s="74"/>
      <c r="AF106" s="68"/>
      <c r="AG106" s="68"/>
      <c r="AH106" s="74"/>
      <c r="AI106" s="68"/>
      <c r="AJ106" s="68"/>
      <c r="AK106" s="68"/>
      <c r="AL106" s="80"/>
      <c r="AM106" s="81"/>
      <c r="AN106" s="74"/>
      <c r="AO106" s="74"/>
      <c r="AP106" s="74"/>
      <c r="AQ106" s="74"/>
      <c r="AR106" s="74"/>
      <c r="AS106" s="74"/>
      <c r="AT106" s="74"/>
      <c r="AU106" s="74"/>
      <c r="AV106" s="74"/>
      <c r="AW106" s="84"/>
    </row>
    <row r="107" spans="1:49" ht="15.75" hidden="1" x14ac:dyDescent="0.2">
      <c r="A107" s="129" t="s">
        <v>2148</v>
      </c>
      <c r="B107" s="68" t="str">
        <f>VLOOKUP($A107,SP_TaxPar_DB[],MATCH(B$2,SP_TaxPar_DB[#Headers],0),FALSE)</f>
        <v>ENV</v>
      </c>
      <c r="C107" s="67">
        <f>IF(VLOOKUP($A107,SP_TaxPar_DB[],MATCH(C$2,SP_TaxPar_DB[#Headers],0),FALSE)="",0,VLOOKUP($A107,SP_TaxPar_DB[],MATCH(C$2,SP_TaxPar_DB[#Headers],0),FALSE))</f>
        <v>0</v>
      </c>
      <c r="D107" s="67" t="str">
        <f>IF(VLOOKUP($A107,SP_TaxPar_DB[],MATCH(D$2,SP_TaxPar_DB[#Headers],0),FALSE)="",0,VLOOKUP($A107,SP_TaxPar_DB[],MATCH(D$2,SP_TaxPar_DB[#Headers],0),FALSE))</f>
        <v>098</v>
      </c>
      <c r="E107" s="69" t="str">
        <f>VLOOKUP($A107,SP_TaxPar_DB[],MATCH(E$2,SP_TaxPar_DB[#Headers],0),FALSE)</f>
        <v>JURASEK RUSSELL A ETUX JACQUELIN</v>
      </c>
      <c r="F107" s="69" t="str">
        <f>VLOOKUP($A107,SP_TaxPar_DB[],MATCH(F$2,SP_TaxPar_DB[#Headers],0),FALSE)</f>
        <v>1500 FM 1299</v>
      </c>
      <c r="G107" s="69" t="str">
        <f>VLOOKUP($A107,SP_TaxPar_DB[],MATCH(G$2,SP_TaxPar_DB[#Headers],0),FALSE)</f>
        <v>WHARTON</v>
      </c>
      <c r="H107" s="69" t="str">
        <f>VLOOKUP($A107,SP_TaxPar_DB[],MATCH(H$2,SP_TaxPar_DB[#Headers],0),FALSE)</f>
        <v>TX</v>
      </c>
      <c r="I107" s="69" t="str">
        <f>VLOOKUP($A107,SP_TaxPar_DB[],MATCH(I$2,SP_TaxPar_DB[#Headers],0),FALSE)</f>
        <v>77488</v>
      </c>
      <c r="J107" s="69" t="str">
        <f>VLOOKUP($A107,SP_TaxPar_DB[],MATCH(J$2,SP_TaxPar_DB[#Headers],0),FALSE)</f>
        <v>1500 FM 1299</v>
      </c>
      <c r="K107" s="69" t="str">
        <f>VLOOKUP($A107,SP_TaxPar_DB[],MATCH(K$2,SP_TaxPar_DB[#Headers],0),FALSE)</f>
        <v>RIVERSIDE LOT 9,10 Acres:1.4084</v>
      </c>
      <c r="L107" s="69">
        <f>VLOOKUP($A107,SP_TaxPar_DB[],MATCH(L$2,SP_TaxPar_DB[#Headers],0),FALSE)</f>
        <v>0</v>
      </c>
      <c r="M107" s="69">
        <f>VLOOKUP($A107,SP_TaxPar_DB[],MATCH(M$2,SP_TaxPar_DB[#Headers],0),FALSE)</f>
        <v>0</v>
      </c>
      <c r="N107" s="69">
        <f>VLOOKUP($A107,SP_TaxPar_DB[],MATCH(N$2,SP_TaxPar_DB[#Headers],0),FALSE)</f>
        <v>0</v>
      </c>
      <c r="O107" s="71">
        <f>VLOOKUP($A107,SP_TaxPar_DB[],MATCH(O$2,SP_TaxPar_DB[#Headers],0),FALSE)</f>
        <v>0</v>
      </c>
      <c r="P107" s="72"/>
      <c r="Q107" s="69"/>
      <c r="R107" s="73"/>
      <c r="S107" s="73"/>
      <c r="T107" s="69"/>
      <c r="U107" s="69"/>
      <c r="V107" s="69"/>
      <c r="W107" s="69"/>
      <c r="X107" s="69"/>
      <c r="Y107" s="69"/>
      <c r="Z107" s="69"/>
      <c r="AA107" s="69"/>
      <c r="AB107" s="74"/>
      <c r="AC107" s="73"/>
      <c r="AD107" s="73"/>
      <c r="AE107" s="74"/>
      <c r="AF107" s="68"/>
      <c r="AG107" s="68"/>
      <c r="AH107" s="74"/>
      <c r="AI107" s="68"/>
      <c r="AJ107" s="68"/>
      <c r="AK107" s="68"/>
      <c r="AL107" s="80"/>
      <c r="AM107" s="81"/>
      <c r="AN107" s="74"/>
      <c r="AO107" s="74"/>
      <c r="AP107" s="74"/>
      <c r="AQ107" s="74"/>
      <c r="AR107" s="74"/>
      <c r="AS107" s="74"/>
      <c r="AT107" s="74"/>
      <c r="AU107" s="74"/>
      <c r="AV107" s="74"/>
      <c r="AW107" s="84"/>
    </row>
    <row r="108" spans="1:49" ht="15.75" hidden="1" x14ac:dyDescent="0.2">
      <c r="A108" s="129" t="s">
        <v>183</v>
      </c>
      <c r="B108" s="68" t="str">
        <f>VLOOKUP($A108,SP_TaxPar_DB[],MATCH(B$2,SP_TaxPar_DB[#Headers],0),FALSE)</f>
        <v>PH1</v>
      </c>
      <c r="C108" s="67" t="str">
        <f>IF(VLOOKUP($A108,SP_TaxPar_DB[],MATCH(C$2,SP_TaxPar_DB[#Headers],0),FALSE)="",0,VLOOKUP($A108,SP_TaxPar_DB[],MATCH(C$2,SP_TaxPar_DB[#Headers],0),FALSE))</f>
        <v>307</v>
      </c>
      <c r="D108" s="67">
        <f>IF(VLOOKUP($A108,SP_TaxPar_DB[],MATCH(D$2,SP_TaxPar_DB[#Headers],0),FALSE)="",0,VLOOKUP($A108,SP_TaxPar_DB[],MATCH(D$2,SP_TaxPar_DB[#Headers],0),FALSE))</f>
        <v>0</v>
      </c>
      <c r="E108" s="69" t="str">
        <f>VLOOKUP($A108,SP_TaxPar_DB[],MATCH(E$2,SP_TaxPar_DB[#Headers],0),FALSE)</f>
        <v>Latin American Council of Christian Churches</v>
      </c>
      <c r="F108" s="69" t="str">
        <f>VLOOKUP($A108,SP_TaxPar_DB[],MATCH(F$2,SP_TaxPar_DB[#Headers],0),FALSE)</f>
        <v>PO Box 885</v>
      </c>
      <c r="G108" s="69" t="str">
        <f>VLOOKUP($A108,SP_TaxPar_DB[],MATCH(G$2,SP_TaxPar_DB[#Headers],0),FALSE)</f>
        <v>Wharton</v>
      </c>
      <c r="H108" s="69" t="str">
        <f>VLOOKUP($A108,SP_TaxPar_DB[],MATCH(H$2,SP_TaxPar_DB[#Headers],0),FALSE)</f>
        <v>TX</v>
      </c>
      <c r="I108" s="69" t="str">
        <f>VLOOKUP($A108,SP_TaxPar_DB[],MATCH(I$2,SP_TaxPar_DB[#Headers],0),FALSE)</f>
        <v>77488</v>
      </c>
      <c r="J108" s="69" t="str">
        <f>VLOOKUP($A108,SP_TaxPar_DB[],MATCH(J$2,SP_TaxPar_DB[#Headers],0),FALSE)</f>
        <v>419 S Sunset</v>
      </c>
      <c r="K108" s="69" t="str">
        <f>VLOOKUP($A108,SP_TaxPar_DB[],MATCH(K$2,SP_TaxPar_DB[#Headers],0),FALSE)</f>
        <v>Rosemont Odd Block Odd Lot 1A, 1C, 2A, 3, 4</v>
      </c>
      <c r="L108" s="69">
        <f>VLOOKUP($A108,SP_TaxPar_DB[],MATCH(L$2,SP_TaxPar_DB[#Headers],0),FALSE)</f>
        <v>0.24310000000000001</v>
      </c>
      <c r="M108" s="69" t="str">
        <f>VLOOKUP($A108,SP_TaxPar_DB[],MATCH(M$2,SP_TaxPar_DB[#Headers],0),FALSE)</f>
        <v>Commercial</v>
      </c>
      <c r="N108" s="69">
        <f>VLOOKUP($A108,SP_TaxPar_DB[],MATCH(N$2,SP_TaxPar_DB[#Headers],0),FALSE)</f>
        <v>0</v>
      </c>
      <c r="O108" s="71" t="str">
        <f>VLOOKUP($A108,SP_TaxPar_DB[],MATCH(O$2,SP_TaxPar_DB[#Headers],0),FALSE)</f>
        <v>Hold off on Surveying the small portion of the church property as per EN 08/15/2019</v>
      </c>
      <c r="P108" s="72"/>
      <c r="Q108" s="69"/>
      <c r="R108" s="73"/>
      <c r="S108" s="73"/>
      <c r="T108" s="69"/>
      <c r="U108" s="69"/>
      <c r="V108" s="69"/>
      <c r="W108" s="69"/>
      <c r="X108" s="69"/>
      <c r="Y108" s="69"/>
      <c r="Z108" s="69"/>
      <c r="AA108" s="69"/>
      <c r="AB108" s="74"/>
      <c r="AC108" s="73"/>
      <c r="AD108" s="73"/>
      <c r="AE108" s="74"/>
      <c r="AF108" s="68"/>
      <c r="AG108" s="68"/>
      <c r="AH108" s="74"/>
      <c r="AI108" s="68"/>
      <c r="AJ108" s="68"/>
      <c r="AK108" s="68"/>
      <c r="AL108" s="80"/>
      <c r="AM108" s="81"/>
      <c r="AN108" s="74"/>
      <c r="AO108" s="74"/>
      <c r="AP108" s="74"/>
      <c r="AQ108" s="74"/>
      <c r="AR108" s="74"/>
      <c r="AS108" s="74"/>
      <c r="AT108" s="74"/>
      <c r="AU108" s="74"/>
      <c r="AV108" s="74"/>
      <c r="AW108" s="84"/>
    </row>
    <row r="109" spans="1:49" ht="15.75" hidden="1" x14ac:dyDescent="0.2">
      <c r="A109" s="129" t="s">
        <v>333</v>
      </c>
      <c r="B109" s="68" t="str">
        <f>VLOOKUP($A109,SP_TaxPar_DB[],MATCH(B$2,SP_TaxPar_DB[#Headers],0),FALSE)</f>
        <v>PH1</v>
      </c>
      <c r="C109" s="67" t="str">
        <f>IF(VLOOKUP($A109,SP_TaxPar_DB[],MATCH(C$2,SP_TaxPar_DB[#Headers],0),FALSE)="",0,VLOOKUP($A109,SP_TaxPar_DB[],MATCH(C$2,SP_TaxPar_DB[#Headers],0),FALSE))</f>
        <v>308</v>
      </c>
      <c r="D109" s="67">
        <f>IF(VLOOKUP($A109,SP_TaxPar_DB[],MATCH(D$2,SP_TaxPar_DB[#Headers],0),FALSE)="",0,VLOOKUP($A109,SP_TaxPar_DB[],MATCH(D$2,SP_TaxPar_DB[#Headers],0),FALSE))</f>
        <v>0</v>
      </c>
      <c r="E109" s="69" t="str">
        <f>VLOOKUP($A109,SP_TaxPar_DB[],MATCH(E$2,SP_TaxPar_DB[#Headers],0),FALSE)</f>
        <v>Eloisa Garza, et al</v>
      </c>
      <c r="F109" s="69" t="str">
        <f>VLOOKUP($A109,SP_TaxPar_DB[],MATCH(F$2,SP_TaxPar_DB[#Headers],0),FALSE)</f>
        <v>PO Box 1205</v>
      </c>
      <c r="G109" s="69" t="str">
        <f>VLOOKUP($A109,SP_TaxPar_DB[],MATCH(G$2,SP_TaxPar_DB[#Headers],0),FALSE)</f>
        <v>Wharton</v>
      </c>
      <c r="H109" s="69" t="str">
        <f>VLOOKUP($A109,SP_TaxPar_DB[],MATCH(H$2,SP_TaxPar_DB[#Headers],0),FALSE)</f>
        <v>TX</v>
      </c>
      <c r="I109" s="69" t="str">
        <f>VLOOKUP($A109,SP_TaxPar_DB[],MATCH(I$2,SP_TaxPar_DB[#Headers],0),FALSE)</f>
        <v>77488</v>
      </c>
      <c r="J109" s="69" t="str">
        <f>VLOOKUP($A109,SP_TaxPar_DB[],MATCH(J$2,SP_TaxPar_DB[#Headers],0),FALSE)</f>
        <v>425 Sunset</v>
      </c>
      <c r="K109" s="69" t="str">
        <f>VLOOKUP($A109,SP_TaxPar_DB[],MATCH(K$2,SP_TaxPar_DB[#Headers],0),FALSE)</f>
        <v>Rosemont Odd Block Odd Lot 1B-1, 2B</v>
      </c>
      <c r="L109" s="69">
        <f>VLOOKUP($A109,SP_TaxPar_DB[],MATCH(L$2,SP_TaxPar_DB[#Headers],0),FALSE)</f>
        <v>0.40679999999999999</v>
      </c>
      <c r="M109" s="69" t="str">
        <f>VLOOKUP($A109,SP_TaxPar_DB[],MATCH(M$2,SP_TaxPar_DB[#Headers],0),FALSE)</f>
        <v>Residential</v>
      </c>
      <c r="N109" s="69">
        <f>VLOOKUP($A109,SP_TaxPar_DB[],MATCH(N$2,SP_TaxPar_DB[#Headers],0),FALSE)</f>
        <v>0</v>
      </c>
      <c r="O109" s="71" t="str">
        <f>VLOOKUP($A109,SP_TaxPar_DB[],MATCH(O$2,SP_TaxPar_DB[#Headers],0),FALSE)</f>
        <v>Mobil Home</v>
      </c>
      <c r="P109" s="72"/>
      <c r="Q109" s="69"/>
      <c r="R109" s="73"/>
      <c r="S109" s="73"/>
      <c r="T109" s="69"/>
      <c r="U109" s="69"/>
      <c r="V109" s="69"/>
      <c r="W109" s="69"/>
      <c r="X109" s="69"/>
      <c r="Y109" s="69"/>
      <c r="Z109" s="69"/>
      <c r="AA109" s="69"/>
      <c r="AB109" s="74"/>
      <c r="AC109" s="73"/>
      <c r="AD109" s="73"/>
      <c r="AE109" s="74"/>
      <c r="AF109" s="68"/>
      <c r="AG109" s="68"/>
      <c r="AH109" s="74"/>
      <c r="AI109" s="68"/>
      <c r="AJ109" s="68"/>
      <c r="AK109" s="68"/>
      <c r="AL109" s="80"/>
      <c r="AM109" s="81"/>
      <c r="AN109" s="74"/>
      <c r="AO109" s="74"/>
      <c r="AP109" s="74"/>
      <c r="AQ109" s="74"/>
      <c r="AR109" s="74"/>
      <c r="AS109" s="74"/>
      <c r="AT109" s="74"/>
      <c r="AU109" s="74"/>
      <c r="AV109" s="74"/>
      <c r="AW109" s="84"/>
    </row>
    <row r="110" spans="1:49" ht="15.75" hidden="1" x14ac:dyDescent="0.2">
      <c r="A110" s="129" t="s">
        <v>338</v>
      </c>
      <c r="B110" s="68" t="str">
        <f>VLOOKUP($A110,SP_TaxPar_DB[],MATCH(B$2,SP_TaxPar_DB[#Headers],0),FALSE)</f>
        <v>PH1</v>
      </c>
      <c r="C110" s="67" t="str">
        <f>IF(VLOOKUP($A110,SP_TaxPar_DB[],MATCH(C$2,SP_TaxPar_DB[#Headers],0),FALSE)="",0,VLOOKUP($A110,SP_TaxPar_DB[],MATCH(C$2,SP_TaxPar_DB[#Headers],0),FALSE))</f>
        <v>309</v>
      </c>
      <c r="D110" s="67">
        <f>IF(VLOOKUP($A110,SP_TaxPar_DB[],MATCH(D$2,SP_TaxPar_DB[#Headers],0),FALSE)="",0,VLOOKUP($A110,SP_TaxPar_DB[],MATCH(D$2,SP_TaxPar_DB[#Headers],0),FALSE))</f>
        <v>0</v>
      </c>
      <c r="E110" s="69" t="str">
        <f>VLOOKUP($A110,SP_TaxPar_DB[],MATCH(E$2,SP_TaxPar_DB[#Headers],0),FALSE)</f>
        <v>Molly Garza Life Estate</v>
      </c>
      <c r="F110" s="69" t="str">
        <f>VLOOKUP($A110,SP_TaxPar_DB[],MATCH(F$2,SP_TaxPar_DB[#Headers],0),FALSE)</f>
        <v>505 S Sunset</v>
      </c>
      <c r="G110" s="69" t="str">
        <f>VLOOKUP($A110,SP_TaxPar_DB[],MATCH(G$2,SP_TaxPar_DB[#Headers],0),FALSE)</f>
        <v>Wharton</v>
      </c>
      <c r="H110" s="69" t="str">
        <f>VLOOKUP($A110,SP_TaxPar_DB[],MATCH(H$2,SP_TaxPar_DB[#Headers],0),FALSE)</f>
        <v>TX</v>
      </c>
      <c r="I110" s="69" t="str">
        <f>VLOOKUP($A110,SP_TaxPar_DB[],MATCH(I$2,SP_TaxPar_DB[#Headers],0),FALSE)</f>
        <v>77488</v>
      </c>
      <c r="J110" s="69" t="str">
        <f>VLOOKUP($A110,SP_TaxPar_DB[],MATCH(J$2,SP_TaxPar_DB[#Headers],0),FALSE)</f>
        <v>505 Sunset</v>
      </c>
      <c r="K110" s="69" t="str">
        <f>VLOOKUP($A110,SP_TaxPar_DB[],MATCH(K$2,SP_TaxPar_DB[#Headers],0),FALSE)</f>
        <v>Rosemont Odd Block Odd Lot 1B-2, 2C</v>
      </c>
      <c r="L110" s="69">
        <f>VLOOKUP($A110,SP_TaxPar_DB[],MATCH(L$2,SP_TaxPar_DB[#Headers],0),FALSE)</f>
        <v>0.25829999999999997</v>
      </c>
      <c r="M110" s="69" t="str">
        <f>VLOOKUP($A110,SP_TaxPar_DB[],MATCH(M$2,SP_TaxPar_DB[#Headers],0),FALSE)</f>
        <v>Residential</v>
      </c>
      <c r="N110" s="69" t="str">
        <f>VLOOKUP($A110,SP_TaxPar_DB[],MATCH(N$2,SP_TaxPar_DB[#Headers],0),FALSE)</f>
        <v>475 / 883/885</v>
      </c>
      <c r="O110" s="71">
        <f>VLOOKUP($A110,SP_TaxPar_DB[],MATCH(O$2,SP_TaxPar_DB[#Headers],0),FALSE)</f>
        <v>0</v>
      </c>
      <c r="P110" s="72"/>
      <c r="Q110" s="69"/>
      <c r="R110" s="73"/>
      <c r="S110" s="73"/>
      <c r="T110" s="69"/>
      <c r="U110" s="69"/>
      <c r="V110" s="69"/>
      <c r="W110" s="69"/>
      <c r="X110" s="69"/>
      <c r="Y110" s="69"/>
      <c r="Z110" s="69"/>
      <c r="AA110" s="69"/>
      <c r="AB110" s="74"/>
      <c r="AC110" s="73"/>
      <c r="AD110" s="73"/>
      <c r="AE110" s="74"/>
      <c r="AF110" s="68"/>
      <c r="AG110" s="68"/>
      <c r="AH110" s="74"/>
      <c r="AI110" s="68"/>
      <c r="AJ110" s="68"/>
      <c r="AK110" s="68"/>
      <c r="AL110" s="80"/>
      <c r="AM110" s="81"/>
      <c r="AN110" s="74"/>
      <c r="AO110" s="74"/>
      <c r="AP110" s="74"/>
      <c r="AQ110" s="74"/>
      <c r="AR110" s="74"/>
      <c r="AS110" s="74"/>
      <c r="AT110" s="74"/>
      <c r="AU110" s="74"/>
      <c r="AV110" s="74"/>
      <c r="AW110" s="84"/>
    </row>
    <row r="111" spans="1:49" ht="15.75" hidden="1" x14ac:dyDescent="0.2">
      <c r="A111" s="129" t="s">
        <v>343</v>
      </c>
      <c r="B111" s="68" t="str">
        <f>VLOOKUP($A111,SP_TaxPar_DB[],MATCH(B$2,SP_TaxPar_DB[#Headers],0),FALSE)</f>
        <v>PH1</v>
      </c>
      <c r="C111" s="67" t="str">
        <f>IF(VLOOKUP($A111,SP_TaxPar_DB[],MATCH(C$2,SP_TaxPar_DB[#Headers],0),FALSE)="",0,VLOOKUP($A111,SP_TaxPar_DB[],MATCH(C$2,SP_TaxPar_DB[#Headers],0),FALSE))</f>
        <v>427</v>
      </c>
      <c r="D111" s="67">
        <f>IF(VLOOKUP($A111,SP_TaxPar_DB[],MATCH(D$2,SP_TaxPar_DB[#Headers],0),FALSE)="",0,VLOOKUP($A111,SP_TaxPar_DB[],MATCH(D$2,SP_TaxPar_DB[#Headers],0),FALSE))</f>
        <v>0</v>
      </c>
      <c r="E111" s="69" t="str">
        <f>VLOOKUP($A111,SP_TaxPar_DB[],MATCH(E$2,SP_TaxPar_DB[#Headers],0),FALSE)</f>
        <v>Lupe Garza</v>
      </c>
      <c r="F111" s="69" t="str">
        <f>VLOOKUP($A111,SP_TaxPar_DB[],MATCH(F$2,SP_TaxPar_DB[#Headers],0),FALSE)</f>
        <v>PO Box 1205</v>
      </c>
      <c r="G111" s="69" t="str">
        <f>VLOOKUP($A111,SP_TaxPar_DB[],MATCH(G$2,SP_TaxPar_DB[#Headers],0),FALSE)</f>
        <v>Wharton</v>
      </c>
      <c r="H111" s="69" t="str">
        <f>VLOOKUP($A111,SP_TaxPar_DB[],MATCH(H$2,SP_TaxPar_DB[#Headers],0),FALSE)</f>
        <v>TX</v>
      </c>
      <c r="I111" s="69">
        <f>VLOOKUP($A111,SP_TaxPar_DB[],MATCH(I$2,SP_TaxPar_DB[#Headers],0),FALSE)</f>
        <v>0</v>
      </c>
      <c r="J111" s="69" t="str">
        <f>VLOOKUP($A111,SP_TaxPar_DB[],MATCH(J$2,SP_TaxPar_DB[#Headers],0),FALSE)</f>
        <v>427 S. Sunset</v>
      </c>
      <c r="K111" s="69" t="str">
        <f>VLOOKUP($A111,SP_TaxPar_DB[],MATCH(K$2,SP_TaxPar_DB[#Headers],0),FALSE)</f>
        <v>ROSEMONT ODD BLOCK ODD LOT 5 Acres:0.0287</v>
      </c>
      <c r="L111" s="69">
        <f>VLOOKUP($A111,SP_TaxPar_DB[],MATCH(L$2,SP_TaxPar_DB[#Headers],0),FALSE)</f>
        <v>2.87E-2</v>
      </c>
      <c r="M111" s="69">
        <f>VLOOKUP($A111,SP_TaxPar_DB[],MATCH(M$2,SP_TaxPar_DB[#Headers],0),FALSE)</f>
        <v>0</v>
      </c>
      <c r="N111" s="69">
        <f>VLOOKUP($A111,SP_TaxPar_DB[],MATCH(N$2,SP_TaxPar_DB[#Headers],0),FALSE)</f>
        <v>0</v>
      </c>
      <c r="O111" s="71" t="str">
        <f>VLOOKUP($A111,SP_TaxPar_DB[],MATCH(O$2,SP_TaxPar_DB[#Headers],0),FALSE)</f>
        <v>Tax Card list Owner Name as Annie G. Torres</v>
      </c>
      <c r="P111" s="72"/>
      <c r="Q111" s="69"/>
      <c r="R111" s="73"/>
      <c r="S111" s="73"/>
      <c r="T111" s="69"/>
      <c r="U111" s="69"/>
      <c r="V111" s="69"/>
      <c r="W111" s="69"/>
      <c r="X111" s="69"/>
      <c r="Y111" s="69"/>
      <c r="Z111" s="69"/>
      <c r="AA111" s="69"/>
      <c r="AB111" s="74"/>
      <c r="AC111" s="73"/>
      <c r="AD111" s="73"/>
      <c r="AE111" s="74"/>
      <c r="AF111" s="68"/>
      <c r="AG111" s="68"/>
      <c r="AH111" s="74"/>
      <c r="AI111" s="68"/>
      <c r="AJ111" s="68"/>
      <c r="AK111" s="68"/>
      <c r="AL111" s="80"/>
      <c r="AM111" s="81"/>
      <c r="AN111" s="74"/>
      <c r="AO111" s="74"/>
      <c r="AP111" s="74"/>
      <c r="AQ111" s="74"/>
      <c r="AR111" s="74"/>
      <c r="AS111" s="74"/>
      <c r="AT111" s="74"/>
      <c r="AU111" s="74"/>
      <c r="AV111" s="74"/>
      <c r="AW111" s="84"/>
    </row>
    <row r="112" spans="1:49" ht="15.75" hidden="1" x14ac:dyDescent="0.2">
      <c r="A112" s="129" t="s">
        <v>344</v>
      </c>
      <c r="B112" s="68" t="str">
        <f>VLOOKUP($A112,SP_TaxPar_DB[],MATCH(B$2,SP_TaxPar_DB[#Headers],0),FALSE)</f>
        <v>PH1</v>
      </c>
      <c r="C112" s="67" t="str">
        <f>IF(VLOOKUP($A112,SP_TaxPar_DB[],MATCH(C$2,SP_TaxPar_DB[#Headers],0),FALSE)="",0,VLOOKUP($A112,SP_TaxPar_DB[],MATCH(C$2,SP_TaxPar_DB[#Headers],0),FALSE))</f>
        <v>203</v>
      </c>
      <c r="D112" s="67">
        <f>IF(VLOOKUP($A112,SP_TaxPar_DB[],MATCH(D$2,SP_TaxPar_DB[#Headers],0),FALSE)="",0,VLOOKUP($A112,SP_TaxPar_DB[],MATCH(D$2,SP_TaxPar_DB[#Headers],0),FALSE))</f>
        <v>0</v>
      </c>
      <c r="E112" s="69" t="str">
        <f>VLOOKUP($A112,SP_TaxPar_DB[],MATCH(E$2,SP_TaxPar_DB[#Headers],0),FALSE)</f>
        <v>Wharton ISD</v>
      </c>
      <c r="F112" s="69" t="str">
        <f>VLOOKUP($A112,SP_TaxPar_DB[],MATCH(F$2,SP_TaxPar_DB[#Headers],0),FALSE)</f>
        <v>2100 N Fulton</v>
      </c>
      <c r="G112" s="69" t="str">
        <f>VLOOKUP($A112,SP_TaxPar_DB[],MATCH(G$2,SP_TaxPar_DB[#Headers],0),FALSE)</f>
        <v>Wharton</v>
      </c>
      <c r="H112" s="69" t="str">
        <f>VLOOKUP($A112,SP_TaxPar_DB[],MATCH(H$2,SP_TaxPar_DB[#Headers],0),FALSE)</f>
        <v>TX</v>
      </c>
      <c r="I112" s="69" t="str">
        <f>VLOOKUP($A112,SP_TaxPar_DB[],MATCH(I$2,SP_TaxPar_DB[#Headers],0),FALSE)</f>
        <v>77488</v>
      </c>
      <c r="J112" s="69" t="str">
        <f>VLOOKUP($A112,SP_TaxPar_DB[],MATCH(J$2,SP_TaxPar_DB[#Headers],0),FALSE)</f>
        <v>1717 Bailey</v>
      </c>
      <c r="K112" s="69" t="str">
        <f>VLOOKUP($A112,SP_TaxPar_DB[],MATCH(K$2,SP_TaxPar_DB[#Headers],0),FALSE)</f>
        <v>Smith Garden Spot Blk 1 LT 1, 2, 3, 4 - BLK 4 LT 1, PT 2 ABS 34TR 62, 62A</v>
      </c>
      <c r="L112" s="69">
        <f>VLOOKUP($A112,SP_TaxPar_DB[],MATCH(L$2,SP_TaxPar_DB[#Headers],0),FALSE)</f>
        <v>23.0762</v>
      </c>
      <c r="M112" s="69" t="str">
        <f>VLOOKUP($A112,SP_TaxPar_DB[],MATCH(M$2,SP_TaxPar_DB[#Headers],0),FALSE)</f>
        <v>Exempt</v>
      </c>
      <c r="N112" s="69">
        <f>VLOOKUP($A112,SP_TaxPar_DB[],MATCH(N$2,SP_TaxPar_DB[#Headers],0),FALSE)</f>
        <v>0</v>
      </c>
      <c r="O112" s="71">
        <f>VLOOKUP($A112,SP_TaxPar_DB[],MATCH(O$2,SP_TaxPar_DB[#Headers],0),FALSE)</f>
        <v>0</v>
      </c>
      <c r="P112" s="72"/>
      <c r="Q112" s="69"/>
      <c r="R112" s="73"/>
      <c r="S112" s="73"/>
      <c r="T112" s="69"/>
      <c r="U112" s="69"/>
      <c r="V112" s="69"/>
      <c r="W112" s="69"/>
      <c r="X112" s="69"/>
      <c r="Y112" s="69"/>
      <c r="Z112" s="69"/>
      <c r="AA112" s="69"/>
      <c r="AB112" s="74"/>
      <c r="AC112" s="73"/>
      <c r="AD112" s="73"/>
      <c r="AE112" s="74"/>
      <c r="AF112" s="68"/>
      <c r="AG112" s="68"/>
      <c r="AH112" s="74"/>
      <c r="AI112" s="68"/>
      <c r="AJ112" s="68"/>
      <c r="AK112" s="68"/>
      <c r="AL112" s="80"/>
      <c r="AM112" s="81"/>
      <c r="AN112" s="74"/>
      <c r="AO112" s="74"/>
      <c r="AP112" s="74"/>
      <c r="AQ112" s="74"/>
      <c r="AR112" s="74"/>
      <c r="AS112" s="74"/>
      <c r="AT112" s="74"/>
      <c r="AU112" s="74"/>
      <c r="AV112" s="74"/>
      <c r="AW112" s="84"/>
    </row>
    <row r="113" spans="1:49" ht="15.75" hidden="1" x14ac:dyDescent="0.2">
      <c r="A113" s="129" t="s">
        <v>347</v>
      </c>
      <c r="B113" s="68" t="str">
        <f>VLOOKUP($A113,SP_TaxPar_DB[],MATCH(B$2,SP_TaxPar_DB[#Headers],0),FALSE)</f>
        <v>PH1</v>
      </c>
      <c r="C113" s="67" t="str">
        <f>IF(VLOOKUP($A113,SP_TaxPar_DB[],MATCH(C$2,SP_TaxPar_DB[#Headers],0),FALSE)="",0,VLOOKUP($A113,SP_TaxPar_DB[],MATCH(C$2,SP_TaxPar_DB[#Headers],0),FALSE))</f>
        <v>205</v>
      </c>
      <c r="D113" s="67">
        <f>IF(VLOOKUP($A113,SP_TaxPar_DB[],MATCH(D$2,SP_TaxPar_DB[#Headers],0),FALSE)="",0,VLOOKUP($A113,SP_TaxPar_DB[],MATCH(D$2,SP_TaxPar_DB[#Headers],0),FALSE))</f>
        <v>0</v>
      </c>
      <c r="E113" s="69" t="str">
        <f>VLOOKUP($A113,SP_TaxPar_DB[],MATCH(E$2,SP_TaxPar_DB[#Headers],0),FALSE)</f>
        <v>Alma Curtis Life Estate</v>
      </c>
      <c r="F113" s="69" t="str">
        <f>VLOOKUP($A113,SP_TaxPar_DB[],MATCH(F$2,SP_TaxPar_DB[#Headers],0),FALSE)</f>
        <v>1816 Azalea Dr</v>
      </c>
      <c r="G113" s="69" t="str">
        <f>VLOOKUP($A113,SP_TaxPar_DB[],MATCH(G$2,SP_TaxPar_DB[#Headers],0),FALSE)</f>
        <v>Wharton</v>
      </c>
      <c r="H113" s="69" t="str">
        <f>VLOOKUP($A113,SP_TaxPar_DB[],MATCH(H$2,SP_TaxPar_DB[#Headers],0),FALSE)</f>
        <v>TX</v>
      </c>
      <c r="I113" s="69" t="str">
        <f>VLOOKUP($A113,SP_TaxPar_DB[],MATCH(I$2,SP_TaxPar_DB[#Headers],0),FALSE)</f>
        <v>77488</v>
      </c>
      <c r="J113" s="69" t="str">
        <f>VLOOKUP($A113,SP_TaxPar_DB[],MATCH(J$2,SP_TaxPar_DB[#Headers],0),FALSE)</f>
        <v>1816 Azalea Dr</v>
      </c>
      <c r="K113" s="69" t="str">
        <f>VLOOKUP($A113,SP_TaxPar_DB[],MATCH(K$2,SP_TaxPar_DB[#Headers],0),FALSE)</f>
        <v>Smith Garden Spot Block 1 Lot 5</v>
      </c>
      <c r="L113" s="69">
        <f>VLOOKUP($A113,SP_TaxPar_DB[],MATCH(L$2,SP_TaxPar_DB[#Headers],0),FALSE)</f>
        <v>0.13769999999999999</v>
      </c>
      <c r="M113" s="69" t="str">
        <f>VLOOKUP($A113,SP_TaxPar_DB[],MATCH(M$2,SP_TaxPar_DB[#Headers],0),FALSE)</f>
        <v>Residential</v>
      </c>
      <c r="N113" s="69" t="str">
        <f>VLOOKUP($A113,SP_TaxPar_DB[],MATCH(N$2,SP_TaxPar_DB[#Headers],0),FALSE)</f>
        <v>10 / 225</v>
      </c>
      <c r="O113" s="71">
        <f>VLOOKUP($A113,SP_TaxPar_DB[],MATCH(O$2,SP_TaxPar_DB[#Headers],0),FALSE)</f>
        <v>0</v>
      </c>
      <c r="P113" s="72"/>
      <c r="Q113" s="69"/>
      <c r="R113" s="73"/>
      <c r="S113" s="73"/>
      <c r="T113" s="69"/>
      <c r="U113" s="69"/>
      <c r="V113" s="69"/>
      <c r="W113" s="69"/>
      <c r="X113" s="69"/>
      <c r="Y113" s="69"/>
      <c r="Z113" s="69"/>
      <c r="AA113" s="69"/>
      <c r="AB113" s="74"/>
      <c r="AC113" s="73"/>
      <c r="AD113" s="73"/>
      <c r="AE113" s="74"/>
      <c r="AF113" s="68"/>
      <c r="AG113" s="68"/>
      <c r="AH113" s="74"/>
      <c r="AI113" s="68"/>
      <c r="AJ113" s="68"/>
      <c r="AK113" s="68"/>
      <c r="AL113" s="80"/>
      <c r="AM113" s="81"/>
      <c r="AN113" s="74"/>
      <c r="AO113" s="74"/>
      <c r="AP113" s="74"/>
      <c r="AQ113" s="74"/>
      <c r="AR113" s="74"/>
      <c r="AS113" s="74"/>
      <c r="AT113" s="74"/>
      <c r="AU113" s="74"/>
      <c r="AV113" s="74"/>
      <c r="AW113" s="84"/>
    </row>
    <row r="114" spans="1:49" ht="15.75" hidden="1" x14ac:dyDescent="0.2">
      <c r="A114" s="129" t="s">
        <v>2152</v>
      </c>
      <c r="B114" s="68" t="str">
        <f>VLOOKUP($A114,SP_TaxPar_DB[],MATCH(B$2,SP_TaxPar_DB[#Headers],0),FALSE)</f>
        <v>PH1</v>
      </c>
      <c r="C114" s="67" t="str">
        <f>IF(VLOOKUP($A114,SP_TaxPar_DB[],MATCH(C$2,SP_TaxPar_DB[#Headers],0),FALSE)="",0,VLOOKUP($A114,SP_TaxPar_DB[],MATCH(C$2,SP_TaxPar_DB[#Headers],0),FALSE))</f>
        <v>230</v>
      </c>
      <c r="D114" s="67">
        <f>IF(VLOOKUP($A114,SP_TaxPar_DB[],MATCH(D$2,SP_TaxPar_DB[#Headers],0),FALSE)="",0,VLOOKUP($A114,SP_TaxPar_DB[],MATCH(D$2,SP_TaxPar_DB[#Headers],0),FALSE))</f>
        <v>0</v>
      </c>
      <c r="E114" s="69" t="str">
        <f>VLOOKUP($A114,SP_TaxPar_DB[],MATCH(E$2,SP_TaxPar_DB[#Headers],0),FALSE)</f>
        <v>LATHON JOHN L EST % VERNELL BROOKS</v>
      </c>
      <c r="F114" s="69" t="str">
        <f>VLOOKUP($A114,SP_TaxPar_DB[],MATCH(F$2,SP_TaxPar_DB[#Headers],0),FALSE)</f>
        <v>902 EDWARDS LN</v>
      </c>
      <c r="G114" s="69" t="str">
        <f>VLOOKUP($A114,SP_TaxPar_DB[],MATCH(G$2,SP_TaxPar_DB[#Headers],0),FALSE)</f>
        <v>WHARTON</v>
      </c>
      <c r="H114" s="69" t="str">
        <f>VLOOKUP($A114,SP_TaxPar_DB[],MATCH(H$2,SP_TaxPar_DB[#Headers],0),FALSE)</f>
        <v>TX</v>
      </c>
      <c r="I114" s="69" t="str">
        <f>VLOOKUP($A114,SP_TaxPar_DB[],MATCH(I$2,SP_TaxPar_DB[#Headers],0),FALSE)</f>
        <v>77488</v>
      </c>
      <c r="J114" s="69" t="str">
        <f>VLOOKUP($A114,SP_TaxPar_DB[],MATCH(J$2,SP_TaxPar_DB[#Headers],0),FALSE)</f>
        <v>1814 AZALEA DR</v>
      </c>
      <c r="K114" s="69" t="str">
        <f>VLOOKUP($A114,SP_TaxPar_DB[],MATCH(K$2,SP_TaxPar_DB[#Headers],0),FALSE)</f>
        <v>SMITH GARDEN SPOT BLOCK 1 LOT 6 Acres:0.1377</v>
      </c>
      <c r="L114" s="69">
        <f>VLOOKUP($A114,SP_TaxPar_DB[],MATCH(L$2,SP_TaxPar_DB[#Headers],0),FALSE)</f>
        <v>0.13769999999999999</v>
      </c>
      <c r="M114" s="69">
        <f>VLOOKUP($A114,SP_TaxPar_DB[],MATCH(M$2,SP_TaxPar_DB[#Headers],0),FALSE)</f>
        <v>0</v>
      </c>
      <c r="N114" s="69">
        <f>VLOOKUP($A114,SP_TaxPar_DB[],MATCH(N$2,SP_TaxPar_DB[#Headers],0),FALSE)</f>
        <v>0</v>
      </c>
      <c r="O114" s="71">
        <f>VLOOKUP($A114,SP_TaxPar_DB[],MATCH(O$2,SP_TaxPar_DB[#Headers],0),FALSE)</f>
        <v>0</v>
      </c>
      <c r="P114" s="72"/>
      <c r="Q114" s="69"/>
      <c r="R114" s="73"/>
      <c r="S114" s="73"/>
      <c r="T114" s="69"/>
      <c r="U114" s="69"/>
      <c r="V114" s="69"/>
      <c r="W114" s="69"/>
      <c r="X114" s="69"/>
      <c r="Y114" s="69"/>
      <c r="Z114" s="69"/>
      <c r="AA114" s="69"/>
      <c r="AB114" s="74"/>
      <c r="AC114" s="73"/>
      <c r="AD114" s="73"/>
      <c r="AE114" s="74"/>
      <c r="AF114" s="68"/>
      <c r="AG114" s="68"/>
      <c r="AH114" s="74"/>
      <c r="AI114" s="68"/>
      <c r="AJ114" s="68"/>
      <c r="AK114" s="68"/>
      <c r="AL114" s="80"/>
      <c r="AM114" s="81"/>
      <c r="AN114" s="74"/>
      <c r="AO114" s="74"/>
      <c r="AP114" s="74"/>
      <c r="AQ114" s="74"/>
      <c r="AR114" s="74"/>
      <c r="AS114" s="74"/>
      <c r="AT114" s="74"/>
      <c r="AU114" s="74"/>
      <c r="AV114" s="74"/>
      <c r="AW114" s="84"/>
    </row>
    <row r="115" spans="1:49" ht="15.75" x14ac:dyDescent="0.2">
      <c r="A115" s="129" t="s">
        <v>2156</v>
      </c>
      <c r="B115" s="68" t="str">
        <f>VLOOKUP($A115,SP_TaxPar_DB[],MATCH(B$2,SP_TaxPar_DB[#Headers],0),FALSE)</f>
        <v>PH1</v>
      </c>
      <c r="C115" s="67" t="str">
        <f>IF(VLOOKUP($A115,SP_TaxPar_DB[],MATCH(C$2,SP_TaxPar_DB[#Headers],0),FALSE)="",0,VLOOKUP($A115,SP_TaxPar_DB[],MATCH(C$2,SP_TaxPar_DB[#Headers],0),FALSE))</f>
        <v>231</v>
      </c>
      <c r="D115" s="67">
        <f>IF(VLOOKUP($A115,SP_TaxPar_DB[],MATCH(D$2,SP_TaxPar_DB[#Headers],0),FALSE)="",0,VLOOKUP($A115,SP_TaxPar_DB[],MATCH(D$2,SP_TaxPar_DB[#Headers],0),FALSE))</f>
        <v>0</v>
      </c>
      <c r="E115" s="69" t="str">
        <f>VLOOKUP($A115,SP_TaxPar_DB[],MATCH(E$2,SP_TaxPar_DB[#Headers],0),FALSE)</f>
        <v>Wharton City as Trustee % Wharton County Tax Office</v>
      </c>
      <c r="F115" s="69" t="str">
        <f>VLOOKUP($A115,SP_TaxPar_DB[],MATCH(F$2,SP_TaxPar_DB[#Headers],0),FALSE)</f>
        <v>PO Box 189</v>
      </c>
      <c r="G115" s="69" t="str">
        <f>VLOOKUP($A115,SP_TaxPar_DB[],MATCH(G$2,SP_TaxPar_DB[#Headers],0),FALSE)</f>
        <v>WHARTON</v>
      </c>
      <c r="H115" s="69" t="str">
        <f>VLOOKUP($A115,SP_TaxPar_DB[],MATCH(H$2,SP_TaxPar_DB[#Headers],0),FALSE)</f>
        <v>TX</v>
      </c>
      <c r="I115" s="69" t="str">
        <f>VLOOKUP($A115,SP_TaxPar_DB[],MATCH(I$2,SP_TaxPar_DB[#Headers],0),FALSE)</f>
        <v>77488</v>
      </c>
      <c r="J115" s="69" t="str">
        <f>VLOOKUP($A115,SP_TaxPar_DB[],MATCH(J$2,SP_TaxPar_DB[#Headers],0),FALSE)</f>
        <v>1810 AZALEA DR</v>
      </c>
      <c r="K115" s="69" t="str">
        <f>VLOOKUP($A115,SP_TaxPar_DB[],MATCH(K$2,SP_TaxPar_DB[#Headers],0),FALSE)</f>
        <v>SMITH GARDEN SPOT BLOCK 1 LOT 7 Acres:0.1377</v>
      </c>
      <c r="L115" s="69">
        <f>VLOOKUP($A115,SP_TaxPar_DB[],MATCH(L$2,SP_TaxPar_DB[#Headers],0),FALSE)</f>
        <v>0.13769999999999999</v>
      </c>
      <c r="M115" s="69" t="str">
        <f>VLOOKUP($A115,SP_TaxPar_DB[],MATCH(M$2,SP_TaxPar_DB[#Headers],0),FALSE)</f>
        <v>Real Property</v>
      </c>
      <c r="N115" s="69">
        <f>VLOOKUP($A115,SP_TaxPar_DB[],MATCH(N$2,SP_TaxPar_DB[#Headers],0),FALSE)</f>
        <v>0</v>
      </c>
      <c r="O115" s="71">
        <f>VLOOKUP($A115,SP_TaxPar_DB[],MATCH(O$2,SP_TaxPar_DB[#Headers],0),FALSE)</f>
        <v>0</v>
      </c>
      <c r="P115" s="72"/>
      <c r="Q115" s="69"/>
      <c r="R115" s="73"/>
      <c r="S115" s="73"/>
      <c r="T115" s="69"/>
      <c r="U115" s="69"/>
      <c r="V115" s="69"/>
      <c r="W115" s="69"/>
      <c r="X115" s="69"/>
      <c r="Y115" s="69"/>
      <c r="Z115" s="69"/>
      <c r="AA115" s="69"/>
      <c r="AB115" s="74"/>
      <c r="AC115" s="73"/>
      <c r="AD115" s="73"/>
      <c r="AE115" s="74"/>
      <c r="AF115" s="68"/>
      <c r="AG115" s="68"/>
      <c r="AH115" s="74"/>
      <c r="AI115" s="68"/>
      <c r="AJ115" s="68"/>
      <c r="AK115" s="68"/>
      <c r="AL115" s="80"/>
      <c r="AM115" s="81"/>
      <c r="AN115" s="74"/>
      <c r="AO115" s="74"/>
      <c r="AP115" s="74"/>
      <c r="AQ115" s="74"/>
      <c r="AR115" s="74"/>
      <c r="AS115" s="74"/>
      <c r="AT115" s="74"/>
      <c r="AU115" s="74"/>
      <c r="AV115" s="74"/>
      <c r="AW115" s="84"/>
    </row>
    <row r="116" spans="1:49" ht="15.75" hidden="1" x14ac:dyDescent="0.2">
      <c r="A116" s="129" t="s">
        <v>2159</v>
      </c>
      <c r="B116" s="68" t="str">
        <f>VLOOKUP($A116,SP_TaxPar_DB[],MATCH(B$2,SP_TaxPar_DB[#Headers],0),FALSE)</f>
        <v>ENV</v>
      </c>
      <c r="C116" s="67">
        <f>IF(VLOOKUP($A116,SP_TaxPar_DB[],MATCH(C$2,SP_TaxPar_DB[#Headers],0),FALSE)="",0,VLOOKUP($A116,SP_TaxPar_DB[],MATCH(C$2,SP_TaxPar_DB[#Headers],0),FALSE))</f>
        <v>0</v>
      </c>
      <c r="D116" s="67" t="str">
        <f>IF(VLOOKUP($A116,SP_TaxPar_DB[],MATCH(D$2,SP_TaxPar_DB[#Headers],0),FALSE)="",0,VLOOKUP($A116,SP_TaxPar_DB[],MATCH(D$2,SP_TaxPar_DB[#Headers],0),FALSE))</f>
        <v>104</v>
      </c>
      <c r="E116" s="69" t="str">
        <f>VLOOKUP($A116,SP_TaxPar_DB[],MATCH(E$2,SP_TaxPar_DB[#Headers],0),FALSE)</f>
        <v>SANDERS SARAH</v>
      </c>
      <c r="F116" s="69" t="str">
        <f>VLOOKUP($A116,SP_TaxPar_DB[],MATCH(F$2,SP_TaxPar_DB[#Headers],0),FALSE)</f>
        <v>1802 AZALEA DR</v>
      </c>
      <c r="G116" s="69" t="str">
        <f>VLOOKUP($A116,SP_TaxPar_DB[],MATCH(G$2,SP_TaxPar_DB[#Headers],0),FALSE)</f>
        <v>WHARTON</v>
      </c>
      <c r="H116" s="69" t="str">
        <f>VLOOKUP($A116,SP_TaxPar_DB[],MATCH(H$2,SP_TaxPar_DB[#Headers],0),FALSE)</f>
        <v>TX</v>
      </c>
      <c r="I116" s="69" t="str">
        <f>VLOOKUP($A116,SP_TaxPar_DB[],MATCH(I$2,SP_TaxPar_DB[#Headers],0),FALSE)</f>
        <v>77488</v>
      </c>
      <c r="J116" s="69" t="str">
        <f>VLOOKUP($A116,SP_TaxPar_DB[],MATCH(J$2,SP_TaxPar_DB[#Headers],0),FALSE)</f>
        <v>1802 AZALEA DR</v>
      </c>
      <c r="K116" s="69" t="str">
        <f>VLOOKUP($A116,SP_TaxPar_DB[],MATCH(K$2,SP_TaxPar_DB[#Headers],0),FALSE)</f>
        <v>SMITH GARDEN SPOT BLOCK 1 LOT 8,9 Acres:0.2755</v>
      </c>
      <c r="L116" s="69">
        <f>VLOOKUP($A116,SP_TaxPar_DB[],MATCH(L$2,SP_TaxPar_DB[#Headers],0),FALSE)</f>
        <v>0</v>
      </c>
      <c r="M116" s="69">
        <f>VLOOKUP($A116,SP_TaxPar_DB[],MATCH(M$2,SP_TaxPar_DB[#Headers],0),FALSE)</f>
        <v>0</v>
      </c>
      <c r="N116" s="69">
        <f>VLOOKUP($A116,SP_TaxPar_DB[],MATCH(N$2,SP_TaxPar_DB[#Headers],0),FALSE)</f>
        <v>0</v>
      </c>
      <c r="O116" s="71">
        <f>VLOOKUP($A116,SP_TaxPar_DB[],MATCH(O$2,SP_TaxPar_DB[#Headers],0),FALSE)</f>
        <v>0</v>
      </c>
      <c r="P116" s="72"/>
      <c r="Q116" s="69"/>
      <c r="R116" s="73"/>
      <c r="S116" s="73"/>
      <c r="T116" s="69"/>
      <c r="U116" s="69"/>
      <c r="V116" s="69"/>
      <c r="W116" s="69"/>
      <c r="X116" s="69"/>
      <c r="Y116" s="69"/>
      <c r="Z116" s="69"/>
      <c r="AA116" s="69"/>
      <c r="AB116" s="74"/>
      <c r="AC116" s="73"/>
      <c r="AD116" s="73"/>
      <c r="AE116" s="74"/>
      <c r="AF116" s="68"/>
      <c r="AG116" s="68"/>
      <c r="AH116" s="74"/>
      <c r="AI116" s="68"/>
      <c r="AJ116" s="68"/>
      <c r="AK116" s="68"/>
      <c r="AL116" s="80"/>
      <c r="AM116" s="81"/>
      <c r="AN116" s="74"/>
      <c r="AO116" s="74"/>
      <c r="AP116" s="74"/>
      <c r="AQ116" s="74"/>
      <c r="AR116" s="74"/>
      <c r="AS116" s="74"/>
      <c r="AT116" s="74"/>
      <c r="AU116" s="74"/>
      <c r="AV116" s="74"/>
      <c r="AW116" s="84"/>
    </row>
    <row r="117" spans="1:49" ht="15.75" hidden="1" x14ac:dyDescent="0.2">
      <c r="A117" s="129" t="s">
        <v>2163</v>
      </c>
      <c r="B117" s="68" t="str">
        <f>VLOOKUP($A117,SP_TaxPar_DB[],MATCH(B$2,SP_TaxPar_DB[#Headers],0),FALSE)</f>
        <v>ENV</v>
      </c>
      <c r="C117" s="67">
        <f>IF(VLOOKUP($A117,SP_TaxPar_DB[],MATCH(C$2,SP_TaxPar_DB[#Headers],0),FALSE)="",0,VLOOKUP($A117,SP_TaxPar_DB[],MATCH(C$2,SP_TaxPar_DB[#Headers],0),FALSE))</f>
        <v>0</v>
      </c>
      <c r="D117" s="67" t="str">
        <f>IF(VLOOKUP($A117,SP_TaxPar_DB[],MATCH(D$2,SP_TaxPar_DB[#Headers],0),FALSE)="",0,VLOOKUP($A117,SP_TaxPar_DB[],MATCH(D$2,SP_TaxPar_DB[#Headers],0),FALSE))</f>
        <v>105</v>
      </c>
      <c r="E117" s="69" t="str">
        <f>VLOOKUP($A117,SP_TaxPar_DB[],MATCH(E$2,SP_TaxPar_DB[#Headers],0),FALSE)</f>
        <v>HATTON JOHN H III</v>
      </c>
      <c r="F117" s="69" t="str">
        <f>VLOOKUP($A117,SP_TaxPar_DB[],MATCH(F$2,SP_TaxPar_DB[#Headers],0),FALSE)</f>
        <v>PO BOX 841</v>
      </c>
      <c r="G117" s="69" t="str">
        <f>VLOOKUP($A117,SP_TaxPar_DB[],MATCH(G$2,SP_TaxPar_DB[#Headers],0),FALSE)</f>
        <v>WHARTON</v>
      </c>
      <c r="H117" s="69" t="str">
        <f>VLOOKUP($A117,SP_TaxPar_DB[],MATCH(H$2,SP_TaxPar_DB[#Headers],0),FALSE)</f>
        <v>TX</v>
      </c>
      <c r="I117" s="69" t="str">
        <f>VLOOKUP($A117,SP_TaxPar_DB[],MATCH(I$2,SP_TaxPar_DB[#Headers],0),FALSE)</f>
        <v>77488</v>
      </c>
      <c r="J117" s="69" t="str">
        <f>VLOOKUP($A117,SP_TaxPar_DB[],MATCH(J$2,SP_TaxPar_DB[#Headers],0),FALSE)</f>
        <v>0 AZALEA DR</v>
      </c>
      <c r="K117" s="69" t="str">
        <f>VLOOKUP($A117,SP_TaxPar_DB[],MATCH(K$2,SP_TaxPar_DB[#Headers],0),FALSE)</f>
        <v>SMITH GARDEN SPOT BLOCK 1 LOT 10 Acres:0.1377</v>
      </c>
      <c r="L117" s="69">
        <f>VLOOKUP($A117,SP_TaxPar_DB[],MATCH(L$2,SP_TaxPar_DB[#Headers],0),FALSE)</f>
        <v>0</v>
      </c>
      <c r="M117" s="69">
        <f>VLOOKUP($A117,SP_TaxPar_DB[],MATCH(M$2,SP_TaxPar_DB[#Headers],0),FALSE)</f>
        <v>0</v>
      </c>
      <c r="N117" s="69">
        <f>VLOOKUP($A117,SP_TaxPar_DB[],MATCH(N$2,SP_TaxPar_DB[#Headers],0),FALSE)</f>
        <v>0</v>
      </c>
      <c r="O117" s="71">
        <f>VLOOKUP($A117,SP_TaxPar_DB[],MATCH(O$2,SP_TaxPar_DB[#Headers],0),FALSE)</f>
        <v>0</v>
      </c>
      <c r="P117" s="72"/>
      <c r="Q117" s="69"/>
      <c r="R117" s="73"/>
      <c r="S117" s="73"/>
      <c r="T117" s="69"/>
      <c r="U117" s="69"/>
      <c r="V117" s="69"/>
      <c r="W117" s="69"/>
      <c r="X117" s="69"/>
      <c r="Y117" s="69"/>
      <c r="Z117" s="69"/>
      <c r="AA117" s="69"/>
      <c r="AB117" s="74"/>
      <c r="AC117" s="73"/>
      <c r="AD117" s="73"/>
      <c r="AE117" s="74"/>
      <c r="AF117" s="68"/>
      <c r="AG117" s="68"/>
      <c r="AH117" s="74"/>
      <c r="AI117" s="68"/>
      <c r="AJ117" s="68"/>
      <c r="AK117" s="68"/>
      <c r="AL117" s="80"/>
      <c r="AM117" s="81"/>
      <c r="AN117" s="74"/>
      <c r="AO117" s="74"/>
      <c r="AP117" s="74"/>
      <c r="AQ117" s="74"/>
      <c r="AR117" s="74"/>
      <c r="AS117" s="74"/>
      <c r="AT117" s="74"/>
      <c r="AU117" s="74"/>
      <c r="AV117" s="74"/>
      <c r="AW117" s="84"/>
    </row>
    <row r="118" spans="1:49" ht="15.75" hidden="1" x14ac:dyDescent="0.2">
      <c r="A118" s="129" t="s">
        <v>2168</v>
      </c>
      <c r="B118" s="68" t="str">
        <f>VLOOKUP($A118,SP_TaxPar_DB[],MATCH(B$2,SP_TaxPar_DB[#Headers],0),FALSE)</f>
        <v>ENV</v>
      </c>
      <c r="C118" s="67">
        <f>IF(VLOOKUP($A118,SP_TaxPar_DB[],MATCH(C$2,SP_TaxPar_DB[#Headers],0),FALSE)="",0,VLOOKUP($A118,SP_TaxPar_DB[],MATCH(C$2,SP_TaxPar_DB[#Headers],0),FALSE))</f>
        <v>0</v>
      </c>
      <c r="D118" s="67" t="str">
        <f>IF(VLOOKUP($A118,SP_TaxPar_DB[],MATCH(D$2,SP_TaxPar_DB[#Headers],0),FALSE)="",0,VLOOKUP($A118,SP_TaxPar_DB[],MATCH(D$2,SP_TaxPar_DB[#Headers],0),FALSE))</f>
        <v>106</v>
      </c>
      <c r="E118" s="69" t="str">
        <f>VLOOKUP($A118,SP_TaxPar_DB[],MATCH(E$2,SP_TaxPar_DB[#Headers],0),FALSE)</f>
        <v>HATTON SHIRLEY</v>
      </c>
      <c r="F118" s="69" t="str">
        <f>VLOOKUP($A118,SP_TaxPar_DB[],MATCH(F$2,SP_TaxPar_DB[#Headers],0),FALSE)</f>
        <v>PO BOX 841</v>
      </c>
      <c r="G118" s="69" t="str">
        <f>VLOOKUP($A118,SP_TaxPar_DB[],MATCH(G$2,SP_TaxPar_DB[#Headers],0),FALSE)</f>
        <v>WHARTON</v>
      </c>
      <c r="H118" s="69" t="str">
        <f>VLOOKUP($A118,SP_TaxPar_DB[],MATCH(H$2,SP_TaxPar_DB[#Headers],0),FALSE)</f>
        <v>TX</v>
      </c>
      <c r="I118" s="69" t="str">
        <f>VLOOKUP($A118,SP_TaxPar_DB[],MATCH(I$2,SP_TaxPar_DB[#Headers],0),FALSE)</f>
        <v>77488</v>
      </c>
      <c r="J118" s="69" t="str">
        <f>VLOOKUP($A118,SP_TaxPar_DB[],MATCH(J$2,SP_TaxPar_DB[#Headers],0),FALSE)</f>
        <v>0 AZALEA DR</v>
      </c>
      <c r="K118" s="69" t="str">
        <f>VLOOKUP($A118,SP_TaxPar_DB[],MATCH(K$2,SP_TaxPar_DB[#Headers],0),FALSE)</f>
        <v>SMITH GARDEN SPOT BLOCK 1 LOT 11 Acres:0.1377</v>
      </c>
      <c r="L118" s="69">
        <f>VLOOKUP($A118,SP_TaxPar_DB[],MATCH(L$2,SP_TaxPar_DB[#Headers],0),FALSE)</f>
        <v>0</v>
      </c>
      <c r="M118" s="69">
        <f>VLOOKUP($A118,SP_TaxPar_DB[],MATCH(M$2,SP_TaxPar_DB[#Headers],0),FALSE)</f>
        <v>0</v>
      </c>
      <c r="N118" s="69">
        <f>VLOOKUP($A118,SP_TaxPar_DB[],MATCH(N$2,SP_TaxPar_DB[#Headers],0),FALSE)</f>
        <v>0</v>
      </c>
      <c r="O118" s="71">
        <f>VLOOKUP($A118,SP_TaxPar_DB[],MATCH(O$2,SP_TaxPar_DB[#Headers],0),FALSE)</f>
        <v>0</v>
      </c>
      <c r="P118" s="72"/>
      <c r="Q118" s="69"/>
      <c r="R118" s="73"/>
      <c r="S118" s="73"/>
      <c r="T118" s="69"/>
      <c r="U118" s="69"/>
      <c r="V118" s="69"/>
      <c r="W118" s="69"/>
      <c r="X118" s="69"/>
      <c r="Y118" s="69"/>
      <c r="Z118" s="69"/>
      <c r="AA118" s="69"/>
      <c r="AB118" s="74"/>
      <c r="AC118" s="73"/>
      <c r="AD118" s="73"/>
      <c r="AE118" s="74"/>
      <c r="AF118" s="68"/>
      <c r="AG118" s="68"/>
      <c r="AH118" s="74"/>
      <c r="AI118" s="68"/>
      <c r="AJ118" s="68"/>
      <c r="AK118" s="68"/>
      <c r="AL118" s="80"/>
      <c r="AM118" s="81"/>
      <c r="AN118" s="74"/>
      <c r="AO118" s="74"/>
      <c r="AP118" s="74"/>
      <c r="AQ118" s="74"/>
      <c r="AR118" s="74"/>
      <c r="AS118" s="74"/>
      <c r="AT118" s="74"/>
      <c r="AU118" s="74"/>
      <c r="AV118" s="74"/>
      <c r="AW118" s="84"/>
    </row>
    <row r="119" spans="1:49" ht="15.75" hidden="1" x14ac:dyDescent="0.2">
      <c r="A119" s="129" t="s">
        <v>2171</v>
      </c>
      <c r="B119" s="68" t="str">
        <f>VLOOKUP($A119,SP_TaxPar_DB[],MATCH(B$2,SP_TaxPar_DB[#Headers],0),FALSE)</f>
        <v>ENV</v>
      </c>
      <c r="C119" s="67">
        <f>IF(VLOOKUP($A119,SP_TaxPar_DB[],MATCH(C$2,SP_TaxPar_DB[#Headers],0),FALSE)="",0,VLOOKUP($A119,SP_TaxPar_DB[],MATCH(C$2,SP_TaxPar_DB[#Headers],0),FALSE))</f>
        <v>0</v>
      </c>
      <c r="D119" s="67" t="str">
        <f>IF(VLOOKUP($A119,SP_TaxPar_DB[],MATCH(D$2,SP_TaxPar_DB[#Headers],0),FALSE)="",0,VLOOKUP($A119,SP_TaxPar_DB[],MATCH(D$2,SP_TaxPar_DB[#Headers],0),FALSE))</f>
        <v>107</v>
      </c>
      <c r="E119" s="69" t="str">
        <f>VLOOKUP($A119,SP_TaxPar_DB[],MATCH(E$2,SP_TaxPar_DB[#Headers],0),FALSE)</f>
        <v>HATTON SHIRLEY</v>
      </c>
      <c r="F119" s="69" t="str">
        <f>VLOOKUP($A119,SP_TaxPar_DB[],MATCH(F$2,SP_TaxPar_DB[#Headers],0),FALSE)</f>
        <v>PO BOX 841</v>
      </c>
      <c r="G119" s="69" t="str">
        <f>VLOOKUP($A119,SP_TaxPar_DB[],MATCH(G$2,SP_TaxPar_DB[#Headers],0),FALSE)</f>
        <v>WHARTON</v>
      </c>
      <c r="H119" s="69" t="str">
        <f>VLOOKUP($A119,SP_TaxPar_DB[],MATCH(H$2,SP_TaxPar_DB[#Headers],0),FALSE)</f>
        <v>TX</v>
      </c>
      <c r="I119" s="69" t="str">
        <f>VLOOKUP($A119,SP_TaxPar_DB[],MATCH(I$2,SP_TaxPar_DB[#Headers],0),FALSE)</f>
        <v>77488</v>
      </c>
      <c r="J119" s="69" t="str">
        <f>VLOOKUP($A119,SP_TaxPar_DB[],MATCH(J$2,SP_TaxPar_DB[#Headers],0),FALSE)</f>
        <v>1708 AZALEA DR</v>
      </c>
      <c r="K119" s="69" t="str">
        <f>VLOOKUP($A119,SP_TaxPar_DB[],MATCH(K$2,SP_TaxPar_DB[#Headers],0),FALSE)</f>
        <v>SMITH GARDEN SPOT BLOCK 1 LOT 12 Acres:0.1584</v>
      </c>
      <c r="L119" s="69">
        <f>VLOOKUP($A119,SP_TaxPar_DB[],MATCH(L$2,SP_TaxPar_DB[#Headers],0),FALSE)</f>
        <v>0</v>
      </c>
      <c r="M119" s="69">
        <f>VLOOKUP($A119,SP_TaxPar_DB[],MATCH(M$2,SP_TaxPar_DB[#Headers],0),FALSE)</f>
        <v>0</v>
      </c>
      <c r="N119" s="69">
        <f>VLOOKUP($A119,SP_TaxPar_DB[],MATCH(N$2,SP_TaxPar_DB[#Headers],0),FALSE)</f>
        <v>0</v>
      </c>
      <c r="O119" s="71">
        <f>VLOOKUP($A119,SP_TaxPar_DB[],MATCH(O$2,SP_TaxPar_DB[#Headers],0),FALSE)</f>
        <v>0</v>
      </c>
      <c r="P119" s="72"/>
      <c r="Q119" s="69"/>
      <c r="R119" s="73"/>
      <c r="S119" s="73"/>
      <c r="T119" s="69"/>
      <c r="U119" s="69"/>
      <c r="V119" s="69"/>
      <c r="W119" s="69"/>
      <c r="X119" s="69"/>
      <c r="Y119" s="69"/>
      <c r="Z119" s="69"/>
      <c r="AA119" s="69"/>
      <c r="AB119" s="74"/>
      <c r="AC119" s="73"/>
      <c r="AD119" s="73"/>
      <c r="AE119" s="74"/>
      <c r="AF119" s="68"/>
      <c r="AG119" s="68"/>
      <c r="AH119" s="74"/>
      <c r="AI119" s="68"/>
      <c r="AJ119" s="68"/>
      <c r="AK119" s="68"/>
      <c r="AL119" s="80"/>
      <c r="AM119" s="81"/>
      <c r="AN119" s="74"/>
      <c r="AO119" s="74"/>
      <c r="AP119" s="74"/>
      <c r="AQ119" s="74"/>
      <c r="AR119" s="74"/>
      <c r="AS119" s="74"/>
      <c r="AT119" s="74"/>
      <c r="AU119" s="74"/>
      <c r="AV119" s="74"/>
      <c r="AW119" s="84"/>
    </row>
    <row r="120" spans="1:49" ht="15.75" hidden="1" x14ac:dyDescent="0.2">
      <c r="A120" s="129" t="s">
        <v>2174</v>
      </c>
      <c r="B120" s="68" t="str">
        <f>VLOOKUP($A120,SP_TaxPar_DB[],MATCH(B$2,SP_TaxPar_DB[#Headers],0),FALSE)</f>
        <v>ENV</v>
      </c>
      <c r="C120" s="67">
        <f>IF(VLOOKUP($A120,SP_TaxPar_DB[],MATCH(C$2,SP_TaxPar_DB[#Headers],0),FALSE)="",0,VLOOKUP($A120,SP_TaxPar_DB[],MATCH(C$2,SP_TaxPar_DB[#Headers],0),FALSE))</f>
        <v>0</v>
      </c>
      <c r="D120" s="67" t="str">
        <f>IF(VLOOKUP($A120,SP_TaxPar_DB[],MATCH(D$2,SP_TaxPar_DB[#Headers],0),FALSE)="",0,VLOOKUP($A120,SP_TaxPar_DB[],MATCH(D$2,SP_TaxPar_DB[#Headers],0),FALSE))</f>
        <v>108</v>
      </c>
      <c r="E120" s="69" t="str">
        <f>VLOOKUP($A120,SP_TaxPar_DB[],MATCH(E$2,SP_TaxPar_DB[#Headers],0),FALSE)</f>
        <v>ROBERTSON MINNIE</v>
      </c>
      <c r="F120" s="69" t="str">
        <f>VLOOKUP($A120,SP_TaxPar_DB[],MATCH(F$2,SP_TaxPar_DB[#Headers],0),FALSE)</f>
        <v>807 CAVEHILL CT</v>
      </c>
      <c r="G120" s="69" t="str">
        <f>VLOOKUP($A120,SP_TaxPar_DB[],MATCH(G$2,SP_TaxPar_DB[#Headers],0),FALSE)</f>
        <v>HOUSTON</v>
      </c>
      <c r="H120" s="69" t="str">
        <f>VLOOKUP($A120,SP_TaxPar_DB[],MATCH(H$2,SP_TaxPar_DB[#Headers],0),FALSE)</f>
        <v>TX</v>
      </c>
      <c r="I120" s="69" t="str">
        <f>VLOOKUP($A120,SP_TaxPar_DB[],MATCH(I$2,SP_TaxPar_DB[#Headers],0),FALSE)</f>
        <v>77047</v>
      </c>
      <c r="J120" s="69" t="str">
        <f>VLOOKUP($A120,SP_TaxPar_DB[],MATCH(J$2,SP_TaxPar_DB[#Headers],0),FALSE)</f>
        <v>1706 AZALEA DR</v>
      </c>
      <c r="K120" s="69" t="str">
        <f>VLOOKUP($A120,SP_TaxPar_DB[],MATCH(K$2,SP_TaxPar_DB[#Headers],0),FALSE)</f>
        <v>SMITH GARDEN SPOT BLOCK 1 LOT 13,14 Acres:0.4079</v>
      </c>
      <c r="L120" s="69">
        <f>VLOOKUP($A120,SP_TaxPar_DB[],MATCH(L$2,SP_TaxPar_DB[#Headers],0),FALSE)</f>
        <v>0</v>
      </c>
      <c r="M120" s="69">
        <f>VLOOKUP($A120,SP_TaxPar_DB[],MATCH(M$2,SP_TaxPar_DB[#Headers],0),FALSE)</f>
        <v>0</v>
      </c>
      <c r="N120" s="69">
        <f>VLOOKUP($A120,SP_TaxPar_DB[],MATCH(N$2,SP_TaxPar_DB[#Headers],0),FALSE)</f>
        <v>0</v>
      </c>
      <c r="O120" s="71">
        <f>VLOOKUP($A120,SP_TaxPar_DB[],MATCH(O$2,SP_TaxPar_DB[#Headers],0),FALSE)</f>
        <v>0</v>
      </c>
      <c r="P120" s="72"/>
      <c r="Q120" s="69"/>
      <c r="R120" s="73"/>
      <c r="S120" s="73"/>
      <c r="T120" s="69"/>
      <c r="U120" s="69"/>
      <c r="V120" s="69"/>
      <c r="W120" s="69"/>
      <c r="X120" s="69"/>
      <c r="Y120" s="69"/>
      <c r="Z120" s="69"/>
      <c r="AA120" s="69"/>
      <c r="AB120" s="74"/>
      <c r="AC120" s="73"/>
      <c r="AD120" s="73"/>
      <c r="AE120" s="74"/>
      <c r="AF120" s="68"/>
      <c r="AG120" s="68"/>
      <c r="AH120" s="74"/>
      <c r="AI120" s="68"/>
      <c r="AJ120" s="68"/>
      <c r="AK120" s="68"/>
      <c r="AL120" s="80"/>
      <c r="AM120" s="81"/>
      <c r="AN120" s="74"/>
      <c r="AO120" s="74"/>
      <c r="AP120" s="74"/>
      <c r="AQ120" s="74"/>
      <c r="AR120" s="74"/>
      <c r="AS120" s="74"/>
      <c r="AT120" s="74"/>
      <c r="AU120" s="74"/>
      <c r="AV120" s="74"/>
      <c r="AW120" s="84"/>
    </row>
    <row r="121" spans="1:49" ht="15.75" hidden="1" x14ac:dyDescent="0.2">
      <c r="A121" s="129" t="s">
        <v>2180</v>
      </c>
      <c r="B121" s="68" t="str">
        <f>VLOOKUP($A121,SP_TaxPar_DB[],MATCH(B$2,SP_TaxPar_DB[#Headers],0),FALSE)</f>
        <v>ENV</v>
      </c>
      <c r="C121" s="67">
        <f>IF(VLOOKUP($A121,SP_TaxPar_DB[],MATCH(C$2,SP_TaxPar_DB[#Headers],0),FALSE)="",0,VLOOKUP($A121,SP_TaxPar_DB[],MATCH(C$2,SP_TaxPar_DB[#Headers],0),FALSE))</f>
        <v>0</v>
      </c>
      <c r="D121" s="67" t="str">
        <f>IF(VLOOKUP($A121,SP_TaxPar_DB[],MATCH(D$2,SP_TaxPar_DB[#Headers],0),FALSE)="",0,VLOOKUP($A121,SP_TaxPar_DB[],MATCH(D$2,SP_TaxPar_DB[#Headers],0),FALSE))</f>
        <v>109</v>
      </c>
      <c r="E121" s="69" t="str">
        <f>VLOOKUP($A121,SP_TaxPar_DB[],MATCH(E$2,SP_TaxPar_DB[#Headers],0),FALSE)</f>
        <v>EPHRAM-NEAL SHIRLEY</v>
      </c>
      <c r="F121" s="69" t="str">
        <f>VLOOKUP($A121,SP_TaxPar_DB[],MATCH(F$2,SP_TaxPar_DB[#Headers],0),FALSE)</f>
        <v>4901 ALICIA DR</v>
      </c>
      <c r="G121" s="69" t="str">
        <f>VLOOKUP($A121,SP_TaxPar_DB[],MATCH(G$2,SP_TaxPar_DB[#Headers],0),FALSE)</f>
        <v>FORT WORTH</v>
      </c>
      <c r="H121" s="69" t="str">
        <f>VLOOKUP($A121,SP_TaxPar_DB[],MATCH(H$2,SP_TaxPar_DB[#Headers],0),FALSE)</f>
        <v>TX</v>
      </c>
      <c r="I121" s="69" t="str">
        <f>VLOOKUP($A121,SP_TaxPar_DB[],MATCH(I$2,SP_TaxPar_DB[#Headers],0),FALSE)</f>
        <v>76133</v>
      </c>
      <c r="J121" s="69" t="str">
        <f>VLOOKUP($A121,SP_TaxPar_DB[],MATCH(J$2,SP_TaxPar_DB[#Headers],0),FALSE)</f>
        <v>1704 AZALEA DR</v>
      </c>
      <c r="K121" s="69" t="str">
        <f>VLOOKUP($A121,SP_TaxPar_DB[],MATCH(K$2,SP_TaxPar_DB[#Headers],0),FALSE)</f>
        <v>SMITH GARDEN SPOT BLOCK 1 LOT 15,16,17,18 Acres:0.4655</v>
      </c>
      <c r="L121" s="69">
        <f>VLOOKUP($A121,SP_TaxPar_DB[],MATCH(L$2,SP_TaxPar_DB[#Headers],0),FALSE)</f>
        <v>0</v>
      </c>
      <c r="M121" s="69">
        <f>VLOOKUP($A121,SP_TaxPar_DB[],MATCH(M$2,SP_TaxPar_DB[#Headers],0),FALSE)</f>
        <v>0</v>
      </c>
      <c r="N121" s="69">
        <f>VLOOKUP($A121,SP_TaxPar_DB[],MATCH(N$2,SP_TaxPar_DB[#Headers],0),FALSE)</f>
        <v>0</v>
      </c>
      <c r="O121" s="71">
        <f>VLOOKUP($A121,SP_TaxPar_DB[],MATCH(O$2,SP_TaxPar_DB[#Headers],0),FALSE)</f>
        <v>0</v>
      </c>
      <c r="P121" s="72"/>
      <c r="Q121" s="69"/>
      <c r="R121" s="73"/>
      <c r="S121" s="73"/>
      <c r="T121" s="69"/>
      <c r="U121" s="69"/>
      <c r="V121" s="69"/>
      <c r="W121" s="69"/>
      <c r="X121" s="69"/>
      <c r="Y121" s="69"/>
      <c r="Z121" s="69"/>
      <c r="AA121" s="69"/>
      <c r="AB121" s="74"/>
      <c r="AC121" s="73"/>
      <c r="AD121" s="73"/>
      <c r="AE121" s="74"/>
      <c r="AF121" s="68"/>
      <c r="AG121" s="68"/>
      <c r="AH121" s="74"/>
      <c r="AI121" s="68"/>
      <c r="AJ121" s="68"/>
      <c r="AK121" s="68"/>
      <c r="AL121" s="80"/>
      <c r="AM121" s="81"/>
      <c r="AN121" s="74"/>
      <c r="AO121" s="74"/>
      <c r="AP121" s="74"/>
      <c r="AQ121" s="74"/>
      <c r="AR121" s="74"/>
      <c r="AS121" s="74"/>
      <c r="AT121" s="74"/>
      <c r="AU121" s="74"/>
      <c r="AV121" s="74"/>
      <c r="AW121" s="84"/>
    </row>
    <row r="122" spans="1:49" ht="15.75" hidden="1" x14ac:dyDescent="0.2">
      <c r="A122" s="129" t="s">
        <v>2187</v>
      </c>
      <c r="B122" s="68" t="str">
        <f>VLOOKUP($A122,SP_TaxPar_DB[],MATCH(B$2,SP_TaxPar_DB[#Headers],0),FALSE)</f>
        <v>ENV</v>
      </c>
      <c r="C122" s="67">
        <f>IF(VLOOKUP($A122,SP_TaxPar_DB[],MATCH(C$2,SP_TaxPar_DB[#Headers],0),FALSE)="",0,VLOOKUP($A122,SP_TaxPar_DB[],MATCH(C$2,SP_TaxPar_DB[#Headers],0),FALSE))</f>
        <v>0</v>
      </c>
      <c r="D122" s="67" t="str">
        <f>IF(VLOOKUP($A122,SP_TaxPar_DB[],MATCH(D$2,SP_TaxPar_DB[#Headers],0),FALSE)="",0,VLOOKUP($A122,SP_TaxPar_DB[],MATCH(D$2,SP_TaxPar_DB[#Headers],0),FALSE))</f>
        <v>110</v>
      </c>
      <c r="E122" s="69" t="str">
        <f>VLOOKUP($A122,SP_TaxPar_DB[],MATCH(E$2,SP_TaxPar_DB[#Headers],0),FALSE)</f>
        <v>MANGUM MACK JR %MANGUM CURTIS</v>
      </c>
      <c r="F122" s="69" t="str">
        <f>VLOOKUP($A122,SP_TaxPar_DB[],MATCH(F$2,SP_TaxPar_DB[#Headers],0),FALSE)</f>
        <v>18918 SUMMER FARM TRL</v>
      </c>
      <c r="G122" s="69" t="str">
        <f>VLOOKUP($A122,SP_TaxPar_DB[],MATCH(G$2,SP_TaxPar_DB[#Headers],0),FALSE)</f>
        <v>RICHMOND</v>
      </c>
      <c r="H122" s="69" t="str">
        <f>VLOOKUP($A122,SP_TaxPar_DB[],MATCH(H$2,SP_TaxPar_DB[#Headers],0),FALSE)</f>
        <v>TX</v>
      </c>
      <c r="I122" s="69" t="str">
        <f>VLOOKUP($A122,SP_TaxPar_DB[],MATCH(I$2,SP_TaxPar_DB[#Headers],0),FALSE)</f>
        <v>77407</v>
      </c>
      <c r="J122" s="69" t="str">
        <f>VLOOKUP($A122,SP_TaxPar_DB[],MATCH(J$2,SP_TaxPar_DB[#Headers],0),FALSE)</f>
        <v>1511 AZALEA DR</v>
      </c>
      <c r="K122" s="69" t="str">
        <f>VLOOKUP($A122,SP_TaxPar_DB[],MATCH(K$2,SP_TaxPar_DB[#Headers],0),FALSE)</f>
        <v>SMITH GARDEN SPOT BLOCK 2 LOT 2 Acres:0.0992</v>
      </c>
      <c r="L122" s="69">
        <f>VLOOKUP($A122,SP_TaxPar_DB[],MATCH(L$2,SP_TaxPar_DB[#Headers],0),FALSE)</f>
        <v>0</v>
      </c>
      <c r="M122" s="69">
        <f>VLOOKUP($A122,SP_TaxPar_DB[],MATCH(M$2,SP_TaxPar_DB[#Headers],0),FALSE)</f>
        <v>0</v>
      </c>
      <c r="N122" s="69">
        <f>VLOOKUP($A122,SP_TaxPar_DB[],MATCH(N$2,SP_TaxPar_DB[#Headers],0),FALSE)</f>
        <v>0</v>
      </c>
      <c r="O122" s="71">
        <f>VLOOKUP($A122,SP_TaxPar_DB[],MATCH(O$2,SP_TaxPar_DB[#Headers],0),FALSE)</f>
        <v>0</v>
      </c>
      <c r="P122" s="72"/>
      <c r="Q122" s="69"/>
      <c r="R122" s="73"/>
      <c r="S122" s="73"/>
      <c r="T122" s="69"/>
      <c r="U122" s="69"/>
      <c r="V122" s="69"/>
      <c r="W122" s="69"/>
      <c r="X122" s="69"/>
      <c r="Y122" s="69"/>
      <c r="Z122" s="69"/>
      <c r="AA122" s="69"/>
      <c r="AB122" s="74"/>
      <c r="AC122" s="73"/>
      <c r="AD122" s="73"/>
      <c r="AE122" s="74"/>
      <c r="AF122" s="68"/>
      <c r="AG122" s="68"/>
      <c r="AH122" s="74"/>
      <c r="AI122" s="68"/>
      <c r="AJ122" s="68"/>
      <c r="AK122" s="68"/>
      <c r="AL122" s="80"/>
      <c r="AM122" s="81"/>
      <c r="AN122" s="74"/>
      <c r="AO122" s="74"/>
      <c r="AP122" s="74"/>
      <c r="AQ122" s="74"/>
      <c r="AR122" s="74"/>
      <c r="AS122" s="74"/>
      <c r="AT122" s="74"/>
      <c r="AU122" s="74"/>
      <c r="AV122" s="74"/>
      <c r="AW122" s="84"/>
    </row>
    <row r="123" spans="1:49" ht="15.75" hidden="1" x14ac:dyDescent="0.2">
      <c r="A123" s="129" t="s">
        <v>2194</v>
      </c>
      <c r="B123" s="68" t="str">
        <f>VLOOKUP($A123,SP_TaxPar_DB[],MATCH(B$2,SP_TaxPar_DB[#Headers],0),FALSE)</f>
        <v>ENV</v>
      </c>
      <c r="C123" s="67">
        <f>IF(VLOOKUP($A123,SP_TaxPar_DB[],MATCH(C$2,SP_TaxPar_DB[#Headers],0),FALSE)="",0,VLOOKUP($A123,SP_TaxPar_DB[],MATCH(C$2,SP_TaxPar_DB[#Headers],0),FALSE))</f>
        <v>0</v>
      </c>
      <c r="D123" s="67" t="str">
        <f>IF(VLOOKUP($A123,SP_TaxPar_DB[],MATCH(D$2,SP_TaxPar_DB[#Headers],0),FALSE)="",0,VLOOKUP($A123,SP_TaxPar_DB[],MATCH(D$2,SP_TaxPar_DB[#Headers],0),FALSE))</f>
        <v>111</v>
      </c>
      <c r="E123" s="69" t="str">
        <f>VLOOKUP($A123,SP_TaxPar_DB[],MATCH(E$2,SP_TaxPar_DB[#Headers],0),FALSE)</f>
        <v>BROWN DOROTHY MAE %MANGUM CURTIS</v>
      </c>
      <c r="F123" s="69" t="str">
        <f>VLOOKUP($A123,SP_TaxPar_DB[],MATCH(F$2,SP_TaxPar_DB[#Headers],0),FALSE)</f>
        <v>18918 SUMMER FARM TRL</v>
      </c>
      <c r="G123" s="69" t="str">
        <f>VLOOKUP($A123,SP_TaxPar_DB[],MATCH(G$2,SP_TaxPar_DB[#Headers],0),FALSE)</f>
        <v>RICHMOND</v>
      </c>
      <c r="H123" s="69" t="str">
        <f>VLOOKUP($A123,SP_TaxPar_DB[],MATCH(H$2,SP_TaxPar_DB[#Headers],0),FALSE)</f>
        <v>TX</v>
      </c>
      <c r="I123" s="69" t="str">
        <f>VLOOKUP($A123,SP_TaxPar_DB[],MATCH(I$2,SP_TaxPar_DB[#Headers],0),FALSE)</f>
        <v>77407</v>
      </c>
      <c r="J123" s="69" t="str">
        <f>VLOOKUP($A123,SP_TaxPar_DB[],MATCH(J$2,SP_TaxPar_DB[#Headers],0),FALSE)</f>
        <v>0  AZALEA DR</v>
      </c>
      <c r="K123" s="69" t="str">
        <f>VLOOKUP($A123,SP_TaxPar_DB[],MATCH(K$2,SP_TaxPar_DB[#Headers],0),FALSE)</f>
        <v>SMITH GARDEN SPOT BLOCK 2 LOT 3 Acres:0.0926</v>
      </c>
      <c r="L123" s="69">
        <f>VLOOKUP($A123,SP_TaxPar_DB[],MATCH(L$2,SP_TaxPar_DB[#Headers],0),FALSE)</f>
        <v>0</v>
      </c>
      <c r="M123" s="69">
        <f>VLOOKUP($A123,SP_TaxPar_DB[],MATCH(M$2,SP_TaxPar_DB[#Headers],0),FALSE)</f>
        <v>0</v>
      </c>
      <c r="N123" s="69">
        <f>VLOOKUP($A123,SP_TaxPar_DB[],MATCH(N$2,SP_TaxPar_DB[#Headers],0),FALSE)</f>
        <v>0</v>
      </c>
      <c r="O123" s="71">
        <f>VLOOKUP($A123,SP_TaxPar_DB[],MATCH(O$2,SP_TaxPar_DB[#Headers],0),FALSE)</f>
        <v>0</v>
      </c>
      <c r="P123" s="72"/>
      <c r="Q123" s="69"/>
      <c r="R123" s="73"/>
      <c r="S123" s="73"/>
      <c r="T123" s="69"/>
      <c r="U123" s="69"/>
      <c r="V123" s="69"/>
      <c r="W123" s="69"/>
      <c r="X123" s="69"/>
      <c r="Y123" s="69"/>
      <c r="Z123" s="69"/>
      <c r="AA123" s="69"/>
      <c r="AB123" s="74"/>
      <c r="AC123" s="73"/>
      <c r="AD123" s="73"/>
      <c r="AE123" s="74"/>
      <c r="AF123" s="68"/>
      <c r="AG123" s="68"/>
      <c r="AH123" s="74"/>
      <c r="AI123" s="68"/>
      <c r="AJ123" s="68"/>
      <c r="AK123" s="68"/>
      <c r="AL123" s="80"/>
      <c r="AM123" s="81"/>
      <c r="AN123" s="74"/>
      <c r="AO123" s="74"/>
      <c r="AP123" s="74"/>
      <c r="AQ123" s="74"/>
      <c r="AR123" s="74"/>
      <c r="AS123" s="74"/>
      <c r="AT123" s="74"/>
      <c r="AU123" s="74"/>
      <c r="AV123" s="74"/>
      <c r="AW123" s="84"/>
    </row>
    <row r="124" spans="1:49" ht="15.75" hidden="1" x14ac:dyDescent="0.2">
      <c r="A124" s="129" t="s">
        <v>2198</v>
      </c>
      <c r="B124" s="68" t="str">
        <f>VLOOKUP($A124,SP_TaxPar_DB[],MATCH(B$2,SP_TaxPar_DB[#Headers],0),FALSE)</f>
        <v>ENV</v>
      </c>
      <c r="C124" s="67">
        <f>IF(VLOOKUP($A124,SP_TaxPar_DB[],MATCH(C$2,SP_TaxPar_DB[#Headers],0),FALSE)="",0,VLOOKUP($A124,SP_TaxPar_DB[],MATCH(C$2,SP_TaxPar_DB[#Headers],0),FALSE))</f>
        <v>0</v>
      </c>
      <c r="D124" s="67" t="str">
        <f>IF(VLOOKUP($A124,SP_TaxPar_DB[],MATCH(D$2,SP_TaxPar_DB[#Headers],0),FALSE)="",0,VLOOKUP($A124,SP_TaxPar_DB[],MATCH(D$2,SP_TaxPar_DB[#Headers],0),FALSE))</f>
        <v>112</v>
      </c>
      <c r="E124" s="69" t="str">
        <f>VLOOKUP($A124,SP_TaxPar_DB[],MATCH(E$2,SP_TaxPar_DB[#Headers],0),FALSE)</f>
        <v>HAYNES WILLIE JR EST</v>
      </c>
      <c r="F124" s="69" t="str">
        <f>VLOOKUP($A124,SP_TaxPar_DB[],MATCH(F$2,SP_TaxPar_DB[#Headers],0),FALSE)</f>
        <v>1523 AZALEA DR</v>
      </c>
      <c r="G124" s="69" t="str">
        <f>VLOOKUP($A124,SP_TaxPar_DB[],MATCH(G$2,SP_TaxPar_DB[#Headers],0),FALSE)</f>
        <v>WHARTON</v>
      </c>
      <c r="H124" s="69" t="str">
        <f>VLOOKUP($A124,SP_TaxPar_DB[],MATCH(H$2,SP_TaxPar_DB[#Headers],0),FALSE)</f>
        <v>TX</v>
      </c>
      <c r="I124" s="69" t="str">
        <f>VLOOKUP($A124,SP_TaxPar_DB[],MATCH(I$2,SP_TaxPar_DB[#Headers],0),FALSE)</f>
        <v>77488</v>
      </c>
      <c r="J124" s="69" t="str">
        <f>VLOOKUP($A124,SP_TaxPar_DB[],MATCH(J$2,SP_TaxPar_DB[#Headers],0),FALSE)</f>
        <v>1523 AZALEA DR</v>
      </c>
      <c r="K124" s="69" t="str">
        <f>VLOOKUP($A124,SP_TaxPar_DB[],MATCH(K$2,SP_TaxPar_DB[#Headers],0),FALSE)</f>
        <v>SMITH GARDEN SPOT BLOCK 2 LOT 4,5 Acres:0.1853</v>
      </c>
      <c r="L124" s="69">
        <f>VLOOKUP($A124,SP_TaxPar_DB[],MATCH(L$2,SP_TaxPar_DB[#Headers],0),FALSE)</f>
        <v>0</v>
      </c>
      <c r="M124" s="69">
        <f>VLOOKUP($A124,SP_TaxPar_DB[],MATCH(M$2,SP_TaxPar_DB[#Headers],0),FALSE)</f>
        <v>0</v>
      </c>
      <c r="N124" s="69">
        <f>VLOOKUP($A124,SP_TaxPar_DB[],MATCH(N$2,SP_TaxPar_DB[#Headers],0),FALSE)</f>
        <v>0</v>
      </c>
      <c r="O124" s="71">
        <f>VLOOKUP($A124,SP_TaxPar_DB[],MATCH(O$2,SP_TaxPar_DB[#Headers],0),FALSE)</f>
        <v>0</v>
      </c>
      <c r="P124" s="72"/>
      <c r="Q124" s="69"/>
      <c r="R124" s="73"/>
      <c r="S124" s="73"/>
      <c r="T124" s="69"/>
      <c r="U124" s="69"/>
      <c r="V124" s="69"/>
      <c r="W124" s="69"/>
      <c r="X124" s="69"/>
      <c r="Y124" s="69"/>
      <c r="Z124" s="69"/>
      <c r="AA124" s="69"/>
      <c r="AB124" s="74"/>
      <c r="AC124" s="73"/>
      <c r="AD124" s="73"/>
      <c r="AE124" s="74"/>
      <c r="AF124" s="68"/>
      <c r="AG124" s="68"/>
      <c r="AH124" s="74"/>
      <c r="AI124" s="68"/>
      <c r="AJ124" s="68"/>
      <c r="AK124" s="68"/>
      <c r="AL124" s="80"/>
      <c r="AM124" s="81"/>
      <c r="AN124" s="74"/>
      <c r="AO124" s="74"/>
      <c r="AP124" s="74"/>
      <c r="AQ124" s="74"/>
      <c r="AR124" s="74"/>
      <c r="AS124" s="74"/>
      <c r="AT124" s="74"/>
      <c r="AU124" s="74"/>
      <c r="AV124" s="74"/>
      <c r="AW124" s="84"/>
    </row>
    <row r="125" spans="1:49" ht="15.75" hidden="1" x14ac:dyDescent="0.2">
      <c r="A125" s="129" t="s">
        <v>2202</v>
      </c>
      <c r="B125" s="68" t="str">
        <f>VLOOKUP($A125,SP_TaxPar_DB[],MATCH(B$2,SP_TaxPar_DB[#Headers],0),FALSE)</f>
        <v>ENV</v>
      </c>
      <c r="C125" s="67">
        <f>IF(VLOOKUP($A125,SP_TaxPar_DB[],MATCH(C$2,SP_TaxPar_DB[#Headers],0),FALSE)="",0,VLOOKUP($A125,SP_TaxPar_DB[],MATCH(C$2,SP_TaxPar_DB[#Headers],0),FALSE))</f>
        <v>0</v>
      </c>
      <c r="D125" s="67" t="str">
        <f>IF(VLOOKUP($A125,SP_TaxPar_DB[],MATCH(D$2,SP_TaxPar_DB[#Headers],0),FALSE)="",0,VLOOKUP($A125,SP_TaxPar_DB[],MATCH(D$2,SP_TaxPar_DB[#Headers],0),FALSE))</f>
        <v>113</v>
      </c>
      <c r="E125" s="69" t="str">
        <f>VLOOKUP($A125,SP_TaxPar_DB[],MATCH(E$2,SP_TaxPar_DB[#Headers],0),FALSE)</f>
        <v>LEE NAOMI</v>
      </c>
      <c r="F125" s="69" t="str">
        <f>VLOOKUP($A125,SP_TaxPar_DB[],MATCH(F$2,SP_TaxPar_DB[#Headers],0),FALSE)</f>
        <v>PO BOX 371</v>
      </c>
      <c r="G125" s="69" t="str">
        <f>VLOOKUP($A125,SP_TaxPar_DB[],MATCH(G$2,SP_TaxPar_DB[#Headers],0),FALSE)</f>
        <v>WHARTON</v>
      </c>
      <c r="H125" s="69" t="str">
        <f>VLOOKUP($A125,SP_TaxPar_DB[],MATCH(H$2,SP_TaxPar_DB[#Headers],0),FALSE)</f>
        <v>TX</v>
      </c>
      <c r="I125" s="69" t="str">
        <f>VLOOKUP($A125,SP_TaxPar_DB[],MATCH(I$2,SP_TaxPar_DB[#Headers],0),FALSE)</f>
        <v>77488</v>
      </c>
      <c r="J125" s="69" t="str">
        <f>VLOOKUP($A125,SP_TaxPar_DB[],MATCH(J$2,SP_TaxPar_DB[#Headers],0),FALSE)</f>
        <v>1617 AZALEA DR</v>
      </c>
      <c r="K125" s="69" t="str">
        <f>VLOOKUP($A125,SP_TaxPar_DB[],MATCH(K$2,SP_TaxPar_DB[#Headers],0),FALSE)</f>
        <v>SMITH GARDEN SPOT BLOCK 2 LOT 6,7 Acres:0.1865</v>
      </c>
      <c r="L125" s="69">
        <f>VLOOKUP($A125,SP_TaxPar_DB[],MATCH(L$2,SP_TaxPar_DB[#Headers],0),FALSE)</f>
        <v>0</v>
      </c>
      <c r="M125" s="69">
        <f>VLOOKUP($A125,SP_TaxPar_DB[],MATCH(M$2,SP_TaxPar_DB[#Headers],0),FALSE)</f>
        <v>0</v>
      </c>
      <c r="N125" s="69">
        <f>VLOOKUP($A125,SP_TaxPar_DB[],MATCH(N$2,SP_TaxPar_DB[#Headers],0),FALSE)</f>
        <v>0</v>
      </c>
      <c r="O125" s="71">
        <f>VLOOKUP($A125,SP_TaxPar_DB[],MATCH(O$2,SP_TaxPar_DB[#Headers],0),FALSE)</f>
        <v>0</v>
      </c>
      <c r="P125" s="72"/>
      <c r="Q125" s="69"/>
      <c r="R125" s="73"/>
      <c r="S125" s="73"/>
      <c r="T125" s="69"/>
      <c r="U125" s="69"/>
      <c r="V125" s="69"/>
      <c r="W125" s="69"/>
      <c r="X125" s="69"/>
      <c r="Y125" s="69"/>
      <c r="Z125" s="69"/>
      <c r="AA125" s="69"/>
      <c r="AB125" s="74"/>
      <c r="AC125" s="73"/>
      <c r="AD125" s="73"/>
      <c r="AE125" s="74"/>
      <c r="AF125" s="68"/>
      <c r="AG125" s="68"/>
      <c r="AH125" s="74"/>
      <c r="AI125" s="68"/>
      <c r="AJ125" s="68"/>
      <c r="AK125" s="68"/>
      <c r="AL125" s="80"/>
      <c r="AM125" s="81"/>
      <c r="AN125" s="74"/>
      <c r="AO125" s="74"/>
      <c r="AP125" s="74"/>
      <c r="AQ125" s="74"/>
      <c r="AR125" s="74"/>
      <c r="AS125" s="74"/>
      <c r="AT125" s="74"/>
      <c r="AU125" s="74"/>
      <c r="AV125" s="74"/>
      <c r="AW125" s="84"/>
    </row>
    <row r="126" spans="1:49" ht="15.75" hidden="1" x14ac:dyDescent="0.2">
      <c r="A126" s="129" t="s">
        <v>2207</v>
      </c>
      <c r="B126" s="68" t="str">
        <f>VLOOKUP($A126,SP_TaxPar_DB[],MATCH(B$2,SP_TaxPar_DB[#Headers],0),FALSE)</f>
        <v>ENV</v>
      </c>
      <c r="C126" s="67">
        <f>IF(VLOOKUP($A126,SP_TaxPar_DB[],MATCH(C$2,SP_TaxPar_DB[#Headers],0),FALSE)="",0,VLOOKUP($A126,SP_TaxPar_DB[],MATCH(C$2,SP_TaxPar_DB[#Headers],0),FALSE))</f>
        <v>0</v>
      </c>
      <c r="D126" s="67" t="str">
        <f>IF(VLOOKUP($A126,SP_TaxPar_DB[],MATCH(D$2,SP_TaxPar_DB[#Headers],0),FALSE)="",0,VLOOKUP($A126,SP_TaxPar_DB[],MATCH(D$2,SP_TaxPar_DB[#Headers],0),FALSE))</f>
        <v>114</v>
      </c>
      <c r="E126" s="69" t="str">
        <f>VLOOKUP($A126,SP_TaxPar_DB[],MATCH(E$2,SP_TaxPar_DB[#Headers],0),FALSE)</f>
        <v>HUNT MATTIE M LEE %LEE MICHAEL</v>
      </c>
      <c r="F126" s="69" t="str">
        <f>VLOOKUP($A126,SP_TaxPar_DB[],MATCH(F$2,SP_TaxPar_DB[#Headers],0),FALSE)</f>
        <v>8907 PECAN PL</v>
      </c>
      <c r="G126" s="69" t="str">
        <f>VLOOKUP($A126,SP_TaxPar_DB[],MATCH(G$2,SP_TaxPar_DB[#Headers],0),FALSE)</f>
        <v>HOUSTON</v>
      </c>
      <c r="H126" s="69" t="str">
        <f>VLOOKUP($A126,SP_TaxPar_DB[],MATCH(H$2,SP_TaxPar_DB[#Headers],0),FALSE)</f>
        <v>TX</v>
      </c>
      <c r="I126" s="69" t="str">
        <f>VLOOKUP($A126,SP_TaxPar_DB[],MATCH(I$2,SP_TaxPar_DB[#Headers],0),FALSE)</f>
        <v>77071</v>
      </c>
      <c r="J126" s="69" t="str">
        <f>VLOOKUP($A126,SP_TaxPar_DB[],MATCH(J$2,SP_TaxPar_DB[#Headers],0),FALSE)</f>
        <v>1619 AZALEA DR</v>
      </c>
      <c r="K126" s="69" t="str">
        <f>VLOOKUP($A126,SP_TaxPar_DB[],MATCH(K$2,SP_TaxPar_DB[#Headers],0),FALSE)</f>
        <v>SMITH GARDEN SPOT BLOCK 2 LOT 8,9 Acres:0.2423</v>
      </c>
      <c r="L126" s="69">
        <f>VLOOKUP($A126,SP_TaxPar_DB[],MATCH(L$2,SP_TaxPar_DB[#Headers],0),FALSE)</f>
        <v>0</v>
      </c>
      <c r="M126" s="69">
        <f>VLOOKUP($A126,SP_TaxPar_DB[],MATCH(M$2,SP_TaxPar_DB[#Headers],0),FALSE)</f>
        <v>0</v>
      </c>
      <c r="N126" s="69">
        <f>VLOOKUP($A126,SP_TaxPar_DB[],MATCH(N$2,SP_TaxPar_DB[#Headers],0),FALSE)</f>
        <v>0</v>
      </c>
      <c r="O126" s="71">
        <f>VLOOKUP($A126,SP_TaxPar_DB[],MATCH(O$2,SP_TaxPar_DB[#Headers],0),FALSE)</f>
        <v>0</v>
      </c>
      <c r="P126" s="72"/>
      <c r="Q126" s="69"/>
      <c r="R126" s="73"/>
      <c r="S126" s="73"/>
      <c r="T126" s="69"/>
      <c r="U126" s="69"/>
      <c r="V126" s="69"/>
      <c r="W126" s="69"/>
      <c r="X126" s="69"/>
      <c r="Y126" s="69"/>
      <c r="Z126" s="69"/>
      <c r="AA126" s="69"/>
      <c r="AB126" s="74"/>
      <c r="AC126" s="73"/>
      <c r="AD126" s="73"/>
      <c r="AE126" s="74"/>
      <c r="AF126" s="68"/>
      <c r="AG126" s="68"/>
      <c r="AH126" s="74"/>
      <c r="AI126" s="68"/>
      <c r="AJ126" s="68"/>
      <c r="AK126" s="68"/>
      <c r="AL126" s="80"/>
      <c r="AM126" s="81"/>
      <c r="AN126" s="74"/>
      <c r="AO126" s="74"/>
      <c r="AP126" s="74"/>
      <c r="AQ126" s="74"/>
      <c r="AR126" s="74"/>
      <c r="AS126" s="74"/>
      <c r="AT126" s="74"/>
      <c r="AU126" s="74"/>
      <c r="AV126" s="74"/>
      <c r="AW126" s="84"/>
    </row>
    <row r="127" spans="1:49" ht="15.75" hidden="1" x14ac:dyDescent="0.2">
      <c r="A127" s="129" t="s">
        <v>2213</v>
      </c>
      <c r="B127" s="68" t="str">
        <f>VLOOKUP($A127,SP_TaxPar_DB[],MATCH(B$2,SP_TaxPar_DB[#Headers],0),FALSE)</f>
        <v>ENV</v>
      </c>
      <c r="C127" s="67">
        <f>IF(VLOOKUP($A127,SP_TaxPar_DB[],MATCH(C$2,SP_TaxPar_DB[#Headers],0),FALSE)="",0,VLOOKUP($A127,SP_TaxPar_DB[],MATCH(C$2,SP_TaxPar_DB[#Headers],0),FALSE))</f>
        <v>0</v>
      </c>
      <c r="D127" s="67" t="str">
        <f>IF(VLOOKUP($A127,SP_TaxPar_DB[],MATCH(D$2,SP_TaxPar_DB[#Headers],0),FALSE)="",0,VLOOKUP($A127,SP_TaxPar_DB[],MATCH(D$2,SP_TaxPar_DB[#Headers],0),FALSE))</f>
        <v>115</v>
      </c>
      <c r="E127" s="69" t="str">
        <f>VLOOKUP($A127,SP_TaxPar_DB[],MATCH(E$2,SP_TaxPar_DB[#Headers],0),FALSE)</f>
        <v>FARR BRIONNA</v>
      </c>
      <c r="F127" s="69" t="str">
        <f>VLOOKUP($A127,SP_TaxPar_DB[],MATCH(F$2,SP_TaxPar_DB[#Headers],0),FALSE)</f>
        <v>306 S EAST AVE</v>
      </c>
      <c r="G127" s="69" t="str">
        <f>VLOOKUP($A127,SP_TaxPar_DB[],MATCH(G$2,SP_TaxPar_DB[#Headers],0),FALSE)</f>
        <v>WHARTON</v>
      </c>
      <c r="H127" s="69" t="str">
        <f>VLOOKUP($A127,SP_TaxPar_DB[],MATCH(H$2,SP_TaxPar_DB[#Headers],0),FALSE)</f>
        <v>TX</v>
      </c>
      <c r="I127" s="69" t="str">
        <f>VLOOKUP($A127,SP_TaxPar_DB[],MATCH(I$2,SP_TaxPar_DB[#Headers],0),FALSE)</f>
        <v>77488</v>
      </c>
      <c r="J127" s="69" t="str">
        <f>VLOOKUP($A127,SP_TaxPar_DB[],MATCH(J$2,SP_TaxPar_DB[#Headers],0),FALSE)</f>
        <v>1703 AZALEA DR</v>
      </c>
      <c r="K127" s="69" t="str">
        <f>VLOOKUP($A127,SP_TaxPar_DB[],MATCH(K$2,SP_TaxPar_DB[#Headers],0),FALSE)</f>
        <v>SMITH GARDEN SPOT BLOCK 2 LOT 10 Acres:0.1194</v>
      </c>
      <c r="L127" s="69">
        <f>VLOOKUP($A127,SP_TaxPar_DB[],MATCH(L$2,SP_TaxPar_DB[#Headers],0),FALSE)</f>
        <v>0</v>
      </c>
      <c r="M127" s="69">
        <f>VLOOKUP($A127,SP_TaxPar_DB[],MATCH(M$2,SP_TaxPar_DB[#Headers],0),FALSE)</f>
        <v>0</v>
      </c>
      <c r="N127" s="69">
        <f>VLOOKUP($A127,SP_TaxPar_DB[],MATCH(N$2,SP_TaxPar_DB[#Headers],0),FALSE)</f>
        <v>0</v>
      </c>
      <c r="O127" s="71">
        <f>VLOOKUP($A127,SP_TaxPar_DB[],MATCH(O$2,SP_TaxPar_DB[#Headers],0),FALSE)</f>
        <v>0</v>
      </c>
      <c r="P127" s="72"/>
      <c r="Q127" s="69"/>
      <c r="R127" s="73"/>
      <c r="S127" s="73"/>
      <c r="T127" s="69"/>
      <c r="U127" s="69"/>
      <c r="V127" s="69"/>
      <c r="W127" s="69"/>
      <c r="X127" s="69"/>
      <c r="Y127" s="69"/>
      <c r="Z127" s="69"/>
      <c r="AA127" s="69"/>
      <c r="AB127" s="74"/>
      <c r="AC127" s="73"/>
      <c r="AD127" s="73"/>
      <c r="AE127" s="74"/>
      <c r="AF127" s="68"/>
      <c r="AG127" s="68"/>
      <c r="AH127" s="74"/>
      <c r="AI127" s="68"/>
      <c r="AJ127" s="68"/>
      <c r="AK127" s="68"/>
      <c r="AL127" s="80"/>
      <c r="AM127" s="81"/>
      <c r="AN127" s="74"/>
      <c r="AO127" s="74"/>
      <c r="AP127" s="74"/>
      <c r="AQ127" s="74"/>
      <c r="AR127" s="74"/>
      <c r="AS127" s="74"/>
      <c r="AT127" s="74"/>
      <c r="AU127" s="74"/>
      <c r="AV127" s="74"/>
      <c r="AW127" s="84"/>
    </row>
    <row r="128" spans="1:49" ht="15.75" hidden="1" x14ac:dyDescent="0.2">
      <c r="A128" s="129" t="s">
        <v>2218</v>
      </c>
      <c r="B128" s="68" t="str">
        <f>VLOOKUP($A128,SP_TaxPar_DB[],MATCH(B$2,SP_TaxPar_DB[#Headers],0),FALSE)</f>
        <v>ENV</v>
      </c>
      <c r="C128" s="67">
        <f>IF(VLOOKUP($A128,SP_TaxPar_DB[],MATCH(C$2,SP_TaxPar_DB[#Headers],0),FALSE)="",0,VLOOKUP($A128,SP_TaxPar_DB[],MATCH(C$2,SP_TaxPar_DB[#Headers],0),FALSE))</f>
        <v>0</v>
      </c>
      <c r="D128" s="67" t="str">
        <f>IF(VLOOKUP($A128,SP_TaxPar_DB[],MATCH(D$2,SP_TaxPar_DB[#Headers],0),FALSE)="",0,VLOOKUP($A128,SP_TaxPar_DB[],MATCH(D$2,SP_TaxPar_DB[#Headers],0),FALSE))</f>
        <v>116</v>
      </c>
      <c r="E128" s="69" t="str">
        <f>VLOOKUP($A128,SP_TaxPar_DB[],MATCH(E$2,SP_TaxPar_DB[#Headers],0),FALSE)</f>
        <v>LOPEZ ELISIA</v>
      </c>
      <c r="F128" s="69" t="str">
        <f>VLOOKUP($A128,SP_TaxPar_DB[],MATCH(F$2,SP_TaxPar_DB[#Headers],0),FALSE)</f>
        <v>1201 AVE H</v>
      </c>
      <c r="G128" s="69" t="str">
        <f>VLOOKUP($A128,SP_TaxPar_DB[],MATCH(G$2,SP_TaxPar_DB[#Headers],0),FALSE)</f>
        <v>BAY CITY</v>
      </c>
      <c r="H128" s="69" t="str">
        <f>VLOOKUP($A128,SP_TaxPar_DB[],MATCH(H$2,SP_TaxPar_DB[#Headers],0),FALSE)</f>
        <v>TX</v>
      </c>
      <c r="I128" s="69" t="str">
        <f>VLOOKUP($A128,SP_TaxPar_DB[],MATCH(I$2,SP_TaxPar_DB[#Headers],0),FALSE)</f>
        <v>77414</v>
      </c>
      <c r="J128" s="69" t="str">
        <f>VLOOKUP($A128,SP_TaxPar_DB[],MATCH(J$2,SP_TaxPar_DB[#Headers],0),FALSE)</f>
        <v>1703 AZALEA DR</v>
      </c>
      <c r="K128" s="69" t="str">
        <f>VLOOKUP($A128,SP_TaxPar_DB[],MATCH(K$2,SP_TaxPar_DB[#Headers],0),FALSE)</f>
        <v>SMITH GARDEN SPOT BLOCK 2 LOT 11 Acres:0.0834</v>
      </c>
      <c r="L128" s="69">
        <f>VLOOKUP($A128,SP_TaxPar_DB[],MATCH(L$2,SP_TaxPar_DB[#Headers],0),FALSE)</f>
        <v>0</v>
      </c>
      <c r="M128" s="69">
        <f>VLOOKUP($A128,SP_TaxPar_DB[],MATCH(M$2,SP_TaxPar_DB[#Headers],0),FALSE)</f>
        <v>0</v>
      </c>
      <c r="N128" s="69">
        <f>VLOOKUP($A128,SP_TaxPar_DB[],MATCH(N$2,SP_TaxPar_DB[#Headers],0),FALSE)</f>
        <v>0</v>
      </c>
      <c r="O128" s="71">
        <f>VLOOKUP($A128,SP_TaxPar_DB[],MATCH(O$2,SP_TaxPar_DB[#Headers],0),FALSE)</f>
        <v>0</v>
      </c>
      <c r="P128" s="72"/>
      <c r="Q128" s="69"/>
      <c r="R128" s="73"/>
      <c r="S128" s="73"/>
      <c r="T128" s="69"/>
      <c r="U128" s="69"/>
      <c r="V128" s="69"/>
      <c r="W128" s="69"/>
      <c r="X128" s="69"/>
      <c r="Y128" s="69"/>
      <c r="Z128" s="69"/>
      <c r="AA128" s="69"/>
      <c r="AB128" s="74"/>
      <c r="AC128" s="73"/>
      <c r="AD128" s="73"/>
      <c r="AE128" s="74"/>
      <c r="AF128" s="68"/>
      <c r="AG128" s="68"/>
      <c r="AH128" s="74"/>
      <c r="AI128" s="68"/>
      <c r="AJ128" s="68"/>
      <c r="AK128" s="68"/>
      <c r="AL128" s="80"/>
      <c r="AM128" s="81"/>
      <c r="AN128" s="74"/>
      <c r="AO128" s="74"/>
      <c r="AP128" s="74"/>
      <c r="AQ128" s="74"/>
      <c r="AR128" s="74"/>
      <c r="AS128" s="74"/>
      <c r="AT128" s="74"/>
      <c r="AU128" s="74"/>
      <c r="AV128" s="74"/>
      <c r="AW128" s="84"/>
    </row>
    <row r="129" spans="1:49" ht="15.75" hidden="1" x14ac:dyDescent="0.2">
      <c r="A129" s="129" t="s">
        <v>2224</v>
      </c>
      <c r="B129" s="68" t="str">
        <f>VLOOKUP($A129,SP_TaxPar_DB[],MATCH(B$2,SP_TaxPar_DB[#Headers],0),FALSE)</f>
        <v>ENV</v>
      </c>
      <c r="C129" s="67">
        <f>IF(VLOOKUP($A129,SP_TaxPar_DB[],MATCH(C$2,SP_TaxPar_DB[#Headers],0),FALSE)="",0,VLOOKUP($A129,SP_TaxPar_DB[],MATCH(C$2,SP_TaxPar_DB[#Headers],0),FALSE))</f>
        <v>0</v>
      </c>
      <c r="D129" s="67" t="str">
        <f>IF(VLOOKUP($A129,SP_TaxPar_DB[],MATCH(D$2,SP_TaxPar_DB[#Headers],0),FALSE)="",0,VLOOKUP($A129,SP_TaxPar_DB[],MATCH(D$2,SP_TaxPar_DB[#Headers],0),FALSE))</f>
        <v>117</v>
      </c>
      <c r="E129" s="69" t="str">
        <f>VLOOKUP($A129,SP_TaxPar_DB[],MATCH(E$2,SP_TaxPar_DB[#Headers],0),FALSE)</f>
        <v>CLARK BARBARA JEAN</v>
      </c>
      <c r="F129" s="69" t="str">
        <f>VLOOKUP($A129,SP_TaxPar_DB[],MATCH(F$2,SP_TaxPar_DB[#Headers],0),FALSE)</f>
        <v>615 E ELM</v>
      </c>
      <c r="G129" s="69" t="str">
        <f>VLOOKUP($A129,SP_TaxPar_DB[],MATCH(G$2,SP_TaxPar_DB[#Headers],0),FALSE)</f>
        <v>WHARTON</v>
      </c>
      <c r="H129" s="69" t="str">
        <f>VLOOKUP($A129,SP_TaxPar_DB[],MATCH(H$2,SP_TaxPar_DB[#Headers],0),FALSE)</f>
        <v>TX</v>
      </c>
      <c r="I129" s="69" t="str">
        <f>VLOOKUP($A129,SP_TaxPar_DB[],MATCH(I$2,SP_TaxPar_DB[#Headers],0),FALSE)</f>
        <v>77488</v>
      </c>
      <c r="J129" s="69" t="str">
        <f>VLOOKUP($A129,SP_TaxPar_DB[],MATCH(J$2,SP_TaxPar_DB[#Headers],0),FALSE)</f>
        <v>0 COLUMBINE AVE</v>
      </c>
      <c r="K129" s="69" t="str">
        <f>VLOOKUP($A129,SP_TaxPar_DB[],MATCH(K$2,SP_TaxPar_DB[#Headers],0),FALSE)</f>
        <v>SMITH GARDEN SPOT BLOCK 2 LOT 12 Acres:0.1148</v>
      </c>
      <c r="L129" s="69">
        <f>VLOOKUP($A129,SP_TaxPar_DB[],MATCH(L$2,SP_TaxPar_DB[#Headers],0),FALSE)</f>
        <v>0</v>
      </c>
      <c r="M129" s="69">
        <f>VLOOKUP($A129,SP_TaxPar_DB[],MATCH(M$2,SP_TaxPar_DB[#Headers],0),FALSE)</f>
        <v>0</v>
      </c>
      <c r="N129" s="69">
        <f>VLOOKUP($A129,SP_TaxPar_DB[],MATCH(N$2,SP_TaxPar_DB[#Headers],0),FALSE)</f>
        <v>0</v>
      </c>
      <c r="O129" s="71">
        <f>VLOOKUP($A129,SP_TaxPar_DB[],MATCH(O$2,SP_TaxPar_DB[#Headers],0),FALSE)</f>
        <v>0</v>
      </c>
      <c r="P129" s="72"/>
      <c r="Q129" s="69"/>
      <c r="R129" s="73"/>
      <c r="S129" s="73"/>
      <c r="T129" s="69"/>
      <c r="U129" s="69"/>
      <c r="V129" s="69"/>
      <c r="W129" s="69"/>
      <c r="X129" s="69"/>
      <c r="Y129" s="69"/>
      <c r="Z129" s="69"/>
      <c r="AA129" s="69"/>
      <c r="AB129" s="74"/>
      <c r="AC129" s="73"/>
      <c r="AD129" s="73"/>
      <c r="AE129" s="74"/>
      <c r="AF129" s="68"/>
      <c r="AG129" s="68"/>
      <c r="AH129" s="74"/>
      <c r="AI129" s="68"/>
      <c r="AJ129" s="68"/>
      <c r="AK129" s="68"/>
      <c r="AL129" s="80"/>
      <c r="AM129" s="81"/>
      <c r="AN129" s="74"/>
      <c r="AO129" s="74"/>
      <c r="AP129" s="74"/>
      <c r="AQ129" s="74"/>
      <c r="AR129" s="74"/>
      <c r="AS129" s="74"/>
      <c r="AT129" s="74"/>
      <c r="AU129" s="74"/>
      <c r="AV129" s="74"/>
      <c r="AW129" s="84"/>
    </row>
    <row r="130" spans="1:49" ht="15.75" hidden="1" x14ac:dyDescent="0.2">
      <c r="A130" s="129" t="s">
        <v>2229</v>
      </c>
      <c r="B130" s="68" t="str">
        <f>VLOOKUP($A130,SP_TaxPar_DB[],MATCH(B$2,SP_TaxPar_DB[#Headers],0),FALSE)</f>
        <v>ENV</v>
      </c>
      <c r="C130" s="67">
        <f>IF(VLOOKUP($A130,SP_TaxPar_DB[],MATCH(C$2,SP_TaxPar_DB[#Headers],0),FALSE)="",0,VLOOKUP($A130,SP_TaxPar_DB[],MATCH(C$2,SP_TaxPar_DB[#Headers],0),FALSE))</f>
        <v>0</v>
      </c>
      <c r="D130" s="67" t="str">
        <f>IF(VLOOKUP($A130,SP_TaxPar_DB[],MATCH(D$2,SP_TaxPar_DB[#Headers],0),FALSE)="",0,VLOOKUP($A130,SP_TaxPar_DB[],MATCH(D$2,SP_TaxPar_DB[#Headers],0),FALSE))</f>
        <v>118</v>
      </c>
      <c r="E130" s="69" t="str">
        <f>VLOOKUP($A130,SP_TaxPar_DB[],MATCH(E$2,SP_TaxPar_DB[#Headers],0),FALSE)</f>
        <v>BARNES MARY</v>
      </c>
      <c r="F130" s="69" t="str">
        <f>VLOOKUP($A130,SP_TaxPar_DB[],MATCH(F$2,SP_TaxPar_DB[#Headers],0),FALSE)</f>
        <v>1607 W MILAM ST</v>
      </c>
      <c r="G130" s="69" t="str">
        <f>VLOOKUP($A130,SP_TaxPar_DB[],MATCH(G$2,SP_TaxPar_DB[#Headers],0),FALSE)</f>
        <v>WHARTON</v>
      </c>
      <c r="H130" s="69" t="str">
        <f>VLOOKUP($A130,SP_TaxPar_DB[],MATCH(H$2,SP_TaxPar_DB[#Headers],0),FALSE)</f>
        <v>TX</v>
      </c>
      <c r="I130" s="69" t="str">
        <f>VLOOKUP($A130,SP_TaxPar_DB[],MATCH(I$2,SP_TaxPar_DB[#Headers],0),FALSE)</f>
        <v>77488</v>
      </c>
      <c r="J130" s="69" t="str">
        <f>VLOOKUP($A130,SP_TaxPar_DB[],MATCH(J$2,SP_TaxPar_DB[#Headers],0),FALSE)</f>
        <v>1618 COLUMBINE AVE</v>
      </c>
      <c r="K130" s="69" t="str">
        <f>VLOOKUP($A130,SP_TaxPar_DB[],MATCH(K$2,SP_TaxPar_DB[#Headers],0),FALSE)</f>
        <v>SMITH GARDEN SPOT BLOCK 2 LOT 13 Acres:0.1148</v>
      </c>
      <c r="L130" s="69">
        <f>VLOOKUP($A130,SP_TaxPar_DB[],MATCH(L$2,SP_TaxPar_DB[#Headers],0),FALSE)</f>
        <v>0</v>
      </c>
      <c r="M130" s="69">
        <f>VLOOKUP($A130,SP_TaxPar_DB[],MATCH(M$2,SP_TaxPar_DB[#Headers],0),FALSE)</f>
        <v>0</v>
      </c>
      <c r="N130" s="69">
        <f>VLOOKUP($A130,SP_TaxPar_DB[],MATCH(N$2,SP_TaxPar_DB[#Headers],0),FALSE)</f>
        <v>0</v>
      </c>
      <c r="O130" s="71">
        <f>VLOOKUP($A130,SP_TaxPar_DB[],MATCH(O$2,SP_TaxPar_DB[#Headers],0),FALSE)</f>
        <v>0</v>
      </c>
      <c r="P130" s="72"/>
      <c r="Q130" s="69"/>
      <c r="R130" s="73"/>
      <c r="S130" s="73"/>
      <c r="T130" s="69"/>
      <c r="U130" s="69"/>
      <c r="V130" s="69"/>
      <c r="W130" s="69"/>
      <c r="X130" s="69"/>
      <c r="Y130" s="69"/>
      <c r="Z130" s="69"/>
      <c r="AA130" s="69"/>
      <c r="AB130" s="74"/>
      <c r="AC130" s="73"/>
      <c r="AD130" s="73"/>
      <c r="AE130" s="74"/>
      <c r="AF130" s="68"/>
      <c r="AG130" s="68"/>
      <c r="AH130" s="74"/>
      <c r="AI130" s="68"/>
      <c r="AJ130" s="68"/>
      <c r="AK130" s="68"/>
      <c r="AL130" s="80"/>
      <c r="AM130" s="81"/>
      <c r="AN130" s="74"/>
      <c r="AO130" s="74"/>
      <c r="AP130" s="74"/>
      <c r="AQ130" s="74"/>
      <c r="AR130" s="74"/>
      <c r="AS130" s="74"/>
      <c r="AT130" s="74"/>
      <c r="AU130" s="74"/>
      <c r="AV130" s="74"/>
      <c r="AW130" s="84"/>
    </row>
    <row r="131" spans="1:49" ht="15.75" hidden="1" x14ac:dyDescent="0.2">
      <c r="A131" s="129" t="s">
        <v>2234</v>
      </c>
      <c r="B131" s="68" t="str">
        <f>VLOOKUP($A131,SP_TaxPar_DB[],MATCH(B$2,SP_TaxPar_DB[#Headers],0),FALSE)</f>
        <v>ENV</v>
      </c>
      <c r="C131" s="67">
        <f>IF(VLOOKUP($A131,SP_TaxPar_DB[],MATCH(C$2,SP_TaxPar_DB[#Headers],0),FALSE)="",0,VLOOKUP($A131,SP_TaxPar_DB[],MATCH(C$2,SP_TaxPar_DB[#Headers],0),FALSE))</f>
        <v>0</v>
      </c>
      <c r="D131" s="67" t="str">
        <f>IF(VLOOKUP($A131,SP_TaxPar_DB[],MATCH(D$2,SP_TaxPar_DB[#Headers],0),FALSE)="",0,VLOOKUP($A131,SP_TaxPar_DB[],MATCH(D$2,SP_TaxPar_DB[#Headers],0),FALSE))</f>
        <v>119</v>
      </c>
      <c r="E131" s="69" t="str">
        <f>VLOOKUP($A131,SP_TaxPar_DB[],MATCH(E$2,SP_TaxPar_DB[#Headers],0),FALSE)</f>
        <v>BUTLER SARAH</v>
      </c>
      <c r="F131" s="69" t="str">
        <f>VLOOKUP($A131,SP_TaxPar_DB[],MATCH(F$2,SP_TaxPar_DB[#Headers],0),FALSE)</f>
        <v>PO BOX 641</v>
      </c>
      <c r="G131" s="69" t="str">
        <f>VLOOKUP($A131,SP_TaxPar_DB[],MATCH(G$2,SP_TaxPar_DB[#Headers],0),FALSE)</f>
        <v>WHARTON</v>
      </c>
      <c r="H131" s="69" t="str">
        <f>VLOOKUP($A131,SP_TaxPar_DB[],MATCH(H$2,SP_TaxPar_DB[#Headers],0),FALSE)</f>
        <v>TX</v>
      </c>
      <c r="I131" s="69" t="str">
        <f>VLOOKUP($A131,SP_TaxPar_DB[],MATCH(I$2,SP_TaxPar_DB[#Headers],0),FALSE)</f>
        <v>77488</v>
      </c>
      <c r="J131" s="69" t="str">
        <f>VLOOKUP($A131,SP_TaxPar_DB[],MATCH(J$2,SP_TaxPar_DB[#Headers],0),FALSE)</f>
        <v>1616 COLUMBINE AVE</v>
      </c>
      <c r="K131" s="69" t="str">
        <f>VLOOKUP($A131,SP_TaxPar_DB[],MATCH(K$2,SP_TaxPar_DB[#Headers],0),FALSE)</f>
        <v>SMITH GARDEN SPOT BLOCK 2 LOT 14 1975 UNKNOWN TORONADO 14X68 LABEL # DLS0003685 SERIAL # 6295 Acres:0.1148</v>
      </c>
      <c r="L131" s="69">
        <f>VLOOKUP($A131,SP_TaxPar_DB[],MATCH(L$2,SP_TaxPar_DB[#Headers],0),FALSE)</f>
        <v>0</v>
      </c>
      <c r="M131" s="69">
        <f>VLOOKUP($A131,SP_TaxPar_DB[],MATCH(M$2,SP_TaxPar_DB[#Headers],0),FALSE)</f>
        <v>0</v>
      </c>
      <c r="N131" s="69">
        <f>VLOOKUP($A131,SP_TaxPar_DB[],MATCH(N$2,SP_TaxPar_DB[#Headers],0),FALSE)</f>
        <v>0</v>
      </c>
      <c r="O131" s="71">
        <f>VLOOKUP($A131,SP_TaxPar_DB[],MATCH(O$2,SP_TaxPar_DB[#Headers],0),FALSE)</f>
        <v>0</v>
      </c>
      <c r="P131" s="72"/>
      <c r="Q131" s="69"/>
      <c r="R131" s="73"/>
      <c r="S131" s="73"/>
      <c r="T131" s="69"/>
      <c r="U131" s="69"/>
      <c r="V131" s="69"/>
      <c r="W131" s="69"/>
      <c r="X131" s="69"/>
      <c r="Y131" s="69"/>
      <c r="Z131" s="69"/>
      <c r="AA131" s="69"/>
      <c r="AB131" s="74"/>
      <c r="AC131" s="73"/>
      <c r="AD131" s="73"/>
      <c r="AE131" s="74"/>
      <c r="AF131" s="68"/>
      <c r="AG131" s="68"/>
      <c r="AH131" s="74"/>
      <c r="AI131" s="68"/>
      <c r="AJ131" s="68"/>
      <c r="AK131" s="68"/>
      <c r="AL131" s="80"/>
      <c r="AM131" s="81"/>
      <c r="AN131" s="74"/>
      <c r="AO131" s="74"/>
      <c r="AP131" s="74"/>
      <c r="AQ131" s="74"/>
      <c r="AR131" s="74"/>
      <c r="AS131" s="74"/>
      <c r="AT131" s="74"/>
      <c r="AU131" s="74"/>
      <c r="AV131" s="74"/>
      <c r="AW131" s="84"/>
    </row>
    <row r="132" spans="1:49" ht="15.75" hidden="1" x14ac:dyDescent="0.2">
      <c r="A132" s="129" t="s">
        <v>2239</v>
      </c>
      <c r="B132" s="68" t="str">
        <f>VLOOKUP($A132,SP_TaxPar_DB[],MATCH(B$2,SP_TaxPar_DB[#Headers],0),FALSE)</f>
        <v>ENV</v>
      </c>
      <c r="C132" s="67">
        <f>IF(VLOOKUP($A132,SP_TaxPar_DB[],MATCH(C$2,SP_TaxPar_DB[#Headers],0),FALSE)="",0,VLOOKUP($A132,SP_TaxPar_DB[],MATCH(C$2,SP_TaxPar_DB[#Headers],0),FALSE))</f>
        <v>0</v>
      </c>
      <c r="D132" s="67" t="str">
        <f>IF(VLOOKUP($A132,SP_TaxPar_DB[],MATCH(D$2,SP_TaxPar_DB[#Headers],0),FALSE)="",0,VLOOKUP($A132,SP_TaxPar_DB[],MATCH(D$2,SP_TaxPar_DB[#Headers],0),FALSE))</f>
        <v>120</v>
      </c>
      <c r="E132" s="69" t="str">
        <f>VLOOKUP($A132,SP_TaxPar_DB[],MATCH(E$2,SP_TaxPar_DB[#Headers],0),FALSE)</f>
        <v>BRANCH SHANDRA &amp; NEAL BURNELL</v>
      </c>
      <c r="F132" s="69" t="str">
        <f>VLOOKUP($A132,SP_TaxPar_DB[],MATCH(F$2,SP_TaxPar_DB[#Headers],0),FALSE)</f>
        <v>1522 COLUMBINE STR</v>
      </c>
      <c r="G132" s="69" t="str">
        <f>VLOOKUP($A132,SP_TaxPar_DB[],MATCH(G$2,SP_TaxPar_DB[#Headers],0),FALSE)</f>
        <v>WHARTON</v>
      </c>
      <c r="H132" s="69" t="str">
        <f>VLOOKUP($A132,SP_TaxPar_DB[],MATCH(H$2,SP_TaxPar_DB[#Headers],0),FALSE)</f>
        <v>TX</v>
      </c>
      <c r="I132" s="69" t="str">
        <f>VLOOKUP($A132,SP_TaxPar_DB[],MATCH(I$2,SP_TaxPar_DB[#Headers],0),FALSE)</f>
        <v>77488</v>
      </c>
      <c r="J132" s="69" t="str">
        <f>VLOOKUP($A132,SP_TaxPar_DB[],MATCH(J$2,SP_TaxPar_DB[#Headers],0),FALSE)</f>
        <v>1610 COLUMBINE AVE</v>
      </c>
      <c r="K132" s="69" t="str">
        <f>VLOOKUP($A132,SP_TaxPar_DB[],MATCH(K$2,SP_TaxPar_DB[#Headers],0),FALSE)</f>
        <v>SMITH GARDEN SPOT BLOCK 2 LOT 15 Acres:0.1148</v>
      </c>
      <c r="L132" s="69">
        <f>VLOOKUP($A132,SP_TaxPar_DB[],MATCH(L$2,SP_TaxPar_DB[#Headers],0),FALSE)</f>
        <v>0</v>
      </c>
      <c r="M132" s="69">
        <f>VLOOKUP($A132,SP_TaxPar_DB[],MATCH(M$2,SP_TaxPar_DB[#Headers],0),FALSE)</f>
        <v>0</v>
      </c>
      <c r="N132" s="69">
        <f>VLOOKUP($A132,SP_TaxPar_DB[],MATCH(N$2,SP_TaxPar_DB[#Headers],0),FALSE)</f>
        <v>0</v>
      </c>
      <c r="O132" s="71">
        <f>VLOOKUP($A132,SP_TaxPar_DB[],MATCH(O$2,SP_TaxPar_DB[#Headers],0),FALSE)</f>
        <v>0</v>
      </c>
      <c r="P132" s="72"/>
      <c r="Q132" s="69"/>
      <c r="R132" s="73"/>
      <c r="S132" s="73"/>
      <c r="T132" s="69"/>
      <c r="U132" s="69"/>
      <c r="V132" s="69"/>
      <c r="W132" s="69"/>
      <c r="X132" s="69"/>
      <c r="Y132" s="69"/>
      <c r="Z132" s="69"/>
      <c r="AA132" s="69"/>
      <c r="AB132" s="74"/>
      <c r="AC132" s="73"/>
      <c r="AD132" s="73"/>
      <c r="AE132" s="74"/>
      <c r="AF132" s="68"/>
      <c r="AG132" s="68"/>
      <c r="AH132" s="74"/>
      <c r="AI132" s="68"/>
      <c r="AJ132" s="68"/>
      <c r="AK132" s="68"/>
      <c r="AL132" s="80"/>
      <c r="AM132" s="81"/>
      <c r="AN132" s="74"/>
      <c r="AO132" s="74"/>
      <c r="AP132" s="74"/>
      <c r="AQ132" s="74"/>
      <c r="AR132" s="74"/>
      <c r="AS132" s="74"/>
      <c r="AT132" s="74"/>
      <c r="AU132" s="74"/>
      <c r="AV132" s="74"/>
      <c r="AW132" s="84"/>
    </row>
    <row r="133" spans="1:49" ht="15.75" hidden="1" x14ac:dyDescent="0.2">
      <c r="A133" s="129" t="s">
        <v>2244</v>
      </c>
      <c r="B133" s="68" t="str">
        <f>VLOOKUP($A133,SP_TaxPar_DB[],MATCH(B$2,SP_TaxPar_DB[#Headers],0),FALSE)</f>
        <v>ENV</v>
      </c>
      <c r="C133" s="67">
        <f>IF(VLOOKUP($A133,SP_TaxPar_DB[],MATCH(C$2,SP_TaxPar_DB[#Headers],0),FALSE)="",0,VLOOKUP($A133,SP_TaxPar_DB[],MATCH(C$2,SP_TaxPar_DB[#Headers],0),FALSE))</f>
        <v>0</v>
      </c>
      <c r="D133" s="67" t="str">
        <f>IF(VLOOKUP($A133,SP_TaxPar_DB[],MATCH(D$2,SP_TaxPar_DB[#Headers],0),FALSE)="",0,VLOOKUP($A133,SP_TaxPar_DB[],MATCH(D$2,SP_TaxPar_DB[#Headers],0),FALSE))</f>
        <v>121</v>
      </c>
      <c r="E133" s="69" t="str">
        <f>VLOOKUP($A133,SP_TaxPar_DB[],MATCH(E$2,SP_TaxPar_DB[#Headers],0),FALSE)</f>
        <v>BRANCH SHANDRA &amp; NEAL BURNELL</v>
      </c>
      <c r="F133" s="69" t="str">
        <f>VLOOKUP($A133,SP_TaxPar_DB[],MATCH(F$2,SP_TaxPar_DB[#Headers],0),FALSE)</f>
        <v>1522 COLUMBINE STR</v>
      </c>
      <c r="G133" s="69" t="str">
        <f>VLOOKUP($A133,SP_TaxPar_DB[],MATCH(G$2,SP_TaxPar_DB[#Headers],0),FALSE)</f>
        <v>WHARTON</v>
      </c>
      <c r="H133" s="69" t="str">
        <f>VLOOKUP($A133,SP_TaxPar_DB[],MATCH(H$2,SP_TaxPar_DB[#Headers],0),FALSE)</f>
        <v>TX</v>
      </c>
      <c r="I133" s="69" t="str">
        <f>VLOOKUP($A133,SP_TaxPar_DB[],MATCH(I$2,SP_TaxPar_DB[#Headers],0),FALSE)</f>
        <v>77488</v>
      </c>
      <c r="J133" s="69" t="str">
        <f>VLOOKUP($A133,SP_TaxPar_DB[],MATCH(J$2,SP_TaxPar_DB[#Headers],0),FALSE)</f>
        <v>1524 COLUMBINE AVE</v>
      </c>
      <c r="K133" s="69" t="str">
        <f>VLOOKUP($A133,SP_TaxPar_DB[],MATCH(K$2,SP_TaxPar_DB[#Headers],0),FALSE)</f>
        <v>SMITH GARDEN SPOT BLOCK 2 LOT 16,17 Acres:0.2296</v>
      </c>
      <c r="L133" s="69">
        <f>VLOOKUP($A133,SP_TaxPar_DB[],MATCH(L$2,SP_TaxPar_DB[#Headers],0),FALSE)</f>
        <v>0</v>
      </c>
      <c r="M133" s="69">
        <f>VLOOKUP($A133,SP_TaxPar_DB[],MATCH(M$2,SP_TaxPar_DB[#Headers],0),FALSE)</f>
        <v>0</v>
      </c>
      <c r="N133" s="69">
        <f>VLOOKUP($A133,SP_TaxPar_DB[],MATCH(N$2,SP_TaxPar_DB[#Headers],0),FALSE)</f>
        <v>0</v>
      </c>
      <c r="O133" s="71">
        <f>VLOOKUP($A133,SP_TaxPar_DB[],MATCH(O$2,SP_TaxPar_DB[#Headers],0),FALSE)</f>
        <v>0</v>
      </c>
      <c r="P133" s="72"/>
      <c r="Q133" s="69"/>
      <c r="R133" s="73"/>
      <c r="S133" s="73"/>
      <c r="T133" s="69"/>
      <c r="U133" s="69"/>
      <c r="V133" s="69"/>
      <c r="W133" s="69"/>
      <c r="X133" s="69"/>
      <c r="Y133" s="69"/>
      <c r="Z133" s="69"/>
      <c r="AA133" s="69"/>
      <c r="AB133" s="74"/>
      <c r="AC133" s="73"/>
      <c r="AD133" s="73"/>
      <c r="AE133" s="74"/>
      <c r="AF133" s="68"/>
      <c r="AG133" s="68"/>
      <c r="AH133" s="74"/>
      <c r="AI133" s="68"/>
      <c r="AJ133" s="68"/>
      <c r="AK133" s="68"/>
      <c r="AL133" s="80"/>
      <c r="AM133" s="81"/>
      <c r="AN133" s="74"/>
      <c r="AO133" s="74"/>
      <c r="AP133" s="74"/>
      <c r="AQ133" s="74"/>
      <c r="AR133" s="74"/>
      <c r="AS133" s="74"/>
      <c r="AT133" s="74"/>
      <c r="AU133" s="74"/>
      <c r="AV133" s="74"/>
      <c r="AW133" s="84"/>
    </row>
    <row r="134" spans="1:49" ht="15.75" hidden="1" x14ac:dyDescent="0.2">
      <c r="A134" s="129" t="s">
        <v>2247</v>
      </c>
      <c r="B134" s="68" t="str">
        <f>VLOOKUP($A134,SP_TaxPar_DB[],MATCH(B$2,SP_TaxPar_DB[#Headers],0),FALSE)</f>
        <v>ENV</v>
      </c>
      <c r="C134" s="67">
        <f>IF(VLOOKUP($A134,SP_TaxPar_DB[],MATCH(C$2,SP_TaxPar_DB[#Headers],0),FALSE)="",0,VLOOKUP($A134,SP_TaxPar_DB[],MATCH(C$2,SP_TaxPar_DB[#Headers],0),FALSE))</f>
        <v>0</v>
      </c>
      <c r="D134" s="67" t="str">
        <f>IF(VLOOKUP($A134,SP_TaxPar_DB[],MATCH(D$2,SP_TaxPar_DB[#Headers],0),FALSE)="",0,VLOOKUP($A134,SP_TaxPar_DB[],MATCH(D$2,SP_TaxPar_DB[#Headers],0),FALSE))</f>
        <v>122</v>
      </c>
      <c r="E134" s="69" t="str">
        <f>VLOOKUP($A134,SP_TaxPar_DB[],MATCH(E$2,SP_TaxPar_DB[#Headers],0),FALSE)</f>
        <v>NEAL BURNELL</v>
      </c>
      <c r="F134" s="69" t="str">
        <f>VLOOKUP($A134,SP_TaxPar_DB[],MATCH(F$2,SP_TaxPar_DB[#Headers],0),FALSE)</f>
        <v>1522 COLUMBINE</v>
      </c>
      <c r="G134" s="69" t="str">
        <f>VLOOKUP($A134,SP_TaxPar_DB[],MATCH(G$2,SP_TaxPar_DB[#Headers],0),FALSE)</f>
        <v>WHARTON</v>
      </c>
      <c r="H134" s="69" t="str">
        <f>VLOOKUP($A134,SP_TaxPar_DB[],MATCH(H$2,SP_TaxPar_DB[#Headers],0),FALSE)</f>
        <v>TX</v>
      </c>
      <c r="I134" s="69" t="str">
        <f>VLOOKUP($A134,SP_TaxPar_DB[],MATCH(I$2,SP_TaxPar_DB[#Headers],0),FALSE)</f>
        <v>77488</v>
      </c>
      <c r="J134" s="69" t="str">
        <f>VLOOKUP($A134,SP_TaxPar_DB[],MATCH(J$2,SP_TaxPar_DB[#Headers],0),FALSE)</f>
        <v>1522 COLUMBINE AVE</v>
      </c>
      <c r="K134" s="69" t="str">
        <f>VLOOKUP($A134,SP_TaxPar_DB[],MATCH(K$2,SP_TaxPar_DB[#Headers],0),FALSE)</f>
        <v>SMITH GARDEN SPOT BLOCK 2 LOT 18,19 Acres:0.2296</v>
      </c>
      <c r="L134" s="69">
        <f>VLOOKUP($A134,SP_TaxPar_DB[],MATCH(L$2,SP_TaxPar_DB[#Headers],0),FALSE)</f>
        <v>0</v>
      </c>
      <c r="M134" s="69">
        <f>VLOOKUP($A134,SP_TaxPar_DB[],MATCH(M$2,SP_TaxPar_DB[#Headers],0),FALSE)</f>
        <v>0</v>
      </c>
      <c r="N134" s="69">
        <f>VLOOKUP($A134,SP_TaxPar_DB[],MATCH(N$2,SP_TaxPar_DB[#Headers],0),FALSE)</f>
        <v>0</v>
      </c>
      <c r="O134" s="71">
        <f>VLOOKUP($A134,SP_TaxPar_DB[],MATCH(O$2,SP_TaxPar_DB[#Headers],0),FALSE)</f>
        <v>0</v>
      </c>
      <c r="P134" s="72"/>
      <c r="Q134" s="69"/>
      <c r="R134" s="73"/>
      <c r="S134" s="73"/>
      <c r="T134" s="69"/>
      <c r="U134" s="69"/>
      <c r="V134" s="69"/>
      <c r="W134" s="69"/>
      <c r="X134" s="69"/>
      <c r="Y134" s="69"/>
      <c r="Z134" s="69"/>
      <c r="AA134" s="69"/>
      <c r="AB134" s="74"/>
      <c r="AC134" s="73"/>
      <c r="AD134" s="73"/>
      <c r="AE134" s="74"/>
      <c r="AF134" s="68"/>
      <c r="AG134" s="68"/>
      <c r="AH134" s="74"/>
      <c r="AI134" s="68"/>
      <c r="AJ134" s="68"/>
      <c r="AK134" s="68"/>
      <c r="AL134" s="80"/>
      <c r="AM134" s="81"/>
      <c r="AN134" s="74"/>
      <c r="AO134" s="74"/>
      <c r="AP134" s="74"/>
      <c r="AQ134" s="74"/>
      <c r="AR134" s="74"/>
      <c r="AS134" s="74"/>
      <c r="AT134" s="74"/>
      <c r="AU134" s="74"/>
      <c r="AV134" s="74"/>
      <c r="AW134" s="84"/>
    </row>
    <row r="135" spans="1:49" ht="15.75" hidden="1" x14ac:dyDescent="0.2">
      <c r="A135" s="129" t="s">
        <v>2251</v>
      </c>
      <c r="B135" s="68" t="str">
        <f>VLOOKUP($A135,SP_TaxPar_DB[],MATCH(B$2,SP_TaxPar_DB[#Headers],0),FALSE)</f>
        <v>ENV</v>
      </c>
      <c r="C135" s="67">
        <f>IF(VLOOKUP($A135,SP_TaxPar_DB[],MATCH(C$2,SP_TaxPar_DB[#Headers],0),FALSE)="",0,VLOOKUP($A135,SP_TaxPar_DB[],MATCH(C$2,SP_TaxPar_DB[#Headers],0),FALSE))</f>
        <v>0</v>
      </c>
      <c r="D135" s="67" t="str">
        <f>IF(VLOOKUP($A135,SP_TaxPar_DB[],MATCH(D$2,SP_TaxPar_DB[#Headers],0),FALSE)="",0,VLOOKUP($A135,SP_TaxPar_DB[],MATCH(D$2,SP_TaxPar_DB[#Headers],0),FALSE))</f>
        <v>123</v>
      </c>
      <c r="E135" s="69" t="str">
        <f>VLOOKUP($A135,SP_TaxPar_DB[],MATCH(E$2,SP_TaxPar_DB[#Headers],0),FALSE)</f>
        <v>PULLARD CLASSIE</v>
      </c>
      <c r="F135" s="69" t="str">
        <f>VLOOKUP($A135,SP_TaxPar_DB[],MATCH(F$2,SP_TaxPar_DB[#Headers],0),FALSE)</f>
        <v>2135 HAMMERWOOD DR</v>
      </c>
      <c r="G135" s="69" t="str">
        <f>VLOOKUP($A135,SP_TaxPar_DB[],MATCH(G$2,SP_TaxPar_DB[#Headers],0),FALSE)</f>
        <v>MISSOURI CITY</v>
      </c>
      <c r="H135" s="69" t="str">
        <f>VLOOKUP($A135,SP_TaxPar_DB[],MATCH(H$2,SP_TaxPar_DB[#Headers],0),FALSE)</f>
        <v>TX</v>
      </c>
      <c r="I135" s="69" t="str">
        <f>VLOOKUP($A135,SP_TaxPar_DB[],MATCH(I$2,SP_TaxPar_DB[#Headers],0),FALSE)</f>
        <v>77489</v>
      </c>
      <c r="J135" s="69" t="str">
        <f>VLOOKUP($A135,SP_TaxPar_DB[],MATCH(J$2,SP_TaxPar_DB[#Headers],0),FALSE)</f>
        <v>0  COLUMBINE AVE</v>
      </c>
      <c r="K135" s="69" t="str">
        <f>VLOOKUP($A135,SP_TaxPar_DB[],MATCH(K$2,SP_TaxPar_DB[#Headers],0),FALSE)</f>
        <v>SMITH GARDEN SPOT BLOCK 2 LOT 20 Acres:0.1148</v>
      </c>
      <c r="L135" s="69">
        <f>VLOOKUP($A135,SP_TaxPar_DB[],MATCH(L$2,SP_TaxPar_DB[#Headers],0),FALSE)</f>
        <v>0</v>
      </c>
      <c r="M135" s="69">
        <f>VLOOKUP($A135,SP_TaxPar_DB[],MATCH(M$2,SP_TaxPar_DB[#Headers],0),FALSE)</f>
        <v>0</v>
      </c>
      <c r="N135" s="69">
        <f>VLOOKUP($A135,SP_TaxPar_DB[],MATCH(N$2,SP_TaxPar_DB[#Headers],0),FALSE)</f>
        <v>0</v>
      </c>
      <c r="O135" s="71">
        <f>VLOOKUP($A135,SP_TaxPar_DB[],MATCH(O$2,SP_TaxPar_DB[#Headers],0),FALSE)</f>
        <v>0</v>
      </c>
      <c r="P135" s="72"/>
      <c r="Q135" s="69"/>
      <c r="R135" s="73"/>
      <c r="S135" s="73"/>
      <c r="T135" s="69"/>
      <c r="U135" s="69"/>
      <c r="V135" s="69"/>
      <c r="W135" s="69"/>
      <c r="X135" s="69"/>
      <c r="Y135" s="69"/>
      <c r="Z135" s="69"/>
      <c r="AA135" s="69"/>
      <c r="AB135" s="74"/>
      <c r="AC135" s="73"/>
      <c r="AD135" s="73"/>
      <c r="AE135" s="74"/>
      <c r="AF135" s="68"/>
      <c r="AG135" s="68"/>
      <c r="AH135" s="74"/>
      <c r="AI135" s="68"/>
      <c r="AJ135" s="68"/>
      <c r="AK135" s="68"/>
      <c r="AL135" s="80"/>
      <c r="AM135" s="81"/>
      <c r="AN135" s="74"/>
      <c r="AO135" s="74"/>
      <c r="AP135" s="74"/>
      <c r="AQ135" s="74"/>
      <c r="AR135" s="74"/>
      <c r="AS135" s="74"/>
      <c r="AT135" s="74"/>
      <c r="AU135" s="74"/>
      <c r="AV135" s="74"/>
      <c r="AW135" s="84"/>
    </row>
    <row r="136" spans="1:49" ht="15.75" hidden="1" x14ac:dyDescent="0.2">
      <c r="A136" s="129" t="s">
        <v>2258</v>
      </c>
      <c r="B136" s="68" t="str">
        <f>VLOOKUP($A136,SP_TaxPar_DB[],MATCH(B$2,SP_TaxPar_DB[#Headers],0),FALSE)</f>
        <v>ENV</v>
      </c>
      <c r="C136" s="67">
        <f>IF(VLOOKUP($A136,SP_TaxPar_DB[],MATCH(C$2,SP_TaxPar_DB[#Headers],0),FALSE)="",0,VLOOKUP($A136,SP_TaxPar_DB[],MATCH(C$2,SP_TaxPar_DB[#Headers],0),FALSE))</f>
        <v>0</v>
      </c>
      <c r="D136" s="67" t="str">
        <f>IF(VLOOKUP($A136,SP_TaxPar_DB[],MATCH(D$2,SP_TaxPar_DB[#Headers],0),FALSE)="",0,VLOOKUP($A136,SP_TaxPar_DB[],MATCH(D$2,SP_TaxPar_DB[#Headers],0),FALSE))</f>
        <v>124</v>
      </c>
      <c r="E136" s="69" t="str">
        <f>VLOOKUP($A136,SP_TaxPar_DB[],MATCH(E$2,SP_TaxPar_DB[#Headers],0),FALSE)</f>
        <v>PULLARD CLASSIE</v>
      </c>
      <c r="F136" s="69" t="str">
        <f>VLOOKUP($A136,SP_TaxPar_DB[],MATCH(F$2,SP_TaxPar_DB[#Headers],0),FALSE)</f>
        <v>2135 HAMMERWOOD DR</v>
      </c>
      <c r="G136" s="69" t="str">
        <f>VLOOKUP($A136,SP_TaxPar_DB[],MATCH(G$2,SP_TaxPar_DB[#Headers],0),FALSE)</f>
        <v>MISSOURI CITY</v>
      </c>
      <c r="H136" s="69" t="str">
        <f>VLOOKUP($A136,SP_TaxPar_DB[],MATCH(H$2,SP_TaxPar_DB[#Headers],0),FALSE)</f>
        <v>TX</v>
      </c>
      <c r="I136" s="69" t="str">
        <f>VLOOKUP($A136,SP_TaxPar_DB[],MATCH(I$2,SP_TaxPar_DB[#Headers],0),FALSE)</f>
        <v>77489</v>
      </c>
      <c r="J136" s="69" t="str">
        <f>VLOOKUP($A136,SP_TaxPar_DB[],MATCH(J$2,SP_TaxPar_DB[#Headers],0),FALSE)</f>
        <v>0 COLUMBINE AVE</v>
      </c>
      <c r="K136" s="69" t="str">
        <f>VLOOKUP($A136,SP_TaxPar_DB[],MATCH(K$2,SP_TaxPar_DB[#Headers],0),FALSE)</f>
        <v>SMITH GARDEN SPOT BLOCK 2 LOT 21 Acres:0.1148</v>
      </c>
      <c r="L136" s="69">
        <f>VLOOKUP($A136,SP_TaxPar_DB[],MATCH(L$2,SP_TaxPar_DB[#Headers],0),FALSE)</f>
        <v>0</v>
      </c>
      <c r="M136" s="69">
        <f>VLOOKUP($A136,SP_TaxPar_DB[],MATCH(M$2,SP_TaxPar_DB[#Headers],0),FALSE)</f>
        <v>0</v>
      </c>
      <c r="N136" s="69">
        <f>VLOOKUP($A136,SP_TaxPar_DB[],MATCH(N$2,SP_TaxPar_DB[#Headers],0),FALSE)</f>
        <v>0</v>
      </c>
      <c r="O136" s="71">
        <f>VLOOKUP($A136,SP_TaxPar_DB[],MATCH(O$2,SP_TaxPar_DB[#Headers],0),FALSE)</f>
        <v>0</v>
      </c>
      <c r="P136" s="72"/>
      <c r="Q136" s="69"/>
      <c r="R136" s="73"/>
      <c r="S136" s="73"/>
      <c r="T136" s="69"/>
      <c r="U136" s="69"/>
      <c r="V136" s="69"/>
      <c r="W136" s="69"/>
      <c r="X136" s="69"/>
      <c r="Y136" s="69"/>
      <c r="Z136" s="69"/>
      <c r="AA136" s="69"/>
      <c r="AB136" s="74"/>
      <c r="AC136" s="73"/>
      <c r="AD136" s="73"/>
      <c r="AE136" s="74"/>
      <c r="AF136" s="68"/>
      <c r="AG136" s="68"/>
      <c r="AH136" s="74"/>
      <c r="AI136" s="68"/>
      <c r="AJ136" s="68"/>
      <c r="AK136" s="68"/>
      <c r="AL136" s="80"/>
      <c r="AM136" s="81"/>
      <c r="AN136" s="74"/>
      <c r="AO136" s="74"/>
      <c r="AP136" s="74"/>
      <c r="AQ136" s="74"/>
      <c r="AR136" s="74"/>
      <c r="AS136" s="74"/>
      <c r="AT136" s="74"/>
      <c r="AU136" s="74"/>
      <c r="AV136" s="74"/>
      <c r="AW136" s="84"/>
    </row>
    <row r="137" spans="1:49" ht="15.75" hidden="1" x14ac:dyDescent="0.2">
      <c r="A137" s="129" t="s">
        <v>2260</v>
      </c>
      <c r="B137" s="68" t="str">
        <f>VLOOKUP($A137,SP_TaxPar_DB[],MATCH(B$2,SP_TaxPar_DB[#Headers],0),FALSE)</f>
        <v>ENV</v>
      </c>
      <c r="C137" s="67">
        <f>IF(VLOOKUP($A137,SP_TaxPar_DB[],MATCH(C$2,SP_TaxPar_DB[#Headers],0),FALSE)="",0,VLOOKUP($A137,SP_TaxPar_DB[],MATCH(C$2,SP_TaxPar_DB[#Headers],0),FALSE))</f>
        <v>0</v>
      </c>
      <c r="D137" s="67" t="str">
        <f>IF(VLOOKUP($A137,SP_TaxPar_DB[],MATCH(D$2,SP_TaxPar_DB[#Headers],0),FALSE)="",0,VLOOKUP($A137,SP_TaxPar_DB[],MATCH(D$2,SP_TaxPar_DB[#Headers],0),FALSE))</f>
        <v>125</v>
      </c>
      <c r="E137" s="69" t="str">
        <f>VLOOKUP($A137,SP_TaxPar_DB[],MATCH(E$2,SP_TaxPar_DB[#Headers],0),FALSE)</f>
        <v>JOHNSON JAYMES K &amp; MASON CATHEY F</v>
      </c>
      <c r="F137" s="69" t="str">
        <f>VLOOKUP($A137,SP_TaxPar_DB[],MATCH(F$2,SP_TaxPar_DB[#Headers],0),FALSE)</f>
        <v>9834 SPRING HARVEST</v>
      </c>
      <c r="G137" s="69" t="str">
        <f>VLOOKUP($A137,SP_TaxPar_DB[],MATCH(G$2,SP_TaxPar_DB[#Headers],0),FALSE)</f>
        <v>SAN ANTONIO</v>
      </c>
      <c r="H137" s="69" t="str">
        <f>VLOOKUP($A137,SP_TaxPar_DB[],MATCH(H$2,SP_TaxPar_DB[#Headers],0),FALSE)</f>
        <v>TX</v>
      </c>
      <c r="I137" s="69" t="str">
        <f>VLOOKUP($A137,SP_TaxPar_DB[],MATCH(I$2,SP_TaxPar_DB[#Headers],0),FALSE)</f>
        <v>78254</v>
      </c>
      <c r="J137" s="69" t="str">
        <f>VLOOKUP($A137,SP_TaxPar_DB[],MATCH(J$2,SP_TaxPar_DB[#Headers],0),FALSE)</f>
        <v>0 COLUMBINE AVE</v>
      </c>
      <c r="K137" s="69" t="str">
        <f>VLOOKUP($A137,SP_TaxPar_DB[],MATCH(K$2,SP_TaxPar_DB[#Headers],0),FALSE)</f>
        <v>SMITH GARDEN SPOT BLOCK 2 LOT 22 Acres:0.1148</v>
      </c>
      <c r="L137" s="69">
        <f>VLOOKUP($A137,SP_TaxPar_DB[],MATCH(L$2,SP_TaxPar_DB[#Headers],0),FALSE)</f>
        <v>0</v>
      </c>
      <c r="M137" s="69">
        <f>VLOOKUP($A137,SP_TaxPar_DB[],MATCH(M$2,SP_TaxPar_DB[#Headers],0),FALSE)</f>
        <v>0</v>
      </c>
      <c r="N137" s="69">
        <f>VLOOKUP($A137,SP_TaxPar_DB[],MATCH(N$2,SP_TaxPar_DB[#Headers],0),FALSE)</f>
        <v>0</v>
      </c>
      <c r="O137" s="71">
        <f>VLOOKUP($A137,SP_TaxPar_DB[],MATCH(O$2,SP_TaxPar_DB[#Headers],0),FALSE)</f>
        <v>0</v>
      </c>
      <c r="P137" s="72"/>
      <c r="Q137" s="69"/>
      <c r="R137" s="73"/>
      <c r="S137" s="73"/>
      <c r="T137" s="69"/>
      <c r="U137" s="69"/>
      <c r="V137" s="69"/>
      <c r="W137" s="69"/>
      <c r="X137" s="69"/>
      <c r="Y137" s="69"/>
      <c r="Z137" s="69"/>
      <c r="AA137" s="69"/>
      <c r="AB137" s="74"/>
      <c r="AC137" s="73"/>
      <c r="AD137" s="73"/>
      <c r="AE137" s="74"/>
      <c r="AF137" s="68"/>
      <c r="AG137" s="68"/>
      <c r="AH137" s="74"/>
      <c r="AI137" s="68"/>
      <c r="AJ137" s="68"/>
      <c r="AK137" s="68"/>
      <c r="AL137" s="80"/>
      <c r="AM137" s="81"/>
      <c r="AN137" s="74"/>
      <c r="AO137" s="74"/>
      <c r="AP137" s="74"/>
      <c r="AQ137" s="74"/>
      <c r="AR137" s="74"/>
      <c r="AS137" s="74"/>
      <c r="AT137" s="74"/>
      <c r="AU137" s="74"/>
      <c r="AV137" s="74"/>
      <c r="AW137" s="84"/>
    </row>
    <row r="138" spans="1:49" ht="15.75" hidden="1" x14ac:dyDescent="0.2">
      <c r="A138" s="129" t="s">
        <v>2266</v>
      </c>
      <c r="B138" s="68" t="str">
        <f>VLOOKUP($A138,SP_TaxPar_DB[],MATCH(B$2,SP_TaxPar_DB[#Headers],0),FALSE)</f>
        <v>ENV</v>
      </c>
      <c r="C138" s="67">
        <f>IF(VLOOKUP($A138,SP_TaxPar_DB[],MATCH(C$2,SP_TaxPar_DB[#Headers],0),FALSE)="",0,VLOOKUP($A138,SP_TaxPar_DB[],MATCH(C$2,SP_TaxPar_DB[#Headers],0),FALSE))</f>
        <v>0</v>
      </c>
      <c r="D138" s="67" t="str">
        <f>IF(VLOOKUP($A138,SP_TaxPar_DB[],MATCH(D$2,SP_TaxPar_DB[#Headers],0),FALSE)="",0,VLOOKUP($A138,SP_TaxPar_DB[],MATCH(D$2,SP_TaxPar_DB[#Headers],0),FALSE))</f>
        <v>126</v>
      </c>
      <c r="E138" s="69" t="str">
        <f>VLOOKUP($A138,SP_TaxPar_DB[],MATCH(E$2,SP_TaxPar_DB[#Headers],0),FALSE)</f>
        <v>JOHNSON JAYMES K &amp; MASON CATHY</v>
      </c>
      <c r="F138" s="69" t="str">
        <f>VLOOKUP($A138,SP_TaxPar_DB[],MATCH(F$2,SP_TaxPar_DB[#Headers],0),FALSE)</f>
        <v>128 S OUTLAR</v>
      </c>
      <c r="G138" s="69" t="str">
        <f>VLOOKUP($A138,SP_TaxPar_DB[],MATCH(G$2,SP_TaxPar_DB[#Headers],0),FALSE)</f>
        <v>WHARTON</v>
      </c>
      <c r="H138" s="69" t="str">
        <f>VLOOKUP($A138,SP_TaxPar_DB[],MATCH(H$2,SP_TaxPar_DB[#Headers],0),FALSE)</f>
        <v>TX</v>
      </c>
      <c r="I138" s="69" t="str">
        <f>VLOOKUP($A138,SP_TaxPar_DB[],MATCH(I$2,SP_TaxPar_DB[#Headers],0),FALSE)</f>
        <v>77488</v>
      </c>
      <c r="J138" s="69" t="str">
        <f>VLOOKUP($A138,SP_TaxPar_DB[],MATCH(J$2,SP_TaxPar_DB[#Headers],0),FALSE)</f>
        <v>128 OUTLAR</v>
      </c>
      <c r="K138" s="69" t="str">
        <f>VLOOKUP($A138,SP_TaxPar_DB[],MATCH(K$2,SP_TaxPar_DB[#Headers],0),FALSE)</f>
        <v>SMITH GARDEN SPOT BLOCK 2 LOT 23 Acres:0.1148</v>
      </c>
      <c r="L138" s="69">
        <f>VLOOKUP($A138,SP_TaxPar_DB[],MATCH(L$2,SP_TaxPar_DB[#Headers],0),FALSE)</f>
        <v>0</v>
      </c>
      <c r="M138" s="69">
        <f>VLOOKUP($A138,SP_TaxPar_DB[],MATCH(M$2,SP_TaxPar_DB[#Headers],0),FALSE)</f>
        <v>0</v>
      </c>
      <c r="N138" s="69">
        <f>VLOOKUP($A138,SP_TaxPar_DB[],MATCH(N$2,SP_TaxPar_DB[#Headers],0),FALSE)</f>
        <v>0</v>
      </c>
      <c r="O138" s="71">
        <f>VLOOKUP($A138,SP_TaxPar_DB[],MATCH(O$2,SP_TaxPar_DB[#Headers],0),FALSE)</f>
        <v>0</v>
      </c>
      <c r="P138" s="72"/>
      <c r="Q138" s="69"/>
      <c r="R138" s="73"/>
      <c r="S138" s="73"/>
      <c r="T138" s="69"/>
      <c r="U138" s="69"/>
      <c r="V138" s="69"/>
      <c r="W138" s="69"/>
      <c r="X138" s="69"/>
      <c r="Y138" s="69"/>
      <c r="Z138" s="69"/>
      <c r="AA138" s="69"/>
      <c r="AB138" s="74"/>
      <c r="AC138" s="73"/>
      <c r="AD138" s="73"/>
      <c r="AE138" s="74"/>
      <c r="AF138" s="68"/>
      <c r="AG138" s="68"/>
      <c r="AH138" s="74"/>
      <c r="AI138" s="68"/>
      <c r="AJ138" s="68"/>
      <c r="AK138" s="68"/>
      <c r="AL138" s="80"/>
      <c r="AM138" s="81"/>
      <c r="AN138" s="74"/>
      <c r="AO138" s="74"/>
      <c r="AP138" s="74"/>
      <c r="AQ138" s="74"/>
      <c r="AR138" s="74"/>
      <c r="AS138" s="74"/>
      <c r="AT138" s="74"/>
      <c r="AU138" s="74"/>
      <c r="AV138" s="74"/>
      <c r="AW138" s="84"/>
    </row>
    <row r="139" spans="1:49" ht="15.75" hidden="1" x14ac:dyDescent="0.2">
      <c r="A139" s="129" t="s">
        <v>352</v>
      </c>
      <c r="B139" s="68" t="str">
        <f>VLOOKUP($A139,SP_TaxPar_DB[],MATCH(B$2,SP_TaxPar_DB[#Headers],0),FALSE)</f>
        <v>UNK</v>
      </c>
      <c r="C139" s="67">
        <f>IF(VLOOKUP($A139,SP_TaxPar_DB[],MATCH(C$2,SP_TaxPar_DB[#Headers],0),FALSE)="",0,VLOOKUP($A139,SP_TaxPar_DB[],MATCH(C$2,SP_TaxPar_DB[#Headers],0),FALSE))</f>
        <v>0</v>
      </c>
      <c r="D139" s="67">
        <f>IF(VLOOKUP($A139,SP_TaxPar_DB[],MATCH(D$2,SP_TaxPar_DB[#Headers],0),FALSE)="",0,VLOOKUP($A139,SP_TaxPar_DB[],MATCH(D$2,SP_TaxPar_DB[#Headers],0),FALSE))</f>
        <v>0</v>
      </c>
      <c r="E139" s="69" t="str">
        <f>VLOOKUP($A139,SP_TaxPar_DB[],MATCH(E$2,SP_TaxPar_DB[#Headers],0),FALSE)</f>
        <v>Bobby Joe Allen</v>
      </c>
      <c r="F139" s="69" t="str">
        <f>VLOOKUP($A139,SP_TaxPar_DB[],MATCH(F$2,SP_TaxPar_DB[#Headers],0),FALSE)</f>
        <v>5810 Darlinghurst</v>
      </c>
      <c r="G139" s="69" t="str">
        <f>VLOOKUP($A139,SP_TaxPar_DB[],MATCH(G$2,SP_TaxPar_DB[#Headers],0),FALSE)</f>
        <v>Houston</v>
      </c>
      <c r="H139" s="69" t="str">
        <f>VLOOKUP($A139,SP_TaxPar_DB[],MATCH(H$2,SP_TaxPar_DB[#Headers],0),FALSE)</f>
        <v>TX</v>
      </c>
      <c r="I139" s="69" t="str">
        <f>VLOOKUP($A139,SP_TaxPar_DB[],MATCH(I$2,SP_TaxPar_DB[#Headers],0),FALSE)</f>
        <v>77085</v>
      </c>
      <c r="J139" s="69" t="str">
        <f>VLOOKUP($A139,SP_TaxPar_DB[],MATCH(J$2,SP_TaxPar_DB[#Headers],0),FALSE)</f>
        <v>0 Columbine Ave</v>
      </c>
      <c r="K139" s="69" t="str">
        <f>VLOOKUP($A139,SP_TaxPar_DB[],MATCH(K$2,SP_TaxPar_DB[#Headers],0),FALSE)</f>
        <v>Smith Garden Spot Block 3 Lot 1, 2</v>
      </c>
      <c r="L139" s="69">
        <f>VLOOKUP($A139,SP_TaxPar_DB[],MATCH(L$2,SP_TaxPar_DB[#Headers],0),FALSE)</f>
        <v>0.2296</v>
      </c>
      <c r="M139" s="69" t="str">
        <f>VLOOKUP($A139,SP_TaxPar_DB[],MATCH(M$2,SP_TaxPar_DB[#Headers],0),FALSE)</f>
        <v>Residential</v>
      </c>
      <c r="N139" s="69">
        <f>VLOOKUP($A139,SP_TaxPar_DB[],MATCH(N$2,SP_TaxPar_DB[#Headers],0),FALSE)</f>
        <v>0</v>
      </c>
      <c r="O139" s="71" t="str">
        <f>VLOOKUP($A139,SP_TaxPar_DB[],MATCH(O$2,SP_TaxPar_DB[#Headers],0),FALSE)</f>
        <v>Mobile Home - was PH1 T219</v>
      </c>
      <c r="P139" s="72"/>
      <c r="Q139" s="69"/>
      <c r="R139" s="73"/>
      <c r="S139" s="73"/>
      <c r="T139" s="69"/>
      <c r="U139" s="69"/>
      <c r="V139" s="69"/>
      <c r="W139" s="69"/>
      <c r="X139" s="69"/>
      <c r="Y139" s="69"/>
      <c r="Z139" s="69"/>
      <c r="AA139" s="69"/>
      <c r="AB139" s="74"/>
      <c r="AC139" s="73"/>
      <c r="AD139" s="73"/>
      <c r="AE139" s="74"/>
      <c r="AF139" s="68"/>
      <c r="AG139" s="68"/>
      <c r="AH139" s="74"/>
      <c r="AI139" s="68"/>
      <c r="AJ139" s="68"/>
      <c r="AK139" s="68"/>
      <c r="AL139" s="80"/>
      <c r="AM139" s="81"/>
      <c r="AN139" s="74"/>
      <c r="AO139" s="74"/>
      <c r="AP139" s="74"/>
      <c r="AQ139" s="74"/>
      <c r="AR139" s="74"/>
      <c r="AS139" s="74"/>
      <c r="AT139" s="74"/>
      <c r="AU139" s="74"/>
      <c r="AV139" s="74"/>
      <c r="AW139" s="84"/>
    </row>
    <row r="140" spans="1:49" ht="15.75" hidden="1" x14ac:dyDescent="0.2">
      <c r="A140" s="129" t="s">
        <v>2271</v>
      </c>
      <c r="B140" s="68" t="str">
        <f>VLOOKUP($A140,SP_TaxPar_DB[],MATCH(B$2,SP_TaxPar_DB[#Headers],0),FALSE)</f>
        <v>ENV</v>
      </c>
      <c r="C140" s="67">
        <f>IF(VLOOKUP($A140,SP_TaxPar_DB[],MATCH(C$2,SP_TaxPar_DB[#Headers],0),FALSE)="",0,VLOOKUP($A140,SP_TaxPar_DB[],MATCH(C$2,SP_TaxPar_DB[#Headers],0),FALSE))</f>
        <v>0</v>
      </c>
      <c r="D140" s="67" t="str">
        <f>IF(VLOOKUP($A140,SP_TaxPar_DB[],MATCH(D$2,SP_TaxPar_DB[#Headers],0),FALSE)="",0,VLOOKUP($A140,SP_TaxPar_DB[],MATCH(D$2,SP_TaxPar_DB[#Headers],0),FALSE))</f>
        <v>128</v>
      </c>
      <c r="E140" s="69" t="str">
        <f>VLOOKUP($A140,SP_TaxPar_DB[],MATCH(E$2,SP_TaxPar_DB[#Headers],0),FALSE)</f>
        <v>JACKSON JOSEPHINE EST %PAUL BILLYE</v>
      </c>
      <c r="F140" s="69" t="str">
        <f>VLOOKUP($A140,SP_TaxPar_DB[],MATCH(F$2,SP_TaxPar_DB[#Headers],0),FALSE)</f>
        <v>4619 TIDEWATER DR</v>
      </c>
      <c r="G140" s="69" t="str">
        <f>VLOOKUP($A140,SP_TaxPar_DB[],MATCH(G$2,SP_TaxPar_DB[#Headers],0),FALSE)</f>
        <v>HOUSTON</v>
      </c>
      <c r="H140" s="69" t="str">
        <f>VLOOKUP($A140,SP_TaxPar_DB[],MATCH(H$2,SP_TaxPar_DB[#Headers],0),FALSE)</f>
        <v>TX</v>
      </c>
      <c r="I140" s="69" t="str">
        <f>VLOOKUP($A140,SP_TaxPar_DB[],MATCH(I$2,SP_TaxPar_DB[#Headers],0),FALSE)</f>
        <v>77045-4153</v>
      </c>
      <c r="J140" s="69" t="str">
        <f>VLOOKUP($A140,SP_TaxPar_DB[],MATCH(J$2,SP_TaxPar_DB[#Headers],0),FALSE)</f>
        <v>1615 COLUMBINE AVE</v>
      </c>
      <c r="K140" s="69" t="str">
        <f>VLOOKUP($A140,SP_TaxPar_DB[],MATCH(K$2,SP_TaxPar_DB[#Headers],0),FALSE)</f>
        <v>SMITH GARDEN SPOT BLOCK 3 LOT 3 Acres:0.1148</v>
      </c>
      <c r="L140" s="69">
        <f>VLOOKUP($A140,SP_TaxPar_DB[],MATCH(L$2,SP_TaxPar_DB[#Headers],0),FALSE)</f>
        <v>0</v>
      </c>
      <c r="M140" s="69">
        <f>VLOOKUP($A140,SP_TaxPar_DB[],MATCH(M$2,SP_TaxPar_DB[#Headers],0),FALSE)</f>
        <v>0</v>
      </c>
      <c r="N140" s="69">
        <f>VLOOKUP($A140,SP_TaxPar_DB[],MATCH(N$2,SP_TaxPar_DB[#Headers],0),FALSE)</f>
        <v>0</v>
      </c>
      <c r="O140" s="71">
        <f>VLOOKUP($A140,SP_TaxPar_DB[],MATCH(O$2,SP_TaxPar_DB[#Headers],0),FALSE)</f>
        <v>0</v>
      </c>
      <c r="P140" s="72"/>
      <c r="Q140" s="69"/>
      <c r="R140" s="73"/>
      <c r="S140" s="73"/>
      <c r="T140" s="69"/>
      <c r="U140" s="69"/>
      <c r="V140" s="69"/>
      <c r="W140" s="69"/>
      <c r="X140" s="69"/>
      <c r="Y140" s="69"/>
      <c r="Z140" s="69"/>
      <c r="AA140" s="69"/>
      <c r="AB140" s="74"/>
      <c r="AC140" s="73"/>
      <c r="AD140" s="73"/>
      <c r="AE140" s="74"/>
      <c r="AF140" s="68"/>
      <c r="AG140" s="68"/>
      <c r="AH140" s="74"/>
      <c r="AI140" s="68"/>
      <c r="AJ140" s="68"/>
      <c r="AK140" s="68"/>
      <c r="AL140" s="80"/>
      <c r="AM140" s="81"/>
      <c r="AN140" s="74"/>
      <c r="AO140" s="74"/>
      <c r="AP140" s="74"/>
      <c r="AQ140" s="74"/>
      <c r="AR140" s="74"/>
      <c r="AS140" s="74"/>
      <c r="AT140" s="74"/>
      <c r="AU140" s="74"/>
      <c r="AV140" s="74"/>
      <c r="AW140" s="84"/>
    </row>
    <row r="141" spans="1:49" ht="15.75" hidden="1" x14ac:dyDescent="0.2">
      <c r="A141" s="129" t="s">
        <v>2277</v>
      </c>
      <c r="B141" s="68" t="str">
        <f>VLOOKUP($A141,SP_TaxPar_DB[],MATCH(B$2,SP_TaxPar_DB[#Headers],0),FALSE)</f>
        <v>ENV</v>
      </c>
      <c r="C141" s="67">
        <f>IF(VLOOKUP($A141,SP_TaxPar_DB[],MATCH(C$2,SP_TaxPar_DB[#Headers],0),FALSE)="",0,VLOOKUP($A141,SP_TaxPar_DB[],MATCH(C$2,SP_TaxPar_DB[#Headers],0),FALSE))</f>
        <v>0</v>
      </c>
      <c r="D141" s="67" t="str">
        <f>IF(VLOOKUP($A141,SP_TaxPar_DB[],MATCH(D$2,SP_TaxPar_DB[#Headers],0),FALSE)="",0,VLOOKUP($A141,SP_TaxPar_DB[],MATCH(D$2,SP_TaxPar_DB[#Headers],0),FALSE))</f>
        <v>129</v>
      </c>
      <c r="E141" s="69" t="str">
        <f>VLOOKUP($A141,SP_TaxPar_DB[],MATCH(E$2,SP_TaxPar_DB[#Headers],0),FALSE)</f>
        <v>ALLEN TROY</v>
      </c>
      <c r="F141" s="69" t="str">
        <f>VLOOKUP($A141,SP_TaxPar_DB[],MATCH(F$2,SP_TaxPar_DB[#Headers],0),FALSE)</f>
        <v>1500 CAMELLIA AVE</v>
      </c>
      <c r="G141" s="69" t="str">
        <f>VLOOKUP($A141,SP_TaxPar_DB[],MATCH(G$2,SP_TaxPar_DB[#Headers],0),FALSE)</f>
        <v>WHARTON</v>
      </c>
      <c r="H141" s="69" t="str">
        <f>VLOOKUP($A141,SP_TaxPar_DB[],MATCH(H$2,SP_TaxPar_DB[#Headers],0),FALSE)</f>
        <v>TX</v>
      </c>
      <c r="I141" s="69" t="str">
        <f>VLOOKUP($A141,SP_TaxPar_DB[],MATCH(I$2,SP_TaxPar_DB[#Headers],0),FALSE)</f>
        <v>77488</v>
      </c>
      <c r="J141" s="69" t="str">
        <f>VLOOKUP($A141,SP_TaxPar_DB[],MATCH(J$2,SP_TaxPar_DB[#Headers],0),FALSE)</f>
        <v>1607 COLUMBINE AVE</v>
      </c>
      <c r="K141" s="69" t="str">
        <f>VLOOKUP($A141,SP_TaxPar_DB[],MATCH(K$2,SP_TaxPar_DB[#Headers],0),FALSE)</f>
        <v>SMITH GARDEN SPOT BLOCK 3 LOT 4 Acres:0.1148</v>
      </c>
      <c r="L141" s="69">
        <f>VLOOKUP($A141,SP_TaxPar_DB[],MATCH(L$2,SP_TaxPar_DB[#Headers],0),FALSE)</f>
        <v>0</v>
      </c>
      <c r="M141" s="69">
        <f>VLOOKUP($A141,SP_TaxPar_DB[],MATCH(M$2,SP_TaxPar_DB[#Headers],0),FALSE)</f>
        <v>0</v>
      </c>
      <c r="N141" s="69">
        <f>VLOOKUP($A141,SP_TaxPar_DB[],MATCH(N$2,SP_TaxPar_DB[#Headers],0),FALSE)</f>
        <v>0</v>
      </c>
      <c r="O141" s="71">
        <f>VLOOKUP($A141,SP_TaxPar_DB[],MATCH(O$2,SP_TaxPar_DB[#Headers],0),FALSE)</f>
        <v>0</v>
      </c>
      <c r="P141" s="72"/>
      <c r="Q141" s="69"/>
      <c r="R141" s="73"/>
      <c r="S141" s="73"/>
      <c r="T141" s="69"/>
      <c r="U141" s="69"/>
      <c r="V141" s="69"/>
      <c r="W141" s="69"/>
      <c r="X141" s="69"/>
      <c r="Y141" s="69"/>
      <c r="Z141" s="69"/>
      <c r="AA141" s="69"/>
      <c r="AB141" s="74"/>
      <c r="AC141" s="73"/>
      <c r="AD141" s="73"/>
      <c r="AE141" s="74"/>
      <c r="AF141" s="68"/>
      <c r="AG141" s="68"/>
      <c r="AH141" s="74"/>
      <c r="AI141" s="68"/>
      <c r="AJ141" s="68"/>
      <c r="AK141" s="68"/>
      <c r="AL141" s="80"/>
      <c r="AM141" s="81"/>
      <c r="AN141" s="74"/>
      <c r="AO141" s="74"/>
      <c r="AP141" s="74"/>
      <c r="AQ141" s="74"/>
      <c r="AR141" s="74"/>
      <c r="AS141" s="74"/>
      <c r="AT141" s="74"/>
      <c r="AU141" s="74"/>
      <c r="AV141" s="74"/>
      <c r="AW141" s="84"/>
    </row>
    <row r="142" spans="1:49" ht="15.75" hidden="1" x14ac:dyDescent="0.2">
      <c r="A142" s="129" t="s">
        <v>2282</v>
      </c>
      <c r="B142" s="68" t="str">
        <f>VLOOKUP($A142,SP_TaxPar_DB[],MATCH(B$2,SP_TaxPar_DB[#Headers],0),FALSE)</f>
        <v>ENV</v>
      </c>
      <c r="C142" s="67">
        <f>IF(VLOOKUP($A142,SP_TaxPar_DB[],MATCH(C$2,SP_TaxPar_DB[#Headers],0),FALSE)="",0,VLOOKUP($A142,SP_TaxPar_DB[],MATCH(C$2,SP_TaxPar_DB[#Headers],0),FALSE))</f>
        <v>0</v>
      </c>
      <c r="D142" s="67" t="str">
        <f>IF(VLOOKUP($A142,SP_TaxPar_DB[],MATCH(D$2,SP_TaxPar_DB[#Headers],0),FALSE)="",0,VLOOKUP($A142,SP_TaxPar_DB[],MATCH(D$2,SP_TaxPar_DB[#Headers],0),FALSE))</f>
        <v>130</v>
      </c>
      <c r="E142" s="69" t="str">
        <f>VLOOKUP($A142,SP_TaxPar_DB[],MATCH(E$2,SP_TaxPar_DB[#Headers],0),FALSE)</f>
        <v>ALLEN WILLAM/WHARTON RECOVERY TEAM</v>
      </c>
      <c r="F142" s="69" t="str">
        <f>VLOOKUP($A142,SP_TaxPar_DB[],MATCH(F$2,SP_TaxPar_DB[#Headers],0),FALSE)</f>
        <v>PO BOX 641</v>
      </c>
      <c r="G142" s="69" t="str">
        <f>VLOOKUP($A142,SP_TaxPar_DB[],MATCH(G$2,SP_TaxPar_DB[#Headers],0),FALSE)</f>
        <v>WHARTON</v>
      </c>
      <c r="H142" s="69" t="str">
        <f>VLOOKUP($A142,SP_TaxPar_DB[],MATCH(H$2,SP_TaxPar_DB[#Headers],0),FALSE)</f>
        <v>TX</v>
      </c>
      <c r="I142" s="69" t="str">
        <f>VLOOKUP($A142,SP_TaxPar_DB[],MATCH(I$2,SP_TaxPar_DB[#Headers],0),FALSE)</f>
        <v>77488</v>
      </c>
      <c r="J142" s="69" t="str">
        <f>VLOOKUP($A142,SP_TaxPar_DB[],MATCH(J$2,SP_TaxPar_DB[#Headers],0),FALSE)</f>
        <v>1607 COLUMBINE AVE</v>
      </c>
      <c r="K142" s="69" t="str">
        <f>VLOOKUP($A142,SP_TaxPar_DB[],MATCH(K$2,SP_TaxPar_DB[#Headers],0),FALSE)</f>
        <v>SMITH GARDEN SPOT BLOCK 3 LOT 5 Acres:0.1148</v>
      </c>
      <c r="L142" s="69">
        <f>VLOOKUP($A142,SP_TaxPar_DB[],MATCH(L$2,SP_TaxPar_DB[#Headers],0),FALSE)</f>
        <v>0</v>
      </c>
      <c r="M142" s="69">
        <f>VLOOKUP($A142,SP_TaxPar_DB[],MATCH(M$2,SP_TaxPar_DB[#Headers],0),FALSE)</f>
        <v>0</v>
      </c>
      <c r="N142" s="69">
        <f>VLOOKUP($A142,SP_TaxPar_DB[],MATCH(N$2,SP_TaxPar_DB[#Headers],0),FALSE)</f>
        <v>0</v>
      </c>
      <c r="O142" s="71">
        <f>VLOOKUP($A142,SP_TaxPar_DB[],MATCH(O$2,SP_TaxPar_DB[#Headers],0),FALSE)</f>
        <v>0</v>
      </c>
      <c r="P142" s="72"/>
      <c r="Q142" s="69"/>
      <c r="R142" s="73"/>
      <c r="S142" s="73"/>
      <c r="T142" s="69"/>
      <c r="U142" s="69"/>
      <c r="V142" s="69"/>
      <c r="W142" s="69"/>
      <c r="X142" s="69"/>
      <c r="Y142" s="69"/>
      <c r="Z142" s="69"/>
      <c r="AA142" s="69"/>
      <c r="AB142" s="74"/>
      <c r="AC142" s="73"/>
      <c r="AD142" s="73"/>
      <c r="AE142" s="74"/>
      <c r="AF142" s="68"/>
      <c r="AG142" s="68"/>
      <c r="AH142" s="74"/>
      <c r="AI142" s="68"/>
      <c r="AJ142" s="68"/>
      <c r="AK142" s="68"/>
      <c r="AL142" s="80"/>
      <c r="AM142" s="81"/>
      <c r="AN142" s="74"/>
      <c r="AO142" s="74"/>
      <c r="AP142" s="74"/>
      <c r="AQ142" s="74"/>
      <c r="AR142" s="74"/>
      <c r="AS142" s="74"/>
      <c r="AT142" s="74"/>
      <c r="AU142" s="74"/>
      <c r="AV142" s="74"/>
      <c r="AW142" s="84"/>
    </row>
    <row r="143" spans="1:49" ht="15.75" hidden="1" x14ac:dyDescent="0.2">
      <c r="A143" s="129" t="s">
        <v>2285</v>
      </c>
      <c r="B143" s="68" t="str">
        <f>VLOOKUP($A143,SP_TaxPar_DB[],MATCH(B$2,SP_TaxPar_DB[#Headers],0),FALSE)</f>
        <v>ENV</v>
      </c>
      <c r="C143" s="67">
        <f>IF(VLOOKUP($A143,SP_TaxPar_DB[],MATCH(C$2,SP_TaxPar_DB[#Headers],0),FALSE)="",0,VLOOKUP($A143,SP_TaxPar_DB[],MATCH(C$2,SP_TaxPar_DB[#Headers],0),FALSE))</f>
        <v>0</v>
      </c>
      <c r="D143" s="67" t="str">
        <f>IF(VLOOKUP($A143,SP_TaxPar_DB[],MATCH(D$2,SP_TaxPar_DB[#Headers],0),FALSE)="",0,VLOOKUP($A143,SP_TaxPar_DB[],MATCH(D$2,SP_TaxPar_DB[#Headers],0),FALSE))</f>
        <v>131</v>
      </c>
      <c r="E143" s="69" t="str">
        <f>VLOOKUP($A143,SP_TaxPar_DB[],MATCH(E$2,SP_TaxPar_DB[#Headers],0),FALSE)</f>
        <v>PHILLIPS ROBERT L ETUX EARLEAN</v>
      </c>
      <c r="F143" s="69" t="str">
        <f>VLOOKUP($A143,SP_TaxPar_DB[],MATCH(F$2,SP_TaxPar_DB[#Headers],0),FALSE)</f>
        <v>1121 WESTGATE DR</v>
      </c>
      <c r="G143" s="69" t="str">
        <f>VLOOKUP($A143,SP_TaxPar_DB[],MATCH(G$2,SP_TaxPar_DB[#Headers],0),FALSE)</f>
        <v>WHARTON</v>
      </c>
      <c r="H143" s="69" t="str">
        <f>VLOOKUP($A143,SP_TaxPar_DB[],MATCH(H$2,SP_TaxPar_DB[#Headers],0),FALSE)</f>
        <v>TX</v>
      </c>
      <c r="I143" s="69" t="str">
        <f>VLOOKUP($A143,SP_TaxPar_DB[],MATCH(I$2,SP_TaxPar_DB[#Headers],0),FALSE)</f>
        <v>77488</v>
      </c>
      <c r="J143" s="69" t="str">
        <f>VLOOKUP($A143,SP_TaxPar_DB[],MATCH(J$2,SP_TaxPar_DB[#Headers],0),FALSE)</f>
        <v>1603 COLUMBINE AVE</v>
      </c>
      <c r="K143" s="69" t="str">
        <f>VLOOKUP($A143,SP_TaxPar_DB[],MATCH(K$2,SP_TaxPar_DB[#Headers],0),FALSE)</f>
        <v>SMITH GARDEN SPOT BLOCK 3 LOT 6 Acres:0.1148</v>
      </c>
      <c r="L143" s="69">
        <f>VLOOKUP($A143,SP_TaxPar_DB[],MATCH(L$2,SP_TaxPar_DB[#Headers],0),FALSE)</f>
        <v>0</v>
      </c>
      <c r="M143" s="69">
        <f>VLOOKUP($A143,SP_TaxPar_DB[],MATCH(M$2,SP_TaxPar_DB[#Headers],0),FALSE)</f>
        <v>0</v>
      </c>
      <c r="N143" s="69">
        <f>VLOOKUP($A143,SP_TaxPar_DB[],MATCH(N$2,SP_TaxPar_DB[#Headers],0),FALSE)</f>
        <v>0</v>
      </c>
      <c r="O143" s="71">
        <f>VLOOKUP($A143,SP_TaxPar_DB[],MATCH(O$2,SP_TaxPar_DB[#Headers],0),FALSE)</f>
        <v>0</v>
      </c>
      <c r="P143" s="72"/>
      <c r="Q143" s="69"/>
      <c r="R143" s="73"/>
      <c r="S143" s="73"/>
      <c r="T143" s="69"/>
      <c r="U143" s="69"/>
      <c r="V143" s="69"/>
      <c r="W143" s="69"/>
      <c r="X143" s="69"/>
      <c r="Y143" s="69"/>
      <c r="Z143" s="69"/>
      <c r="AA143" s="69"/>
      <c r="AB143" s="74"/>
      <c r="AC143" s="73"/>
      <c r="AD143" s="73"/>
      <c r="AE143" s="74"/>
      <c r="AF143" s="68"/>
      <c r="AG143" s="68"/>
      <c r="AH143" s="74"/>
      <c r="AI143" s="68"/>
      <c r="AJ143" s="68"/>
      <c r="AK143" s="68"/>
      <c r="AL143" s="80"/>
      <c r="AM143" s="81"/>
      <c r="AN143" s="74"/>
      <c r="AO143" s="74"/>
      <c r="AP143" s="74"/>
      <c r="AQ143" s="74"/>
      <c r="AR143" s="74"/>
      <c r="AS143" s="74"/>
      <c r="AT143" s="74"/>
      <c r="AU143" s="74"/>
      <c r="AV143" s="74"/>
      <c r="AW143" s="84"/>
    </row>
    <row r="144" spans="1:49" ht="15.75" hidden="1" x14ac:dyDescent="0.2">
      <c r="A144" s="129" t="s">
        <v>2290</v>
      </c>
      <c r="B144" s="68" t="str">
        <f>VLOOKUP($A144,SP_TaxPar_DB[],MATCH(B$2,SP_TaxPar_DB[#Headers],0),FALSE)</f>
        <v>ENV</v>
      </c>
      <c r="C144" s="67">
        <f>IF(VLOOKUP($A144,SP_TaxPar_DB[],MATCH(C$2,SP_TaxPar_DB[#Headers],0),FALSE)="",0,VLOOKUP($A144,SP_TaxPar_DB[],MATCH(C$2,SP_TaxPar_DB[#Headers],0),FALSE))</f>
        <v>0</v>
      </c>
      <c r="D144" s="67" t="str">
        <f>IF(VLOOKUP($A144,SP_TaxPar_DB[],MATCH(D$2,SP_TaxPar_DB[#Headers],0),FALSE)="",0,VLOOKUP($A144,SP_TaxPar_DB[],MATCH(D$2,SP_TaxPar_DB[#Headers],0),FALSE))</f>
        <v>132</v>
      </c>
      <c r="E144" s="69" t="str">
        <f>VLOOKUP($A144,SP_TaxPar_DB[],MATCH(E$2,SP_TaxPar_DB[#Headers],0),FALSE)</f>
        <v>THOMPSON JOE</v>
      </c>
      <c r="F144" s="69" t="str">
        <f>VLOOKUP($A144,SP_TaxPar_DB[],MATCH(F$2,SP_TaxPar_DB[#Headers],0),FALSE)</f>
        <v>1523 COLUMBINE</v>
      </c>
      <c r="G144" s="69" t="str">
        <f>VLOOKUP($A144,SP_TaxPar_DB[],MATCH(G$2,SP_TaxPar_DB[#Headers],0),FALSE)</f>
        <v>WHARTON</v>
      </c>
      <c r="H144" s="69" t="str">
        <f>VLOOKUP($A144,SP_TaxPar_DB[],MATCH(H$2,SP_TaxPar_DB[#Headers],0),FALSE)</f>
        <v>TX</v>
      </c>
      <c r="I144" s="69" t="str">
        <f>VLOOKUP($A144,SP_TaxPar_DB[],MATCH(I$2,SP_TaxPar_DB[#Headers],0),FALSE)</f>
        <v>77488</v>
      </c>
      <c r="J144" s="69" t="str">
        <f>VLOOKUP($A144,SP_TaxPar_DB[],MATCH(J$2,SP_TaxPar_DB[#Headers],0),FALSE)</f>
        <v>1523 COLUMBINE AVE</v>
      </c>
      <c r="K144" s="69" t="str">
        <f>VLOOKUP($A144,SP_TaxPar_DB[],MATCH(K$2,SP_TaxPar_DB[#Headers],0),FALSE)</f>
        <v>SMITH GARDEN SPOT BLOCK 3 LOT 7 Acres:0.1148</v>
      </c>
      <c r="L144" s="69">
        <f>VLOOKUP($A144,SP_TaxPar_DB[],MATCH(L$2,SP_TaxPar_DB[#Headers],0),FALSE)</f>
        <v>0</v>
      </c>
      <c r="M144" s="69">
        <f>VLOOKUP($A144,SP_TaxPar_DB[],MATCH(M$2,SP_TaxPar_DB[#Headers],0),FALSE)</f>
        <v>0</v>
      </c>
      <c r="N144" s="69">
        <f>VLOOKUP($A144,SP_TaxPar_DB[],MATCH(N$2,SP_TaxPar_DB[#Headers],0),FALSE)</f>
        <v>0</v>
      </c>
      <c r="O144" s="71">
        <f>VLOOKUP($A144,SP_TaxPar_DB[],MATCH(O$2,SP_TaxPar_DB[#Headers],0),FALSE)</f>
        <v>0</v>
      </c>
      <c r="P144" s="72"/>
      <c r="Q144" s="69"/>
      <c r="R144" s="73"/>
      <c r="S144" s="73"/>
      <c r="T144" s="69"/>
      <c r="U144" s="69"/>
      <c r="V144" s="69"/>
      <c r="W144" s="69"/>
      <c r="X144" s="69"/>
      <c r="Y144" s="69"/>
      <c r="Z144" s="69"/>
      <c r="AA144" s="69"/>
      <c r="AB144" s="74"/>
      <c r="AC144" s="73"/>
      <c r="AD144" s="73"/>
      <c r="AE144" s="74"/>
      <c r="AF144" s="68"/>
      <c r="AG144" s="68"/>
      <c r="AH144" s="74"/>
      <c r="AI144" s="68"/>
      <c r="AJ144" s="68"/>
      <c r="AK144" s="68"/>
      <c r="AL144" s="80"/>
      <c r="AM144" s="81"/>
      <c r="AN144" s="74"/>
      <c r="AO144" s="74"/>
      <c r="AP144" s="74"/>
      <c r="AQ144" s="74"/>
      <c r="AR144" s="74"/>
      <c r="AS144" s="74"/>
      <c r="AT144" s="74"/>
      <c r="AU144" s="74"/>
      <c r="AV144" s="74"/>
      <c r="AW144" s="84"/>
    </row>
    <row r="145" spans="1:49" ht="15.75" hidden="1" x14ac:dyDescent="0.2">
      <c r="A145" s="129" t="s">
        <v>2295</v>
      </c>
      <c r="B145" s="68" t="str">
        <f>VLOOKUP($A145,SP_TaxPar_DB[],MATCH(B$2,SP_TaxPar_DB[#Headers],0),FALSE)</f>
        <v>ENV</v>
      </c>
      <c r="C145" s="67">
        <f>IF(VLOOKUP($A145,SP_TaxPar_DB[],MATCH(C$2,SP_TaxPar_DB[#Headers],0),FALSE)="",0,VLOOKUP($A145,SP_TaxPar_DB[],MATCH(C$2,SP_TaxPar_DB[#Headers],0),FALSE))</f>
        <v>0</v>
      </c>
      <c r="D145" s="67" t="str">
        <f>IF(VLOOKUP($A145,SP_TaxPar_DB[],MATCH(D$2,SP_TaxPar_DB[#Headers],0),FALSE)="",0,VLOOKUP($A145,SP_TaxPar_DB[],MATCH(D$2,SP_TaxPar_DB[#Headers],0),FALSE))</f>
        <v>133</v>
      </c>
      <c r="E145" s="69" t="str">
        <f>VLOOKUP($A145,SP_TaxPar_DB[],MATCH(E$2,SP_TaxPar_DB[#Headers],0),FALSE)</f>
        <v>ALLEN TROY</v>
      </c>
      <c r="F145" s="69" t="str">
        <f>VLOOKUP($A145,SP_TaxPar_DB[],MATCH(F$2,SP_TaxPar_DB[#Headers],0),FALSE)</f>
        <v>1500 CAMELLIA AVE</v>
      </c>
      <c r="G145" s="69" t="str">
        <f>VLOOKUP($A145,SP_TaxPar_DB[],MATCH(G$2,SP_TaxPar_DB[#Headers],0),FALSE)</f>
        <v>WHARTON</v>
      </c>
      <c r="H145" s="69" t="str">
        <f>VLOOKUP($A145,SP_TaxPar_DB[],MATCH(H$2,SP_TaxPar_DB[#Headers],0),FALSE)</f>
        <v>TX</v>
      </c>
      <c r="I145" s="69" t="str">
        <f>VLOOKUP($A145,SP_TaxPar_DB[],MATCH(I$2,SP_TaxPar_DB[#Headers],0),FALSE)</f>
        <v>77488</v>
      </c>
      <c r="J145" s="69" t="str">
        <f>VLOOKUP($A145,SP_TaxPar_DB[],MATCH(J$2,SP_TaxPar_DB[#Headers],0),FALSE)</f>
        <v>1517 COLUMBINE AVE</v>
      </c>
      <c r="K145" s="69" t="str">
        <f>VLOOKUP($A145,SP_TaxPar_DB[],MATCH(K$2,SP_TaxPar_DB[#Headers],0),FALSE)</f>
        <v>SMITH GARDEN SPOT BLOCK 3 LOT 8 Acres:0.1148</v>
      </c>
      <c r="L145" s="69">
        <f>VLOOKUP($A145,SP_TaxPar_DB[],MATCH(L$2,SP_TaxPar_DB[#Headers],0),FALSE)</f>
        <v>0</v>
      </c>
      <c r="M145" s="69">
        <f>VLOOKUP($A145,SP_TaxPar_DB[],MATCH(M$2,SP_TaxPar_DB[#Headers],0),FALSE)</f>
        <v>0</v>
      </c>
      <c r="N145" s="69">
        <f>VLOOKUP($A145,SP_TaxPar_DB[],MATCH(N$2,SP_TaxPar_DB[#Headers],0),FALSE)</f>
        <v>0</v>
      </c>
      <c r="O145" s="71">
        <f>VLOOKUP($A145,SP_TaxPar_DB[],MATCH(O$2,SP_TaxPar_DB[#Headers],0),FALSE)</f>
        <v>0</v>
      </c>
      <c r="P145" s="72"/>
      <c r="Q145" s="69"/>
      <c r="R145" s="73"/>
      <c r="S145" s="73"/>
      <c r="T145" s="69"/>
      <c r="U145" s="69"/>
      <c r="V145" s="69"/>
      <c r="W145" s="69"/>
      <c r="X145" s="69"/>
      <c r="Y145" s="69"/>
      <c r="Z145" s="69"/>
      <c r="AA145" s="69"/>
      <c r="AB145" s="74"/>
      <c r="AC145" s="73"/>
      <c r="AD145" s="73"/>
      <c r="AE145" s="74"/>
      <c r="AF145" s="68"/>
      <c r="AG145" s="68"/>
      <c r="AH145" s="74"/>
      <c r="AI145" s="68"/>
      <c r="AJ145" s="68"/>
      <c r="AK145" s="68"/>
      <c r="AL145" s="80"/>
      <c r="AM145" s="81"/>
      <c r="AN145" s="74"/>
      <c r="AO145" s="74"/>
      <c r="AP145" s="74"/>
      <c r="AQ145" s="74"/>
      <c r="AR145" s="74"/>
      <c r="AS145" s="74"/>
      <c r="AT145" s="74"/>
      <c r="AU145" s="74"/>
      <c r="AV145" s="74"/>
      <c r="AW145" s="84"/>
    </row>
    <row r="146" spans="1:49" ht="15.75" hidden="1" x14ac:dyDescent="0.2">
      <c r="A146" s="129" t="s">
        <v>2298</v>
      </c>
      <c r="B146" s="68" t="str">
        <f>VLOOKUP($A146,SP_TaxPar_DB[],MATCH(B$2,SP_TaxPar_DB[#Headers],0),FALSE)</f>
        <v>ENV</v>
      </c>
      <c r="C146" s="67">
        <f>IF(VLOOKUP($A146,SP_TaxPar_DB[],MATCH(C$2,SP_TaxPar_DB[#Headers],0),FALSE)="",0,VLOOKUP($A146,SP_TaxPar_DB[],MATCH(C$2,SP_TaxPar_DB[#Headers],0),FALSE))</f>
        <v>0</v>
      </c>
      <c r="D146" s="67" t="str">
        <f>IF(VLOOKUP($A146,SP_TaxPar_DB[],MATCH(D$2,SP_TaxPar_DB[#Headers],0),FALSE)="",0,VLOOKUP($A146,SP_TaxPar_DB[],MATCH(D$2,SP_TaxPar_DB[#Headers],0),FALSE))</f>
        <v>134</v>
      </c>
      <c r="E146" s="69" t="str">
        <f>VLOOKUP($A146,SP_TaxPar_DB[],MATCH(E$2,SP_TaxPar_DB[#Headers],0),FALSE)</f>
        <v>ALLEN TROY</v>
      </c>
      <c r="F146" s="69" t="str">
        <f>VLOOKUP($A146,SP_TaxPar_DB[],MATCH(F$2,SP_TaxPar_DB[#Headers],0),FALSE)</f>
        <v>1500 CAMELLIA AVE</v>
      </c>
      <c r="G146" s="69" t="str">
        <f>VLOOKUP($A146,SP_TaxPar_DB[],MATCH(G$2,SP_TaxPar_DB[#Headers],0),FALSE)</f>
        <v>WHARTON</v>
      </c>
      <c r="H146" s="69" t="str">
        <f>VLOOKUP($A146,SP_TaxPar_DB[],MATCH(H$2,SP_TaxPar_DB[#Headers],0),FALSE)</f>
        <v>TX</v>
      </c>
      <c r="I146" s="69" t="str">
        <f>VLOOKUP($A146,SP_TaxPar_DB[],MATCH(I$2,SP_TaxPar_DB[#Headers],0),FALSE)</f>
        <v>77488</v>
      </c>
      <c r="J146" s="69" t="str">
        <f>VLOOKUP($A146,SP_TaxPar_DB[],MATCH(J$2,SP_TaxPar_DB[#Headers],0),FALSE)</f>
        <v>1511 COLUMBINE AVE</v>
      </c>
      <c r="K146" s="69" t="str">
        <f>VLOOKUP($A146,SP_TaxPar_DB[],MATCH(K$2,SP_TaxPar_DB[#Headers],0),FALSE)</f>
        <v>SMITH GARDEN SPOT BLOCK 3 LOT 9 Acres:0.1148</v>
      </c>
      <c r="L146" s="69">
        <f>VLOOKUP($A146,SP_TaxPar_DB[],MATCH(L$2,SP_TaxPar_DB[#Headers],0),FALSE)</f>
        <v>0</v>
      </c>
      <c r="M146" s="69">
        <f>VLOOKUP($A146,SP_TaxPar_DB[],MATCH(M$2,SP_TaxPar_DB[#Headers],0),FALSE)</f>
        <v>0</v>
      </c>
      <c r="N146" s="69">
        <f>VLOOKUP($A146,SP_TaxPar_DB[],MATCH(N$2,SP_TaxPar_DB[#Headers],0),FALSE)</f>
        <v>0</v>
      </c>
      <c r="O146" s="71">
        <f>VLOOKUP($A146,SP_TaxPar_DB[],MATCH(O$2,SP_TaxPar_DB[#Headers],0),FALSE)</f>
        <v>0</v>
      </c>
      <c r="P146" s="72"/>
      <c r="Q146" s="69"/>
      <c r="R146" s="73"/>
      <c r="S146" s="73"/>
      <c r="T146" s="69"/>
      <c r="U146" s="69"/>
      <c r="V146" s="69"/>
      <c r="W146" s="69"/>
      <c r="X146" s="69"/>
      <c r="Y146" s="69"/>
      <c r="Z146" s="69"/>
      <c r="AA146" s="69"/>
      <c r="AB146" s="74"/>
      <c r="AC146" s="73"/>
      <c r="AD146" s="73"/>
      <c r="AE146" s="74"/>
      <c r="AF146" s="68"/>
      <c r="AG146" s="68"/>
      <c r="AH146" s="74"/>
      <c r="AI146" s="68"/>
      <c r="AJ146" s="68"/>
      <c r="AK146" s="68"/>
      <c r="AL146" s="80"/>
      <c r="AM146" s="81"/>
      <c r="AN146" s="74"/>
      <c r="AO146" s="74"/>
      <c r="AP146" s="74"/>
      <c r="AQ146" s="74"/>
      <c r="AR146" s="74"/>
      <c r="AS146" s="74"/>
      <c r="AT146" s="74"/>
      <c r="AU146" s="74"/>
      <c r="AV146" s="74"/>
      <c r="AW146" s="84"/>
    </row>
    <row r="147" spans="1:49" ht="15.75" hidden="1" x14ac:dyDescent="0.2">
      <c r="A147" s="129" t="s">
        <v>2301</v>
      </c>
      <c r="B147" s="68" t="str">
        <f>VLOOKUP($A147,SP_TaxPar_DB[],MATCH(B$2,SP_TaxPar_DB[#Headers],0),FALSE)</f>
        <v>ENV</v>
      </c>
      <c r="C147" s="67">
        <f>IF(VLOOKUP($A147,SP_TaxPar_DB[],MATCH(C$2,SP_TaxPar_DB[#Headers],0),FALSE)="",0,VLOOKUP($A147,SP_TaxPar_DB[],MATCH(C$2,SP_TaxPar_DB[#Headers],0),FALSE))</f>
        <v>0</v>
      </c>
      <c r="D147" s="67" t="str">
        <f>IF(VLOOKUP($A147,SP_TaxPar_DB[],MATCH(D$2,SP_TaxPar_DB[#Headers],0),FALSE)="",0,VLOOKUP($A147,SP_TaxPar_DB[],MATCH(D$2,SP_TaxPar_DB[#Headers],0),FALSE))</f>
        <v>135</v>
      </c>
      <c r="E147" s="69" t="str">
        <f>VLOOKUP($A147,SP_TaxPar_DB[],MATCH(E$2,SP_TaxPar_DB[#Headers],0),FALSE)</f>
        <v>DAVIS REGINALD D</v>
      </c>
      <c r="F147" s="69" t="str">
        <f>VLOOKUP($A147,SP_TaxPar_DB[],MATCH(F$2,SP_TaxPar_DB[#Headers],0),FALSE)</f>
        <v>PO BOX 146</v>
      </c>
      <c r="G147" s="69" t="str">
        <f>VLOOKUP($A147,SP_TaxPar_DB[],MATCH(G$2,SP_TaxPar_DB[#Headers],0),FALSE)</f>
        <v>WHARTON</v>
      </c>
      <c r="H147" s="69" t="str">
        <f>VLOOKUP($A147,SP_TaxPar_DB[],MATCH(H$2,SP_TaxPar_DB[#Headers],0),FALSE)</f>
        <v>TX</v>
      </c>
      <c r="I147" s="69" t="str">
        <f>VLOOKUP($A147,SP_TaxPar_DB[],MATCH(I$2,SP_TaxPar_DB[#Headers],0),FALSE)</f>
        <v>77488</v>
      </c>
      <c r="J147" s="69" t="str">
        <f>VLOOKUP($A147,SP_TaxPar_DB[],MATCH(J$2,SP_TaxPar_DB[#Headers],0),FALSE)</f>
        <v>1509 COLUMBINE AVE</v>
      </c>
      <c r="K147" s="69" t="str">
        <f>VLOOKUP($A147,SP_TaxPar_DB[],MATCH(K$2,SP_TaxPar_DB[#Headers],0),FALSE)</f>
        <v>SMITH GARDEN SPOT BLOCK 3 LOT 10 Acres:0.1148</v>
      </c>
      <c r="L147" s="69">
        <f>VLOOKUP($A147,SP_TaxPar_DB[],MATCH(L$2,SP_TaxPar_DB[#Headers],0),FALSE)</f>
        <v>0</v>
      </c>
      <c r="M147" s="69">
        <f>VLOOKUP($A147,SP_TaxPar_DB[],MATCH(M$2,SP_TaxPar_DB[#Headers],0),FALSE)</f>
        <v>0</v>
      </c>
      <c r="N147" s="69">
        <f>VLOOKUP($A147,SP_TaxPar_DB[],MATCH(N$2,SP_TaxPar_DB[#Headers],0),FALSE)</f>
        <v>0</v>
      </c>
      <c r="O147" s="71">
        <f>VLOOKUP($A147,SP_TaxPar_DB[],MATCH(O$2,SP_TaxPar_DB[#Headers],0),FALSE)</f>
        <v>0</v>
      </c>
      <c r="P147" s="72"/>
      <c r="Q147" s="69"/>
      <c r="R147" s="73"/>
      <c r="S147" s="73"/>
      <c r="T147" s="69"/>
      <c r="U147" s="69"/>
      <c r="V147" s="69"/>
      <c r="W147" s="69"/>
      <c r="X147" s="69"/>
      <c r="Y147" s="69"/>
      <c r="Z147" s="69"/>
      <c r="AA147" s="69"/>
      <c r="AB147" s="74"/>
      <c r="AC147" s="73"/>
      <c r="AD147" s="73"/>
      <c r="AE147" s="74"/>
      <c r="AF147" s="68"/>
      <c r="AG147" s="68"/>
      <c r="AH147" s="74"/>
      <c r="AI147" s="68"/>
      <c r="AJ147" s="68"/>
      <c r="AK147" s="68"/>
      <c r="AL147" s="80"/>
      <c r="AM147" s="81"/>
      <c r="AN147" s="74"/>
      <c r="AO147" s="74"/>
      <c r="AP147" s="74"/>
      <c r="AQ147" s="74"/>
      <c r="AR147" s="74"/>
      <c r="AS147" s="74"/>
      <c r="AT147" s="74"/>
      <c r="AU147" s="74"/>
      <c r="AV147" s="74"/>
      <c r="AW147" s="84"/>
    </row>
    <row r="148" spans="1:49" ht="15.75" hidden="1" x14ac:dyDescent="0.2">
      <c r="A148" s="129" t="s">
        <v>2306</v>
      </c>
      <c r="B148" s="68" t="str">
        <f>VLOOKUP($A148,SP_TaxPar_DB[],MATCH(B$2,SP_TaxPar_DB[#Headers],0),FALSE)</f>
        <v>ENV</v>
      </c>
      <c r="C148" s="67">
        <f>IF(VLOOKUP($A148,SP_TaxPar_DB[],MATCH(C$2,SP_TaxPar_DB[#Headers],0),FALSE)="",0,VLOOKUP($A148,SP_TaxPar_DB[],MATCH(C$2,SP_TaxPar_DB[#Headers],0),FALSE))</f>
        <v>0</v>
      </c>
      <c r="D148" s="67" t="str">
        <f>IF(VLOOKUP($A148,SP_TaxPar_DB[],MATCH(D$2,SP_TaxPar_DB[#Headers],0),FALSE)="",0,VLOOKUP($A148,SP_TaxPar_DB[],MATCH(D$2,SP_TaxPar_DB[#Headers],0),FALSE))</f>
        <v>136</v>
      </c>
      <c r="E148" s="69" t="str">
        <f>VLOOKUP($A148,SP_TaxPar_DB[],MATCH(E$2,SP_TaxPar_DB[#Headers],0),FALSE)</f>
        <v>MASON JOHN M</v>
      </c>
      <c r="F148" s="69" t="str">
        <f>VLOOKUP($A148,SP_TaxPar_DB[],MATCH(F$2,SP_TaxPar_DB[#Headers],0),FALSE)</f>
        <v>4739 ARVILLA LN</v>
      </c>
      <c r="G148" s="69" t="str">
        <f>VLOOKUP($A148,SP_TaxPar_DB[],MATCH(G$2,SP_TaxPar_DB[#Headers],0),FALSE)</f>
        <v>HOUSTON</v>
      </c>
      <c r="H148" s="69" t="str">
        <f>VLOOKUP($A148,SP_TaxPar_DB[],MATCH(H$2,SP_TaxPar_DB[#Headers],0),FALSE)</f>
        <v>TX</v>
      </c>
      <c r="I148" s="69" t="str">
        <f>VLOOKUP($A148,SP_TaxPar_DB[],MATCH(I$2,SP_TaxPar_DB[#Headers],0),FALSE)</f>
        <v>77021</v>
      </c>
      <c r="J148" s="69" t="str">
        <f>VLOOKUP($A148,SP_TaxPar_DB[],MATCH(J$2,SP_TaxPar_DB[#Headers],0),FALSE)</f>
        <v>0  COLUMBINE AVE</v>
      </c>
      <c r="K148" s="69" t="str">
        <f>VLOOKUP($A148,SP_TaxPar_DB[],MATCH(K$2,SP_TaxPar_DB[#Headers],0),FALSE)</f>
        <v>SMITH GARDEN SPOT BLOCK 3 LOT 11 Acres:0.1148</v>
      </c>
      <c r="L148" s="69">
        <f>VLOOKUP($A148,SP_TaxPar_DB[],MATCH(L$2,SP_TaxPar_DB[#Headers],0),FALSE)</f>
        <v>0</v>
      </c>
      <c r="M148" s="69">
        <f>VLOOKUP($A148,SP_TaxPar_DB[],MATCH(M$2,SP_TaxPar_DB[#Headers],0),FALSE)</f>
        <v>0</v>
      </c>
      <c r="N148" s="69">
        <f>VLOOKUP($A148,SP_TaxPar_DB[],MATCH(N$2,SP_TaxPar_DB[#Headers],0),FALSE)</f>
        <v>0</v>
      </c>
      <c r="O148" s="71">
        <f>VLOOKUP($A148,SP_TaxPar_DB[],MATCH(O$2,SP_TaxPar_DB[#Headers],0),FALSE)</f>
        <v>0</v>
      </c>
      <c r="P148" s="72"/>
      <c r="Q148" s="69"/>
      <c r="R148" s="73"/>
      <c r="S148" s="73"/>
      <c r="T148" s="69"/>
      <c r="U148" s="69"/>
      <c r="V148" s="69"/>
      <c r="W148" s="69"/>
      <c r="X148" s="69"/>
      <c r="Y148" s="69"/>
      <c r="Z148" s="69"/>
      <c r="AA148" s="69"/>
      <c r="AB148" s="74"/>
      <c r="AC148" s="73"/>
      <c r="AD148" s="73"/>
      <c r="AE148" s="74"/>
      <c r="AF148" s="68"/>
      <c r="AG148" s="68"/>
      <c r="AH148" s="74"/>
      <c r="AI148" s="68"/>
      <c r="AJ148" s="68"/>
      <c r="AK148" s="68"/>
      <c r="AL148" s="80"/>
      <c r="AM148" s="81"/>
      <c r="AN148" s="74"/>
      <c r="AO148" s="74"/>
      <c r="AP148" s="74"/>
      <c r="AQ148" s="74"/>
      <c r="AR148" s="74"/>
      <c r="AS148" s="74"/>
      <c r="AT148" s="74"/>
      <c r="AU148" s="74"/>
      <c r="AV148" s="74"/>
      <c r="AW148" s="84"/>
    </row>
    <row r="149" spans="1:49" ht="15.75" hidden="1" x14ac:dyDescent="0.2">
      <c r="A149" s="129" t="s">
        <v>156</v>
      </c>
      <c r="B149" s="68" t="str">
        <f>VLOOKUP($A149,SP_TaxPar_DB[],MATCH(B$2,SP_TaxPar_DB[#Headers],0),FALSE)</f>
        <v>PH1</v>
      </c>
      <c r="C149" s="67" t="str">
        <f>IF(VLOOKUP($A149,SP_TaxPar_DB[],MATCH(C$2,SP_TaxPar_DB[#Headers],0),FALSE)="",0,VLOOKUP($A149,SP_TaxPar_DB[],MATCH(C$2,SP_TaxPar_DB[#Headers],0),FALSE))</f>
        <v>223</v>
      </c>
      <c r="D149" s="67">
        <f>IF(VLOOKUP($A149,SP_TaxPar_DB[],MATCH(D$2,SP_TaxPar_DB[#Headers],0),FALSE)="",0,VLOOKUP($A149,SP_TaxPar_DB[],MATCH(D$2,SP_TaxPar_DB[#Headers],0),FALSE))</f>
        <v>0</v>
      </c>
      <c r="E149" s="69" t="str">
        <f>VLOOKUP($A149,SP_TaxPar_DB[],MATCH(E$2,SP_TaxPar_DB[#Headers],0),FALSE)</f>
        <v>Pendaries, LLC</v>
      </c>
      <c r="F149" s="69" t="str">
        <f>VLOOKUP($A149,SP_TaxPar_DB[],MATCH(F$2,SP_TaxPar_DB[#Headers],0),FALSE)</f>
        <v>5531 Sugar Hill</v>
      </c>
      <c r="G149" s="69" t="str">
        <f>VLOOKUP($A149,SP_TaxPar_DB[],MATCH(G$2,SP_TaxPar_DB[#Headers],0),FALSE)</f>
        <v>Houston</v>
      </c>
      <c r="H149" s="69" t="str">
        <f>VLOOKUP($A149,SP_TaxPar_DB[],MATCH(H$2,SP_TaxPar_DB[#Headers],0),FALSE)</f>
        <v>TX</v>
      </c>
      <c r="I149" s="69" t="str">
        <f>VLOOKUP($A149,SP_TaxPar_DB[],MATCH(I$2,SP_TaxPar_DB[#Headers],0),FALSE)</f>
        <v>77056</v>
      </c>
      <c r="J149" s="69" t="str">
        <f>VLOOKUP($A149,SP_TaxPar_DB[],MATCH(J$2,SP_TaxPar_DB[#Headers],0),FALSE)</f>
        <v>0 Outlar</v>
      </c>
      <c r="K149" s="69" t="str">
        <f>VLOOKUP($A149,SP_TaxPar_DB[],MATCH(K$2,SP_TaxPar_DB[#Headers],0),FALSE)</f>
        <v>Smith Garden Spot Block 3 Lot 12, 13</v>
      </c>
      <c r="L149" s="69">
        <f>VLOOKUP($A149,SP_TaxPar_DB[],MATCH(L$2,SP_TaxPar_DB[#Headers],0),FALSE)</f>
        <v>0.2296</v>
      </c>
      <c r="M149" s="69" t="str">
        <f>VLOOKUP($A149,SP_TaxPar_DB[],MATCH(M$2,SP_TaxPar_DB[#Headers],0),FALSE)</f>
        <v>Res -Vacant</v>
      </c>
      <c r="N149" s="69" t="str">
        <f>VLOOKUP($A149,SP_TaxPar_DB[],MATCH(N$2,SP_TaxPar_DB[#Headers],0),FALSE)</f>
        <v>862 / 863</v>
      </c>
      <c r="O149" s="71">
        <f>VLOOKUP($A149,SP_TaxPar_DB[],MATCH(O$2,SP_TaxPar_DB[#Headers],0),FALSE)</f>
        <v>0</v>
      </c>
      <c r="P149" s="72"/>
      <c r="Q149" s="69"/>
      <c r="R149" s="73"/>
      <c r="S149" s="73"/>
      <c r="T149" s="69"/>
      <c r="U149" s="69"/>
      <c r="V149" s="69"/>
      <c r="W149" s="69"/>
      <c r="X149" s="69"/>
      <c r="Y149" s="69"/>
      <c r="Z149" s="69"/>
      <c r="AA149" s="69"/>
      <c r="AB149" s="74"/>
      <c r="AC149" s="73"/>
      <c r="AD149" s="73"/>
      <c r="AE149" s="74"/>
      <c r="AF149" s="68"/>
      <c r="AG149" s="68"/>
      <c r="AH149" s="74"/>
      <c r="AI149" s="68"/>
      <c r="AJ149" s="68"/>
      <c r="AK149" s="68"/>
      <c r="AL149" s="80"/>
      <c r="AM149" s="81"/>
      <c r="AN149" s="74"/>
      <c r="AO149" s="74"/>
      <c r="AP149" s="74"/>
      <c r="AQ149" s="74"/>
      <c r="AR149" s="74"/>
      <c r="AS149" s="74"/>
      <c r="AT149" s="74"/>
      <c r="AU149" s="74"/>
      <c r="AV149" s="74"/>
      <c r="AW149" s="84"/>
    </row>
    <row r="150" spans="1:49" ht="15.75" hidden="1" x14ac:dyDescent="0.2">
      <c r="A150" s="129" t="s">
        <v>359</v>
      </c>
      <c r="B150" s="68" t="str">
        <f>VLOOKUP($A150,SP_TaxPar_DB[],MATCH(B$2,SP_TaxPar_DB[#Headers],0),FALSE)</f>
        <v>PH1</v>
      </c>
      <c r="C150" s="67" t="str">
        <f>IF(VLOOKUP($A150,SP_TaxPar_DB[],MATCH(C$2,SP_TaxPar_DB[#Headers],0),FALSE)="",0,VLOOKUP($A150,SP_TaxPar_DB[],MATCH(C$2,SP_TaxPar_DB[#Headers],0),FALSE))</f>
        <v>220</v>
      </c>
      <c r="D150" s="67">
        <f>IF(VLOOKUP($A150,SP_TaxPar_DB[],MATCH(D$2,SP_TaxPar_DB[#Headers],0),FALSE)="",0,VLOOKUP($A150,SP_TaxPar_DB[],MATCH(D$2,SP_TaxPar_DB[#Headers],0),FALSE))</f>
        <v>0</v>
      </c>
      <c r="E150" s="69" t="str">
        <f>VLOOKUP($A150,SP_TaxPar_DB[],MATCH(E$2,SP_TaxPar_DB[#Headers],0),FALSE)</f>
        <v>Troy Q. Allen</v>
      </c>
      <c r="F150" s="69" t="str">
        <f>VLOOKUP($A150,SP_TaxPar_DB[],MATCH(F$2,SP_TaxPar_DB[#Headers],0),FALSE)</f>
        <v>1500 Camellia Ave</v>
      </c>
      <c r="G150" s="69" t="str">
        <f>VLOOKUP($A150,SP_TaxPar_DB[],MATCH(G$2,SP_TaxPar_DB[#Headers],0),FALSE)</f>
        <v>Wharton</v>
      </c>
      <c r="H150" s="69" t="str">
        <f>VLOOKUP($A150,SP_TaxPar_DB[],MATCH(H$2,SP_TaxPar_DB[#Headers],0),FALSE)</f>
        <v>TX</v>
      </c>
      <c r="I150" s="69" t="str">
        <f>VLOOKUP($A150,SP_TaxPar_DB[],MATCH(I$2,SP_TaxPar_DB[#Headers],0),FALSE)</f>
        <v>77488</v>
      </c>
      <c r="J150" s="69" t="str">
        <f>VLOOKUP($A150,SP_TaxPar_DB[],MATCH(J$2,SP_TaxPar_DB[#Headers],0),FALSE)</f>
        <v>1502 Camellia Ave</v>
      </c>
      <c r="K150" s="69" t="str">
        <f>VLOOKUP($A150,SP_TaxPar_DB[],MATCH(K$2,SP_TaxPar_DB[#Headers],0),FALSE)</f>
        <v>Smith Garden Spot Block 3 Lot 16, 17, 18, 19, 20, 21A</v>
      </c>
      <c r="L150" s="69">
        <f>VLOOKUP($A150,SP_TaxPar_DB[],MATCH(L$2,SP_TaxPar_DB[#Headers],0),FALSE)</f>
        <v>0.63129999999999997</v>
      </c>
      <c r="M150" s="69" t="str">
        <f>VLOOKUP($A150,SP_TaxPar_DB[],MATCH(M$2,SP_TaxPar_DB[#Headers],0),FALSE)</f>
        <v>Commercial</v>
      </c>
      <c r="N150" s="69" t="str">
        <f>VLOOKUP($A150,SP_TaxPar_DB[],MATCH(N$2,SP_TaxPar_DB[#Headers],0),FALSE)</f>
        <v>247 / 170</v>
      </c>
      <c r="O150" s="71">
        <f>VLOOKUP($A150,SP_TaxPar_DB[],MATCH(O$2,SP_TaxPar_DB[#Headers],0),FALSE)</f>
        <v>0</v>
      </c>
      <c r="P150" s="72"/>
      <c r="Q150" s="69"/>
      <c r="R150" s="73"/>
      <c r="S150" s="73"/>
      <c r="T150" s="69"/>
      <c r="U150" s="69"/>
      <c r="V150" s="69"/>
      <c r="W150" s="69"/>
      <c r="X150" s="69"/>
      <c r="Y150" s="69"/>
      <c r="Z150" s="69"/>
      <c r="AA150" s="69"/>
      <c r="AB150" s="74"/>
      <c r="AC150" s="73"/>
      <c r="AD150" s="73"/>
      <c r="AE150" s="74"/>
      <c r="AF150" s="68"/>
      <c r="AG150" s="68"/>
      <c r="AH150" s="74"/>
      <c r="AI150" s="68"/>
      <c r="AJ150" s="68"/>
      <c r="AK150" s="68"/>
      <c r="AL150" s="80"/>
      <c r="AM150" s="81"/>
      <c r="AN150" s="74"/>
      <c r="AO150" s="74"/>
      <c r="AP150" s="74"/>
      <c r="AQ150" s="74"/>
      <c r="AR150" s="74"/>
      <c r="AS150" s="74"/>
      <c r="AT150" s="74"/>
      <c r="AU150" s="74"/>
      <c r="AV150" s="74"/>
      <c r="AW150" s="84"/>
    </row>
    <row r="151" spans="1:49" ht="15.75" hidden="1" x14ac:dyDescent="0.2">
      <c r="A151" s="129" t="s">
        <v>364</v>
      </c>
      <c r="B151" s="68" t="str">
        <f>VLOOKUP($A151,SP_TaxPar_DB[],MATCH(B$2,SP_TaxPar_DB[#Headers],0),FALSE)</f>
        <v>PH1</v>
      </c>
      <c r="C151" s="67" t="str">
        <f>IF(VLOOKUP($A151,SP_TaxPar_DB[],MATCH(C$2,SP_TaxPar_DB[#Headers],0),FALSE)="",0,VLOOKUP($A151,SP_TaxPar_DB[],MATCH(C$2,SP_TaxPar_DB[#Headers],0),FALSE))</f>
        <v>219</v>
      </c>
      <c r="D151" s="67">
        <f>IF(VLOOKUP($A151,SP_TaxPar_DB[],MATCH(D$2,SP_TaxPar_DB[#Headers],0),FALSE)="",0,VLOOKUP($A151,SP_TaxPar_DB[],MATCH(D$2,SP_TaxPar_DB[#Headers],0),FALSE))</f>
        <v>0</v>
      </c>
      <c r="E151" s="69" t="str">
        <f>VLOOKUP($A151,SP_TaxPar_DB[],MATCH(E$2,SP_TaxPar_DB[#Headers],0),FALSE)</f>
        <v>Bobby Joe Allen &amp; WF</v>
      </c>
      <c r="F151" s="69" t="str">
        <f>VLOOKUP($A151,SP_TaxPar_DB[],MATCH(F$2,SP_TaxPar_DB[#Headers],0),FALSE)</f>
        <v>5810 Darlinghurst</v>
      </c>
      <c r="G151" s="69" t="str">
        <f>VLOOKUP($A151,SP_TaxPar_DB[],MATCH(G$2,SP_TaxPar_DB[#Headers],0),FALSE)</f>
        <v>Houston</v>
      </c>
      <c r="H151" s="69" t="str">
        <f>VLOOKUP($A151,SP_TaxPar_DB[],MATCH(H$2,SP_TaxPar_DB[#Headers],0),FALSE)</f>
        <v>TX</v>
      </c>
      <c r="I151" s="69" t="str">
        <f>VLOOKUP($A151,SP_TaxPar_DB[],MATCH(I$2,SP_TaxPar_DB[#Headers],0),FALSE)</f>
        <v>77085</v>
      </c>
      <c r="J151" s="69" t="str">
        <f>VLOOKUP($A151,SP_TaxPar_DB[],MATCH(J$2,SP_TaxPar_DB[#Headers],0),FALSE)</f>
        <v>0 Camellia Ave</v>
      </c>
      <c r="K151" s="69" t="str">
        <f>VLOOKUP($A151,SP_TaxPar_DB[],MATCH(K$2,SP_TaxPar_DB[#Headers],0),FALSE)</f>
        <v>Smith Garden Spot Block 3 Lot 21, 22, 23</v>
      </c>
      <c r="L151" s="69">
        <f>VLOOKUP($A151,SP_TaxPar_DB[],MATCH(L$2,SP_TaxPar_DB[#Headers],0),FALSE)</f>
        <v>0.28699999999999998</v>
      </c>
      <c r="M151" s="69" t="str">
        <f>VLOOKUP($A151,SP_TaxPar_DB[],MATCH(M$2,SP_TaxPar_DB[#Headers],0),FALSE)</f>
        <v>Res -Vacant</v>
      </c>
      <c r="N151" s="69">
        <f>VLOOKUP($A151,SP_TaxPar_DB[],MATCH(N$2,SP_TaxPar_DB[#Headers],0),FALSE)</f>
        <v>0</v>
      </c>
      <c r="O151" s="71">
        <f>VLOOKUP($A151,SP_TaxPar_DB[],MATCH(O$2,SP_TaxPar_DB[#Headers],0),FALSE)</f>
        <v>0</v>
      </c>
      <c r="P151" s="72"/>
      <c r="Q151" s="69"/>
      <c r="R151" s="73"/>
      <c r="S151" s="73"/>
      <c r="T151" s="69"/>
      <c r="U151" s="69"/>
      <c r="V151" s="69"/>
      <c r="W151" s="69"/>
      <c r="X151" s="69"/>
      <c r="Y151" s="69"/>
      <c r="Z151" s="69"/>
      <c r="AA151" s="69"/>
      <c r="AB151" s="74"/>
      <c r="AC151" s="73"/>
      <c r="AD151" s="73"/>
      <c r="AE151" s="74"/>
      <c r="AF151" s="68"/>
      <c r="AG151" s="68"/>
      <c r="AH151" s="74"/>
      <c r="AI151" s="68"/>
      <c r="AJ151" s="68"/>
      <c r="AK151" s="68"/>
      <c r="AL151" s="80"/>
      <c r="AM151" s="81"/>
      <c r="AN151" s="74"/>
      <c r="AO151" s="74"/>
      <c r="AP151" s="74"/>
      <c r="AQ151" s="74"/>
      <c r="AR151" s="74"/>
      <c r="AS151" s="74"/>
      <c r="AT151" s="74"/>
      <c r="AU151" s="74"/>
      <c r="AV151" s="74"/>
      <c r="AW151" s="84"/>
    </row>
    <row r="152" spans="1:49" ht="15.75" hidden="1" x14ac:dyDescent="0.2">
      <c r="A152" s="129" t="s">
        <v>368</v>
      </c>
      <c r="B152" s="68" t="str">
        <f>VLOOKUP($A152,SP_TaxPar_DB[],MATCH(B$2,SP_TaxPar_DB[#Headers],0),FALSE)</f>
        <v>PH1</v>
      </c>
      <c r="C152" s="67" t="str">
        <f>IF(VLOOKUP($A152,SP_TaxPar_DB[],MATCH(C$2,SP_TaxPar_DB[#Headers],0),FALSE)="",0,VLOOKUP($A152,SP_TaxPar_DB[],MATCH(C$2,SP_TaxPar_DB[#Headers],0),FALSE))</f>
        <v>207</v>
      </c>
      <c r="D152" s="67">
        <f>IF(VLOOKUP($A152,SP_TaxPar_DB[],MATCH(D$2,SP_TaxPar_DB[#Headers],0),FALSE)="",0,VLOOKUP($A152,SP_TaxPar_DB[],MATCH(D$2,SP_TaxPar_DB[#Headers],0),FALSE))</f>
        <v>0</v>
      </c>
      <c r="E152" s="69" t="str">
        <f>VLOOKUP($A152,SP_TaxPar_DB[],MATCH(E$2,SP_TaxPar_DB[#Headers],0),FALSE)</f>
        <v>Maria Evelia Duran</v>
      </c>
      <c r="F152" s="69" t="str">
        <f>VLOOKUP($A152,SP_TaxPar_DB[],MATCH(F$2,SP_TaxPar_DB[#Headers],0),FALSE)</f>
        <v>1715 Camellia</v>
      </c>
      <c r="G152" s="69" t="str">
        <f>VLOOKUP($A152,SP_TaxPar_DB[],MATCH(G$2,SP_TaxPar_DB[#Headers],0),FALSE)</f>
        <v>Wharton</v>
      </c>
      <c r="H152" s="69" t="str">
        <f>VLOOKUP($A152,SP_TaxPar_DB[],MATCH(H$2,SP_TaxPar_DB[#Headers],0),FALSE)</f>
        <v>TX</v>
      </c>
      <c r="I152" s="69" t="str">
        <f>VLOOKUP($A152,SP_TaxPar_DB[],MATCH(I$2,SP_TaxPar_DB[#Headers],0),FALSE)</f>
        <v>77488</v>
      </c>
      <c r="J152" s="69" t="str">
        <f>VLOOKUP($A152,SP_TaxPar_DB[],MATCH(J$2,SP_TaxPar_DB[#Headers],0),FALSE)</f>
        <v>0 Camellia Ave</v>
      </c>
      <c r="K152" s="69" t="str">
        <f>VLOOKUP($A152,SP_TaxPar_DB[],MATCH(K$2,SP_TaxPar_DB[#Headers],0),FALSE)</f>
        <v>Smith Garden Spot Block 4 Lot 2</v>
      </c>
      <c r="L152" s="69">
        <f>VLOOKUP($A152,SP_TaxPar_DB[],MATCH(L$2,SP_TaxPar_DB[#Headers],0),FALSE)</f>
        <v>0.11409999999999999</v>
      </c>
      <c r="M152" s="69" t="str">
        <f>VLOOKUP($A152,SP_TaxPar_DB[],MATCH(M$2,SP_TaxPar_DB[#Headers],0),FALSE)</f>
        <v>Res -Vacant</v>
      </c>
      <c r="N152" s="69" t="str">
        <f>VLOOKUP($A152,SP_TaxPar_DB[],MATCH(N$2,SP_TaxPar_DB[#Headers],0),FALSE)</f>
        <v>651 / 935</v>
      </c>
      <c r="O152" s="71">
        <f>VLOOKUP($A152,SP_TaxPar_DB[],MATCH(O$2,SP_TaxPar_DB[#Headers],0),FALSE)</f>
        <v>0</v>
      </c>
      <c r="P152" s="72"/>
      <c r="Q152" s="69"/>
      <c r="R152" s="73"/>
      <c r="S152" s="73"/>
      <c r="T152" s="69"/>
      <c r="U152" s="69"/>
      <c r="V152" s="69"/>
      <c r="W152" s="69"/>
      <c r="X152" s="69"/>
      <c r="Y152" s="69"/>
      <c r="Z152" s="69"/>
      <c r="AA152" s="69"/>
      <c r="AB152" s="74"/>
      <c r="AC152" s="73"/>
      <c r="AD152" s="73"/>
      <c r="AE152" s="74"/>
      <c r="AF152" s="68"/>
      <c r="AG152" s="68"/>
      <c r="AH152" s="74"/>
      <c r="AI152" s="68"/>
      <c r="AJ152" s="68"/>
      <c r="AK152" s="68"/>
      <c r="AL152" s="80"/>
      <c r="AM152" s="81"/>
      <c r="AN152" s="74"/>
      <c r="AO152" s="74"/>
      <c r="AP152" s="74"/>
      <c r="AQ152" s="74"/>
      <c r="AR152" s="74"/>
      <c r="AS152" s="74"/>
      <c r="AT152" s="74"/>
      <c r="AU152" s="74"/>
      <c r="AV152" s="74"/>
      <c r="AW152" s="84"/>
    </row>
    <row r="153" spans="1:49" ht="15.75" hidden="1" x14ac:dyDescent="0.2">
      <c r="A153" s="129" t="s">
        <v>372</v>
      </c>
      <c r="B153" s="68" t="str">
        <f>VLOOKUP($A153,SP_TaxPar_DB[],MATCH(B$2,SP_TaxPar_DB[#Headers],0),FALSE)</f>
        <v>PH1</v>
      </c>
      <c r="C153" s="67" t="str">
        <f>IF(VLOOKUP($A153,SP_TaxPar_DB[],MATCH(C$2,SP_TaxPar_DB[#Headers],0),FALSE)="",0,VLOOKUP($A153,SP_TaxPar_DB[],MATCH(C$2,SP_TaxPar_DB[#Headers],0),FALSE))</f>
        <v>207</v>
      </c>
      <c r="D153" s="67">
        <f>IF(VLOOKUP($A153,SP_TaxPar_DB[],MATCH(D$2,SP_TaxPar_DB[#Headers],0),FALSE)="",0,VLOOKUP($A153,SP_TaxPar_DB[],MATCH(D$2,SP_TaxPar_DB[#Headers],0),FALSE))</f>
        <v>0</v>
      </c>
      <c r="E153" s="69" t="str">
        <f>VLOOKUP($A153,SP_TaxPar_DB[],MATCH(E$2,SP_TaxPar_DB[#Headers],0),FALSE)</f>
        <v>Maria Evelia Duran</v>
      </c>
      <c r="F153" s="69" t="str">
        <f>VLOOKUP($A153,SP_TaxPar_DB[],MATCH(F$2,SP_TaxPar_DB[#Headers],0),FALSE)</f>
        <v>1715 Camellia</v>
      </c>
      <c r="G153" s="69" t="str">
        <f>VLOOKUP($A153,SP_TaxPar_DB[],MATCH(G$2,SP_TaxPar_DB[#Headers],0),FALSE)</f>
        <v>Wharton</v>
      </c>
      <c r="H153" s="69" t="str">
        <f>VLOOKUP($A153,SP_TaxPar_DB[],MATCH(H$2,SP_TaxPar_DB[#Headers],0),FALSE)</f>
        <v>TX</v>
      </c>
      <c r="I153" s="69" t="str">
        <f>VLOOKUP($A153,SP_TaxPar_DB[],MATCH(I$2,SP_TaxPar_DB[#Headers],0),FALSE)</f>
        <v>77488</v>
      </c>
      <c r="J153" s="69" t="str">
        <f>VLOOKUP($A153,SP_TaxPar_DB[],MATCH(J$2,SP_TaxPar_DB[#Headers],0),FALSE)</f>
        <v>1819 Camellia Ave</v>
      </c>
      <c r="K153" s="69" t="str">
        <f>VLOOKUP($A153,SP_TaxPar_DB[],MATCH(K$2,SP_TaxPar_DB[#Headers],0),FALSE)</f>
        <v>Smith Garden Spot Block 4 Lot 3</v>
      </c>
      <c r="L153" s="69">
        <f>VLOOKUP($A153,SP_TaxPar_DB[],MATCH(L$2,SP_TaxPar_DB[#Headers],0),FALSE)</f>
        <v>0.12330000000000001</v>
      </c>
      <c r="M153" s="69" t="str">
        <f>VLOOKUP($A153,SP_TaxPar_DB[],MATCH(M$2,SP_TaxPar_DB[#Headers],0),FALSE)</f>
        <v>Residential</v>
      </c>
      <c r="N153" s="69" t="str">
        <f>VLOOKUP($A153,SP_TaxPar_DB[],MATCH(N$2,SP_TaxPar_DB[#Headers],0),FALSE)</f>
        <v>651 / 935</v>
      </c>
      <c r="O153" s="71">
        <f>VLOOKUP($A153,SP_TaxPar_DB[],MATCH(O$2,SP_TaxPar_DB[#Headers],0),FALSE)</f>
        <v>0</v>
      </c>
      <c r="P153" s="72"/>
      <c r="Q153" s="69"/>
      <c r="R153" s="73"/>
      <c r="S153" s="73"/>
      <c r="T153" s="69"/>
      <c r="U153" s="69"/>
      <c r="V153" s="69"/>
      <c r="W153" s="69"/>
      <c r="X153" s="69"/>
      <c r="Y153" s="69"/>
      <c r="Z153" s="69"/>
      <c r="AA153" s="69"/>
      <c r="AB153" s="74"/>
      <c r="AC153" s="73"/>
      <c r="AD153" s="73"/>
      <c r="AE153" s="74"/>
      <c r="AF153" s="68"/>
      <c r="AG153" s="68"/>
      <c r="AH153" s="74"/>
      <c r="AI153" s="68"/>
      <c r="AJ153" s="68"/>
      <c r="AK153" s="68"/>
      <c r="AL153" s="80"/>
      <c r="AM153" s="81"/>
      <c r="AN153" s="74"/>
      <c r="AO153" s="74"/>
      <c r="AP153" s="74"/>
      <c r="AQ153" s="74"/>
      <c r="AR153" s="74"/>
      <c r="AS153" s="74"/>
      <c r="AT153" s="74"/>
      <c r="AU153" s="74"/>
      <c r="AV153" s="74"/>
      <c r="AW153" s="84"/>
    </row>
    <row r="154" spans="1:49" ht="15.75" hidden="1" x14ac:dyDescent="0.2">
      <c r="A154" s="129" t="s">
        <v>375</v>
      </c>
      <c r="B154" s="68" t="str">
        <f>VLOOKUP($A154,SP_TaxPar_DB[],MATCH(B$2,SP_TaxPar_DB[#Headers],0),FALSE)</f>
        <v>PH1</v>
      </c>
      <c r="C154" s="67" t="str">
        <f>IF(VLOOKUP($A154,SP_TaxPar_DB[],MATCH(C$2,SP_TaxPar_DB[#Headers],0),FALSE)="",0,VLOOKUP($A154,SP_TaxPar_DB[],MATCH(C$2,SP_TaxPar_DB[#Headers],0),FALSE))</f>
        <v>207</v>
      </c>
      <c r="D154" s="67">
        <f>IF(VLOOKUP($A154,SP_TaxPar_DB[],MATCH(D$2,SP_TaxPar_DB[#Headers],0),FALSE)="",0,VLOOKUP($A154,SP_TaxPar_DB[],MATCH(D$2,SP_TaxPar_DB[#Headers],0),FALSE))</f>
        <v>0</v>
      </c>
      <c r="E154" s="69" t="str">
        <f>VLOOKUP($A154,SP_TaxPar_DB[],MATCH(E$2,SP_TaxPar_DB[#Headers],0),FALSE)</f>
        <v>Maria Evelia Duran</v>
      </c>
      <c r="F154" s="69" t="str">
        <f>VLOOKUP($A154,SP_TaxPar_DB[],MATCH(F$2,SP_TaxPar_DB[#Headers],0),FALSE)</f>
        <v>1715 Camellia</v>
      </c>
      <c r="G154" s="69" t="str">
        <f>VLOOKUP($A154,SP_TaxPar_DB[],MATCH(G$2,SP_TaxPar_DB[#Headers],0),FALSE)</f>
        <v>Wharton</v>
      </c>
      <c r="H154" s="69" t="str">
        <f>VLOOKUP($A154,SP_TaxPar_DB[],MATCH(H$2,SP_TaxPar_DB[#Headers],0),FALSE)</f>
        <v>TX</v>
      </c>
      <c r="I154" s="69" t="str">
        <f>VLOOKUP($A154,SP_TaxPar_DB[],MATCH(I$2,SP_TaxPar_DB[#Headers],0),FALSE)</f>
        <v>77488</v>
      </c>
      <c r="J154" s="69" t="str">
        <f>VLOOKUP($A154,SP_TaxPar_DB[],MATCH(J$2,SP_TaxPar_DB[#Headers],0),FALSE)</f>
        <v>0 Camellia Ave</v>
      </c>
      <c r="K154" s="69" t="str">
        <f>VLOOKUP($A154,SP_TaxPar_DB[],MATCH(K$2,SP_TaxPar_DB[#Headers],0),FALSE)</f>
        <v>Smith Garden Spot Block 4 Lot 4</v>
      </c>
      <c r="L154" s="69">
        <f>VLOOKUP($A154,SP_TaxPar_DB[],MATCH(L$2,SP_TaxPar_DB[#Headers],0),FALSE)</f>
        <v>0.13250000000000001</v>
      </c>
      <c r="M154" s="69" t="str">
        <f>VLOOKUP($A154,SP_TaxPar_DB[],MATCH(M$2,SP_TaxPar_DB[#Headers],0),FALSE)</f>
        <v>Res -Vacant</v>
      </c>
      <c r="N154" s="69" t="str">
        <f>VLOOKUP($A154,SP_TaxPar_DB[],MATCH(N$2,SP_TaxPar_DB[#Headers],0),FALSE)</f>
        <v>651 / 935</v>
      </c>
      <c r="O154" s="71">
        <f>VLOOKUP($A154,SP_TaxPar_DB[],MATCH(O$2,SP_TaxPar_DB[#Headers],0),FALSE)</f>
        <v>0</v>
      </c>
      <c r="P154" s="72"/>
      <c r="Q154" s="69"/>
      <c r="R154" s="73"/>
      <c r="S154" s="73"/>
      <c r="T154" s="69"/>
      <c r="U154" s="69"/>
      <c r="V154" s="69"/>
      <c r="W154" s="69"/>
      <c r="X154" s="69"/>
      <c r="Y154" s="69"/>
      <c r="Z154" s="69"/>
      <c r="AA154" s="69"/>
      <c r="AB154" s="74"/>
      <c r="AC154" s="73"/>
      <c r="AD154" s="73"/>
      <c r="AE154" s="74"/>
      <c r="AF154" s="68"/>
      <c r="AG154" s="68"/>
      <c r="AH154" s="74"/>
      <c r="AI154" s="68"/>
      <c r="AJ154" s="68"/>
      <c r="AK154" s="68"/>
      <c r="AL154" s="80"/>
      <c r="AM154" s="81"/>
      <c r="AN154" s="74"/>
      <c r="AO154" s="74"/>
      <c r="AP154" s="74"/>
      <c r="AQ154" s="74"/>
      <c r="AR154" s="74"/>
      <c r="AS154" s="74"/>
      <c r="AT154" s="74"/>
      <c r="AU154" s="74"/>
      <c r="AV154" s="74"/>
      <c r="AW154" s="84"/>
    </row>
    <row r="155" spans="1:49" ht="15.75" hidden="1" x14ac:dyDescent="0.2">
      <c r="A155" s="129" t="s">
        <v>377</v>
      </c>
      <c r="B155" s="68" t="str">
        <f>VLOOKUP($A155,SP_TaxPar_DB[],MATCH(B$2,SP_TaxPar_DB[#Headers],0),FALSE)</f>
        <v>PH1</v>
      </c>
      <c r="C155" s="67" t="str">
        <f>IF(VLOOKUP($A155,SP_TaxPar_DB[],MATCH(C$2,SP_TaxPar_DB[#Headers],0),FALSE)="",0,VLOOKUP($A155,SP_TaxPar_DB[],MATCH(C$2,SP_TaxPar_DB[#Headers],0),FALSE))</f>
        <v>207</v>
      </c>
      <c r="D155" s="67">
        <f>IF(VLOOKUP($A155,SP_TaxPar_DB[],MATCH(D$2,SP_TaxPar_DB[#Headers],0),FALSE)="",0,VLOOKUP($A155,SP_TaxPar_DB[],MATCH(D$2,SP_TaxPar_DB[#Headers],0),FALSE))</f>
        <v>0</v>
      </c>
      <c r="E155" s="69" t="str">
        <f>VLOOKUP($A155,SP_TaxPar_DB[],MATCH(E$2,SP_TaxPar_DB[#Headers],0),FALSE)</f>
        <v>Maria Evelia Duran</v>
      </c>
      <c r="F155" s="69" t="str">
        <f>VLOOKUP($A155,SP_TaxPar_DB[],MATCH(F$2,SP_TaxPar_DB[#Headers],0),FALSE)</f>
        <v>1715 Camellia</v>
      </c>
      <c r="G155" s="69" t="str">
        <f>VLOOKUP($A155,SP_TaxPar_DB[],MATCH(G$2,SP_TaxPar_DB[#Headers],0),FALSE)</f>
        <v>Wharton</v>
      </c>
      <c r="H155" s="69" t="str">
        <f>VLOOKUP($A155,SP_TaxPar_DB[],MATCH(H$2,SP_TaxPar_DB[#Headers],0),FALSE)</f>
        <v>TX</v>
      </c>
      <c r="I155" s="69" t="str">
        <f>VLOOKUP($A155,SP_TaxPar_DB[],MATCH(I$2,SP_TaxPar_DB[#Headers],0),FALSE)</f>
        <v>77488</v>
      </c>
      <c r="J155" s="69" t="str">
        <f>VLOOKUP($A155,SP_TaxPar_DB[],MATCH(J$2,SP_TaxPar_DB[#Headers],0),FALSE)</f>
        <v>1715 Camellia Ave</v>
      </c>
      <c r="K155" s="69" t="str">
        <f>VLOOKUP($A155,SP_TaxPar_DB[],MATCH(K$2,SP_TaxPar_DB[#Headers],0),FALSE)</f>
        <v>Smith Garden Spot Block 4 Lot 5, 6</v>
      </c>
      <c r="L155" s="69">
        <f>VLOOKUP($A155,SP_TaxPar_DB[],MATCH(L$2,SP_TaxPar_DB[#Headers],0),FALSE)</f>
        <v>0.2964</v>
      </c>
      <c r="M155" s="69" t="str">
        <f>VLOOKUP($A155,SP_TaxPar_DB[],MATCH(M$2,SP_TaxPar_DB[#Headers],0),FALSE)</f>
        <v>Residential</v>
      </c>
      <c r="N155" s="69" t="str">
        <f>VLOOKUP($A155,SP_TaxPar_DB[],MATCH(N$2,SP_TaxPar_DB[#Headers],0),FALSE)</f>
        <v>651 / 935</v>
      </c>
      <c r="O155" s="71" t="str">
        <f>VLOOKUP($A155,SP_TaxPar_DB[],MATCH(O$2,SP_TaxPar_DB[#Headers],0),FALSE)</f>
        <v>Mobile Home</v>
      </c>
      <c r="P155" s="72"/>
      <c r="Q155" s="69"/>
      <c r="R155" s="73"/>
      <c r="S155" s="73"/>
      <c r="T155" s="69"/>
      <c r="U155" s="69"/>
      <c r="V155" s="69"/>
      <c r="W155" s="69"/>
      <c r="X155" s="69"/>
      <c r="Y155" s="69"/>
      <c r="Z155" s="69"/>
      <c r="AA155" s="69"/>
      <c r="AB155" s="74"/>
      <c r="AC155" s="73"/>
      <c r="AD155" s="73"/>
      <c r="AE155" s="74"/>
      <c r="AF155" s="68"/>
      <c r="AG155" s="68"/>
      <c r="AH155" s="74"/>
      <c r="AI155" s="68"/>
      <c r="AJ155" s="68"/>
      <c r="AK155" s="68"/>
      <c r="AL155" s="80"/>
      <c r="AM155" s="81"/>
      <c r="AN155" s="74"/>
      <c r="AO155" s="74"/>
      <c r="AP155" s="74"/>
      <c r="AQ155" s="74"/>
      <c r="AR155" s="74"/>
      <c r="AS155" s="74"/>
      <c r="AT155" s="74"/>
      <c r="AU155" s="74"/>
      <c r="AV155" s="74"/>
      <c r="AW155" s="84"/>
    </row>
    <row r="156" spans="1:49" ht="15.75" hidden="1" x14ac:dyDescent="0.2">
      <c r="A156" s="129" t="s">
        <v>380</v>
      </c>
      <c r="B156" s="68" t="str">
        <f>VLOOKUP($A156,SP_TaxPar_DB[],MATCH(B$2,SP_TaxPar_DB[#Headers],0),FALSE)</f>
        <v>PH1</v>
      </c>
      <c r="C156" s="67" t="str">
        <f>IF(VLOOKUP($A156,SP_TaxPar_DB[],MATCH(C$2,SP_TaxPar_DB[#Headers],0),FALSE)="",0,VLOOKUP($A156,SP_TaxPar_DB[],MATCH(C$2,SP_TaxPar_DB[#Headers],0),FALSE))</f>
        <v>207</v>
      </c>
      <c r="D156" s="67">
        <f>IF(VLOOKUP($A156,SP_TaxPar_DB[],MATCH(D$2,SP_TaxPar_DB[#Headers],0),FALSE)="",0,VLOOKUP($A156,SP_TaxPar_DB[],MATCH(D$2,SP_TaxPar_DB[#Headers],0),FALSE))</f>
        <v>0</v>
      </c>
      <c r="E156" s="69" t="str">
        <f>VLOOKUP($A156,SP_TaxPar_DB[],MATCH(E$2,SP_TaxPar_DB[#Headers],0),FALSE)</f>
        <v>Maria Evelia Duran</v>
      </c>
      <c r="F156" s="69" t="str">
        <f>VLOOKUP($A156,SP_TaxPar_DB[],MATCH(F$2,SP_TaxPar_DB[#Headers],0),FALSE)</f>
        <v>1715 Camellia</v>
      </c>
      <c r="G156" s="69" t="str">
        <f>VLOOKUP($A156,SP_TaxPar_DB[],MATCH(G$2,SP_TaxPar_DB[#Headers],0),FALSE)</f>
        <v>Wharton</v>
      </c>
      <c r="H156" s="69" t="str">
        <f>VLOOKUP($A156,SP_TaxPar_DB[],MATCH(H$2,SP_TaxPar_DB[#Headers],0),FALSE)</f>
        <v>TX</v>
      </c>
      <c r="I156" s="69" t="str">
        <f>VLOOKUP($A156,SP_TaxPar_DB[],MATCH(I$2,SP_TaxPar_DB[#Headers],0),FALSE)</f>
        <v>77488</v>
      </c>
      <c r="J156" s="69" t="str">
        <f>VLOOKUP($A156,SP_TaxPar_DB[],MATCH(J$2,SP_TaxPar_DB[#Headers],0),FALSE)</f>
        <v>1713 Camellia Ave</v>
      </c>
      <c r="K156" s="69" t="str">
        <f>VLOOKUP($A156,SP_TaxPar_DB[],MATCH(K$2,SP_TaxPar_DB[#Headers],0),FALSE)</f>
        <v>Smith Garden Spot Block 4 Lot 7</v>
      </c>
      <c r="L156" s="69">
        <f>VLOOKUP($A156,SP_TaxPar_DB[],MATCH(L$2,SP_TaxPar_DB[#Headers],0),FALSE)</f>
        <v>0.14849999999999999</v>
      </c>
      <c r="M156" s="69" t="str">
        <f>VLOOKUP($A156,SP_TaxPar_DB[],MATCH(M$2,SP_TaxPar_DB[#Headers],0),FALSE)</f>
        <v>Residential</v>
      </c>
      <c r="N156" s="69" t="str">
        <f>VLOOKUP($A156,SP_TaxPar_DB[],MATCH(N$2,SP_TaxPar_DB[#Headers],0),FALSE)</f>
        <v>651 / 935</v>
      </c>
      <c r="O156" s="71" t="str">
        <f>VLOOKUP($A156,SP_TaxPar_DB[],MATCH(O$2,SP_TaxPar_DB[#Headers],0),FALSE)</f>
        <v>Storage Building</v>
      </c>
      <c r="P156" s="72"/>
      <c r="Q156" s="69"/>
      <c r="R156" s="73"/>
      <c r="S156" s="73"/>
      <c r="T156" s="69"/>
      <c r="U156" s="69"/>
      <c r="V156" s="69"/>
      <c r="W156" s="69"/>
      <c r="X156" s="69"/>
      <c r="Y156" s="69"/>
      <c r="Z156" s="69"/>
      <c r="AA156" s="69"/>
      <c r="AB156" s="74"/>
      <c r="AC156" s="73"/>
      <c r="AD156" s="73"/>
      <c r="AE156" s="74"/>
      <c r="AF156" s="68"/>
      <c r="AG156" s="68"/>
      <c r="AH156" s="74"/>
      <c r="AI156" s="68"/>
      <c r="AJ156" s="68"/>
      <c r="AK156" s="68"/>
      <c r="AL156" s="80"/>
      <c r="AM156" s="81"/>
      <c r="AN156" s="74"/>
      <c r="AO156" s="74"/>
      <c r="AP156" s="74"/>
      <c r="AQ156" s="74"/>
      <c r="AR156" s="74"/>
      <c r="AS156" s="74"/>
      <c r="AT156" s="74"/>
      <c r="AU156" s="74"/>
      <c r="AV156" s="74"/>
      <c r="AW156" s="84"/>
    </row>
    <row r="157" spans="1:49" ht="15.75" hidden="1" x14ac:dyDescent="0.2">
      <c r="A157" s="129" t="s">
        <v>384</v>
      </c>
      <c r="B157" s="68" t="str">
        <f>VLOOKUP($A157,SP_TaxPar_DB[],MATCH(B$2,SP_TaxPar_DB[#Headers],0),FALSE)</f>
        <v>PH1</v>
      </c>
      <c r="C157" s="67" t="str">
        <f>IF(VLOOKUP($A157,SP_TaxPar_DB[],MATCH(C$2,SP_TaxPar_DB[#Headers],0),FALSE)="",0,VLOOKUP($A157,SP_TaxPar_DB[],MATCH(C$2,SP_TaxPar_DB[#Headers],0),FALSE))</f>
        <v>207</v>
      </c>
      <c r="D157" s="67">
        <f>IF(VLOOKUP($A157,SP_TaxPar_DB[],MATCH(D$2,SP_TaxPar_DB[#Headers],0),FALSE)="",0,VLOOKUP($A157,SP_TaxPar_DB[],MATCH(D$2,SP_TaxPar_DB[#Headers],0),FALSE))</f>
        <v>0</v>
      </c>
      <c r="E157" s="69" t="str">
        <f>VLOOKUP($A157,SP_TaxPar_DB[],MATCH(E$2,SP_TaxPar_DB[#Headers],0),FALSE)</f>
        <v>Maria Evelia Duran</v>
      </c>
      <c r="F157" s="69" t="str">
        <f>VLOOKUP($A157,SP_TaxPar_DB[],MATCH(F$2,SP_TaxPar_DB[#Headers],0),FALSE)</f>
        <v>1715 Camellia</v>
      </c>
      <c r="G157" s="69" t="str">
        <f>VLOOKUP($A157,SP_TaxPar_DB[],MATCH(G$2,SP_TaxPar_DB[#Headers],0),FALSE)</f>
        <v>Wharton</v>
      </c>
      <c r="H157" s="69" t="str">
        <f>VLOOKUP($A157,SP_TaxPar_DB[],MATCH(H$2,SP_TaxPar_DB[#Headers],0),FALSE)</f>
        <v>TX</v>
      </c>
      <c r="I157" s="69" t="str">
        <f>VLOOKUP($A157,SP_TaxPar_DB[],MATCH(I$2,SP_TaxPar_DB[#Headers],0),FALSE)</f>
        <v>77488</v>
      </c>
      <c r="J157" s="69" t="str">
        <f>VLOOKUP($A157,SP_TaxPar_DB[],MATCH(J$2,SP_TaxPar_DB[#Headers],0),FALSE)</f>
        <v>0 Camellia Ave</v>
      </c>
      <c r="K157" s="69" t="str">
        <f>VLOOKUP($A157,SP_TaxPar_DB[],MATCH(K$2,SP_TaxPar_DB[#Headers],0),FALSE)</f>
        <v>Smith Garden Spot Block 4 Lot 8</v>
      </c>
      <c r="L157" s="69">
        <f>VLOOKUP($A157,SP_TaxPar_DB[],MATCH(L$2,SP_TaxPar_DB[#Headers],0),FALSE)</f>
        <v>0.13769999999999999</v>
      </c>
      <c r="M157" s="69" t="str">
        <f>VLOOKUP($A157,SP_TaxPar_DB[],MATCH(M$2,SP_TaxPar_DB[#Headers],0),FALSE)</f>
        <v>Res -Vacant</v>
      </c>
      <c r="N157" s="69" t="str">
        <f>VLOOKUP($A157,SP_TaxPar_DB[],MATCH(N$2,SP_TaxPar_DB[#Headers],0),FALSE)</f>
        <v>651 / 935</v>
      </c>
      <c r="O157" s="71">
        <f>VLOOKUP($A157,SP_TaxPar_DB[],MATCH(O$2,SP_TaxPar_DB[#Headers],0),FALSE)</f>
        <v>0</v>
      </c>
      <c r="P157" s="72"/>
      <c r="Q157" s="69"/>
      <c r="R157" s="73"/>
      <c r="S157" s="73"/>
      <c r="T157" s="69"/>
      <c r="U157" s="69"/>
      <c r="V157" s="69"/>
      <c r="W157" s="69"/>
      <c r="X157" s="69"/>
      <c r="Y157" s="69"/>
      <c r="Z157" s="69"/>
      <c r="AA157" s="69"/>
      <c r="AB157" s="74"/>
      <c r="AC157" s="73"/>
      <c r="AD157" s="73"/>
      <c r="AE157" s="74"/>
      <c r="AF157" s="68"/>
      <c r="AG157" s="68"/>
      <c r="AH157" s="74"/>
      <c r="AI157" s="68"/>
      <c r="AJ157" s="68"/>
      <c r="AK157" s="68"/>
      <c r="AL157" s="80"/>
      <c r="AM157" s="81"/>
      <c r="AN157" s="74"/>
      <c r="AO157" s="74"/>
      <c r="AP157" s="74"/>
      <c r="AQ157" s="74"/>
      <c r="AR157" s="74"/>
      <c r="AS157" s="74"/>
      <c r="AT157" s="74"/>
      <c r="AU157" s="74"/>
      <c r="AV157" s="74"/>
      <c r="AW157" s="84"/>
    </row>
    <row r="158" spans="1:49" ht="15.75" hidden="1" x14ac:dyDescent="0.2">
      <c r="A158" s="129" t="s">
        <v>386</v>
      </c>
      <c r="B158" s="68" t="str">
        <f>VLOOKUP($A158,SP_TaxPar_DB[],MATCH(B$2,SP_TaxPar_DB[#Headers],0),FALSE)</f>
        <v>PH1</v>
      </c>
      <c r="C158" s="67" t="str">
        <f>IF(VLOOKUP($A158,SP_TaxPar_DB[],MATCH(C$2,SP_TaxPar_DB[#Headers],0),FALSE)="",0,VLOOKUP($A158,SP_TaxPar_DB[],MATCH(C$2,SP_TaxPar_DB[#Headers],0),FALSE))</f>
        <v>208</v>
      </c>
      <c r="D158" s="67">
        <f>IF(VLOOKUP($A158,SP_TaxPar_DB[],MATCH(D$2,SP_TaxPar_DB[#Headers],0),FALSE)="",0,VLOOKUP($A158,SP_TaxPar_DB[],MATCH(D$2,SP_TaxPar_DB[#Headers],0),FALSE))</f>
        <v>0</v>
      </c>
      <c r="E158" s="69" t="str">
        <f>VLOOKUP($A158,SP_TaxPar_DB[],MATCH(E$2,SP_TaxPar_DB[#Headers],0),FALSE)</f>
        <v>Troy Q. Allen</v>
      </c>
      <c r="F158" s="69" t="str">
        <f>VLOOKUP($A158,SP_TaxPar_DB[],MATCH(F$2,SP_TaxPar_DB[#Headers],0),FALSE)</f>
        <v>1500 Camellia Ave</v>
      </c>
      <c r="G158" s="69" t="str">
        <f>VLOOKUP($A158,SP_TaxPar_DB[],MATCH(G$2,SP_TaxPar_DB[#Headers],0),FALSE)</f>
        <v>Wharton</v>
      </c>
      <c r="H158" s="69" t="str">
        <f>VLOOKUP($A158,SP_TaxPar_DB[],MATCH(H$2,SP_TaxPar_DB[#Headers],0),FALSE)</f>
        <v>TX</v>
      </c>
      <c r="I158" s="69" t="str">
        <f>VLOOKUP($A158,SP_TaxPar_DB[],MATCH(I$2,SP_TaxPar_DB[#Headers],0),FALSE)</f>
        <v>77488</v>
      </c>
      <c r="J158" s="69" t="str">
        <f>VLOOKUP($A158,SP_TaxPar_DB[],MATCH(J$2,SP_TaxPar_DB[#Headers],0),FALSE)</f>
        <v>1617 Camellia Ave</v>
      </c>
      <c r="K158" s="69" t="str">
        <f>VLOOKUP($A158,SP_TaxPar_DB[],MATCH(K$2,SP_TaxPar_DB[#Headers],0),FALSE)</f>
        <v>Smith Garden Spot Block 4 Lot 9</v>
      </c>
      <c r="L158" s="69">
        <f>VLOOKUP($A158,SP_TaxPar_DB[],MATCH(L$2,SP_TaxPar_DB[#Headers],0),FALSE)</f>
        <v>0.13769999999999999</v>
      </c>
      <c r="M158" s="69" t="str">
        <f>VLOOKUP($A158,SP_TaxPar_DB[],MATCH(M$2,SP_TaxPar_DB[#Headers],0),FALSE)</f>
        <v>Commercial</v>
      </c>
      <c r="N158" s="69" t="str">
        <f>VLOOKUP($A158,SP_TaxPar_DB[],MATCH(N$2,SP_TaxPar_DB[#Headers],0),FALSE)</f>
        <v>247 / 154</v>
      </c>
      <c r="O158" s="71">
        <f>VLOOKUP($A158,SP_TaxPar_DB[],MATCH(O$2,SP_TaxPar_DB[#Headers],0),FALSE)</f>
        <v>0</v>
      </c>
      <c r="P158" s="72"/>
      <c r="Q158" s="69"/>
      <c r="R158" s="73"/>
      <c r="S158" s="73"/>
      <c r="T158" s="69"/>
      <c r="U158" s="69"/>
      <c r="V158" s="69"/>
      <c r="W158" s="69"/>
      <c r="X158" s="69"/>
      <c r="Y158" s="69"/>
      <c r="Z158" s="69"/>
      <c r="AA158" s="69"/>
      <c r="AB158" s="74"/>
      <c r="AC158" s="73"/>
      <c r="AD158" s="73"/>
      <c r="AE158" s="74"/>
      <c r="AF158" s="68"/>
      <c r="AG158" s="68"/>
      <c r="AH158" s="74"/>
      <c r="AI158" s="68"/>
      <c r="AJ158" s="68"/>
      <c r="AK158" s="68"/>
      <c r="AL158" s="80"/>
      <c r="AM158" s="81"/>
      <c r="AN158" s="74"/>
      <c r="AO158" s="74"/>
      <c r="AP158" s="74"/>
      <c r="AQ158" s="74"/>
      <c r="AR158" s="74"/>
      <c r="AS158" s="74"/>
      <c r="AT158" s="74"/>
      <c r="AU158" s="74"/>
      <c r="AV158" s="74"/>
      <c r="AW158" s="84"/>
    </row>
    <row r="159" spans="1:49" ht="15.75" hidden="1" x14ac:dyDescent="0.2">
      <c r="A159" s="129" t="s">
        <v>390</v>
      </c>
      <c r="B159" s="68" t="str">
        <f>VLOOKUP($A159,SP_TaxPar_DB[],MATCH(B$2,SP_TaxPar_DB[#Headers],0),FALSE)</f>
        <v>PH1</v>
      </c>
      <c r="C159" s="67" t="str">
        <f>IF(VLOOKUP($A159,SP_TaxPar_DB[],MATCH(C$2,SP_TaxPar_DB[#Headers],0),FALSE)="",0,VLOOKUP($A159,SP_TaxPar_DB[],MATCH(C$2,SP_TaxPar_DB[#Headers],0),FALSE))</f>
        <v>208</v>
      </c>
      <c r="D159" s="67">
        <f>IF(VLOOKUP($A159,SP_TaxPar_DB[],MATCH(D$2,SP_TaxPar_DB[#Headers],0),FALSE)="",0,VLOOKUP($A159,SP_TaxPar_DB[],MATCH(D$2,SP_TaxPar_DB[#Headers],0),FALSE))</f>
        <v>0</v>
      </c>
      <c r="E159" s="69" t="str">
        <f>VLOOKUP($A159,SP_TaxPar_DB[],MATCH(E$2,SP_TaxPar_DB[#Headers],0),FALSE)</f>
        <v>Troy Q. Allen</v>
      </c>
      <c r="F159" s="69" t="str">
        <f>VLOOKUP($A159,SP_TaxPar_DB[],MATCH(F$2,SP_TaxPar_DB[#Headers],0),FALSE)</f>
        <v>1500 Camellia Ave</v>
      </c>
      <c r="G159" s="69" t="str">
        <f>VLOOKUP($A159,SP_TaxPar_DB[],MATCH(G$2,SP_TaxPar_DB[#Headers],0),FALSE)</f>
        <v>Wharton</v>
      </c>
      <c r="H159" s="69" t="str">
        <f>VLOOKUP($A159,SP_TaxPar_DB[],MATCH(H$2,SP_TaxPar_DB[#Headers],0),FALSE)</f>
        <v>TX</v>
      </c>
      <c r="I159" s="69" t="str">
        <f>VLOOKUP($A159,SP_TaxPar_DB[],MATCH(I$2,SP_TaxPar_DB[#Headers],0),FALSE)</f>
        <v>77488</v>
      </c>
      <c r="J159" s="69" t="str">
        <f>VLOOKUP($A159,SP_TaxPar_DB[],MATCH(J$2,SP_TaxPar_DB[#Headers],0),FALSE)</f>
        <v>1615 Camellia Ave</v>
      </c>
      <c r="K159" s="69" t="str">
        <f>VLOOKUP($A159,SP_TaxPar_DB[],MATCH(K$2,SP_TaxPar_DB[#Headers],0),FALSE)</f>
        <v>Smith Garden Spot Block 4 Lot 10</v>
      </c>
      <c r="L159" s="69">
        <f>VLOOKUP($A159,SP_TaxPar_DB[],MATCH(L$2,SP_TaxPar_DB[#Headers],0),FALSE)</f>
        <v>0.13769999999999999</v>
      </c>
      <c r="M159" s="69" t="str">
        <f>VLOOKUP($A159,SP_TaxPar_DB[],MATCH(M$2,SP_TaxPar_DB[#Headers],0),FALSE)</f>
        <v>Residential</v>
      </c>
      <c r="N159" s="69" t="str">
        <f>VLOOKUP($A159,SP_TaxPar_DB[],MATCH(N$2,SP_TaxPar_DB[#Headers],0),FALSE)</f>
        <v>247 / 150</v>
      </c>
      <c r="O159" s="71">
        <f>VLOOKUP($A159,SP_TaxPar_DB[],MATCH(O$2,SP_TaxPar_DB[#Headers],0),FALSE)</f>
        <v>0</v>
      </c>
      <c r="P159" s="72"/>
      <c r="Q159" s="69"/>
      <c r="R159" s="73"/>
      <c r="S159" s="73"/>
      <c r="T159" s="69"/>
      <c r="U159" s="69"/>
      <c r="V159" s="69"/>
      <c r="W159" s="69"/>
      <c r="X159" s="69"/>
      <c r="Y159" s="69"/>
      <c r="Z159" s="69"/>
      <c r="AA159" s="69"/>
      <c r="AB159" s="74"/>
      <c r="AC159" s="73"/>
      <c r="AD159" s="73"/>
      <c r="AE159" s="74"/>
      <c r="AF159" s="68"/>
      <c r="AG159" s="68"/>
      <c r="AH159" s="74"/>
      <c r="AI159" s="68"/>
      <c r="AJ159" s="68"/>
      <c r="AK159" s="68"/>
      <c r="AL159" s="80"/>
      <c r="AM159" s="81"/>
      <c r="AN159" s="74"/>
      <c r="AO159" s="74"/>
      <c r="AP159" s="74"/>
      <c r="AQ159" s="74"/>
      <c r="AR159" s="74"/>
      <c r="AS159" s="74"/>
      <c r="AT159" s="74"/>
      <c r="AU159" s="74"/>
      <c r="AV159" s="74"/>
      <c r="AW159" s="84"/>
    </row>
    <row r="160" spans="1:49" ht="15.75" hidden="1" x14ac:dyDescent="0.2">
      <c r="A160" s="129" t="s">
        <v>394</v>
      </c>
      <c r="B160" s="68" t="str">
        <f>VLOOKUP($A160,SP_TaxPar_DB[],MATCH(B$2,SP_TaxPar_DB[#Headers],0),FALSE)</f>
        <v>PH1</v>
      </c>
      <c r="C160" s="67" t="str">
        <f>IF(VLOOKUP($A160,SP_TaxPar_DB[],MATCH(C$2,SP_TaxPar_DB[#Headers],0),FALSE)="",0,VLOOKUP($A160,SP_TaxPar_DB[],MATCH(C$2,SP_TaxPar_DB[#Headers],0),FALSE))</f>
        <v>208</v>
      </c>
      <c r="D160" s="67">
        <f>IF(VLOOKUP($A160,SP_TaxPar_DB[],MATCH(D$2,SP_TaxPar_DB[#Headers],0),FALSE)="",0,VLOOKUP($A160,SP_TaxPar_DB[],MATCH(D$2,SP_TaxPar_DB[#Headers],0),FALSE))</f>
        <v>0</v>
      </c>
      <c r="E160" s="69" t="str">
        <f>VLOOKUP($A160,SP_TaxPar_DB[],MATCH(E$2,SP_TaxPar_DB[#Headers],0),FALSE)</f>
        <v>Troy Q. Allen</v>
      </c>
      <c r="F160" s="69" t="str">
        <f>VLOOKUP($A160,SP_TaxPar_DB[],MATCH(F$2,SP_TaxPar_DB[#Headers],0),FALSE)</f>
        <v>1500 Camellia Ave</v>
      </c>
      <c r="G160" s="69" t="str">
        <f>VLOOKUP($A160,SP_TaxPar_DB[],MATCH(G$2,SP_TaxPar_DB[#Headers],0),FALSE)</f>
        <v>Wharton</v>
      </c>
      <c r="H160" s="69" t="str">
        <f>VLOOKUP($A160,SP_TaxPar_DB[],MATCH(H$2,SP_TaxPar_DB[#Headers],0),FALSE)</f>
        <v>TX</v>
      </c>
      <c r="I160" s="69" t="str">
        <f>VLOOKUP($A160,SP_TaxPar_DB[],MATCH(I$2,SP_TaxPar_DB[#Headers],0),FALSE)</f>
        <v>77488</v>
      </c>
      <c r="J160" s="69" t="str">
        <f>VLOOKUP($A160,SP_TaxPar_DB[],MATCH(J$2,SP_TaxPar_DB[#Headers],0),FALSE)</f>
        <v>1607 Camellia Ave</v>
      </c>
      <c r="K160" s="69" t="str">
        <f>VLOOKUP($A160,SP_TaxPar_DB[],MATCH(K$2,SP_TaxPar_DB[#Headers],0),FALSE)</f>
        <v>Smith Garden Spot Block 4 Lot 11, 12</v>
      </c>
      <c r="L160" s="69">
        <f>VLOOKUP($A160,SP_TaxPar_DB[],MATCH(L$2,SP_TaxPar_DB[#Headers],0),FALSE)</f>
        <v>0.27550000000000002</v>
      </c>
      <c r="M160" s="69" t="str">
        <f>VLOOKUP($A160,SP_TaxPar_DB[],MATCH(M$2,SP_TaxPar_DB[#Headers],0),FALSE)</f>
        <v>Commercial</v>
      </c>
      <c r="N160" s="69" t="str">
        <f>VLOOKUP($A160,SP_TaxPar_DB[],MATCH(N$2,SP_TaxPar_DB[#Headers],0),FALSE)</f>
        <v>247 / 160</v>
      </c>
      <c r="O160" s="71">
        <f>VLOOKUP($A160,SP_TaxPar_DB[],MATCH(O$2,SP_TaxPar_DB[#Headers],0),FALSE)</f>
        <v>0</v>
      </c>
      <c r="P160" s="72"/>
      <c r="Q160" s="69"/>
      <c r="R160" s="73"/>
      <c r="S160" s="73"/>
      <c r="T160" s="69"/>
      <c r="U160" s="69"/>
      <c r="V160" s="69"/>
      <c r="W160" s="69"/>
      <c r="X160" s="69"/>
      <c r="Y160" s="69"/>
      <c r="Z160" s="69"/>
      <c r="AA160" s="69"/>
      <c r="AB160" s="74"/>
      <c r="AC160" s="73"/>
      <c r="AD160" s="73"/>
      <c r="AE160" s="74"/>
      <c r="AF160" s="68"/>
      <c r="AG160" s="68"/>
      <c r="AH160" s="74"/>
      <c r="AI160" s="68"/>
      <c r="AJ160" s="68"/>
      <c r="AK160" s="68"/>
      <c r="AL160" s="80"/>
      <c r="AM160" s="81"/>
      <c r="AN160" s="74"/>
      <c r="AO160" s="74"/>
      <c r="AP160" s="74"/>
      <c r="AQ160" s="74"/>
      <c r="AR160" s="74"/>
      <c r="AS160" s="74"/>
      <c r="AT160" s="74"/>
      <c r="AU160" s="74"/>
      <c r="AV160" s="74"/>
      <c r="AW160" s="84"/>
    </row>
    <row r="161" spans="1:49" ht="15.75" hidden="1" x14ac:dyDescent="0.2">
      <c r="A161" s="129" t="s">
        <v>398</v>
      </c>
      <c r="B161" s="68" t="str">
        <f>VLOOKUP($A161,SP_TaxPar_DB[],MATCH(B$2,SP_TaxPar_DB[#Headers],0),FALSE)</f>
        <v>PH1</v>
      </c>
      <c r="C161" s="67" t="str">
        <f>IF(VLOOKUP($A161,SP_TaxPar_DB[],MATCH(C$2,SP_TaxPar_DB[#Headers],0),FALSE)="",0,VLOOKUP($A161,SP_TaxPar_DB[],MATCH(C$2,SP_TaxPar_DB[#Headers],0),FALSE))</f>
        <v>208</v>
      </c>
      <c r="D161" s="67">
        <f>IF(VLOOKUP($A161,SP_TaxPar_DB[],MATCH(D$2,SP_TaxPar_DB[#Headers],0),FALSE)="",0,VLOOKUP($A161,SP_TaxPar_DB[],MATCH(D$2,SP_TaxPar_DB[#Headers],0),FALSE))</f>
        <v>0</v>
      </c>
      <c r="E161" s="69" t="str">
        <f>VLOOKUP($A161,SP_TaxPar_DB[],MATCH(E$2,SP_TaxPar_DB[#Headers],0),FALSE)</f>
        <v>Troy Q. Allen</v>
      </c>
      <c r="F161" s="69" t="str">
        <f>VLOOKUP($A161,SP_TaxPar_DB[],MATCH(F$2,SP_TaxPar_DB[#Headers],0),FALSE)</f>
        <v>1500 Camellia Ave</v>
      </c>
      <c r="G161" s="69" t="str">
        <f>VLOOKUP($A161,SP_TaxPar_DB[],MATCH(G$2,SP_TaxPar_DB[#Headers],0),FALSE)</f>
        <v>Wharton</v>
      </c>
      <c r="H161" s="69" t="str">
        <f>VLOOKUP($A161,SP_TaxPar_DB[],MATCH(H$2,SP_TaxPar_DB[#Headers],0),FALSE)</f>
        <v>TX</v>
      </c>
      <c r="I161" s="69" t="str">
        <f>VLOOKUP($A161,SP_TaxPar_DB[],MATCH(I$2,SP_TaxPar_DB[#Headers],0),FALSE)</f>
        <v>77488</v>
      </c>
      <c r="J161" s="69" t="str">
        <f>VLOOKUP($A161,SP_TaxPar_DB[],MATCH(J$2,SP_TaxPar_DB[#Headers],0),FALSE)</f>
        <v>0 Camellia Ave</v>
      </c>
      <c r="K161" s="69" t="str">
        <f>VLOOKUP($A161,SP_TaxPar_DB[],MATCH(K$2,SP_TaxPar_DB[#Headers],0),FALSE)</f>
        <v>Smith Garden Spot Block 4 Lot 13, 14, 15</v>
      </c>
      <c r="L161" s="69">
        <f>VLOOKUP($A161,SP_TaxPar_DB[],MATCH(L$2,SP_TaxPar_DB[#Headers],0),FALSE)</f>
        <v>0.38879999999999998</v>
      </c>
      <c r="M161" s="69" t="str">
        <f>VLOOKUP($A161,SP_TaxPar_DB[],MATCH(M$2,SP_TaxPar_DB[#Headers],0),FALSE)</f>
        <v>Res -Vacant</v>
      </c>
      <c r="N161" s="69" t="str">
        <f>VLOOKUP($A161,SP_TaxPar_DB[],MATCH(N$2,SP_TaxPar_DB[#Headers],0),FALSE)</f>
        <v>247 / 156</v>
      </c>
      <c r="O161" s="71">
        <f>VLOOKUP($A161,SP_TaxPar_DB[],MATCH(O$2,SP_TaxPar_DB[#Headers],0),FALSE)</f>
        <v>0</v>
      </c>
      <c r="P161" s="72"/>
      <c r="Q161" s="69"/>
      <c r="R161" s="73"/>
      <c r="S161" s="73"/>
      <c r="T161" s="69"/>
      <c r="U161" s="69"/>
      <c r="V161" s="69"/>
      <c r="W161" s="69"/>
      <c r="X161" s="69"/>
      <c r="Y161" s="69"/>
      <c r="Z161" s="69"/>
      <c r="AA161" s="69"/>
      <c r="AB161" s="74"/>
      <c r="AC161" s="73"/>
      <c r="AD161" s="73"/>
      <c r="AE161" s="74"/>
      <c r="AF161" s="68"/>
      <c r="AG161" s="68"/>
      <c r="AH161" s="74"/>
      <c r="AI161" s="68"/>
      <c r="AJ161" s="68"/>
      <c r="AK161" s="68"/>
      <c r="AL161" s="80"/>
      <c r="AM161" s="81"/>
      <c r="AN161" s="74"/>
      <c r="AO161" s="74"/>
      <c r="AP161" s="74"/>
      <c r="AQ161" s="74"/>
      <c r="AR161" s="74"/>
      <c r="AS161" s="74"/>
      <c r="AT161" s="74"/>
      <c r="AU161" s="74"/>
      <c r="AV161" s="74"/>
      <c r="AW161" s="84"/>
    </row>
    <row r="162" spans="1:49" ht="15.75" hidden="1" x14ac:dyDescent="0.2">
      <c r="A162" s="129" t="s">
        <v>401</v>
      </c>
      <c r="B162" s="68" t="str">
        <f>VLOOKUP($A162,SP_TaxPar_DB[],MATCH(B$2,SP_TaxPar_DB[#Headers],0),FALSE)</f>
        <v>PH1</v>
      </c>
      <c r="C162" s="67" t="str">
        <f>IF(VLOOKUP($A162,SP_TaxPar_DB[],MATCH(C$2,SP_TaxPar_DB[#Headers],0),FALSE)="",0,VLOOKUP($A162,SP_TaxPar_DB[],MATCH(C$2,SP_TaxPar_DB[#Headers],0),FALSE))</f>
        <v>210</v>
      </c>
      <c r="D162" s="67">
        <f>IF(VLOOKUP($A162,SP_TaxPar_DB[],MATCH(D$2,SP_TaxPar_DB[#Headers],0),FALSE)="",0,VLOOKUP($A162,SP_TaxPar_DB[],MATCH(D$2,SP_TaxPar_DB[#Headers],0),FALSE))</f>
        <v>0</v>
      </c>
      <c r="E162" s="69" t="str">
        <f>VLOOKUP($A162,SP_TaxPar_DB[],MATCH(E$2,SP_TaxPar_DB[#Headers],0),FALSE)</f>
        <v>Troy Q. Allen</v>
      </c>
      <c r="F162" s="69" t="str">
        <f>VLOOKUP($A162,SP_TaxPar_DB[],MATCH(F$2,SP_TaxPar_DB[#Headers],0),FALSE)</f>
        <v>1500 Camellia Ave</v>
      </c>
      <c r="G162" s="69" t="str">
        <f>VLOOKUP($A162,SP_TaxPar_DB[],MATCH(G$2,SP_TaxPar_DB[#Headers],0),FALSE)</f>
        <v>Wharton</v>
      </c>
      <c r="H162" s="69" t="str">
        <f>VLOOKUP($A162,SP_TaxPar_DB[],MATCH(H$2,SP_TaxPar_DB[#Headers],0),FALSE)</f>
        <v>TX</v>
      </c>
      <c r="I162" s="69" t="str">
        <f>VLOOKUP($A162,SP_TaxPar_DB[],MATCH(I$2,SP_TaxPar_DB[#Headers],0),FALSE)</f>
        <v>77488</v>
      </c>
      <c r="J162" s="69" t="str">
        <f>VLOOKUP($A162,SP_TaxPar_DB[],MATCH(J$2,SP_TaxPar_DB[#Headers],0),FALSE)</f>
        <v>0 Camellia Ave</v>
      </c>
      <c r="K162" s="69" t="str">
        <f>VLOOKUP($A162,SP_TaxPar_DB[],MATCH(K$2,SP_TaxPar_DB[#Headers],0),FALSE)</f>
        <v>Smith Garden Spot Block 5 Lot 1, 2, 3, 4</v>
      </c>
      <c r="L162" s="69">
        <f>VLOOKUP($A162,SP_TaxPar_DB[],MATCH(L$2,SP_TaxPar_DB[#Headers],0),FALSE)</f>
        <v>0.65200000000000002</v>
      </c>
      <c r="M162" s="69" t="str">
        <f>VLOOKUP($A162,SP_TaxPar_DB[],MATCH(M$2,SP_TaxPar_DB[#Headers],0),FALSE)</f>
        <v>Res -Vacant</v>
      </c>
      <c r="N162" s="69" t="str">
        <f>VLOOKUP($A162,SP_TaxPar_DB[],MATCH(N$2,SP_TaxPar_DB[#Headers],0),FALSE)</f>
        <v>247 / 152</v>
      </c>
      <c r="O162" s="71">
        <f>VLOOKUP($A162,SP_TaxPar_DB[],MATCH(O$2,SP_TaxPar_DB[#Headers],0),FALSE)</f>
        <v>0</v>
      </c>
      <c r="P162" s="72"/>
      <c r="Q162" s="69"/>
      <c r="R162" s="73"/>
      <c r="S162" s="73"/>
      <c r="T162" s="69"/>
      <c r="U162" s="69"/>
      <c r="V162" s="69"/>
      <c r="W162" s="69"/>
      <c r="X162" s="69"/>
      <c r="Y162" s="69"/>
      <c r="Z162" s="69"/>
      <c r="AA162" s="69"/>
      <c r="AB162" s="74"/>
      <c r="AC162" s="73"/>
      <c r="AD162" s="73"/>
      <c r="AE162" s="74"/>
      <c r="AF162" s="68"/>
      <c r="AG162" s="68"/>
      <c r="AH162" s="74"/>
      <c r="AI162" s="68"/>
      <c r="AJ162" s="68"/>
      <c r="AK162" s="68"/>
      <c r="AL162" s="80"/>
      <c r="AM162" s="81"/>
      <c r="AN162" s="74"/>
      <c r="AO162" s="74"/>
      <c r="AP162" s="74"/>
      <c r="AQ162" s="74"/>
      <c r="AR162" s="74"/>
      <c r="AS162" s="74"/>
      <c r="AT162" s="74"/>
      <c r="AU162" s="74"/>
      <c r="AV162" s="74"/>
      <c r="AW162" s="84"/>
    </row>
    <row r="163" spans="1:49" ht="15.75" hidden="1" x14ac:dyDescent="0.2">
      <c r="A163" s="129" t="s">
        <v>2310</v>
      </c>
      <c r="B163" s="68" t="str">
        <f>VLOOKUP($A163,SP_TaxPar_DB[],MATCH(B$2,SP_TaxPar_DB[#Headers],0),FALSE)</f>
        <v>ENV</v>
      </c>
      <c r="C163" s="67">
        <f>IF(VLOOKUP($A163,SP_TaxPar_DB[],MATCH(C$2,SP_TaxPar_DB[#Headers],0),FALSE)="",0,VLOOKUP($A163,SP_TaxPar_DB[],MATCH(C$2,SP_TaxPar_DB[#Headers],0),FALSE))</f>
        <v>0</v>
      </c>
      <c r="D163" s="67" t="str">
        <f>IF(VLOOKUP($A163,SP_TaxPar_DB[],MATCH(D$2,SP_TaxPar_DB[#Headers],0),FALSE)="",0,VLOOKUP($A163,SP_TaxPar_DB[],MATCH(D$2,SP_TaxPar_DB[#Headers],0),FALSE))</f>
        <v>151</v>
      </c>
      <c r="E163" s="69" t="str">
        <f>VLOOKUP($A163,SP_TaxPar_DB[],MATCH(E$2,SP_TaxPar_DB[#Headers],0),FALSE)</f>
        <v>DUNCAN ALFRED &amp; WF</v>
      </c>
      <c r="F163" s="69" t="str">
        <f>VLOOKUP($A163,SP_TaxPar_DB[],MATCH(F$2,SP_TaxPar_DB[#Headers],0),FALSE)</f>
        <v>303 S FORD</v>
      </c>
      <c r="G163" s="69" t="str">
        <f>VLOOKUP($A163,SP_TaxPar_DB[],MATCH(G$2,SP_TaxPar_DB[#Headers],0),FALSE)</f>
        <v>WHARTON</v>
      </c>
      <c r="H163" s="69" t="str">
        <f>VLOOKUP($A163,SP_TaxPar_DB[],MATCH(H$2,SP_TaxPar_DB[#Headers],0),FALSE)</f>
        <v>TX</v>
      </c>
      <c r="I163" s="69" t="str">
        <f>VLOOKUP($A163,SP_TaxPar_DB[],MATCH(I$2,SP_TaxPar_DB[#Headers],0),FALSE)</f>
        <v>77488</v>
      </c>
      <c r="J163" s="69" t="str">
        <f>VLOOKUP($A163,SP_TaxPar_DB[],MATCH(J$2,SP_TaxPar_DB[#Headers],0),FALSE)</f>
        <v>0 W MILAM</v>
      </c>
      <c r="K163" s="69" t="str">
        <f>VLOOKUP($A163,SP_TaxPar_DB[],MATCH(K$2,SP_TaxPar_DB[#Headers],0),FALSE)</f>
        <v>WEST MILAM BLOCK A LOT 14,15,16,17 Acres:0.3008</v>
      </c>
      <c r="L163" s="69">
        <f>VLOOKUP($A163,SP_TaxPar_DB[],MATCH(L$2,SP_TaxPar_DB[#Headers],0),FALSE)</f>
        <v>0</v>
      </c>
      <c r="M163" s="69">
        <f>VLOOKUP($A163,SP_TaxPar_DB[],MATCH(M$2,SP_TaxPar_DB[#Headers],0),FALSE)</f>
        <v>0</v>
      </c>
      <c r="N163" s="69">
        <f>VLOOKUP($A163,SP_TaxPar_DB[],MATCH(N$2,SP_TaxPar_DB[#Headers],0),FALSE)</f>
        <v>0</v>
      </c>
      <c r="O163" s="71">
        <f>VLOOKUP($A163,SP_TaxPar_DB[],MATCH(O$2,SP_TaxPar_DB[#Headers],0),FALSE)</f>
        <v>0</v>
      </c>
      <c r="P163" s="72"/>
      <c r="Q163" s="69"/>
      <c r="R163" s="73"/>
      <c r="S163" s="73"/>
      <c r="T163" s="69"/>
      <c r="U163" s="69"/>
      <c r="V163" s="69"/>
      <c r="W163" s="69"/>
      <c r="X163" s="69"/>
      <c r="Y163" s="69"/>
      <c r="Z163" s="69"/>
      <c r="AA163" s="69"/>
      <c r="AB163" s="74"/>
      <c r="AC163" s="73"/>
      <c r="AD163" s="73"/>
      <c r="AE163" s="74"/>
      <c r="AF163" s="68"/>
      <c r="AG163" s="68"/>
      <c r="AH163" s="74"/>
      <c r="AI163" s="68"/>
      <c r="AJ163" s="68"/>
      <c r="AK163" s="68"/>
      <c r="AL163" s="80"/>
      <c r="AM163" s="81"/>
      <c r="AN163" s="74"/>
      <c r="AO163" s="74"/>
      <c r="AP163" s="74"/>
      <c r="AQ163" s="74"/>
      <c r="AR163" s="74"/>
      <c r="AS163" s="74"/>
      <c r="AT163" s="74"/>
      <c r="AU163" s="74"/>
      <c r="AV163" s="74"/>
      <c r="AW163" s="84"/>
    </row>
    <row r="164" spans="1:49" ht="15.75" hidden="1" x14ac:dyDescent="0.2">
      <c r="A164" s="129" t="s">
        <v>2315</v>
      </c>
      <c r="B164" s="68" t="str">
        <f>VLOOKUP($A164,SP_TaxPar_DB[],MATCH(B$2,SP_TaxPar_DB[#Headers],0),FALSE)</f>
        <v>ENV</v>
      </c>
      <c r="C164" s="67">
        <f>IF(VLOOKUP($A164,SP_TaxPar_DB[],MATCH(C$2,SP_TaxPar_DB[#Headers],0),FALSE)="",0,VLOOKUP($A164,SP_TaxPar_DB[],MATCH(C$2,SP_TaxPar_DB[#Headers],0),FALSE))</f>
        <v>0</v>
      </c>
      <c r="D164" s="67" t="str">
        <f>IF(VLOOKUP($A164,SP_TaxPar_DB[],MATCH(D$2,SP_TaxPar_DB[#Headers],0),FALSE)="",0,VLOOKUP($A164,SP_TaxPar_DB[],MATCH(D$2,SP_TaxPar_DB[#Headers],0),FALSE))</f>
        <v>152</v>
      </c>
      <c r="E164" s="69" t="str">
        <f>VLOOKUP($A164,SP_TaxPar_DB[],MATCH(E$2,SP_TaxPar_DB[#Headers],0),FALSE)</f>
        <v>JACKSON FREDA</v>
      </c>
      <c r="F164" s="69" t="str">
        <f>VLOOKUP($A164,SP_TaxPar_DB[],MATCH(F$2,SP_TaxPar_DB[#Headers],0),FALSE)</f>
        <v>601 DAVIS</v>
      </c>
      <c r="G164" s="69" t="str">
        <f>VLOOKUP($A164,SP_TaxPar_DB[],MATCH(G$2,SP_TaxPar_DB[#Headers],0),FALSE)</f>
        <v>WHARTON</v>
      </c>
      <c r="H164" s="69" t="str">
        <f>VLOOKUP($A164,SP_TaxPar_DB[],MATCH(H$2,SP_TaxPar_DB[#Headers],0),FALSE)</f>
        <v>TX</v>
      </c>
      <c r="I164" s="69" t="str">
        <f>VLOOKUP($A164,SP_TaxPar_DB[],MATCH(I$2,SP_TaxPar_DB[#Headers],0),FALSE)</f>
        <v>77488</v>
      </c>
      <c r="J164" s="69" t="str">
        <f>VLOOKUP($A164,SP_TaxPar_DB[],MATCH(J$2,SP_TaxPar_DB[#Headers],0),FALSE)</f>
        <v>1622 W MILAM</v>
      </c>
      <c r="K164" s="69" t="str">
        <f>VLOOKUP($A164,SP_TaxPar_DB[],MATCH(K$2,SP_TaxPar_DB[#Headers],0),FALSE)</f>
        <v>WEST MILAM BLOCK B LOT 15 Acres:0.1062</v>
      </c>
      <c r="L164" s="69">
        <f>VLOOKUP($A164,SP_TaxPar_DB[],MATCH(L$2,SP_TaxPar_DB[#Headers],0),FALSE)</f>
        <v>0</v>
      </c>
      <c r="M164" s="69">
        <f>VLOOKUP($A164,SP_TaxPar_DB[],MATCH(M$2,SP_TaxPar_DB[#Headers],0),FALSE)</f>
        <v>0</v>
      </c>
      <c r="N164" s="69">
        <f>VLOOKUP($A164,SP_TaxPar_DB[],MATCH(N$2,SP_TaxPar_DB[#Headers],0),FALSE)</f>
        <v>0</v>
      </c>
      <c r="O164" s="71">
        <f>VLOOKUP($A164,SP_TaxPar_DB[],MATCH(O$2,SP_TaxPar_DB[#Headers],0),FALSE)</f>
        <v>0</v>
      </c>
      <c r="P164" s="72"/>
      <c r="Q164" s="69"/>
      <c r="R164" s="73"/>
      <c r="S164" s="73"/>
      <c r="T164" s="69"/>
      <c r="U164" s="69"/>
      <c r="V164" s="69"/>
      <c r="W164" s="69"/>
      <c r="X164" s="69"/>
      <c r="Y164" s="69"/>
      <c r="Z164" s="69"/>
      <c r="AA164" s="69"/>
      <c r="AB164" s="74"/>
      <c r="AC164" s="73"/>
      <c r="AD164" s="73"/>
      <c r="AE164" s="74"/>
      <c r="AF164" s="68"/>
      <c r="AG164" s="68"/>
      <c r="AH164" s="74"/>
      <c r="AI164" s="68"/>
      <c r="AJ164" s="68"/>
      <c r="AK164" s="68"/>
      <c r="AL164" s="80"/>
      <c r="AM164" s="81"/>
      <c r="AN164" s="74"/>
      <c r="AO164" s="74"/>
      <c r="AP164" s="74"/>
      <c r="AQ164" s="74"/>
      <c r="AR164" s="74"/>
      <c r="AS164" s="74"/>
      <c r="AT164" s="74"/>
      <c r="AU164" s="74"/>
      <c r="AV164" s="74"/>
      <c r="AW164" s="84"/>
    </row>
    <row r="165" spans="1:49" ht="15.75" hidden="1" x14ac:dyDescent="0.2">
      <c r="A165" s="129" t="s">
        <v>2320</v>
      </c>
      <c r="B165" s="68" t="str">
        <f>VLOOKUP($A165,SP_TaxPar_DB[],MATCH(B$2,SP_TaxPar_DB[#Headers],0),FALSE)</f>
        <v>ENV</v>
      </c>
      <c r="C165" s="67">
        <f>IF(VLOOKUP($A165,SP_TaxPar_DB[],MATCH(C$2,SP_TaxPar_DB[#Headers],0),FALSE)="",0,VLOOKUP($A165,SP_TaxPar_DB[],MATCH(C$2,SP_TaxPar_DB[#Headers],0),FALSE))</f>
        <v>0</v>
      </c>
      <c r="D165" s="67" t="str">
        <f>IF(VLOOKUP($A165,SP_TaxPar_DB[],MATCH(D$2,SP_TaxPar_DB[#Headers],0),FALSE)="",0,VLOOKUP($A165,SP_TaxPar_DB[],MATCH(D$2,SP_TaxPar_DB[#Headers],0),FALSE))</f>
        <v>153</v>
      </c>
      <c r="E165" s="69" t="str">
        <f>VLOOKUP($A165,SP_TaxPar_DB[],MATCH(E$2,SP_TaxPar_DB[#Headers],0),FALSE)</f>
        <v>HEARD TONY &amp; FLOYD VIOLA</v>
      </c>
      <c r="F165" s="69" t="str">
        <f>VLOOKUP($A165,SP_TaxPar_DB[],MATCH(F$2,SP_TaxPar_DB[#Headers],0),FALSE)</f>
        <v>813 NOREDA</v>
      </c>
      <c r="G165" s="69" t="str">
        <f>VLOOKUP($A165,SP_TaxPar_DB[],MATCH(G$2,SP_TaxPar_DB[#Headers],0),FALSE)</f>
        <v>ANGLETON</v>
      </c>
      <c r="H165" s="69" t="str">
        <f>VLOOKUP($A165,SP_TaxPar_DB[],MATCH(H$2,SP_TaxPar_DB[#Headers],0),FALSE)</f>
        <v>TX</v>
      </c>
      <c r="I165" s="69" t="str">
        <f>VLOOKUP($A165,SP_TaxPar_DB[],MATCH(I$2,SP_TaxPar_DB[#Headers],0),FALSE)</f>
        <v>77515</v>
      </c>
      <c r="J165" s="69" t="str">
        <f>VLOOKUP($A165,SP_TaxPar_DB[],MATCH(J$2,SP_TaxPar_DB[#Headers],0),FALSE)</f>
        <v>1700 W MILAM</v>
      </c>
      <c r="K165" s="69" t="str">
        <f>VLOOKUP($A165,SP_TaxPar_DB[],MATCH(K$2,SP_TaxPar_DB[#Headers],0),FALSE)</f>
        <v>WEST MILAM BLOCK B LOT 16 Acres:0.1062</v>
      </c>
      <c r="L165" s="69">
        <f>VLOOKUP($A165,SP_TaxPar_DB[],MATCH(L$2,SP_TaxPar_DB[#Headers],0),FALSE)</f>
        <v>0</v>
      </c>
      <c r="M165" s="69">
        <f>VLOOKUP($A165,SP_TaxPar_DB[],MATCH(M$2,SP_TaxPar_DB[#Headers],0),FALSE)</f>
        <v>0</v>
      </c>
      <c r="N165" s="69">
        <f>VLOOKUP($A165,SP_TaxPar_DB[],MATCH(N$2,SP_TaxPar_DB[#Headers],0),FALSE)</f>
        <v>0</v>
      </c>
      <c r="O165" s="71">
        <f>VLOOKUP($A165,SP_TaxPar_DB[],MATCH(O$2,SP_TaxPar_DB[#Headers],0),FALSE)</f>
        <v>0</v>
      </c>
      <c r="P165" s="72"/>
      <c r="Q165" s="69"/>
      <c r="R165" s="73"/>
      <c r="S165" s="73"/>
      <c r="T165" s="69"/>
      <c r="U165" s="69"/>
      <c r="V165" s="69"/>
      <c r="W165" s="69"/>
      <c r="X165" s="69"/>
      <c r="Y165" s="69"/>
      <c r="Z165" s="69"/>
      <c r="AA165" s="69"/>
      <c r="AB165" s="74"/>
      <c r="AC165" s="73"/>
      <c r="AD165" s="73"/>
      <c r="AE165" s="74"/>
      <c r="AF165" s="68"/>
      <c r="AG165" s="68"/>
      <c r="AH165" s="74"/>
      <c r="AI165" s="68"/>
      <c r="AJ165" s="68"/>
      <c r="AK165" s="68"/>
      <c r="AL165" s="80"/>
      <c r="AM165" s="81"/>
      <c r="AN165" s="74"/>
      <c r="AO165" s="74"/>
      <c r="AP165" s="74"/>
      <c r="AQ165" s="74"/>
      <c r="AR165" s="74"/>
      <c r="AS165" s="74"/>
      <c r="AT165" s="74"/>
      <c r="AU165" s="74"/>
      <c r="AV165" s="74"/>
      <c r="AW165" s="84"/>
    </row>
    <row r="166" spans="1:49" ht="15.75" hidden="1" x14ac:dyDescent="0.2">
      <c r="A166" s="129" t="s">
        <v>2327</v>
      </c>
      <c r="B166" s="68" t="str">
        <f>VLOOKUP($A166,SP_TaxPar_DB[],MATCH(B$2,SP_TaxPar_DB[#Headers],0),FALSE)</f>
        <v>ENV</v>
      </c>
      <c r="C166" s="67">
        <f>IF(VLOOKUP($A166,SP_TaxPar_DB[],MATCH(C$2,SP_TaxPar_DB[#Headers],0),FALSE)="",0,VLOOKUP($A166,SP_TaxPar_DB[],MATCH(C$2,SP_TaxPar_DB[#Headers],0),FALSE))</f>
        <v>0</v>
      </c>
      <c r="D166" s="67" t="str">
        <f>IF(VLOOKUP($A166,SP_TaxPar_DB[],MATCH(D$2,SP_TaxPar_DB[#Headers],0),FALSE)="",0,VLOOKUP($A166,SP_TaxPar_DB[],MATCH(D$2,SP_TaxPar_DB[#Headers],0),FALSE))</f>
        <v>154</v>
      </c>
      <c r="E166" s="69" t="str">
        <f>VLOOKUP($A166,SP_TaxPar_DB[],MATCH(E$2,SP_TaxPar_DB[#Headers],0),FALSE)</f>
        <v>MCGREW ROBERT L</v>
      </c>
      <c r="F166" s="69" t="str">
        <f>VLOOKUP($A166,SP_TaxPar_DB[],MATCH(F$2,SP_TaxPar_DB[#Headers],0),FALSE)</f>
        <v>4147 CR 135 RD</v>
      </c>
      <c r="G166" s="69" t="str">
        <f>VLOOKUP($A166,SP_TaxPar_DB[],MATCH(G$2,SP_TaxPar_DB[#Headers],0),FALSE)</f>
        <v>WHARTON</v>
      </c>
      <c r="H166" s="69" t="str">
        <f>VLOOKUP($A166,SP_TaxPar_DB[],MATCH(H$2,SP_TaxPar_DB[#Headers],0),FALSE)</f>
        <v>TX</v>
      </c>
      <c r="I166" s="69" t="str">
        <f>VLOOKUP($A166,SP_TaxPar_DB[],MATCH(I$2,SP_TaxPar_DB[#Headers],0),FALSE)</f>
        <v>77488</v>
      </c>
      <c r="J166" s="69" t="str">
        <f>VLOOKUP($A166,SP_TaxPar_DB[],MATCH(J$2,SP_TaxPar_DB[#Headers],0),FALSE)</f>
        <v>1702 W MILAM</v>
      </c>
      <c r="K166" s="69" t="str">
        <f>VLOOKUP($A166,SP_TaxPar_DB[],MATCH(K$2,SP_TaxPar_DB[#Headers],0),FALSE)</f>
        <v>WEST MILAM BLOCK B LOT 17 Acres:0.1062</v>
      </c>
      <c r="L166" s="69">
        <f>VLOOKUP($A166,SP_TaxPar_DB[],MATCH(L$2,SP_TaxPar_DB[#Headers],0),FALSE)</f>
        <v>0</v>
      </c>
      <c r="M166" s="69">
        <f>VLOOKUP($A166,SP_TaxPar_DB[],MATCH(M$2,SP_TaxPar_DB[#Headers],0),FALSE)</f>
        <v>0</v>
      </c>
      <c r="N166" s="69">
        <f>VLOOKUP($A166,SP_TaxPar_DB[],MATCH(N$2,SP_TaxPar_DB[#Headers],0),FALSE)</f>
        <v>0</v>
      </c>
      <c r="O166" s="71">
        <f>VLOOKUP($A166,SP_TaxPar_DB[],MATCH(O$2,SP_TaxPar_DB[#Headers],0),FALSE)</f>
        <v>0</v>
      </c>
      <c r="P166" s="72"/>
      <c r="Q166" s="69"/>
      <c r="R166" s="73"/>
      <c r="S166" s="73"/>
      <c r="T166" s="69"/>
      <c r="U166" s="69"/>
      <c r="V166" s="69"/>
      <c r="W166" s="69"/>
      <c r="X166" s="69"/>
      <c r="Y166" s="69"/>
      <c r="Z166" s="69"/>
      <c r="AA166" s="69"/>
      <c r="AB166" s="74"/>
      <c r="AC166" s="73"/>
      <c r="AD166" s="73"/>
      <c r="AE166" s="74"/>
      <c r="AF166" s="68"/>
      <c r="AG166" s="68"/>
      <c r="AH166" s="74"/>
      <c r="AI166" s="68"/>
      <c r="AJ166" s="68"/>
      <c r="AK166" s="68"/>
      <c r="AL166" s="80"/>
      <c r="AM166" s="81"/>
      <c r="AN166" s="74"/>
      <c r="AO166" s="74"/>
      <c r="AP166" s="74"/>
      <c r="AQ166" s="74"/>
      <c r="AR166" s="74"/>
      <c r="AS166" s="74"/>
      <c r="AT166" s="74"/>
      <c r="AU166" s="74"/>
      <c r="AV166" s="74"/>
      <c r="AW166" s="84"/>
    </row>
    <row r="167" spans="1:49" ht="15.75" hidden="1" x14ac:dyDescent="0.2">
      <c r="A167" s="129" t="s">
        <v>2332</v>
      </c>
      <c r="B167" s="68" t="str">
        <f>VLOOKUP($A167,SP_TaxPar_DB[],MATCH(B$2,SP_TaxPar_DB[#Headers],0),FALSE)</f>
        <v>ENV</v>
      </c>
      <c r="C167" s="67">
        <f>IF(VLOOKUP($A167,SP_TaxPar_DB[],MATCH(C$2,SP_TaxPar_DB[#Headers],0),FALSE)="",0,VLOOKUP($A167,SP_TaxPar_DB[],MATCH(C$2,SP_TaxPar_DB[#Headers],0),FALSE))</f>
        <v>0</v>
      </c>
      <c r="D167" s="67" t="str">
        <f>IF(VLOOKUP($A167,SP_TaxPar_DB[],MATCH(D$2,SP_TaxPar_DB[#Headers],0),FALSE)="",0,VLOOKUP($A167,SP_TaxPar_DB[],MATCH(D$2,SP_TaxPar_DB[#Headers],0),FALSE))</f>
        <v>155</v>
      </c>
      <c r="E167" s="69" t="str">
        <f>VLOOKUP($A167,SP_TaxPar_DB[],MATCH(E$2,SP_TaxPar_DB[#Headers],0),FALSE)</f>
        <v>BRM3 INTERESTS LP</v>
      </c>
      <c r="F167" s="69" t="str">
        <f>VLOOKUP($A167,SP_TaxPar_DB[],MATCH(F$2,SP_TaxPar_DB[#Headers],0),FALSE)</f>
        <v>3600 MONTROSE BLVD #701</v>
      </c>
      <c r="G167" s="69" t="str">
        <f>VLOOKUP($A167,SP_TaxPar_DB[],MATCH(G$2,SP_TaxPar_DB[#Headers],0),FALSE)</f>
        <v>HOUSTON</v>
      </c>
      <c r="H167" s="69" t="str">
        <f>VLOOKUP($A167,SP_TaxPar_DB[],MATCH(H$2,SP_TaxPar_DB[#Headers],0),FALSE)</f>
        <v>TX</v>
      </c>
      <c r="I167" s="69" t="str">
        <f>VLOOKUP($A167,SP_TaxPar_DB[],MATCH(I$2,SP_TaxPar_DB[#Headers],0),FALSE)</f>
        <v>77006</v>
      </c>
      <c r="J167" s="69" t="str">
        <f>VLOOKUP($A167,SP_TaxPar_DB[],MATCH(J$2,SP_TaxPar_DB[#Headers],0),FALSE)</f>
        <v>0 S EAST AVE</v>
      </c>
      <c r="K167" s="69" t="str">
        <f>VLOOKUP($A167,SP_TaxPar_DB[],MATCH(K$2,SP_TaxPar_DB[#Headers],0),FALSE)</f>
        <v>WHARTON BLOCK 59 LOT 9 Acres:0.1674</v>
      </c>
      <c r="L167" s="69">
        <f>VLOOKUP($A167,SP_TaxPar_DB[],MATCH(L$2,SP_TaxPar_DB[#Headers],0),FALSE)</f>
        <v>0</v>
      </c>
      <c r="M167" s="69">
        <f>VLOOKUP($A167,SP_TaxPar_DB[],MATCH(M$2,SP_TaxPar_DB[#Headers],0),FALSE)</f>
        <v>0</v>
      </c>
      <c r="N167" s="69">
        <f>VLOOKUP($A167,SP_TaxPar_DB[],MATCH(N$2,SP_TaxPar_DB[#Headers],0),FALSE)</f>
        <v>0</v>
      </c>
      <c r="O167" s="71">
        <f>VLOOKUP($A167,SP_TaxPar_DB[],MATCH(O$2,SP_TaxPar_DB[#Headers],0),FALSE)</f>
        <v>0</v>
      </c>
      <c r="P167" s="72"/>
      <c r="Q167" s="69"/>
      <c r="R167" s="73"/>
      <c r="S167" s="73"/>
      <c r="T167" s="69"/>
      <c r="U167" s="69"/>
      <c r="V167" s="69"/>
      <c r="W167" s="69"/>
      <c r="X167" s="69"/>
      <c r="Y167" s="69"/>
      <c r="Z167" s="69"/>
      <c r="AA167" s="69"/>
      <c r="AB167" s="74"/>
      <c r="AC167" s="73"/>
      <c r="AD167" s="73"/>
      <c r="AE167" s="74"/>
      <c r="AF167" s="68"/>
      <c r="AG167" s="68"/>
      <c r="AH167" s="74"/>
      <c r="AI167" s="68"/>
      <c r="AJ167" s="68"/>
      <c r="AK167" s="68"/>
      <c r="AL167" s="80"/>
      <c r="AM167" s="81"/>
      <c r="AN167" s="74"/>
      <c r="AO167" s="74"/>
      <c r="AP167" s="74"/>
      <c r="AQ167" s="74"/>
      <c r="AR167" s="74"/>
      <c r="AS167" s="74"/>
      <c r="AT167" s="74"/>
      <c r="AU167" s="74"/>
      <c r="AV167" s="74"/>
      <c r="AW167" s="84"/>
    </row>
    <row r="168" spans="1:49" ht="15.75" hidden="1" x14ac:dyDescent="0.2">
      <c r="A168" s="129" t="s">
        <v>2338</v>
      </c>
      <c r="B168" s="68" t="str">
        <f>VLOOKUP($A168,SP_TaxPar_DB[],MATCH(B$2,SP_TaxPar_DB[#Headers],0),FALSE)</f>
        <v>ENV</v>
      </c>
      <c r="C168" s="67">
        <f>IF(VLOOKUP($A168,SP_TaxPar_DB[],MATCH(C$2,SP_TaxPar_DB[#Headers],0),FALSE)="",0,VLOOKUP($A168,SP_TaxPar_DB[],MATCH(C$2,SP_TaxPar_DB[#Headers],0),FALSE))</f>
        <v>0</v>
      </c>
      <c r="D168" s="67" t="str">
        <f>IF(VLOOKUP($A168,SP_TaxPar_DB[],MATCH(D$2,SP_TaxPar_DB[#Headers],0),FALSE)="",0,VLOOKUP($A168,SP_TaxPar_DB[],MATCH(D$2,SP_TaxPar_DB[#Headers],0),FALSE))</f>
        <v>156</v>
      </c>
      <c r="E168" s="69" t="str">
        <f>VLOOKUP($A168,SP_TaxPar_DB[],MATCH(E$2,SP_TaxPar_DB[#Headers],0),FALSE)</f>
        <v>HERNANDEZ ALFREDO M</v>
      </c>
      <c r="F168" s="69" t="str">
        <f>VLOOKUP($A168,SP_TaxPar_DB[],MATCH(F$2,SP_TaxPar_DB[#Headers],0),FALSE)</f>
        <v>320 S EAST AVE</v>
      </c>
      <c r="G168" s="69" t="str">
        <f>VLOOKUP($A168,SP_TaxPar_DB[],MATCH(G$2,SP_TaxPar_DB[#Headers],0),FALSE)</f>
        <v>WHARTON</v>
      </c>
      <c r="H168" s="69" t="str">
        <f>VLOOKUP($A168,SP_TaxPar_DB[],MATCH(H$2,SP_TaxPar_DB[#Headers],0),FALSE)</f>
        <v>TX</v>
      </c>
      <c r="I168" s="69" t="str">
        <f>VLOOKUP($A168,SP_TaxPar_DB[],MATCH(I$2,SP_TaxPar_DB[#Headers],0),FALSE)</f>
        <v>77488</v>
      </c>
      <c r="J168" s="69" t="str">
        <f>VLOOKUP($A168,SP_TaxPar_DB[],MATCH(J$2,SP_TaxPar_DB[#Headers],0),FALSE)</f>
        <v>320 S EAST AVE</v>
      </c>
      <c r="K168" s="69" t="str">
        <f>VLOOKUP($A168,SP_TaxPar_DB[],MATCH(K$2,SP_TaxPar_DB[#Headers],0),FALSE)</f>
        <v>WHARTON BLOCK 59 LOT 10A Acres:0.5573</v>
      </c>
      <c r="L168" s="69">
        <f>VLOOKUP($A168,SP_TaxPar_DB[],MATCH(L$2,SP_TaxPar_DB[#Headers],0),FALSE)</f>
        <v>0</v>
      </c>
      <c r="M168" s="69">
        <f>VLOOKUP($A168,SP_TaxPar_DB[],MATCH(M$2,SP_TaxPar_DB[#Headers],0),FALSE)</f>
        <v>0</v>
      </c>
      <c r="N168" s="69">
        <f>VLOOKUP($A168,SP_TaxPar_DB[],MATCH(N$2,SP_TaxPar_DB[#Headers],0),FALSE)</f>
        <v>0</v>
      </c>
      <c r="O168" s="71">
        <f>VLOOKUP($A168,SP_TaxPar_DB[],MATCH(O$2,SP_TaxPar_DB[#Headers],0),FALSE)</f>
        <v>0</v>
      </c>
      <c r="P168" s="72"/>
      <c r="Q168" s="69"/>
      <c r="R168" s="73"/>
      <c r="S168" s="73"/>
      <c r="T168" s="69"/>
      <c r="U168" s="69"/>
      <c r="V168" s="69"/>
      <c r="W168" s="69"/>
      <c r="X168" s="69"/>
      <c r="Y168" s="69"/>
      <c r="Z168" s="69"/>
      <c r="AA168" s="69"/>
      <c r="AB168" s="74"/>
      <c r="AC168" s="73"/>
      <c r="AD168" s="73"/>
      <c r="AE168" s="74"/>
      <c r="AF168" s="68"/>
      <c r="AG168" s="68"/>
      <c r="AH168" s="74"/>
      <c r="AI168" s="68"/>
      <c r="AJ168" s="68"/>
      <c r="AK168" s="68"/>
      <c r="AL168" s="80"/>
      <c r="AM168" s="81"/>
      <c r="AN168" s="74"/>
      <c r="AO168" s="74"/>
      <c r="AP168" s="74"/>
      <c r="AQ168" s="74"/>
      <c r="AR168" s="74"/>
      <c r="AS168" s="74"/>
      <c r="AT168" s="74"/>
      <c r="AU168" s="74"/>
      <c r="AV168" s="74"/>
      <c r="AW168" s="84"/>
    </row>
    <row r="169" spans="1:49" ht="15.75" hidden="1" x14ac:dyDescent="0.2">
      <c r="A169" s="129" t="s">
        <v>2342</v>
      </c>
      <c r="B169" s="68" t="str">
        <f>VLOOKUP($A169,SP_TaxPar_DB[],MATCH(B$2,SP_TaxPar_DB[#Headers],0),FALSE)</f>
        <v>PH2</v>
      </c>
      <c r="C169" s="67" t="str">
        <f>IF(VLOOKUP($A169,SP_TaxPar_DB[],MATCH(C$2,SP_TaxPar_DB[#Headers],0),FALSE)="",0,VLOOKUP($A169,SP_TaxPar_DB[],MATCH(C$2,SP_TaxPar_DB[#Headers],0),FALSE))</f>
        <v>T157</v>
      </c>
      <c r="D169" s="67">
        <f>IF(VLOOKUP($A169,SP_TaxPar_DB[],MATCH(D$2,SP_TaxPar_DB[#Headers],0),FALSE)="",0,VLOOKUP($A169,SP_TaxPar_DB[],MATCH(D$2,SP_TaxPar_DB[#Headers],0),FALSE))</f>
        <v>0</v>
      </c>
      <c r="E169" s="69" t="str">
        <f>VLOOKUP($A169,SP_TaxPar_DB[],MATCH(E$2,SP_TaxPar_DB[#Headers],0),FALSE)</f>
        <v>DONAHUE IRA L EST %DONAHUE ALLEN</v>
      </c>
      <c r="F169" s="69" t="str">
        <f>VLOOKUP($A169,SP_TaxPar_DB[],MATCH(F$2,SP_TaxPar_DB[#Headers],0),FALSE)</f>
        <v>PO BOX 703</v>
      </c>
      <c r="G169" s="69" t="str">
        <f>VLOOKUP($A169,SP_TaxPar_DB[],MATCH(G$2,SP_TaxPar_DB[#Headers],0),FALSE)</f>
        <v>WHARTON</v>
      </c>
      <c r="H169" s="69" t="str">
        <f>VLOOKUP($A169,SP_TaxPar_DB[],MATCH(H$2,SP_TaxPar_DB[#Headers],0),FALSE)</f>
        <v>TX</v>
      </c>
      <c r="I169" s="69" t="str">
        <f>VLOOKUP($A169,SP_TaxPar_DB[],MATCH(I$2,SP_TaxPar_DB[#Headers],0),FALSE)</f>
        <v>77488-0703</v>
      </c>
      <c r="J169" s="69" t="str">
        <f>VLOOKUP($A169,SP_TaxPar_DB[],MATCH(J$2,SP_TaxPar_DB[#Headers],0),FALSE)</f>
        <v>0 S EAST AVE</v>
      </c>
      <c r="K169" s="69" t="str">
        <f>VLOOKUP($A169,SP_TaxPar_DB[],MATCH(K$2,SP_TaxPar_DB[#Headers],0),FALSE)</f>
        <v>WHARTON BLOCK 59 LOT 10B Acres:0.2391</v>
      </c>
      <c r="L169" s="69">
        <f>VLOOKUP($A169,SP_TaxPar_DB[],MATCH(L$2,SP_TaxPar_DB[#Headers],0),FALSE)</f>
        <v>0</v>
      </c>
      <c r="M169" s="69">
        <f>VLOOKUP($A169,SP_TaxPar_DB[],MATCH(M$2,SP_TaxPar_DB[#Headers],0),FALSE)</f>
        <v>0</v>
      </c>
      <c r="N169" s="69">
        <f>VLOOKUP($A169,SP_TaxPar_DB[],MATCH(N$2,SP_TaxPar_DB[#Headers],0),FALSE)</f>
        <v>0</v>
      </c>
      <c r="O169" s="71">
        <f>VLOOKUP($A169,SP_TaxPar_DB[],MATCH(O$2,SP_TaxPar_DB[#Headers],0),FALSE)</f>
        <v>0</v>
      </c>
      <c r="P169" s="72"/>
      <c r="Q169" s="69"/>
      <c r="R169" s="73"/>
      <c r="S169" s="73"/>
      <c r="T169" s="69"/>
      <c r="U169" s="69"/>
      <c r="V169" s="69"/>
      <c r="W169" s="69"/>
      <c r="X169" s="69"/>
      <c r="Y169" s="69"/>
      <c r="Z169" s="69"/>
      <c r="AA169" s="69"/>
      <c r="AB169" s="74"/>
      <c r="AC169" s="73"/>
      <c r="AD169" s="73"/>
      <c r="AE169" s="74"/>
      <c r="AF169" s="68"/>
      <c r="AG169" s="68"/>
      <c r="AH169" s="74"/>
      <c r="AI169" s="68"/>
      <c r="AJ169" s="68"/>
      <c r="AK169" s="68"/>
      <c r="AL169" s="80"/>
      <c r="AM169" s="81"/>
      <c r="AN169" s="74"/>
      <c r="AO169" s="74"/>
      <c r="AP169" s="74"/>
      <c r="AQ169" s="74"/>
      <c r="AR169" s="74"/>
      <c r="AS169" s="74"/>
      <c r="AT169" s="74"/>
      <c r="AU169" s="74"/>
      <c r="AV169" s="74"/>
      <c r="AW169" s="84"/>
    </row>
    <row r="170" spans="1:49" ht="15.75" hidden="1" x14ac:dyDescent="0.2">
      <c r="A170" s="129" t="s">
        <v>2347</v>
      </c>
      <c r="B170" s="68" t="str">
        <f>VLOOKUP($A170,SP_TaxPar_DB[],MATCH(B$2,SP_TaxPar_DB[#Headers],0),FALSE)</f>
        <v>PH2</v>
      </c>
      <c r="C170" s="67" t="str">
        <f>IF(VLOOKUP($A170,SP_TaxPar_DB[],MATCH(C$2,SP_TaxPar_DB[#Headers],0),FALSE)="",0,VLOOKUP($A170,SP_TaxPar_DB[],MATCH(C$2,SP_TaxPar_DB[#Headers],0),FALSE))</f>
        <v>T158</v>
      </c>
      <c r="D170" s="67">
        <f>IF(VLOOKUP($A170,SP_TaxPar_DB[],MATCH(D$2,SP_TaxPar_DB[#Headers],0),FALSE)="",0,VLOOKUP($A170,SP_TaxPar_DB[],MATCH(D$2,SP_TaxPar_DB[#Headers],0),FALSE))</f>
        <v>0</v>
      </c>
      <c r="E170" s="69" t="str">
        <f>VLOOKUP($A170,SP_TaxPar_DB[],MATCH(E$2,SP_TaxPar_DB[#Headers],0),FALSE)</f>
        <v>OCHOA LIZBETH</v>
      </c>
      <c r="F170" s="69" t="str">
        <f>VLOOKUP($A170,SP_TaxPar_DB[],MATCH(F$2,SP_TaxPar_DB[#Headers],0),FALSE)</f>
        <v>12750 BRIAR FOREST DR APT 407</v>
      </c>
      <c r="G170" s="69" t="str">
        <f>VLOOKUP($A170,SP_TaxPar_DB[],MATCH(G$2,SP_TaxPar_DB[#Headers],0),FALSE)</f>
        <v>HOUSTON</v>
      </c>
      <c r="H170" s="69" t="str">
        <f>VLOOKUP($A170,SP_TaxPar_DB[],MATCH(H$2,SP_TaxPar_DB[#Headers],0),FALSE)</f>
        <v>TX</v>
      </c>
      <c r="I170" s="69" t="str">
        <f>VLOOKUP($A170,SP_TaxPar_DB[],MATCH(I$2,SP_TaxPar_DB[#Headers],0),FALSE)</f>
        <v>77077</v>
      </c>
      <c r="J170" s="69" t="str">
        <f>VLOOKUP($A170,SP_TaxPar_DB[],MATCH(J$2,SP_TaxPar_DB[#Headers],0),FALSE)</f>
        <v>328 S EAST AVE</v>
      </c>
      <c r="K170" s="69" t="str">
        <f>VLOOKUP($A170,SP_TaxPar_DB[],MATCH(K$2,SP_TaxPar_DB[#Headers],0),FALSE)</f>
        <v>WHARTON BLOCK 59 LOT 10C Acres:0.2391</v>
      </c>
      <c r="L170" s="69">
        <f>VLOOKUP($A170,SP_TaxPar_DB[],MATCH(L$2,SP_TaxPar_DB[#Headers],0),FALSE)</f>
        <v>0</v>
      </c>
      <c r="M170" s="69">
        <f>VLOOKUP($A170,SP_TaxPar_DB[],MATCH(M$2,SP_TaxPar_DB[#Headers],0),FALSE)</f>
        <v>0</v>
      </c>
      <c r="N170" s="69">
        <f>VLOOKUP($A170,SP_TaxPar_DB[],MATCH(N$2,SP_TaxPar_DB[#Headers],0),FALSE)</f>
        <v>0</v>
      </c>
      <c r="O170" s="71">
        <f>VLOOKUP($A170,SP_TaxPar_DB[],MATCH(O$2,SP_TaxPar_DB[#Headers],0),FALSE)</f>
        <v>0</v>
      </c>
      <c r="P170" s="72"/>
      <c r="Q170" s="69"/>
      <c r="R170" s="73"/>
      <c r="S170" s="73"/>
      <c r="T170" s="69"/>
      <c r="U170" s="69"/>
      <c r="V170" s="69"/>
      <c r="W170" s="69"/>
      <c r="X170" s="69"/>
      <c r="Y170" s="69"/>
      <c r="Z170" s="69"/>
      <c r="AA170" s="69"/>
      <c r="AB170" s="74"/>
      <c r="AC170" s="73"/>
      <c r="AD170" s="73"/>
      <c r="AE170" s="74"/>
      <c r="AF170" s="68"/>
      <c r="AG170" s="68"/>
      <c r="AH170" s="74"/>
      <c r="AI170" s="68"/>
      <c r="AJ170" s="68"/>
      <c r="AK170" s="68"/>
      <c r="AL170" s="80"/>
      <c r="AM170" s="81"/>
      <c r="AN170" s="74"/>
      <c r="AO170" s="74"/>
      <c r="AP170" s="74"/>
      <c r="AQ170" s="74"/>
      <c r="AR170" s="74"/>
      <c r="AS170" s="74"/>
      <c r="AT170" s="74"/>
      <c r="AU170" s="74"/>
      <c r="AV170" s="74"/>
      <c r="AW170" s="84"/>
    </row>
    <row r="171" spans="1:49" ht="15.75" hidden="1" x14ac:dyDescent="0.2">
      <c r="A171" s="129" t="s">
        <v>2353</v>
      </c>
      <c r="B171" s="68" t="str">
        <f>VLOOKUP($A171,SP_TaxPar_DB[],MATCH(B$2,SP_TaxPar_DB[#Headers],0),FALSE)</f>
        <v>PH2</v>
      </c>
      <c r="C171" s="67" t="str">
        <f>IF(VLOOKUP($A171,SP_TaxPar_DB[],MATCH(C$2,SP_TaxPar_DB[#Headers],0),FALSE)="",0,VLOOKUP($A171,SP_TaxPar_DB[],MATCH(C$2,SP_TaxPar_DB[#Headers],0),FALSE))</f>
        <v>T159</v>
      </c>
      <c r="D171" s="67">
        <f>IF(VLOOKUP($A171,SP_TaxPar_DB[],MATCH(D$2,SP_TaxPar_DB[#Headers],0),FALSE)="",0,VLOOKUP($A171,SP_TaxPar_DB[],MATCH(D$2,SP_TaxPar_DB[#Headers],0),FALSE))</f>
        <v>0</v>
      </c>
      <c r="E171" s="69" t="str">
        <f>VLOOKUP($A171,SP_TaxPar_DB[],MATCH(E$2,SP_TaxPar_DB[#Headers],0),FALSE)</f>
        <v>BAKER HELENA</v>
      </c>
      <c r="F171" s="69" t="str">
        <f>VLOOKUP($A171,SP_TaxPar_DB[],MATCH(F$2,SP_TaxPar_DB[#Headers],0),FALSE)</f>
        <v>400 S EAST AVE</v>
      </c>
      <c r="G171" s="69" t="str">
        <f>VLOOKUP($A171,SP_TaxPar_DB[],MATCH(G$2,SP_TaxPar_DB[#Headers],0),FALSE)</f>
        <v>WHARTON</v>
      </c>
      <c r="H171" s="69" t="str">
        <f>VLOOKUP($A171,SP_TaxPar_DB[],MATCH(H$2,SP_TaxPar_DB[#Headers],0),FALSE)</f>
        <v>TX</v>
      </c>
      <c r="I171" s="69" t="str">
        <f>VLOOKUP($A171,SP_TaxPar_DB[],MATCH(I$2,SP_TaxPar_DB[#Headers],0),FALSE)</f>
        <v>77488</v>
      </c>
      <c r="J171" s="69" t="str">
        <f>VLOOKUP($A171,SP_TaxPar_DB[],MATCH(J$2,SP_TaxPar_DB[#Headers],0),FALSE)</f>
        <v>400 S EAST AVE</v>
      </c>
      <c r="K171" s="69" t="str">
        <f>VLOOKUP($A171,SP_TaxPar_DB[],MATCH(K$2,SP_TaxPar_DB[#Headers],0),FALSE)</f>
        <v>WHARTON BLOCK 59 LOT 11 Acres:0.1674</v>
      </c>
      <c r="L171" s="69">
        <f>VLOOKUP($A171,SP_TaxPar_DB[],MATCH(L$2,SP_TaxPar_DB[#Headers],0),FALSE)</f>
        <v>0</v>
      </c>
      <c r="M171" s="69">
        <f>VLOOKUP($A171,SP_TaxPar_DB[],MATCH(M$2,SP_TaxPar_DB[#Headers],0),FALSE)</f>
        <v>0</v>
      </c>
      <c r="N171" s="69">
        <f>VLOOKUP($A171,SP_TaxPar_DB[],MATCH(N$2,SP_TaxPar_DB[#Headers],0),FALSE)</f>
        <v>0</v>
      </c>
      <c r="O171" s="71">
        <f>VLOOKUP($A171,SP_TaxPar_DB[],MATCH(O$2,SP_TaxPar_DB[#Headers],0),FALSE)</f>
        <v>0</v>
      </c>
      <c r="P171" s="72"/>
      <c r="Q171" s="69"/>
      <c r="R171" s="73"/>
      <c r="S171" s="73"/>
      <c r="T171" s="69"/>
      <c r="U171" s="69"/>
      <c r="V171" s="69"/>
      <c r="W171" s="69"/>
      <c r="X171" s="69"/>
      <c r="Y171" s="69"/>
      <c r="Z171" s="69"/>
      <c r="AA171" s="69"/>
      <c r="AB171" s="74"/>
      <c r="AC171" s="73"/>
      <c r="AD171" s="73"/>
      <c r="AE171" s="74"/>
      <c r="AF171" s="68"/>
      <c r="AG171" s="68"/>
      <c r="AH171" s="74"/>
      <c r="AI171" s="68"/>
      <c r="AJ171" s="68"/>
      <c r="AK171" s="68"/>
      <c r="AL171" s="80"/>
      <c r="AM171" s="81"/>
      <c r="AN171" s="74"/>
      <c r="AO171" s="74"/>
      <c r="AP171" s="74"/>
      <c r="AQ171" s="74"/>
      <c r="AR171" s="74"/>
      <c r="AS171" s="74"/>
      <c r="AT171" s="74"/>
      <c r="AU171" s="74"/>
      <c r="AV171" s="74"/>
      <c r="AW171" s="84"/>
    </row>
    <row r="172" spans="1:49" ht="15.75" hidden="1" x14ac:dyDescent="0.2">
      <c r="A172" s="129" t="s">
        <v>2357</v>
      </c>
      <c r="B172" s="68" t="str">
        <f>VLOOKUP($A172,SP_TaxPar_DB[],MATCH(B$2,SP_TaxPar_DB[#Headers],0),FALSE)</f>
        <v>ENV</v>
      </c>
      <c r="C172" s="67">
        <f>IF(VLOOKUP($A172,SP_TaxPar_DB[],MATCH(C$2,SP_TaxPar_DB[#Headers],0),FALSE)="",0,VLOOKUP($A172,SP_TaxPar_DB[],MATCH(C$2,SP_TaxPar_DB[#Headers],0),FALSE))</f>
        <v>0</v>
      </c>
      <c r="D172" s="67" t="str">
        <f>IF(VLOOKUP($A172,SP_TaxPar_DB[],MATCH(D$2,SP_TaxPar_DB[#Headers],0),FALSE)="",0,VLOOKUP($A172,SP_TaxPar_DB[],MATCH(D$2,SP_TaxPar_DB[#Headers],0),FALSE))</f>
        <v>160</v>
      </c>
      <c r="E172" s="69" t="str">
        <f>VLOOKUP($A172,SP_TaxPar_DB[],MATCH(E$2,SP_TaxPar_DB[#Headers],0),FALSE)</f>
        <v>FELLHAUER DAVID E MOST REV BISHOP OF DIOCESE OF VICTORIA</v>
      </c>
      <c r="F172" s="69" t="str">
        <f>VLOOKUP($A172,SP_TaxPar_DB[],MATCH(F$2,SP_TaxPar_DB[#Headers],0),FALSE)</f>
        <v>FBO:MT CARMEL, PO BOX 4070</v>
      </c>
      <c r="G172" s="69" t="str">
        <f>VLOOKUP($A172,SP_TaxPar_DB[],MATCH(G$2,SP_TaxPar_DB[#Headers],0),FALSE)</f>
        <v>VICTORIA</v>
      </c>
      <c r="H172" s="69" t="str">
        <f>VLOOKUP($A172,SP_TaxPar_DB[],MATCH(H$2,SP_TaxPar_DB[#Headers],0),FALSE)</f>
        <v>TX</v>
      </c>
      <c r="I172" s="69">
        <f>VLOOKUP($A172,SP_TaxPar_DB[],MATCH(I$2,SP_TaxPar_DB[#Headers],0),FALSE)</f>
        <v>0</v>
      </c>
      <c r="J172" s="69" t="str">
        <f>VLOOKUP($A172,SP_TaxPar_DB[],MATCH(J$2,SP_TaxPar_DB[#Headers],0),FALSE)</f>
        <v>0 S EAST AVE</v>
      </c>
      <c r="K172" s="69" t="str">
        <f>VLOOKUP($A172,SP_TaxPar_DB[],MATCH(K$2,SP_TaxPar_DB[#Headers],0),FALSE)</f>
        <v>WHARTON BLOCK 59 LOT 12A-1 Acres:0.2373</v>
      </c>
      <c r="L172" s="69">
        <f>VLOOKUP($A172,SP_TaxPar_DB[],MATCH(L$2,SP_TaxPar_DB[#Headers],0),FALSE)</f>
        <v>0</v>
      </c>
      <c r="M172" s="69">
        <f>VLOOKUP($A172,SP_TaxPar_DB[],MATCH(M$2,SP_TaxPar_DB[#Headers],0),FALSE)</f>
        <v>0</v>
      </c>
      <c r="N172" s="69">
        <f>VLOOKUP($A172,SP_TaxPar_DB[],MATCH(N$2,SP_TaxPar_DB[#Headers],0),FALSE)</f>
        <v>0</v>
      </c>
      <c r="O172" s="71">
        <f>VLOOKUP($A172,SP_TaxPar_DB[],MATCH(O$2,SP_TaxPar_DB[#Headers],0),FALSE)</f>
        <v>0</v>
      </c>
      <c r="P172" s="72"/>
      <c r="Q172" s="69"/>
      <c r="R172" s="73"/>
      <c r="S172" s="73"/>
      <c r="T172" s="69"/>
      <c r="U172" s="69"/>
      <c r="V172" s="69"/>
      <c r="W172" s="69"/>
      <c r="X172" s="69"/>
      <c r="Y172" s="69"/>
      <c r="Z172" s="69"/>
      <c r="AA172" s="69"/>
      <c r="AB172" s="74"/>
      <c r="AC172" s="73"/>
      <c r="AD172" s="73"/>
      <c r="AE172" s="74"/>
      <c r="AF172" s="68"/>
      <c r="AG172" s="68"/>
      <c r="AH172" s="74"/>
      <c r="AI172" s="68"/>
      <c r="AJ172" s="68"/>
      <c r="AK172" s="68"/>
      <c r="AL172" s="80"/>
      <c r="AM172" s="81"/>
      <c r="AN172" s="74"/>
      <c r="AO172" s="74"/>
      <c r="AP172" s="74"/>
      <c r="AQ172" s="74"/>
      <c r="AR172" s="74"/>
      <c r="AS172" s="74"/>
      <c r="AT172" s="74"/>
      <c r="AU172" s="74"/>
      <c r="AV172" s="74"/>
      <c r="AW172" s="84"/>
    </row>
    <row r="173" spans="1:49" ht="15.75" hidden="1" x14ac:dyDescent="0.2">
      <c r="A173" s="129" t="s">
        <v>2362</v>
      </c>
      <c r="B173" s="68" t="str">
        <f>VLOOKUP($A173,SP_TaxPar_DB[],MATCH(B$2,SP_TaxPar_DB[#Headers],0),FALSE)</f>
        <v>PH2</v>
      </c>
      <c r="C173" s="67" t="str">
        <f>IF(VLOOKUP($A173,SP_TaxPar_DB[],MATCH(C$2,SP_TaxPar_DB[#Headers],0),FALSE)="",0,VLOOKUP($A173,SP_TaxPar_DB[],MATCH(C$2,SP_TaxPar_DB[#Headers],0),FALSE))</f>
        <v>T162</v>
      </c>
      <c r="D173" s="67">
        <f>IF(VLOOKUP($A173,SP_TaxPar_DB[],MATCH(D$2,SP_TaxPar_DB[#Headers],0),FALSE)="",0,VLOOKUP($A173,SP_TaxPar_DB[],MATCH(D$2,SP_TaxPar_DB[#Headers],0),FALSE))</f>
        <v>0</v>
      </c>
      <c r="E173" s="69" t="str">
        <f>VLOOKUP($A173,SP_TaxPar_DB[],MATCH(E$2,SP_TaxPar_DB[#Headers],0),FALSE)</f>
        <v>GORDON WILLIAM A</v>
      </c>
      <c r="F173" s="69" t="str">
        <f>VLOOKUP($A173,SP_TaxPar_DB[],MATCH(F$2,SP_TaxPar_DB[#Headers],0),FALSE)</f>
        <v>12526 SORSBY WAY</v>
      </c>
      <c r="G173" s="69" t="str">
        <f>VLOOKUP($A173,SP_TaxPar_DB[],MATCH(G$2,SP_TaxPar_DB[#Headers],0),FALSE)</f>
        <v>HOUSTON</v>
      </c>
      <c r="H173" s="69" t="str">
        <f>VLOOKUP($A173,SP_TaxPar_DB[],MATCH(H$2,SP_TaxPar_DB[#Headers],0),FALSE)</f>
        <v>TX</v>
      </c>
      <c r="I173" s="69" t="str">
        <f>VLOOKUP($A173,SP_TaxPar_DB[],MATCH(I$2,SP_TaxPar_DB[#Headers],0),FALSE)</f>
        <v>77047-2838</v>
      </c>
      <c r="J173" s="69" t="str">
        <f>VLOOKUP($A173,SP_TaxPar_DB[],MATCH(J$2,SP_TaxPar_DB[#Headers],0),FALSE)</f>
        <v>0 BLACK</v>
      </c>
      <c r="K173" s="69" t="str">
        <f>VLOOKUP($A173,SP_TaxPar_DB[],MATCH(K$2,SP_TaxPar_DB[#Headers],0),FALSE)</f>
        <v>WHARTON BLOCK 59 LOT 13B Acres:0.1987</v>
      </c>
      <c r="L173" s="69">
        <f>VLOOKUP($A173,SP_TaxPar_DB[],MATCH(L$2,SP_TaxPar_DB[#Headers],0),FALSE)</f>
        <v>0</v>
      </c>
      <c r="M173" s="69">
        <f>VLOOKUP($A173,SP_TaxPar_DB[],MATCH(M$2,SP_TaxPar_DB[#Headers],0),FALSE)</f>
        <v>0</v>
      </c>
      <c r="N173" s="69">
        <f>VLOOKUP($A173,SP_TaxPar_DB[],MATCH(N$2,SP_TaxPar_DB[#Headers],0),FALSE)</f>
        <v>0</v>
      </c>
      <c r="O173" s="71">
        <f>VLOOKUP($A173,SP_TaxPar_DB[],MATCH(O$2,SP_TaxPar_DB[#Headers],0),FALSE)</f>
        <v>0</v>
      </c>
      <c r="P173" s="72"/>
      <c r="Q173" s="69"/>
      <c r="R173" s="73"/>
      <c r="S173" s="73"/>
      <c r="T173" s="69"/>
      <c r="U173" s="69"/>
      <c r="V173" s="69"/>
      <c r="W173" s="69"/>
      <c r="X173" s="69"/>
      <c r="Y173" s="69"/>
      <c r="Z173" s="69"/>
      <c r="AA173" s="69"/>
      <c r="AB173" s="74"/>
      <c r="AC173" s="73"/>
      <c r="AD173" s="73"/>
      <c r="AE173" s="74"/>
      <c r="AF173" s="68"/>
      <c r="AG173" s="68"/>
      <c r="AH173" s="74"/>
      <c r="AI173" s="68"/>
      <c r="AJ173" s="68"/>
      <c r="AK173" s="68"/>
      <c r="AL173" s="80"/>
      <c r="AM173" s="81"/>
      <c r="AN173" s="74"/>
      <c r="AO173" s="74"/>
      <c r="AP173" s="74"/>
      <c r="AQ173" s="74"/>
      <c r="AR173" s="74"/>
      <c r="AS173" s="74"/>
      <c r="AT173" s="74"/>
      <c r="AU173" s="74"/>
      <c r="AV173" s="74"/>
      <c r="AW173" s="84"/>
    </row>
    <row r="174" spans="1:49" ht="15.75" hidden="1" x14ac:dyDescent="0.2">
      <c r="A174" s="129" t="s">
        <v>2368</v>
      </c>
      <c r="B174" s="68" t="str">
        <f>VLOOKUP($A174,SP_TaxPar_DB[],MATCH(B$2,SP_TaxPar_DB[#Headers],0),FALSE)</f>
        <v>PH2</v>
      </c>
      <c r="C174" s="67" t="str">
        <f>IF(VLOOKUP($A174,SP_TaxPar_DB[],MATCH(C$2,SP_TaxPar_DB[#Headers],0),FALSE)="",0,VLOOKUP($A174,SP_TaxPar_DB[],MATCH(C$2,SP_TaxPar_DB[#Headers],0),FALSE))</f>
        <v>T163</v>
      </c>
      <c r="D174" s="67">
        <f>IF(VLOOKUP($A174,SP_TaxPar_DB[],MATCH(D$2,SP_TaxPar_DB[#Headers],0),FALSE)="",0,VLOOKUP($A174,SP_TaxPar_DB[],MATCH(D$2,SP_TaxPar_DB[#Headers],0),FALSE))</f>
        <v>0</v>
      </c>
      <c r="E174" s="69" t="str">
        <f>VLOOKUP($A174,SP_TaxPar_DB[],MATCH(E$2,SP_TaxPar_DB[#Headers],0),FALSE)</f>
        <v>ROSS HAYWOOD MACK</v>
      </c>
      <c r="F174" s="69" t="str">
        <f>VLOOKUP($A174,SP_TaxPar_DB[],MATCH(F$2,SP_TaxPar_DB[#Headers],0),FALSE)</f>
        <v>PO BOX 2</v>
      </c>
      <c r="G174" s="69" t="str">
        <f>VLOOKUP($A174,SP_TaxPar_DB[],MATCH(G$2,SP_TaxPar_DB[#Headers],0),FALSE)</f>
        <v>WHARTON</v>
      </c>
      <c r="H174" s="69" t="str">
        <f>VLOOKUP($A174,SP_TaxPar_DB[],MATCH(H$2,SP_TaxPar_DB[#Headers],0),FALSE)</f>
        <v>TX</v>
      </c>
      <c r="I174" s="69" t="str">
        <f>VLOOKUP($A174,SP_TaxPar_DB[],MATCH(I$2,SP_TaxPar_DB[#Headers],0),FALSE)</f>
        <v>77488</v>
      </c>
      <c r="J174" s="69" t="str">
        <f>VLOOKUP($A174,SP_TaxPar_DB[],MATCH(J$2,SP_TaxPar_DB[#Headers],0),FALSE)</f>
        <v>0 BLACK</v>
      </c>
      <c r="K174" s="69" t="str">
        <f>VLOOKUP($A174,SP_TaxPar_DB[],MATCH(K$2,SP_TaxPar_DB[#Headers],0),FALSE)</f>
        <v>WHARTON BLOCK 59 LOT 13E Acres:0.1987</v>
      </c>
      <c r="L174" s="69">
        <f>VLOOKUP($A174,SP_TaxPar_DB[],MATCH(L$2,SP_TaxPar_DB[#Headers],0),FALSE)</f>
        <v>0</v>
      </c>
      <c r="M174" s="69">
        <f>VLOOKUP($A174,SP_TaxPar_DB[],MATCH(M$2,SP_TaxPar_DB[#Headers],0),FALSE)</f>
        <v>0</v>
      </c>
      <c r="N174" s="69">
        <f>VLOOKUP($A174,SP_TaxPar_DB[],MATCH(N$2,SP_TaxPar_DB[#Headers],0),FALSE)</f>
        <v>0</v>
      </c>
      <c r="O174" s="71">
        <f>VLOOKUP($A174,SP_TaxPar_DB[],MATCH(O$2,SP_TaxPar_DB[#Headers],0),FALSE)</f>
        <v>0</v>
      </c>
      <c r="P174" s="72"/>
      <c r="Q174" s="69"/>
      <c r="R174" s="73"/>
      <c r="S174" s="73"/>
      <c r="T174" s="69"/>
      <c r="U174" s="69"/>
      <c r="V174" s="69"/>
      <c r="W174" s="69"/>
      <c r="X174" s="69"/>
      <c r="Y174" s="69"/>
      <c r="Z174" s="69"/>
      <c r="AA174" s="69"/>
      <c r="AB174" s="74"/>
      <c r="AC174" s="73"/>
      <c r="AD174" s="73"/>
      <c r="AE174" s="74"/>
      <c r="AF174" s="68"/>
      <c r="AG174" s="68"/>
      <c r="AH174" s="74"/>
      <c r="AI174" s="68"/>
      <c r="AJ174" s="68"/>
      <c r="AK174" s="68"/>
      <c r="AL174" s="80"/>
      <c r="AM174" s="81"/>
      <c r="AN174" s="74"/>
      <c r="AO174" s="74"/>
      <c r="AP174" s="74"/>
      <c r="AQ174" s="74"/>
      <c r="AR174" s="74"/>
      <c r="AS174" s="74"/>
      <c r="AT174" s="74"/>
      <c r="AU174" s="74"/>
      <c r="AV174" s="74"/>
      <c r="AW174" s="84"/>
    </row>
    <row r="175" spans="1:49" ht="15.75" hidden="1" x14ac:dyDescent="0.2">
      <c r="A175" s="129" t="s">
        <v>2372</v>
      </c>
      <c r="B175" s="68" t="str">
        <f>VLOOKUP($A175,SP_TaxPar_DB[],MATCH(B$2,SP_TaxPar_DB[#Headers],0),FALSE)</f>
        <v>PH2</v>
      </c>
      <c r="C175" s="67" t="str">
        <f>IF(VLOOKUP($A175,SP_TaxPar_DB[],MATCH(C$2,SP_TaxPar_DB[#Headers],0),FALSE)="",0,VLOOKUP($A175,SP_TaxPar_DB[],MATCH(C$2,SP_TaxPar_DB[#Headers],0),FALSE))</f>
        <v>T164</v>
      </c>
      <c r="D175" s="67">
        <f>IF(VLOOKUP($A175,SP_TaxPar_DB[],MATCH(D$2,SP_TaxPar_DB[#Headers],0),FALSE)="",0,VLOOKUP($A175,SP_TaxPar_DB[],MATCH(D$2,SP_TaxPar_DB[#Headers],0),FALSE))</f>
        <v>0</v>
      </c>
      <c r="E175" s="69" t="str">
        <f>VLOOKUP($A175,SP_TaxPar_DB[],MATCH(E$2,SP_TaxPar_DB[#Headers],0),FALSE)</f>
        <v>GORDON WILLIAM</v>
      </c>
      <c r="F175" s="69" t="str">
        <f>VLOOKUP($A175,SP_TaxPar_DB[],MATCH(F$2,SP_TaxPar_DB[#Headers],0),FALSE)</f>
        <v>PO BOX 814</v>
      </c>
      <c r="G175" s="69" t="str">
        <f>VLOOKUP($A175,SP_TaxPar_DB[],MATCH(G$2,SP_TaxPar_DB[#Headers],0),FALSE)</f>
        <v>SMITHVILLE</v>
      </c>
      <c r="H175" s="69" t="str">
        <f>VLOOKUP($A175,SP_TaxPar_DB[],MATCH(H$2,SP_TaxPar_DB[#Headers],0),FALSE)</f>
        <v>TX</v>
      </c>
      <c r="I175" s="69" t="str">
        <f>VLOOKUP($A175,SP_TaxPar_DB[],MATCH(I$2,SP_TaxPar_DB[#Headers],0),FALSE)</f>
        <v>78957</v>
      </c>
      <c r="J175" s="69" t="str">
        <f>VLOOKUP($A175,SP_TaxPar_DB[],MATCH(J$2,SP_TaxPar_DB[#Headers],0),FALSE)</f>
        <v>0 BLACK</v>
      </c>
      <c r="K175" s="69" t="str">
        <f>VLOOKUP($A175,SP_TaxPar_DB[],MATCH(K$2,SP_TaxPar_DB[#Headers],0),FALSE)</f>
        <v>WHARTON BLOCK 59 LOT 14 Acres:0.5742</v>
      </c>
      <c r="L175" s="69">
        <f>VLOOKUP($A175,SP_TaxPar_DB[],MATCH(L$2,SP_TaxPar_DB[#Headers],0),FALSE)</f>
        <v>0</v>
      </c>
      <c r="M175" s="69">
        <f>VLOOKUP($A175,SP_TaxPar_DB[],MATCH(M$2,SP_TaxPar_DB[#Headers],0),FALSE)</f>
        <v>0</v>
      </c>
      <c r="N175" s="69">
        <f>VLOOKUP($A175,SP_TaxPar_DB[],MATCH(N$2,SP_TaxPar_DB[#Headers],0),FALSE)</f>
        <v>0</v>
      </c>
      <c r="O175" s="71">
        <f>VLOOKUP($A175,SP_TaxPar_DB[],MATCH(O$2,SP_TaxPar_DB[#Headers],0),FALSE)</f>
        <v>0</v>
      </c>
      <c r="P175" s="72"/>
      <c r="Q175" s="69"/>
      <c r="R175" s="73"/>
      <c r="S175" s="73"/>
      <c r="T175" s="69"/>
      <c r="U175" s="69"/>
      <c r="V175" s="69"/>
      <c r="W175" s="69"/>
      <c r="X175" s="69"/>
      <c r="Y175" s="69"/>
      <c r="Z175" s="69"/>
      <c r="AA175" s="69"/>
      <c r="AB175" s="74"/>
      <c r="AC175" s="73"/>
      <c r="AD175" s="73"/>
      <c r="AE175" s="74"/>
      <c r="AF175" s="68"/>
      <c r="AG175" s="68"/>
      <c r="AH175" s="74"/>
      <c r="AI175" s="68"/>
      <c r="AJ175" s="68"/>
      <c r="AK175" s="68"/>
      <c r="AL175" s="80"/>
      <c r="AM175" s="81"/>
      <c r="AN175" s="74"/>
      <c r="AO175" s="74"/>
      <c r="AP175" s="74"/>
      <c r="AQ175" s="74"/>
      <c r="AR175" s="74"/>
      <c r="AS175" s="74"/>
      <c r="AT175" s="74"/>
      <c r="AU175" s="74"/>
      <c r="AV175" s="74"/>
      <c r="AW175" s="84"/>
    </row>
    <row r="176" spans="1:49" ht="15.75" hidden="1" x14ac:dyDescent="0.2">
      <c r="A176" s="129" t="s">
        <v>2378</v>
      </c>
      <c r="B176" s="68" t="str">
        <f>VLOOKUP($A176,SP_TaxPar_DB[],MATCH(B$2,SP_TaxPar_DB[#Headers],0),FALSE)</f>
        <v>ENV</v>
      </c>
      <c r="C176" s="67">
        <f>IF(VLOOKUP($A176,SP_TaxPar_DB[],MATCH(C$2,SP_TaxPar_DB[#Headers],0),FALSE)="",0,VLOOKUP($A176,SP_TaxPar_DB[],MATCH(C$2,SP_TaxPar_DB[#Headers],0),FALSE))</f>
        <v>0</v>
      </c>
      <c r="D176" s="67" t="str">
        <f>IF(VLOOKUP($A176,SP_TaxPar_DB[],MATCH(D$2,SP_TaxPar_DB[#Headers],0),FALSE)="",0,VLOOKUP($A176,SP_TaxPar_DB[],MATCH(D$2,SP_TaxPar_DB[#Headers],0),FALSE))</f>
        <v>166</v>
      </c>
      <c r="E176" s="69" t="str">
        <f>VLOOKUP($A176,SP_TaxPar_DB[],MATCH(E$2,SP_TaxPar_DB[#Headers],0),FALSE)</f>
        <v>CANO VICENTE P</v>
      </c>
      <c r="F176" s="69" t="str">
        <f>VLOOKUP($A176,SP_TaxPar_DB[],MATCH(F$2,SP_TaxPar_DB[#Headers],0),FALSE)</f>
        <v>PO BOX 1263</v>
      </c>
      <c r="G176" s="69" t="str">
        <f>VLOOKUP($A176,SP_TaxPar_DB[],MATCH(G$2,SP_TaxPar_DB[#Headers],0),FALSE)</f>
        <v>WHARTON</v>
      </c>
      <c r="H176" s="69" t="str">
        <f>VLOOKUP($A176,SP_TaxPar_DB[],MATCH(H$2,SP_TaxPar_DB[#Headers],0),FALSE)</f>
        <v>TX</v>
      </c>
      <c r="I176" s="69" t="str">
        <f>VLOOKUP($A176,SP_TaxPar_DB[],MATCH(I$2,SP_TaxPar_DB[#Headers],0),FALSE)</f>
        <v>77488</v>
      </c>
      <c r="J176" s="69" t="str">
        <f>VLOOKUP($A176,SP_TaxPar_DB[],MATCH(J$2,SP_TaxPar_DB[#Headers],0),FALSE)</f>
        <v>305 BLACK</v>
      </c>
      <c r="K176" s="69" t="str">
        <f>VLOOKUP($A176,SP_TaxPar_DB[],MATCH(K$2,SP_TaxPar_DB[#Headers],0),FALSE)</f>
        <v>WHARTON BLOCK 59 LOT 17 Acres:0.4982</v>
      </c>
      <c r="L176" s="69">
        <f>VLOOKUP($A176,SP_TaxPar_DB[],MATCH(L$2,SP_TaxPar_DB[#Headers],0),FALSE)</f>
        <v>0</v>
      </c>
      <c r="M176" s="69">
        <f>VLOOKUP($A176,SP_TaxPar_DB[],MATCH(M$2,SP_TaxPar_DB[#Headers],0),FALSE)</f>
        <v>0</v>
      </c>
      <c r="N176" s="69">
        <f>VLOOKUP($A176,SP_TaxPar_DB[],MATCH(N$2,SP_TaxPar_DB[#Headers],0),FALSE)</f>
        <v>0</v>
      </c>
      <c r="O176" s="71">
        <f>VLOOKUP($A176,SP_TaxPar_DB[],MATCH(O$2,SP_TaxPar_DB[#Headers],0),FALSE)</f>
        <v>0</v>
      </c>
      <c r="P176" s="72"/>
      <c r="Q176" s="69"/>
      <c r="R176" s="73"/>
      <c r="S176" s="73"/>
      <c r="T176" s="69"/>
      <c r="U176" s="69"/>
      <c r="V176" s="69"/>
      <c r="W176" s="69"/>
      <c r="X176" s="69"/>
      <c r="Y176" s="69"/>
      <c r="Z176" s="69"/>
      <c r="AA176" s="69"/>
      <c r="AB176" s="74"/>
      <c r="AC176" s="73"/>
      <c r="AD176" s="73"/>
      <c r="AE176" s="74"/>
      <c r="AF176" s="68"/>
      <c r="AG176" s="68"/>
      <c r="AH176" s="74"/>
      <c r="AI176" s="68"/>
      <c r="AJ176" s="68"/>
      <c r="AK176" s="68"/>
      <c r="AL176" s="80"/>
      <c r="AM176" s="81"/>
      <c r="AN176" s="74"/>
      <c r="AO176" s="74"/>
      <c r="AP176" s="74"/>
      <c r="AQ176" s="74"/>
      <c r="AR176" s="74"/>
      <c r="AS176" s="74"/>
      <c r="AT176" s="74"/>
      <c r="AU176" s="74"/>
      <c r="AV176" s="74"/>
      <c r="AW176" s="84"/>
    </row>
    <row r="177" spans="1:49" ht="15.75" hidden="1" x14ac:dyDescent="0.2">
      <c r="A177" s="129" t="s">
        <v>2383</v>
      </c>
      <c r="B177" s="68" t="str">
        <f>VLOOKUP($A177,SP_TaxPar_DB[],MATCH(B$2,SP_TaxPar_DB[#Headers],0),FALSE)</f>
        <v>PH2</v>
      </c>
      <c r="C177" s="67" t="str">
        <f>IF(VLOOKUP($A177,SP_TaxPar_DB[],MATCH(C$2,SP_TaxPar_DB[#Headers],0),FALSE)="",0,VLOOKUP($A177,SP_TaxPar_DB[],MATCH(C$2,SP_TaxPar_DB[#Headers],0),FALSE))</f>
        <v>T167</v>
      </c>
      <c r="D177" s="67">
        <f>IF(VLOOKUP($A177,SP_TaxPar_DB[],MATCH(D$2,SP_TaxPar_DB[#Headers],0),FALSE)="",0,VLOOKUP($A177,SP_TaxPar_DB[],MATCH(D$2,SP_TaxPar_DB[#Headers],0),FALSE))</f>
        <v>0</v>
      </c>
      <c r="E177" s="69" t="str">
        <f>VLOOKUP($A177,SP_TaxPar_DB[],MATCH(E$2,SP_TaxPar_DB[#Headers],0),FALSE)</f>
        <v>FELLHAUER DAVID E MOST REV BISHOP OF DIOCESE OF VICTORIA</v>
      </c>
      <c r="F177" s="69" t="str">
        <f>VLOOKUP($A177,SP_TaxPar_DB[],MATCH(F$2,SP_TaxPar_DB[#Headers],0),FALSE)</f>
        <v>FBO:MT CARMEL, PO BOX 4070</v>
      </c>
      <c r="G177" s="69" t="str">
        <f>VLOOKUP($A177,SP_TaxPar_DB[],MATCH(G$2,SP_TaxPar_DB[#Headers],0),FALSE)</f>
        <v>VICTORIA</v>
      </c>
      <c r="H177" s="69" t="str">
        <f>VLOOKUP($A177,SP_TaxPar_DB[],MATCH(H$2,SP_TaxPar_DB[#Headers],0),FALSE)</f>
        <v>TX</v>
      </c>
      <c r="I177" s="69">
        <f>VLOOKUP($A177,SP_TaxPar_DB[],MATCH(I$2,SP_TaxPar_DB[#Headers],0),FALSE)</f>
        <v>0</v>
      </c>
      <c r="J177" s="69" t="str">
        <f>VLOOKUP($A177,SP_TaxPar_DB[],MATCH(J$2,SP_TaxPar_DB[#Headers],0),FALSE)</f>
        <v>506 S EAST AVE</v>
      </c>
      <c r="K177" s="69" t="str">
        <f>VLOOKUP($A177,SP_TaxPar_DB[],MATCH(K$2,SP_TaxPar_DB[#Headers],0),FALSE)</f>
        <v>WHARTON BLOCK 59 LOT 12A,12D Acres:4.0602</v>
      </c>
      <c r="L177" s="69">
        <f>VLOOKUP($A177,SP_TaxPar_DB[],MATCH(L$2,SP_TaxPar_DB[#Headers],0),FALSE)</f>
        <v>0</v>
      </c>
      <c r="M177" s="69">
        <f>VLOOKUP($A177,SP_TaxPar_DB[],MATCH(M$2,SP_TaxPar_DB[#Headers],0),FALSE)</f>
        <v>0</v>
      </c>
      <c r="N177" s="69">
        <f>VLOOKUP($A177,SP_TaxPar_DB[],MATCH(N$2,SP_TaxPar_DB[#Headers],0),FALSE)</f>
        <v>0</v>
      </c>
      <c r="O177" s="71">
        <f>VLOOKUP($A177,SP_TaxPar_DB[],MATCH(O$2,SP_TaxPar_DB[#Headers],0),FALSE)</f>
        <v>0</v>
      </c>
      <c r="P177" s="72"/>
      <c r="Q177" s="69"/>
      <c r="R177" s="73"/>
      <c r="S177" s="73"/>
      <c r="T177" s="69"/>
      <c r="U177" s="69"/>
      <c r="V177" s="69"/>
      <c r="W177" s="69"/>
      <c r="X177" s="69"/>
      <c r="Y177" s="69"/>
      <c r="Z177" s="69"/>
      <c r="AA177" s="69"/>
      <c r="AB177" s="74"/>
      <c r="AC177" s="73"/>
      <c r="AD177" s="73"/>
      <c r="AE177" s="74"/>
      <c r="AF177" s="68"/>
      <c r="AG177" s="68"/>
      <c r="AH177" s="74"/>
      <c r="AI177" s="68"/>
      <c r="AJ177" s="68"/>
      <c r="AK177" s="68"/>
      <c r="AL177" s="80"/>
      <c r="AM177" s="81"/>
      <c r="AN177" s="74"/>
      <c r="AO177" s="74"/>
      <c r="AP177" s="74"/>
      <c r="AQ177" s="74"/>
      <c r="AR177" s="74"/>
      <c r="AS177" s="74"/>
      <c r="AT177" s="74"/>
      <c r="AU177" s="74"/>
      <c r="AV177" s="74"/>
      <c r="AW177" s="84"/>
    </row>
    <row r="178" spans="1:49" ht="15.75" hidden="1" x14ac:dyDescent="0.2">
      <c r="A178" s="129" t="s">
        <v>2386</v>
      </c>
      <c r="B178" s="68" t="str">
        <f>VLOOKUP($A178,SP_TaxPar_DB[],MATCH(B$2,SP_TaxPar_DB[#Headers],0),FALSE)</f>
        <v>PH2</v>
      </c>
      <c r="C178" s="67" t="str">
        <f>IF(VLOOKUP($A178,SP_TaxPar_DB[],MATCH(C$2,SP_TaxPar_DB[#Headers],0),FALSE)="",0,VLOOKUP($A178,SP_TaxPar_DB[],MATCH(C$2,SP_TaxPar_DB[#Headers],0),FALSE))</f>
        <v>T168</v>
      </c>
      <c r="D178" s="67">
        <f>IF(VLOOKUP($A178,SP_TaxPar_DB[],MATCH(D$2,SP_TaxPar_DB[#Headers],0),FALSE)="",0,VLOOKUP($A178,SP_TaxPar_DB[],MATCH(D$2,SP_TaxPar_DB[#Headers],0),FALSE))</f>
        <v>0</v>
      </c>
      <c r="E178" s="69" t="str">
        <f>VLOOKUP($A178,SP_TaxPar_DB[],MATCH(E$2,SP_TaxPar_DB[#Headers],0),FALSE)</f>
        <v>AUBREY DELORES</v>
      </c>
      <c r="F178" s="69" t="str">
        <f>VLOOKUP($A178,SP_TaxPar_DB[],MATCH(F$2,SP_TaxPar_DB[#Headers],0),FALSE)</f>
        <v>8210 GULF TREE LN</v>
      </c>
      <c r="G178" s="69" t="str">
        <f>VLOOKUP($A178,SP_TaxPar_DB[],MATCH(G$2,SP_TaxPar_DB[#Headers],0),FALSE)</f>
        <v>HOUSTON</v>
      </c>
      <c r="H178" s="69" t="str">
        <f>VLOOKUP($A178,SP_TaxPar_DB[],MATCH(H$2,SP_TaxPar_DB[#Headers],0),FALSE)</f>
        <v>TX</v>
      </c>
      <c r="I178" s="69" t="str">
        <f>VLOOKUP($A178,SP_TaxPar_DB[],MATCH(I$2,SP_TaxPar_DB[#Headers],0),FALSE)</f>
        <v>77075</v>
      </c>
      <c r="J178" s="69" t="str">
        <f>VLOOKUP($A178,SP_TaxPar_DB[],MATCH(J$2,SP_TaxPar_DB[#Headers],0),FALSE)</f>
        <v>0 BLACK</v>
      </c>
      <c r="K178" s="69" t="str">
        <f>VLOOKUP($A178,SP_TaxPar_DB[],MATCH(K$2,SP_TaxPar_DB[#Headers],0),FALSE)</f>
        <v>WHARTON BLOCK 59 LOT 13C Acres:0.1987</v>
      </c>
      <c r="L178" s="69">
        <f>VLOOKUP($A178,SP_TaxPar_DB[],MATCH(L$2,SP_TaxPar_DB[#Headers],0),FALSE)</f>
        <v>0</v>
      </c>
      <c r="M178" s="69">
        <f>VLOOKUP($A178,SP_TaxPar_DB[],MATCH(M$2,SP_TaxPar_DB[#Headers],0),FALSE)</f>
        <v>0</v>
      </c>
      <c r="N178" s="69">
        <f>VLOOKUP($A178,SP_TaxPar_DB[],MATCH(N$2,SP_TaxPar_DB[#Headers],0),FALSE)</f>
        <v>0</v>
      </c>
      <c r="O178" s="71">
        <f>VLOOKUP($A178,SP_TaxPar_DB[],MATCH(O$2,SP_TaxPar_DB[#Headers],0),FALSE)</f>
        <v>0</v>
      </c>
      <c r="P178" s="72"/>
      <c r="Q178" s="69"/>
      <c r="R178" s="73"/>
      <c r="S178" s="73"/>
      <c r="T178" s="69"/>
      <c r="U178" s="69"/>
      <c r="V178" s="69"/>
      <c r="W178" s="69"/>
      <c r="X178" s="69"/>
      <c r="Y178" s="69"/>
      <c r="Z178" s="69"/>
      <c r="AA178" s="69"/>
      <c r="AB178" s="74"/>
      <c r="AC178" s="73"/>
      <c r="AD178" s="73"/>
      <c r="AE178" s="74"/>
      <c r="AF178" s="68"/>
      <c r="AG178" s="68"/>
      <c r="AH178" s="74"/>
      <c r="AI178" s="68"/>
      <c r="AJ178" s="68"/>
      <c r="AK178" s="68"/>
      <c r="AL178" s="80"/>
      <c r="AM178" s="81"/>
      <c r="AN178" s="74"/>
      <c r="AO178" s="74"/>
      <c r="AP178" s="74"/>
      <c r="AQ178" s="74"/>
      <c r="AR178" s="74"/>
      <c r="AS178" s="74"/>
      <c r="AT178" s="74"/>
      <c r="AU178" s="74"/>
      <c r="AV178" s="74"/>
      <c r="AW178" s="84"/>
    </row>
    <row r="179" spans="1:49" ht="15.75" hidden="1" x14ac:dyDescent="0.2">
      <c r="A179" s="129" t="s">
        <v>2391</v>
      </c>
      <c r="B179" s="68" t="str">
        <f>VLOOKUP($A179,SP_TaxPar_DB[],MATCH(B$2,SP_TaxPar_DB[#Headers],0),FALSE)</f>
        <v>PH2</v>
      </c>
      <c r="C179" s="67" t="str">
        <f>IF(VLOOKUP($A179,SP_TaxPar_DB[],MATCH(C$2,SP_TaxPar_DB[#Headers],0),FALSE)="",0,VLOOKUP($A179,SP_TaxPar_DB[],MATCH(C$2,SP_TaxPar_DB[#Headers],0),FALSE))</f>
        <v>T169</v>
      </c>
      <c r="D179" s="67">
        <f>IF(VLOOKUP($A179,SP_TaxPar_DB[],MATCH(D$2,SP_TaxPar_DB[#Headers],0),FALSE)="",0,VLOOKUP($A179,SP_TaxPar_DB[],MATCH(D$2,SP_TaxPar_DB[#Headers],0),FALSE))</f>
        <v>0</v>
      </c>
      <c r="E179" s="69" t="str">
        <f>VLOOKUP($A179,SP_TaxPar_DB[],MATCH(E$2,SP_TaxPar_DB[#Headers],0),FALSE)</f>
        <v>HARRISON MARJORIE GORDON %DUNBAR J V</v>
      </c>
      <c r="F179" s="69" t="str">
        <f>VLOOKUP($A179,SP_TaxPar_DB[],MATCH(F$2,SP_TaxPar_DB[#Headers],0),FALSE)</f>
        <v>1575 CALIFORNIA TRL</v>
      </c>
      <c r="G179" s="69" t="str">
        <f>VLOOKUP($A179,SP_TaxPar_DB[],MATCH(G$2,SP_TaxPar_DB[#Headers],0),FALSE)</f>
        <v>BRENTWOOD</v>
      </c>
      <c r="H179" s="69" t="str">
        <f>VLOOKUP($A179,SP_TaxPar_DB[],MATCH(H$2,SP_TaxPar_DB[#Headers],0),FALSE)</f>
        <v>CA</v>
      </c>
      <c r="I179" s="69" t="str">
        <f>VLOOKUP($A179,SP_TaxPar_DB[],MATCH(I$2,SP_TaxPar_DB[#Headers],0),FALSE)</f>
        <v>94513</v>
      </c>
      <c r="J179" s="69" t="str">
        <f>VLOOKUP($A179,SP_TaxPar_DB[],MATCH(J$2,SP_TaxPar_DB[#Headers],0),FALSE)</f>
        <v>0 BLACK</v>
      </c>
      <c r="K179" s="69" t="str">
        <f>VLOOKUP($A179,SP_TaxPar_DB[],MATCH(K$2,SP_TaxPar_DB[#Headers],0),FALSE)</f>
        <v>WHARTON BLOCK 59 LOT 13D Acres:0.1987</v>
      </c>
      <c r="L179" s="69">
        <f>VLOOKUP($A179,SP_TaxPar_DB[],MATCH(L$2,SP_TaxPar_DB[#Headers],0),FALSE)</f>
        <v>0</v>
      </c>
      <c r="M179" s="69">
        <f>VLOOKUP($A179,SP_TaxPar_DB[],MATCH(M$2,SP_TaxPar_DB[#Headers],0),FALSE)</f>
        <v>0</v>
      </c>
      <c r="N179" s="69">
        <f>VLOOKUP($A179,SP_TaxPar_DB[],MATCH(N$2,SP_TaxPar_DB[#Headers],0),FALSE)</f>
        <v>0</v>
      </c>
      <c r="O179" s="71">
        <f>VLOOKUP($A179,SP_TaxPar_DB[],MATCH(O$2,SP_TaxPar_DB[#Headers],0),FALSE)</f>
        <v>0</v>
      </c>
      <c r="P179" s="72"/>
      <c r="Q179" s="69"/>
      <c r="R179" s="73"/>
      <c r="S179" s="73"/>
      <c r="T179" s="69"/>
      <c r="U179" s="69"/>
      <c r="V179" s="69"/>
      <c r="W179" s="69"/>
      <c r="X179" s="69"/>
      <c r="Y179" s="69"/>
      <c r="Z179" s="69"/>
      <c r="AA179" s="69"/>
      <c r="AB179" s="74"/>
      <c r="AC179" s="73"/>
      <c r="AD179" s="73"/>
      <c r="AE179" s="74"/>
      <c r="AF179" s="68"/>
      <c r="AG179" s="68"/>
      <c r="AH179" s="74"/>
      <c r="AI179" s="68"/>
      <c r="AJ179" s="68"/>
      <c r="AK179" s="68"/>
      <c r="AL179" s="80"/>
      <c r="AM179" s="81"/>
      <c r="AN179" s="74"/>
      <c r="AO179" s="74"/>
      <c r="AP179" s="74"/>
      <c r="AQ179" s="74"/>
      <c r="AR179" s="74"/>
      <c r="AS179" s="74"/>
      <c r="AT179" s="74"/>
      <c r="AU179" s="74"/>
      <c r="AV179" s="74"/>
      <c r="AW179" s="84"/>
    </row>
    <row r="180" spans="1:49" ht="15.75" hidden="1" x14ac:dyDescent="0.2">
      <c r="A180" s="129" t="s">
        <v>404</v>
      </c>
      <c r="B180" s="68" t="str">
        <f>VLOOKUP($A180,SP_TaxPar_DB[],MATCH(B$2,SP_TaxPar_DB[#Headers],0),FALSE)</f>
        <v>PH1</v>
      </c>
      <c r="C180" s="67" t="str">
        <f>IF(VLOOKUP($A180,SP_TaxPar_DB[],MATCH(C$2,SP_TaxPar_DB[#Headers],0),FALSE)="",0,VLOOKUP($A180,SP_TaxPar_DB[],MATCH(C$2,SP_TaxPar_DB[#Headers],0),FALSE))</f>
        <v>317</v>
      </c>
      <c r="D180" s="67">
        <f>IF(VLOOKUP($A180,SP_TaxPar_DB[],MATCH(D$2,SP_TaxPar_DB[#Headers],0),FALSE)="",0,VLOOKUP($A180,SP_TaxPar_DB[],MATCH(D$2,SP_TaxPar_DB[#Headers],0),FALSE))</f>
        <v>0</v>
      </c>
      <c r="E180" s="69" t="str">
        <f>VLOOKUP($A180,SP_TaxPar_DB[],MATCH(E$2,SP_TaxPar_DB[#Headers],0),FALSE)</f>
        <v>Leovigildo Panes, et ux Prospera and Primo Panis,et ux Erlinda</v>
      </c>
      <c r="F180" s="69" t="str">
        <f>VLOOKUP($A180,SP_TaxPar_DB[],MATCH(F$2,SP_TaxPar_DB[#Headers],0),FALSE)</f>
        <v>12809 Tyler Ct</v>
      </c>
      <c r="G180" s="69" t="str">
        <f>VLOOKUP($A180,SP_TaxPar_DB[],MATCH(G$2,SP_TaxPar_DB[#Headers],0),FALSE)</f>
        <v>Stafford</v>
      </c>
      <c r="H180" s="69" t="str">
        <f>VLOOKUP($A180,SP_TaxPar_DB[],MATCH(H$2,SP_TaxPar_DB[#Headers],0),FALSE)</f>
        <v>TX</v>
      </c>
      <c r="I180" s="69" t="str">
        <f>VLOOKUP($A180,SP_TaxPar_DB[],MATCH(I$2,SP_TaxPar_DB[#Headers],0),FALSE)</f>
        <v>77477</v>
      </c>
      <c r="J180" s="69" t="str">
        <f>VLOOKUP($A180,SP_TaxPar_DB[],MATCH(J$2,SP_TaxPar_DB[#Headers],0),FALSE)</f>
        <v>0 Sunset</v>
      </c>
      <c r="K180" s="69" t="str">
        <f>VLOOKUP($A180,SP_TaxPar_DB[],MATCH(K$2,SP_TaxPar_DB[#Headers],0),FALSE)</f>
        <v>Wharton Block 60 Lot 1A</v>
      </c>
      <c r="L180" s="69">
        <f>VLOOKUP($A180,SP_TaxPar_DB[],MATCH(L$2,SP_TaxPar_DB[#Headers],0),FALSE)</f>
        <v>1.2803</v>
      </c>
      <c r="M180" s="69" t="str">
        <f>VLOOKUP($A180,SP_TaxPar_DB[],MATCH(M$2,SP_TaxPar_DB[#Headers],0),FALSE)</f>
        <v>Ag Land</v>
      </c>
      <c r="N180" s="69" t="str">
        <f>VLOOKUP($A180,SP_TaxPar_DB[],MATCH(N$2,SP_TaxPar_DB[#Headers],0),FALSE)</f>
        <v>727 / 264</v>
      </c>
      <c r="O180" s="71" t="str">
        <f>VLOOKUP($A180,SP_TaxPar_DB[],MATCH(O$2,SP_TaxPar_DB[#Headers],0),FALSE)</f>
        <v>80% Ownership</v>
      </c>
      <c r="P180" s="72"/>
      <c r="Q180" s="69"/>
      <c r="R180" s="73"/>
      <c r="S180" s="73"/>
      <c r="T180" s="69"/>
      <c r="U180" s="69"/>
      <c r="V180" s="69"/>
      <c r="W180" s="69"/>
      <c r="X180" s="69"/>
      <c r="Y180" s="69"/>
      <c r="Z180" s="69"/>
      <c r="AA180" s="69"/>
      <c r="AB180" s="74"/>
      <c r="AC180" s="73"/>
      <c r="AD180" s="73"/>
      <c r="AE180" s="74"/>
      <c r="AF180" s="68"/>
      <c r="AG180" s="68"/>
      <c r="AH180" s="74"/>
      <c r="AI180" s="68"/>
      <c r="AJ180" s="68"/>
      <c r="AK180" s="68"/>
      <c r="AL180" s="80"/>
      <c r="AM180" s="81"/>
      <c r="AN180" s="74"/>
      <c r="AO180" s="74"/>
      <c r="AP180" s="74"/>
      <c r="AQ180" s="74"/>
      <c r="AR180" s="74"/>
      <c r="AS180" s="74"/>
      <c r="AT180" s="74"/>
      <c r="AU180" s="74"/>
      <c r="AV180" s="74"/>
      <c r="AW180" s="84"/>
    </row>
    <row r="181" spans="1:49" ht="15.75" hidden="1" x14ac:dyDescent="0.2">
      <c r="A181" s="129" t="s">
        <v>207</v>
      </c>
      <c r="B181" s="68" t="str">
        <f>VLOOKUP($A181,SP_TaxPar_DB[],MATCH(B$2,SP_TaxPar_DB[#Headers],0),FALSE)</f>
        <v>PH1</v>
      </c>
      <c r="C181" s="67" t="str">
        <f>IF(VLOOKUP($A181,SP_TaxPar_DB[],MATCH(C$2,SP_TaxPar_DB[#Headers],0),FALSE)="",0,VLOOKUP($A181,SP_TaxPar_DB[],MATCH(C$2,SP_TaxPar_DB[#Headers],0),FALSE))</f>
        <v>316</v>
      </c>
      <c r="D181" s="67">
        <f>IF(VLOOKUP($A181,SP_TaxPar_DB[],MATCH(D$2,SP_TaxPar_DB[#Headers],0),FALSE)="",0,VLOOKUP($A181,SP_TaxPar_DB[],MATCH(D$2,SP_TaxPar_DB[#Headers],0),FALSE))</f>
        <v>0</v>
      </c>
      <c r="E181" s="69" t="str">
        <f>VLOOKUP($A181,SP_TaxPar_DB[],MATCH(E$2,SP_TaxPar_DB[#Headers],0),FALSE)</f>
        <v>Manuel Esparza Estate</v>
      </c>
      <c r="F181" s="69" t="str">
        <f>VLOOKUP($A181,SP_TaxPar_DB[],MATCH(F$2,SP_TaxPar_DB[#Headers],0),FALSE)</f>
        <v>523 Sunset</v>
      </c>
      <c r="G181" s="69" t="str">
        <f>VLOOKUP($A181,SP_TaxPar_DB[],MATCH(G$2,SP_TaxPar_DB[#Headers],0),FALSE)</f>
        <v>Wharton</v>
      </c>
      <c r="H181" s="69" t="str">
        <f>VLOOKUP($A181,SP_TaxPar_DB[],MATCH(H$2,SP_TaxPar_DB[#Headers],0),FALSE)</f>
        <v>TX</v>
      </c>
      <c r="I181" s="69" t="str">
        <f>VLOOKUP($A181,SP_TaxPar_DB[],MATCH(I$2,SP_TaxPar_DB[#Headers],0),FALSE)</f>
        <v>77488</v>
      </c>
      <c r="J181" s="69" t="str">
        <f>VLOOKUP($A181,SP_TaxPar_DB[],MATCH(J$2,SP_TaxPar_DB[#Headers],0),FALSE)</f>
        <v>524 Sunset</v>
      </c>
      <c r="K181" s="69" t="str">
        <f>VLOOKUP($A181,SP_TaxPar_DB[],MATCH(K$2,SP_TaxPar_DB[#Headers],0),FALSE)</f>
        <v>Wharton Block 60 Lot 1A-2</v>
      </c>
      <c r="L181" s="69">
        <f>VLOOKUP($A181,SP_TaxPar_DB[],MATCH(L$2,SP_TaxPar_DB[#Headers],0),FALSE)</f>
        <v>0.26879999999999998</v>
      </c>
      <c r="M181" s="69" t="str">
        <f>VLOOKUP($A181,SP_TaxPar_DB[],MATCH(M$2,SP_TaxPar_DB[#Headers],0),FALSE)</f>
        <v>Residential</v>
      </c>
      <c r="N181" s="69" t="str">
        <f>VLOOKUP($A181,SP_TaxPar_DB[],MATCH(N$2,SP_TaxPar_DB[#Headers],0),FALSE)</f>
        <v>28810</v>
      </c>
      <c r="O181" s="71" t="str">
        <f>VLOOKUP($A181,SP_TaxPar_DB[],MATCH(O$2,SP_TaxPar_DB[#Headers],0),FALSE)</f>
        <v>No actual volume and page</v>
      </c>
      <c r="P181" s="72"/>
      <c r="Q181" s="69"/>
      <c r="R181" s="73"/>
      <c r="S181" s="73"/>
      <c r="T181" s="69"/>
      <c r="U181" s="69"/>
      <c r="V181" s="69"/>
      <c r="W181" s="69"/>
      <c r="X181" s="69"/>
      <c r="Y181" s="69"/>
      <c r="Z181" s="69"/>
      <c r="AA181" s="69"/>
      <c r="AB181" s="74"/>
      <c r="AC181" s="73"/>
      <c r="AD181" s="73"/>
      <c r="AE181" s="74"/>
      <c r="AF181" s="68"/>
      <c r="AG181" s="68"/>
      <c r="AH181" s="74"/>
      <c r="AI181" s="68"/>
      <c r="AJ181" s="68"/>
      <c r="AK181" s="68"/>
      <c r="AL181" s="80"/>
      <c r="AM181" s="81"/>
      <c r="AN181" s="74"/>
      <c r="AO181" s="74"/>
      <c r="AP181" s="74"/>
      <c r="AQ181" s="74"/>
      <c r="AR181" s="74"/>
      <c r="AS181" s="74"/>
      <c r="AT181" s="74"/>
      <c r="AU181" s="74"/>
      <c r="AV181" s="74"/>
      <c r="AW181" s="84"/>
    </row>
    <row r="182" spans="1:49" ht="15.75" hidden="1" x14ac:dyDescent="0.2">
      <c r="A182" s="129" t="s">
        <v>411</v>
      </c>
      <c r="B182" s="68" t="str">
        <f>VLOOKUP($A182,SP_TaxPar_DB[],MATCH(B$2,SP_TaxPar_DB[#Headers],0),FALSE)</f>
        <v>PH1</v>
      </c>
      <c r="C182" s="67" t="str">
        <f>IF(VLOOKUP($A182,SP_TaxPar_DB[],MATCH(C$2,SP_TaxPar_DB[#Headers],0),FALSE)="",0,VLOOKUP($A182,SP_TaxPar_DB[],MATCH(C$2,SP_TaxPar_DB[#Headers],0),FALSE))</f>
        <v>317</v>
      </c>
      <c r="D182" s="67">
        <f>IF(VLOOKUP($A182,SP_TaxPar_DB[],MATCH(D$2,SP_TaxPar_DB[#Headers],0),FALSE)="",0,VLOOKUP($A182,SP_TaxPar_DB[],MATCH(D$2,SP_TaxPar_DB[#Headers],0),FALSE))</f>
        <v>0</v>
      </c>
      <c r="E182" s="69" t="str">
        <f>VLOOKUP($A182,SP_TaxPar_DB[],MATCH(E$2,SP_TaxPar_DB[#Headers],0),FALSE)</f>
        <v>Leovigildo Panes, et ux Prospera and Primo Panis,et ux Erlinda</v>
      </c>
      <c r="F182" s="69" t="str">
        <f>VLOOKUP($A182,SP_TaxPar_DB[],MATCH(F$2,SP_TaxPar_DB[#Headers],0),FALSE)</f>
        <v>12809 Tyler Ct</v>
      </c>
      <c r="G182" s="69" t="str">
        <f>VLOOKUP($A182,SP_TaxPar_DB[],MATCH(G$2,SP_TaxPar_DB[#Headers],0),FALSE)</f>
        <v>Stafford</v>
      </c>
      <c r="H182" s="69" t="str">
        <f>VLOOKUP($A182,SP_TaxPar_DB[],MATCH(H$2,SP_TaxPar_DB[#Headers],0),FALSE)</f>
        <v>TX</v>
      </c>
      <c r="I182" s="69" t="str">
        <f>VLOOKUP($A182,SP_TaxPar_DB[],MATCH(I$2,SP_TaxPar_DB[#Headers],0),FALSE)</f>
        <v>77477</v>
      </c>
      <c r="J182" s="69" t="str">
        <f>VLOOKUP($A182,SP_TaxPar_DB[],MATCH(J$2,SP_TaxPar_DB[#Headers],0),FALSE)</f>
        <v>0 Bell</v>
      </c>
      <c r="K182" s="69" t="str">
        <f>VLOOKUP($A182,SP_TaxPar_DB[],MATCH(K$2,SP_TaxPar_DB[#Headers],0),FALSE)</f>
        <v>Wharton Block 60 Lot 2A</v>
      </c>
      <c r="L182" s="69">
        <f>VLOOKUP($A182,SP_TaxPar_DB[],MATCH(L$2,SP_TaxPar_DB[#Headers],0),FALSE)</f>
        <v>1.0529999999999999</v>
      </c>
      <c r="M182" s="69" t="str">
        <f>VLOOKUP($A182,SP_TaxPar_DB[],MATCH(M$2,SP_TaxPar_DB[#Headers],0),FALSE)</f>
        <v>Ag Land</v>
      </c>
      <c r="N182" s="69" t="str">
        <f>VLOOKUP($A182,SP_TaxPar_DB[],MATCH(N$2,SP_TaxPar_DB[#Headers],0),FALSE)</f>
        <v>678 / 392</v>
      </c>
      <c r="O182" s="71" t="str">
        <f>VLOOKUP($A182,SP_TaxPar_DB[],MATCH(O$2,SP_TaxPar_DB[#Headers],0),FALSE)</f>
        <v>80% Ownership</v>
      </c>
      <c r="P182" s="72"/>
      <c r="Q182" s="69"/>
      <c r="R182" s="73"/>
      <c r="S182" s="73"/>
      <c r="T182" s="69"/>
      <c r="U182" s="69"/>
      <c r="V182" s="69"/>
      <c r="W182" s="69"/>
      <c r="X182" s="69"/>
      <c r="Y182" s="69"/>
      <c r="Z182" s="69"/>
      <c r="AA182" s="69"/>
      <c r="AB182" s="74"/>
      <c r="AC182" s="73"/>
      <c r="AD182" s="73"/>
      <c r="AE182" s="74"/>
      <c r="AF182" s="68"/>
      <c r="AG182" s="68"/>
      <c r="AH182" s="74"/>
      <c r="AI182" s="68"/>
      <c r="AJ182" s="68"/>
      <c r="AK182" s="68"/>
      <c r="AL182" s="80"/>
      <c r="AM182" s="81"/>
      <c r="AN182" s="74"/>
      <c r="AO182" s="74"/>
      <c r="AP182" s="74"/>
      <c r="AQ182" s="74"/>
      <c r="AR182" s="74"/>
      <c r="AS182" s="74"/>
      <c r="AT182" s="74"/>
      <c r="AU182" s="74"/>
      <c r="AV182" s="74"/>
      <c r="AW182" s="84"/>
    </row>
    <row r="183" spans="1:49" ht="15.75" hidden="1" x14ac:dyDescent="0.2">
      <c r="A183" s="129" t="s">
        <v>215</v>
      </c>
      <c r="B183" s="68" t="str">
        <f>VLOOKUP($A183,SP_TaxPar_DB[],MATCH(B$2,SP_TaxPar_DB[#Headers],0),FALSE)</f>
        <v>PH1</v>
      </c>
      <c r="C183" s="67" t="str">
        <f>IF(VLOOKUP($A183,SP_TaxPar_DB[],MATCH(C$2,SP_TaxPar_DB[#Headers],0),FALSE)="",0,VLOOKUP($A183,SP_TaxPar_DB[],MATCH(C$2,SP_TaxPar_DB[#Headers],0),FALSE))</f>
        <v>319</v>
      </c>
      <c r="D183" s="67">
        <f>IF(VLOOKUP($A183,SP_TaxPar_DB[],MATCH(D$2,SP_TaxPar_DB[#Headers],0),FALSE)="",0,VLOOKUP($A183,SP_TaxPar_DB[],MATCH(D$2,SP_TaxPar_DB[#Headers],0),FALSE))</f>
        <v>0</v>
      </c>
      <c r="E183" s="69" t="str">
        <f>VLOOKUP($A183,SP_TaxPar_DB[],MATCH(E$2,SP_TaxPar_DB[#Headers],0),FALSE)</f>
        <v>Wendell Gwaltney</v>
      </c>
      <c r="F183" s="69" t="str">
        <f>VLOOKUP($A183,SP_TaxPar_DB[],MATCH(F$2,SP_TaxPar_DB[#Headers],0),FALSE)</f>
        <v>421-B Colorado</v>
      </c>
      <c r="G183" s="69" t="str">
        <f>VLOOKUP($A183,SP_TaxPar_DB[],MATCH(G$2,SP_TaxPar_DB[#Headers],0),FALSE)</f>
        <v>Wharton</v>
      </c>
      <c r="H183" s="69" t="str">
        <f>VLOOKUP($A183,SP_TaxPar_DB[],MATCH(H$2,SP_TaxPar_DB[#Headers],0),FALSE)</f>
        <v>TX</v>
      </c>
      <c r="I183" s="69" t="str">
        <f>VLOOKUP($A183,SP_TaxPar_DB[],MATCH(I$2,SP_TaxPar_DB[#Headers],0),FALSE)</f>
        <v>77488</v>
      </c>
      <c r="J183" s="69" t="str">
        <f>VLOOKUP($A183,SP_TaxPar_DB[],MATCH(J$2,SP_TaxPar_DB[#Headers],0),FALSE)</f>
        <v>501 Colorado</v>
      </c>
      <c r="K183" s="69" t="str">
        <f>VLOOKUP($A183,SP_TaxPar_DB[],MATCH(K$2,SP_TaxPar_DB[#Headers],0),FALSE)</f>
        <v>Wharton Block 60 Lot 4</v>
      </c>
      <c r="L183" s="69">
        <f>VLOOKUP($A183,SP_TaxPar_DB[],MATCH(L$2,SP_TaxPar_DB[#Headers],0),FALSE)</f>
        <v>1.1385000000000001</v>
      </c>
      <c r="M183" s="69" t="str">
        <f>VLOOKUP($A183,SP_TaxPar_DB[],MATCH(M$2,SP_TaxPar_DB[#Headers],0),FALSE)</f>
        <v>Residential</v>
      </c>
      <c r="N183" s="69" t="str">
        <f>VLOOKUP($A183,SP_TaxPar_DB[],MATCH(N$2,SP_TaxPar_DB[#Headers],0),FALSE)</f>
        <v>802 / 781</v>
      </c>
      <c r="O183" s="71">
        <f>VLOOKUP($A183,SP_TaxPar_DB[],MATCH(O$2,SP_TaxPar_DB[#Headers],0),FALSE)</f>
        <v>0</v>
      </c>
      <c r="P183" s="72"/>
      <c r="Q183" s="69"/>
      <c r="R183" s="73"/>
      <c r="S183" s="73"/>
      <c r="T183" s="69"/>
      <c r="U183" s="69"/>
      <c r="V183" s="69"/>
      <c r="W183" s="69"/>
      <c r="X183" s="69"/>
      <c r="Y183" s="69"/>
      <c r="Z183" s="69"/>
      <c r="AA183" s="69"/>
      <c r="AB183" s="74"/>
      <c r="AC183" s="73"/>
      <c r="AD183" s="73"/>
      <c r="AE183" s="74"/>
      <c r="AF183" s="68"/>
      <c r="AG183" s="68"/>
      <c r="AH183" s="74"/>
      <c r="AI183" s="68"/>
      <c r="AJ183" s="68"/>
      <c r="AK183" s="68"/>
      <c r="AL183" s="80"/>
      <c r="AM183" s="81"/>
      <c r="AN183" s="74"/>
      <c r="AO183" s="74"/>
      <c r="AP183" s="74"/>
      <c r="AQ183" s="74"/>
      <c r="AR183" s="74"/>
      <c r="AS183" s="74"/>
      <c r="AT183" s="74"/>
      <c r="AU183" s="74"/>
      <c r="AV183" s="74"/>
      <c r="AW183" s="84"/>
    </row>
    <row r="184" spans="1:49" ht="15.75" hidden="1" x14ac:dyDescent="0.2">
      <c r="A184" s="129" t="s">
        <v>233</v>
      </c>
      <c r="B184" s="68" t="str">
        <f>VLOOKUP($A184,SP_TaxPar_DB[],MATCH(B$2,SP_TaxPar_DB[#Headers],0),FALSE)</f>
        <v>PH1</v>
      </c>
      <c r="C184" s="67" t="str">
        <f>IF(VLOOKUP($A184,SP_TaxPar_DB[],MATCH(C$2,SP_TaxPar_DB[#Headers],0),FALSE)="",0,VLOOKUP($A184,SP_TaxPar_DB[],MATCH(C$2,SP_TaxPar_DB[#Headers],0),FALSE))</f>
        <v>326</v>
      </c>
      <c r="D184" s="67">
        <f>IF(VLOOKUP($A184,SP_TaxPar_DB[],MATCH(D$2,SP_TaxPar_DB[#Headers],0),FALSE)="",0,VLOOKUP($A184,SP_TaxPar_DB[],MATCH(D$2,SP_TaxPar_DB[#Headers],0),FALSE))</f>
        <v>0</v>
      </c>
      <c r="E184" s="69" t="str">
        <f>VLOOKUP($A184,SP_TaxPar_DB[],MATCH(E$2,SP_TaxPar_DB[#Headers],0),FALSE)</f>
        <v>Wendell K Gwaltney</v>
      </c>
      <c r="F184" s="69" t="str">
        <f>VLOOKUP($A184,SP_TaxPar_DB[],MATCH(F$2,SP_TaxPar_DB[#Headers],0),FALSE)</f>
        <v>421-B Colorado</v>
      </c>
      <c r="G184" s="69" t="str">
        <f>VLOOKUP($A184,SP_TaxPar_DB[],MATCH(G$2,SP_TaxPar_DB[#Headers],0),FALSE)</f>
        <v>Wharton</v>
      </c>
      <c r="H184" s="69" t="str">
        <f>VLOOKUP($A184,SP_TaxPar_DB[],MATCH(H$2,SP_TaxPar_DB[#Headers],0),FALSE)</f>
        <v>TX</v>
      </c>
      <c r="I184" s="69" t="str">
        <f>VLOOKUP($A184,SP_TaxPar_DB[],MATCH(I$2,SP_TaxPar_DB[#Headers],0),FALSE)</f>
        <v>77488</v>
      </c>
      <c r="J184" s="69" t="str">
        <f>VLOOKUP($A184,SP_TaxPar_DB[],MATCH(J$2,SP_TaxPar_DB[#Headers],0),FALSE)</f>
        <v>421 Colorado</v>
      </c>
      <c r="K184" s="69" t="str">
        <f>VLOOKUP($A184,SP_TaxPar_DB[],MATCH(K$2,SP_TaxPar_DB[#Headers],0),FALSE)</f>
        <v>WHARTON BLOCK 60 LOT 5C</v>
      </c>
      <c r="L184" s="69">
        <f>VLOOKUP($A184,SP_TaxPar_DB[],MATCH(L$2,SP_TaxPar_DB[#Headers],0),FALSE)</f>
        <v>2.0879999999999999E-2</v>
      </c>
      <c r="M184" s="69" t="str">
        <f>VLOOKUP($A184,SP_TaxPar_DB[],MATCH(M$2,SP_TaxPar_DB[#Headers],0),FALSE)</f>
        <v>Residental</v>
      </c>
      <c r="N184" s="69" t="str">
        <f>VLOOKUP($A184,SP_TaxPar_DB[],MATCH(N$2,SP_TaxPar_DB[#Headers],0),FALSE)</f>
        <v>V 806 / P 435</v>
      </c>
      <c r="O184" s="71" t="str">
        <f>VLOOKUP($A184,SP_TaxPar_DB[],MATCH(O$2,SP_TaxPar_DB[#Headers],0),FALSE)</f>
        <v>Please call (501)513-7230 for each occurance - this is a cell number.  Text messages can be received</v>
      </c>
      <c r="P184" s="72"/>
      <c r="Q184" s="69"/>
      <c r="R184" s="73"/>
      <c r="S184" s="73"/>
      <c r="T184" s="69"/>
      <c r="U184" s="69"/>
      <c r="V184" s="69"/>
      <c r="W184" s="69"/>
      <c r="X184" s="69"/>
      <c r="Y184" s="69"/>
      <c r="Z184" s="69"/>
      <c r="AA184" s="69"/>
      <c r="AB184" s="74"/>
      <c r="AC184" s="73"/>
      <c r="AD184" s="73"/>
      <c r="AE184" s="74"/>
      <c r="AF184" s="68"/>
      <c r="AG184" s="68"/>
      <c r="AH184" s="74"/>
      <c r="AI184" s="68"/>
      <c r="AJ184" s="68"/>
      <c r="AK184" s="68"/>
      <c r="AL184" s="80"/>
      <c r="AM184" s="81"/>
      <c r="AN184" s="74"/>
      <c r="AO184" s="74"/>
      <c r="AP184" s="74"/>
      <c r="AQ184" s="74"/>
      <c r="AR184" s="74"/>
      <c r="AS184" s="74"/>
      <c r="AT184" s="74"/>
      <c r="AU184" s="74"/>
      <c r="AV184" s="74"/>
      <c r="AW184" s="84"/>
    </row>
    <row r="185" spans="1:49" ht="15.75" hidden="1" x14ac:dyDescent="0.2">
      <c r="A185" s="129" t="s">
        <v>225</v>
      </c>
      <c r="B185" s="68" t="str">
        <f>VLOOKUP($A185,SP_TaxPar_DB[],MATCH(B$2,SP_TaxPar_DB[#Headers],0),FALSE)</f>
        <v>PH1</v>
      </c>
      <c r="C185" s="67" t="str">
        <f>IF(VLOOKUP($A185,SP_TaxPar_DB[],MATCH(C$2,SP_TaxPar_DB[#Headers],0),FALSE)="",0,VLOOKUP($A185,SP_TaxPar_DB[],MATCH(C$2,SP_TaxPar_DB[#Headers],0),FALSE))</f>
        <v>321</v>
      </c>
      <c r="D185" s="67">
        <f>IF(VLOOKUP($A185,SP_TaxPar_DB[],MATCH(D$2,SP_TaxPar_DB[#Headers],0),FALSE)="",0,VLOOKUP($A185,SP_TaxPar_DB[],MATCH(D$2,SP_TaxPar_DB[#Headers],0),FALSE))</f>
        <v>0</v>
      </c>
      <c r="E185" s="69" t="str">
        <f>VLOOKUP($A185,SP_TaxPar_DB[],MATCH(E$2,SP_TaxPar_DB[#Headers],0),FALSE)</f>
        <v>City of Wharton</v>
      </c>
      <c r="F185" s="69" t="str">
        <f>VLOOKUP($A185,SP_TaxPar_DB[],MATCH(F$2,SP_TaxPar_DB[#Headers],0),FALSE)</f>
        <v>120 E Caney</v>
      </c>
      <c r="G185" s="69" t="str">
        <f>VLOOKUP($A185,SP_TaxPar_DB[],MATCH(G$2,SP_TaxPar_DB[#Headers],0),FALSE)</f>
        <v>Wharton</v>
      </c>
      <c r="H185" s="69" t="str">
        <f>VLOOKUP($A185,SP_TaxPar_DB[],MATCH(H$2,SP_TaxPar_DB[#Headers],0),FALSE)</f>
        <v>TX</v>
      </c>
      <c r="I185" s="69">
        <f>VLOOKUP($A185,SP_TaxPar_DB[],MATCH(I$2,SP_TaxPar_DB[#Headers],0),FALSE)</f>
        <v>0</v>
      </c>
      <c r="J185" s="69" t="str">
        <f>VLOOKUP($A185,SP_TaxPar_DB[],MATCH(J$2,SP_TaxPar_DB[#Headers],0),FALSE)</f>
        <v>417 Colorado</v>
      </c>
      <c r="K185" s="69" t="str">
        <f>VLOOKUP($A185,SP_TaxPar_DB[],MATCH(K$2,SP_TaxPar_DB[#Headers],0),FALSE)</f>
        <v>Wharton Block 60 Lot 6, 7A</v>
      </c>
      <c r="L185" s="69">
        <f>VLOOKUP($A185,SP_TaxPar_DB[],MATCH(L$2,SP_TaxPar_DB[#Headers],0),FALSE)</f>
        <v>0</v>
      </c>
      <c r="M185" s="69">
        <f>VLOOKUP($A185,SP_TaxPar_DB[],MATCH(M$2,SP_TaxPar_DB[#Headers],0),FALSE)</f>
        <v>0</v>
      </c>
      <c r="N185" s="69">
        <f>VLOOKUP($A185,SP_TaxPar_DB[],MATCH(N$2,SP_TaxPar_DB[#Headers],0),FALSE)</f>
        <v>0</v>
      </c>
      <c r="O185" s="71">
        <f>VLOOKUP($A185,SP_TaxPar_DB[],MATCH(O$2,SP_TaxPar_DB[#Headers],0),FALSE)</f>
        <v>0</v>
      </c>
      <c r="P185" s="72"/>
      <c r="Q185" s="69"/>
      <c r="R185" s="73"/>
      <c r="S185" s="73"/>
      <c r="T185" s="69"/>
      <c r="U185" s="69"/>
      <c r="V185" s="69"/>
      <c r="W185" s="69"/>
      <c r="X185" s="69"/>
      <c r="Y185" s="69"/>
      <c r="Z185" s="69"/>
      <c r="AA185" s="69"/>
      <c r="AB185" s="74"/>
      <c r="AC185" s="73"/>
      <c r="AD185" s="73"/>
      <c r="AE185" s="74"/>
      <c r="AF185" s="68"/>
      <c r="AG185" s="68"/>
      <c r="AH185" s="74"/>
      <c r="AI185" s="68"/>
      <c r="AJ185" s="68"/>
      <c r="AK185" s="68"/>
      <c r="AL185" s="80"/>
      <c r="AM185" s="81"/>
      <c r="AN185" s="74"/>
      <c r="AO185" s="74"/>
      <c r="AP185" s="74"/>
      <c r="AQ185" s="74"/>
      <c r="AR185" s="74"/>
      <c r="AS185" s="74"/>
      <c r="AT185" s="74"/>
      <c r="AU185" s="74"/>
      <c r="AV185" s="74"/>
      <c r="AW185" s="84"/>
    </row>
    <row r="186" spans="1:49" ht="15.75" hidden="1" x14ac:dyDescent="0.2">
      <c r="A186" s="129" t="s">
        <v>2397</v>
      </c>
      <c r="B186" s="68" t="str">
        <f>VLOOKUP($A186,SP_TaxPar_DB[],MATCH(B$2,SP_TaxPar_DB[#Headers],0),FALSE)</f>
        <v>ENV</v>
      </c>
      <c r="C186" s="67">
        <f>IF(VLOOKUP($A186,SP_TaxPar_DB[],MATCH(C$2,SP_TaxPar_DB[#Headers],0),FALSE)="",0,VLOOKUP($A186,SP_TaxPar_DB[],MATCH(C$2,SP_TaxPar_DB[#Headers],0),FALSE))</f>
        <v>0</v>
      </c>
      <c r="D186" s="67" t="str">
        <f>IF(VLOOKUP($A186,SP_TaxPar_DB[],MATCH(D$2,SP_TaxPar_DB[#Headers],0),FALSE)="",0,VLOOKUP($A186,SP_TaxPar_DB[],MATCH(D$2,SP_TaxPar_DB[#Headers],0),FALSE))</f>
        <v>177</v>
      </c>
      <c r="E186" s="69" t="str">
        <f>VLOOKUP($A186,SP_TaxPar_DB[],MATCH(E$2,SP_TaxPar_DB[#Headers],0),FALSE)</f>
        <v>DONJUAN ERASMO R ETUX LUCIA</v>
      </c>
      <c r="F186" s="69" t="str">
        <f>VLOOKUP($A186,SP_TaxPar_DB[],MATCH(F$2,SP_TaxPar_DB[#Headers],0),FALSE)</f>
        <v>517 BREITHLING LN</v>
      </c>
      <c r="G186" s="69" t="str">
        <f>VLOOKUP($A186,SP_TaxPar_DB[],MATCH(G$2,SP_TaxPar_DB[#Headers],0),FALSE)</f>
        <v>WHARTON</v>
      </c>
      <c r="H186" s="69" t="str">
        <f>VLOOKUP($A186,SP_TaxPar_DB[],MATCH(H$2,SP_TaxPar_DB[#Headers],0),FALSE)</f>
        <v>TX</v>
      </c>
      <c r="I186" s="69" t="str">
        <f>VLOOKUP($A186,SP_TaxPar_DB[],MATCH(I$2,SP_TaxPar_DB[#Headers],0),FALSE)</f>
        <v>77488</v>
      </c>
      <c r="J186" s="69" t="str">
        <f>VLOOKUP($A186,SP_TaxPar_DB[],MATCH(J$2,SP_TaxPar_DB[#Headers],0),FALSE)</f>
        <v>517 BRIETLING LN</v>
      </c>
      <c r="K186" s="69" t="str">
        <f>VLOOKUP($A186,SP_TaxPar_DB[],MATCH(K$2,SP_TaxPar_DB[#Headers],0),FALSE)</f>
        <v>WHARTON BLOCK 19--OUT LOT 10 Acres:0.1326</v>
      </c>
      <c r="L186" s="69">
        <f>VLOOKUP($A186,SP_TaxPar_DB[],MATCH(L$2,SP_TaxPar_DB[#Headers],0),FALSE)</f>
        <v>0</v>
      </c>
      <c r="M186" s="69">
        <f>VLOOKUP($A186,SP_TaxPar_DB[],MATCH(M$2,SP_TaxPar_DB[#Headers],0),FALSE)</f>
        <v>0</v>
      </c>
      <c r="N186" s="69">
        <f>VLOOKUP($A186,SP_TaxPar_DB[],MATCH(N$2,SP_TaxPar_DB[#Headers],0),FALSE)</f>
        <v>0</v>
      </c>
      <c r="O186" s="71">
        <f>VLOOKUP($A186,SP_TaxPar_DB[],MATCH(O$2,SP_TaxPar_DB[#Headers],0),FALSE)</f>
        <v>0</v>
      </c>
      <c r="P186" s="72"/>
      <c r="Q186" s="69"/>
      <c r="R186" s="73"/>
      <c r="S186" s="73"/>
      <c r="T186" s="69"/>
      <c r="U186" s="69"/>
      <c r="V186" s="69"/>
      <c r="W186" s="69"/>
      <c r="X186" s="69"/>
      <c r="Y186" s="69"/>
      <c r="Z186" s="69"/>
      <c r="AA186" s="69"/>
      <c r="AB186" s="74"/>
      <c r="AC186" s="73"/>
      <c r="AD186" s="73"/>
      <c r="AE186" s="74"/>
      <c r="AF186" s="68"/>
      <c r="AG186" s="68"/>
      <c r="AH186" s="74"/>
      <c r="AI186" s="68"/>
      <c r="AJ186" s="68"/>
      <c r="AK186" s="68"/>
      <c r="AL186" s="80"/>
      <c r="AM186" s="81"/>
      <c r="AN186" s="74"/>
      <c r="AO186" s="74"/>
      <c r="AP186" s="74"/>
      <c r="AQ186" s="74"/>
      <c r="AR186" s="74"/>
      <c r="AS186" s="74"/>
      <c r="AT186" s="74"/>
      <c r="AU186" s="74"/>
      <c r="AV186" s="74"/>
      <c r="AW186" s="84"/>
    </row>
    <row r="187" spans="1:49" ht="15.75" hidden="1" x14ac:dyDescent="0.2">
      <c r="A187" s="129" t="s">
        <v>2402</v>
      </c>
      <c r="B187" s="68" t="str">
        <f>VLOOKUP($A187,SP_TaxPar_DB[],MATCH(B$2,SP_TaxPar_DB[#Headers],0),FALSE)</f>
        <v>ENV</v>
      </c>
      <c r="C187" s="67">
        <f>IF(VLOOKUP($A187,SP_TaxPar_DB[],MATCH(C$2,SP_TaxPar_DB[#Headers],0),FALSE)="",0,VLOOKUP($A187,SP_TaxPar_DB[],MATCH(C$2,SP_TaxPar_DB[#Headers],0),FALSE))</f>
        <v>0</v>
      </c>
      <c r="D187" s="67" t="str">
        <f>IF(VLOOKUP($A187,SP_TaxPar_DB[],MATCH(D$2,SP_TaxPar_DB[#Headers],0),FALSE)="",0,VLOOKUP($A187,SP_TaxPar_DB[],MATCH(D$2,SP_TaxPar_DB[#Headers],0),FALSE))</f>
        <v>178</v>
      </c>
      <c r="E187" s="69" t="str">
        <f>VLOOKUP($A187,SP_TaxPar_DB[],MATCH(E$2,SP_TaxPar_DB[#Headers],0),FALSE)</f>
        <v>GALVAN PABLO AND GALVAN ORELIA</v>
      </c>
      <c r="F187" s="69" t="str">
        <f>VLOOKUP($A187,SP_TaxPar_DB[],MATCH(F$2,SP_TaxPar_DB[#Headers],0),FALSE)</f>
        <v>523 1/2 BREITLING LN</v>
      </c>
      <c r="G187" s="69" t="str">
        <f>VLOOKUP($A187,SP_TaxPar_DB[],MATCH(G$2,SP_TaxPar_DB[#Headers],0),FALSE)</f>
        <v>WHARTON</v>
      </c>
      <c r="H187" s="69" t="str">
        <f>VLOOKUP($A187,SP_TaxPar_DB[],MATCH(H$2,SP_TaxPar_DB[#Headers],0),FALSE)</f>
        <v>TX</v>
      </c>
      <c r="I187" s="69" t="str">
        <f>VLOOKUP($A187,SP_TaxPar_DB[],MATCH(I$2,SP_TaxPar_DB[#Headers],0),FALSE)</f>
        <v>77488</v>
      </c>
      <c r="J187" s="69" t="str">
        <f>VLOOKUP($A187,SP_TaxPar_DB[],MATCH(J$2,SP_TaxPar_DB[#Headers],0),FALSE)</f>
        <v>523 BRIETLING LN</v>
      </c>
      <c r="K187" s="69" t="str">
        <f>VLOOKUP($A187,SP_TaxPar_DB[],MATCH(K$2,SP_TaxPar_DB[#Headers],0),FALSE)</f>
        <v>WHARTON BLOCK 19--OUT LOT 11,12A Acres:0.2647</v>
      </c>
      <c r="L187" s="69">
        <f>VLOOKUP($A187,SP_TaxPar_DB[],MATCH(L$2,SP_TaxPar_DB[#Headers],0),FALSE)</f>
        <v>0</v>
      </c>
      <c r="M187" s="69">
        <f>VLOOKUP($A187,SP_TaxPar_DB[],MATCH(M$2,SP_TaxPar_DB[#Headers],0),FALSE)</f>
        <v>0</v>
      </c>
      <c r="N187" s="69">
        <f>VLOOKUP($A187,SP_TaxPar_DB[],MATCH(N$2,SP_TaxPar_DB[#Headers],0),FALSE)</f>
        <v>0</v>
      </c>
      <c r="O187" s="71">
        <f>VLOOKUP($A187,SP_TaxPar_DB[],MATCH(O$2,SP_TaxPar_DB[#Headers],0),FALSE)</f>
        <v>0</v>
      </c>
      <c r="P187" s="72"/>
      <c r="Q187" s="69"/>
      <c r="R187" s="73"/>
      <c r="S187" s="73"/>
      <c r="T187" s="69"/>
      <c r="U187" s="69"/>
      <c r="V187" s="69"/>
      <c r="W187" s="69"/>
      <c r="X187" s="69"/>
      <c r="Y187" s="69"/>
      <c r="Z187" s="69"/>
      <c r="AA187" s="69"/>
      <c r="AB187" s="74"/>
      <c r="AC187" s="73"/>
      <c r="AD187" s="73"/>
      <c r="AE187" s="74"/>
      <c r="AF187" s="68"/>
      <c r="AG187" s="68"/>
      <c r="AH187" s="74"/>
      <c r="AI187" s="68"/>
      <c r="AJ187" s="68"/>
      <c r="AK187" s="68"/>
      <c r="AL187" s="80"/>
      <c r="AM187" s="81"/>
      <c r="AN187" s="74"/>
      <c r="AO187" s="74"/>
      <c r="AP187" s="74"/>
      <c r="AQ187" s="74"/>
      <c r="AR187" s="74"/>
      <c r="AS187" s="74"/>
      <c r="AT187" s="74"/>
      <c r="AU187" s="74"/>
      <c r="AV187" s="74"/>
      <c r="AW187" s="84"/>
    </row>
    <row r="188" spans="1:49" ht="15.75" hidden="1" x14ac:dyDescent="0.2">
      <c r="A188" s="129" t="s">
        <v>2407</v>
      </c>
      <c r="B188" s="68" t="str">
        <f>VLOOKUP($A188,SP_TaxPar_DB[],MATCH(B$2,SP_TaxPar_DB[#Headers],0),FALSE)</f>
        <v>ENV</v>
      </c>
      <c r="C188" s="67">
        <f>IF(VLOOKUP($A188,SP_TaxPar_DB[],MATCH(C$2,SP_TaxPar_DB[#Headers],0),FALSE)="",0,VLOOKUP($A188,SP_TaxPar_DB[],MATCH(C$2,SP_TaxPar_DB[#Headers],0),FALSE))</f>
        <v>0</v>
      </c>
      <c r="D188" s="67" t="str">
        <f>IF(VLOOKUP($A188,SP_TaxPar_DB[],MATCH(D$2,SP_TaxPar_DB[#Headers],0),FALSE)="",0,VLOOKUP($A188,SP_TaxPar_DB[],MATCH(D$2,SP_TaxPar_DB[#Headers],0),FALSE))</f>
        <v>179</v>
      </c>
      <c r="E188" s="69" t="str">
        <f>VLOOKUP($A188,SP_TaxPar_DB[],MATCH(E$2,SP_TaxPar_DB[#Headers],0),FALSE)</f>
        <v>HEARD ELISABETH J &amp; HEARD MELVIN A</v>
      </c>
      <c r="F188" s="69" t="str">
        <f>VLOOKUP($A188,SP_TaxPar_DB[],MATCH(F$2,SP_TaxPar_DB[#Headers],0),FALSE)</f>
        <v>10750 S CALUMET AVE</v>
      </c>
      <c r="G188" s="69" t="str">
        <f>VLOOKUP($A188,SP_TaxPar_DB[],MATCH(G$2,SP_TaxPar_DB[#Headers],0),FALSE)</f>
        <v>CHICAGO</v>
      </c>
      <c r="H188" s="69" t="str">
        <f>VLOOKUP($A188,SP_TaxPar_DB[],MATCH(H$2,SP_TaxPar_DB[#Headers],0),FALSE)</f>
        <v>IL</v>
      </c>
      <c r="I188" s="69" t="str">
        <f>VLOOKUP($A188,SP_TaxPar_DB[],MATCH(I$2,SP_TaxPar_DB[#Headers],0),FALSE)</f>
        <v>60628</v>
      </c>
      <c r="J188" s="69" t="str">
        <f>VLOOKUP($A188,SP_TaxPar_DB[],MATCH(J$2,SP_TaxPar_DB[#Headers],0),FALSE)</f>
        <v>0 BLACK</v>
      </c>
      <c r="K188" s="69" t="str">
        <f>VLOOKUP($A188,SP_TaxPar_DB[],MATCH(K$2,SP_TaxPar_DB[#Headers],0),FALSE)</f>
        <v>WHARTON BLOCK 19--OUT LOT 13A Acres:0.1323</v>
      </c>
      <c r="L188" s="69">
        <f>VLOOKUP($A188,SP_TaxPar_DB[],MATCH(L$2,SP_TaxPar_DB[#Headers],0),FALSE)</f>
        <v>0</v>
      </c>
      <c r="M188" s="69">
        <f>VLOOKUP($A188,SP_TaxPar_DB[],MATCH(M$2,SP_TaxPar_DB[#Headers],0),FALSE)</f>
        <v>0</v>
      </c>
      <c r="N188" s="69">
        <f>VLOOKUP($A188,SP_TaxPar_DB[],MATCH(N$2,SP_TaxPar_DB[#Headers],0),FALSE)</f>
        <v>0</v>
      </c>
      <c r="O188" s="71">
        <f>VLOOKUP($A188,SP_TaxPar_DB[],MATCH(O$2,SP_TaxPar_DB[#Headers],0),FALSE)</f>
        <v>0</v>
      </c>
      <c r="P188" s="72"/>
      <c r="Q188" s="69"/>
      <c r="R188" s="73"/>
      <c r="S188" s="73"/>
      <c r="T188" s="69"/>
      <c r="U188" s="69"/>
      <c r="V188" s="69"/>
      <c r="W188" s="69"/>
      <c r="X188" s="69"/>
      <c r="Y188" s="69"/>
      <c r="Z188" s="69"/>
      <c r="AA188" s="69"/>
      <c r="AB188" s="74"/>
      <c r="AC188" s="73"/>
      <c r="AD188" s="73"/>
      <c r="AE188" s="74"/>
      <c r="AF188" s="68"/>
      <c r="AG188" s="68"/>
      <c r="AH188" s="74"/>
      <c r="AI188" s="68"/>
      <c r="AJ188" s="68"/>
      <c r="AK188" s="68"/>
      <c r="AL188" s="80"/>
      <c r="AM188" s="81"/>
      <c r="AN188" s="74"/>
      <c r="AO188" s="74"/>
      <c r="AP188" s="74"/>
      <c r="AQ188" s="74"/>
      <c r="AR188" s="74"/>
      <c r="AS188" s="74"/>
      <c r="AT188" s="74"/>
      <c r="AU188" s="74"/>
      <c r="AV188" s="74"/>
      <c r="AW188" s="84"/>
    </row>
    <row r="189" spans="1:49" ht="15.75" hidden="1" x14ac:dyDescent="0.2">
      <c r="A189" s="129" t="s">
        <v>2414</v>
      </c>
      <c r="B189" s="68" t="str">
        <f>VLOOKUP($A189,SP_TaxPar_DB[],MATCH(B$2,SP_TaxPar_DB[#Headers],0),FALSE)</f>
        <v>ENV</v>
      </c>
      <c r="C189" s="67">
        <f>IF(VLOOKUP($A189,SP_TaxPar_DB[],MATCH(C$2,SP_TaxPar_DB[#Headers],0),FALSE)="",0,VLOOKUP($A189,SP_TaxPar_DB[],MATCH(C$2,SP_TaxPar_DB[#Headers],0),FALSE))</f>
        <v>0</v>
      </c>
      <c r="D189" s="67" t="str">
        <f>IF(VLOOKUP($A189,SP_TaxPar_DB[],MATCH(D$2,SP_TaxPar_DB[#Headers],0),FALSE)="",0,VLOOKUP($A189,SP_TaxPar_DB[],MATCH(D$2,SP_TaxPar_DB[#Headers],0),FALSE))</f>
        <v>180</v>
      </c>
      <c r="E189" s="69" t="str">
        <f>VLOOKUP($A189,SP_TaxPar_DB[],MATCH(E$2,SP_TaxPar_DB[#Headers],0),FALSE)</f>
        <v>PULIDO JUSTO MRS</v>
      </c>
      <c r="F189" s="69" t="str">
        <f>VLOOKUP($A189,SP_TaxPar_DB[],MATCH(F$2,SP_TaxPar_DB[#Headers],0),FALSE)</f>
        <v>ADDRESS UNKNOWN</v>
      </c>
      <c r="G189" s="69">
        <f>VLOOKUP($A189,SP_TaxPar_DB[],MATCH(G$2,SP_TaxPar_DB[#Headers],0),FALSE)</f>
        <v>0</v>
      </c>
      <c r="H189" s="69">
        <f>VLOOKUP($A189,SP_TaxPar_DB[],MATCH(H$2,SP_TaxPar_DB[#Headers],0),FALSE)</f>
        <v>0</v>
      </c>
      <c r="I189" s="69">
        <f>VLOOKUP($A189,SP_TaxPar_DB[],MATCH(I$2,SP_TaxPar_DB[#Headers],0),FALSE)</f>
        <v>0</v>
      </c>
      <c r="J189" s="69" t="str">
        <f>VLOOKUP($A189,SP_TaxPar_DB[],MATCH(J$2,SP_TaxPar_DB[#Headers],0),FALSE)</f>
        <v>0 BLACK</v>
      </c>
      <c r="K189" s="69" t="str">
        <f>VLOOKUP($A189,SP_TaxPar_DB[],MATCH(K$2,SP_TaxPar_DB[#Headers],0),FALSE)</f>
        <v>WHARTON BLOCK 19--OUT LOT 14 Acres:0.3197</v>
      </c>
      <c r="L189" s="69">
        <f>VLOOKUP($A189,SP_TaxPar_DB[],MATCH(L$2,SP_TaxPar_DB[#Headers],0),FALSE)</f>
        <v>0</v>
      </c>
      <c r="M189" s="69">
        <f>VLOOKUP($A189,SP_TaxPar_DB[],MATCH(M$2,SP_TaxPar_DB[#Headers],0),FALSE)</f>
        <v>0</v>
      </c>
      <c r="N189" s="69">
        <f>VLOOKUP($A189,SP_TaxPar_DB[],MATCH(N$2,SP_TaxPar_DB[#Headers],0),FALSE)</f>
        <v>0</v>
      </c>
      <c r="O189" s="71">
        <f>VLOOKUP($A189,SP_TaxPar_DB[],MATCH(O$2,SP_TaxPar_DB[#Headers],0),FALSE)</f>
        <v>0</v>
      </c>
      <c r="P189" s="72"/>
      <c r="Q189" s="69"/>
      <c r="R189" s="73"/>
      <c r="S189" s="73"/>
      <c r="T189" s="69"/>
      <c r="U189" s="69"/>
      <c r="V189" s="69"/>
      <c r="W189" s="69"/>
      <c r="X189" s="69"/>
      <c r="Y189" s="69"/>
      <c r="Z189" s="69"/>
      <c r="AA189" s="69"/>
      <c r="AB189" s="74"/>
      <c r="AC189" s="73"/>
      <c r="AD189" s="73"/>
      <c r="AE189" s="74"/>
      <c r="AF189" s="68"/>
      <c r="AG189" s="68"/>
      <c r="AH189" s="74"/>
      <c r="AI189" s="68"/>
      <c r="AJ189" s="68"/>
      <c r="AK189" s="68"/>
      <c r="AL189" s="80"/>
      <c r="AM189" s="81"/>
      <c r="AN189" s="74"/>
      <c r="AO189" s="74"/>
      <c r="AP189" s="74"/>
      <c r="AQ189" s="74"/>
      <c r="AR189" s="74"/>
      <c r="AS189" s="74"/>
      <c r="AT189" s="74"/>
      <c r="AU189" s="74"/>
      <c r="AV189" s="74"/>
      <c r="AW189" s="84"/>
    </row>
    <row r="190" spans="1:49" ht="15.75" hidden="1" x14ac:dyDescent="0.2">
      <c r="A190" s="129" t="s">
        <v>2418</v>
      </c>
      <c r="B190" s="68" t="str">
        <f>VLOOKUP($A190,SP_TaxPar_DB[],MATCH(B$2,SP_TaxPar_DB[#Headers],0),FALSE)</f>
        <v>PH2</v>
      </c>
      <c r="C190" s="67" t="str">
        <f>IF(VLOOKUP($A190,SP_TaxPar_DB[],MATCH(C$2,SP_TaxPar_DB[#Headers],0),FALSE)="",0,VLOOKUP($A190,SP_TaxPar_DB[],MATCH(C$2,SP_TaxPar_DB[#Headers],0),FALSE))</f>
        <v>T181</v>
      </c>
      <c r="D190" s="67">
        <f>IF(VLOOKUP($A190,SP_TaxPar_DB[],MATCH(D$2,SP_TaxPar_DB[#Headers],0),FALSE)="",0,VLOOKUP($A190,SP_TaxPar_DB[],MATCH(D$2,SP_TaxPar_DB[#Headers],0),FALSE))</f>
        <v>0</v>
      </c>
      <c r="E190" s="69" t="str">
        <f>VLOOKUP($A190,SP_TaxPar_DB[],MATCH(E$2,SP_TaxPar_DB[#Headers],0),FALSE)</f>
        <v>FELCMAN FRANK J ETUX JUDY M</v>
      </c>
      <c r="F190" s="69" t="str">
        <f>VLOOKUP($A190,SP_TaxPar_DB[],MATCH(F$2,SP_TaxPar_DB[#Headers],0),FALSE)</f>
        <v>PO BOX 722</v>
      </c>
      <c r="G190" s="69" t="str">
        <f>VLOOKUP($A190,SP_TaxPar_DB[],MATCH(G$2,SP_TaxPar_DB[#Headers],0),FALSE)</f>
        <v>WHARTON</v>
      </c>
      <c r="H190" s="69" t="str">
        <f>VLOOKUP($A190,SP_TaxPar_DB[],MATCH(H$2,SP_TaxPar_DB[#Headers],0),FALSE)</f>
        <v>TX</v>
      </c>
      <c r="I190" s="69" t="str">
        <f>VLOOKUP($A190,SP_TaxPar_DB[],MATCH(I$2,SP_TaxPar_DB[#Headers],0),FALSE)</f>
        <v>77488</v>
      </c>
      <c r="J190" s="69" t="str">
        <f>VLOOKUP($A190,SP_TaxPar_DB[],MATCH(J$2,SP_TaxPar_DB[#Headers],0),FALSE)</f>
        <v>409 MOERS LN</v>
      </c>
      <c r="K190" s="69" t="str">
        <f>VLOOKUP($A190,SP_TaxPar_DB[],MATCH(K$2,SP_TaxPar_DB[#Headers],0),FALSE)</f>
        <v>A20001 ABST.1 TRACT 4A,29 Acres:80.2007</v>
      </c>
      <c r="L190" s="69">
        <f>VLOOKUP($A190,SP_TaxPar_DB[],MATCH(L$2,SP_TaxPar_DB[#Headers],0),FALSE)</f>
        <v>0</v>
      </c>
      <c r="M190" s="69">
        <f>VLOOKUP($A190,SP_TaxPar_DB[],MATCH(M$2,SP_TaxPar_DB[#Headers],0),FALSE)</f>
        <v>0</v>
      </c>
      <c r="N190" s="69">
        <f>VLOOKUP($A190,SP_TaxPar_DB[],MATCH(N$2,SP_TaxPar_DB[#Headers],0),FALSE)</f>
        <v>0</v>
      </c>
      <c r="O190" s="71">
        <f>VLOOKUP($A190,SP_TaxPar_DB[],MATCH(O$2,SP_TaxPar_DB[#Headers],0),FALSE)</f>
        <v>0</v>
      </c>
      <c r="P190" s="72"/>
      <c r="Q190" s="69"/>
      <c r="R190" s="73"/>
      <c r="S190" s="73"/>
      <c r="T190" s="69"/>
      <c r="U190" s="69"/>
      <c r="V190" s="69"/>
      <c r="W190" s="69"/>
      <c r="X190" s="69"/>
      <c r="Y190" s="69"/>
      <c r="Z190" s="69"/>
      <c r="AA190" s="69"/>
      <c r="AB190" s="74"/>
      <c r="AC190" s="73"/>
      <c r="AD190" s="73"/>
      <c r="AE190" s="74"/>
      <c r="AF190" s="68"/>
      <c r="AG190" s="68"/>
      <c r="AH190" s="74"/>
      <c r="AI190" s="68"/>
      <c r="AJ190" s="68"/>
      <c r="AK190" s="68"/>
      <c r="AL190" s="80"/>
      <c r="AM190" s="81"/>
      <c r="AN190" s="74"/>
      <c r="AO190" s="74"/>
      <c r="AP190" s="74"/>
      <c r="AQ190" s="74"/>
      <c r="AR190" s="74"/>
      <c r="AS190" s="74"/>
      <c r="AT190" s="74"/>
      <c r="AU190" s="74"/>
      <c r="AV190" s="74"/>
      <c r="AW190" s="84"/>
    </row>
    <row r="191" spans="1:49" ht="15.75" hidden="1" x14ac:dyDescent="0.2">
      <c r="A191" s="129" t="s">
        <v>2423</v>
      </c>
      <c r="B191" s="68" t="str">
        <f>VLOOKUP($A191,SP_TaxPar_DB[],MATCH(B$2,SP_TaxPar_DB[#Headers],0),FALSE)</f>
        <v>PH2</v>
      </c>
      <c r="C191" s="67" t="str">
        <f>IF(VLOOKUP($A191,SP_TaxPar_DB[],MATCH(C$2,SP_TaxPar_DB[#Headers],0),FALSE)="",0,VLOOKUP($A191,SP_TaxPar_DB[],MATCH(C$2,SP_TaxPar_DB[#Headers],0),FALSE))</f>
        <v>T182</v>
      </c>
      <c r="D191" s="67">
        <f>IF(VLOOKUP($A191,SP_TaxPar_DB[],MATCH(D$2,SP_TaxPar_DB[#Headers],0),FALSE)="",0,VLOOKUP($A191,SP_TaxPar_DB[],MATCH(D$2,SP_TaxPar_DB[#Headers],0),FALSE))</f>
        <v>0</v>
      </c>
      <c r="E191" s="69" t="str">
        <f>VLOOKUP($A191,SP_TaxPar_DB[],MATCH(E$2,SP_TaxPar_DB[#Headers],0),FALSE)</f>
        <v>URBANOVSKY JOE JR &amp; CLEMENT ANN C</v>
      </c>
      <c r="F191" s="69" t="str">
        <f>VLOOKUP($A191,SP_TaxPar_DB[],MATCH(F$2,SP_TaxPar_DB[#Headers],0),FALSE)</f>
        <v>1804 BAY HILL DR</v>
      </c>
      <c r="G191" s="69" t="str">
        <f>VLOOKUP($A191,SP_TaxPar_DB[],MATCH(G$2,SP_TaxPar_DB[#Headers],0),FALSE)</f>
        <v>AUSTIN</v>
      </c>
      <c r="H191" s="69" t="str">
        <f>VLOOKUP($A191,SP_TaxPar_DB[],MATCH(H$2,SP_TaxPar_DB[#Headers],0),FALSE)</f>
        <v>TX</v>
      </c>
      <c r="I191" s="69" t="str">
        <f>VLOOKUP($A191,SP_TaxPar_DB[],MATCH(I$2,SP_TaxPar_DB[#Headers],0),FALSE)</f>
        <v>78746-6255</v>
      </c>
      <c r="J191" s="69" t="str">
        <f>VLOOKUP($A191,SP_TaxPar_DB[],MATCH(J$2,SP_TaxPar_DB[#Headers],0),FALSE)</f>
        <v>4220 LEE LN</v>
      </c>
      <c r="K191" s="69" t="str">
        <f>VLOOKUP($A191,SP_TaxPar_DB[],MATCH(K$2,SP_TaxPar_DB[#Headers],0),FALSE)</f>
        <v>A20001 ABST.1 TRACT 5 Acres:100.0500</v>
      </c>
      <c r="L191" s="69">
        <f>VLOOKUP($A191,SP_TaxPar_DB[],MATCH(L$2,SP_TaxPar_DB[#Headers],0),FALSE)</f>
        <v>0</v>
      </c>
      <c r="M191" s="69">
        <f>VLOOKUP($A191,SP_TaxPar_DB[],MATCH(M$2,SP_TaxPar_DB[#Headers],0),FALSE)</f>
        <v>0</v>
      </c>
      <c r="N191" s="69">
        <f>VLOOKUP($A191,SP_TaxPar_DB[],MATCH(N$2,SP_TaxPar_DB[#Headers],0),FALSE)</f>
        <v>0</v>
      </c>
      <c r="O191" s="71">
        <f>VLOOKUP($A191,SP_TaxPar_DB[],MATCH(O$2,SP_TaxPar_DB[#Headers],0),FALSE)</f>
        <v>0</v>
      </c>
      <c r="P191" s="72"/>
      <c r="Q191" s="69"/>
      <c r="R191" s="73"/>
      <c r="S191" s="73"/>
      <c r="T191" s="69"/>
      <c r="U191" s="69"/>
      <c r="V191" s="69"/>
      <c r="W191" s="69"/>
      <c r="X191" s="69"/>
      <c r="Y191" s="69"/>
      <c r="Z191" s="69"/>
      <c r="AA191" s="69"/>
      <c r="AB191" s="74"/>
      <c r="AC191" s="73"/>
      <c r="AD191" s="73"/>
      <c r="AE191" s="74"/>
      <c r="AF191" s="68"/>
      <c r="AG191" s="68"/>
      <c r="AH191" s="74"/>
      <c r="AI191" s="68"/>
      <c r="AJ191" s="68"/>
      <c r="AK191" s="68"/>
      <c r="AL191" s="80"/>
      <c r="AM191" s="81"/>
      <c r="AN191" s="74"/>
      <c r="AO191" s="74"/>
      <c r="AP191" s="74"/>
      <c r="AQ191" s="74"/>
      <c r="AR191" s="74"/>
      <c r="AS191" s="74"/>
      <c r="AT191" s="74"/>
      <c r="AU191" s="74"/>
      <c r="AV191" s="74"/>
      <c r="AW191" s="84"/>
    </row>
    <row r="192" spans="1:49" ht="15.75" hidden="1" x14ac:dyDescent="0.2">
      <c r="A192" s="129" t="s">
        <v>2429</v>
      </c>
      <c r="B192" s="68" t="str">
        <f>VLOOKUP($A192,SP_TaxPar_DB[],MATCH(B$2,SP_TaxPar_DB[#Headers],0),FALSE)</f>
        <v>PH2</v>
      </c>
      <c r="C192" s="67" t="str">
        <f>IF(VLOOKUP($A192,SP_TaxPar_DB[],MATCH(C$2,SP_TaxPar_DB[#Headers],0),FALSE)="",0,VLOOKUP($A192,SP_TaxPar_DB[],MATCH(C$2,SP_TaxPar_DB[#Headers],0),FALSE))</f>
        <v>T183</v>
      </c>
      <c r="D192" s="67">
        <f>IF(VLOOKUP($A192,SP_TaxPar_DB[],MATCH(D$2,SP_TaxPar_DB[#Headers],0),FALSE)="",0,VLOOKUP($A192,SP_TaxPar_DB[],MATCH(D$2,SP_TaxPar_DB[#Headers],0),FALSE))</f>
        <v>0</v>
      </c>
      <c r="E192" s="69" t="str">
        <f>VLOOKUP($A192,SP_TaxPar_DB[],MATCH(E$2,SP_TaxPar_DB[#Headers],0),FALSE)</f>
        <v>LOPEZ DAIMUS</v>
      </c>
      <c r="F192" s="69" t="str">
        <f>VLOOKUP($A192,SP_TaxPar_DB[],MATCH(F$2,SP_TaxPar_DB[#Headers],0),FALSE)</f>
        <v>378 CR 150</v>
      </c>
      <c r="G192" s="69" t="str">
        <f>VLOOKUP($A192,SP_TaxPar_DB[],MATCH(G$2,SP_TaxPar_DB[#Headers],0),FALSE)</f>
        <v>WHARTON</v>
      </c>
      <c r="H192" s="69" t="str">
        <f>VLOOKUP($A192,SP_TaxPar_DB[],MATCH(H$2,SP_TaxPar_DB[#Headers],0),FALSE)</f>
        <v>TX</v>
      </c>
      <c r="I192" s="69" t="str">
        <f>VLOOKUP($A192,SP_TaxPar_DB[],MATCH(I$2,SP_TaxPar_DB[#Headers],0),FALSE)</f>
        <v>77488</v>
      </c>
      <c r="J192" s="69" t="str">
        <f>VLOOKUP($A192,SP_TaxPar_DB[],MATCH(J$2,SP_TaxPar_DB[#Headers],0),FALSE)</f>
        <v>0  MOERS LN</v>
      </c>
      <c r="K192" s="69" t="str">
        <f>VLOOKUP($A192,SP_TaxPar_DB[],MATCH(K$2,SP_TaxPar_DB[#Headers],0),FALSE)</f>
        <v>A20001 ABST.1 TRACT 6A PT. Acres:6.1000</v>
      </c>
      <c r="L192" s="69">
        <f>VLOOKUP($A192,SP_TaxPar_DB[],MATCH(L$2,SP_TaxPar_DB[#Headers],0),FALSE)</f>
        <v>0</v>
      </c>
      <c r="M192" s="69">
        <f>VLOOKUP($A192,SP_TaxPar_DB[],MATCH(M$2,SP_TaxPar_DB[#Headers],0),FALSE)</f>
        <v>0</v>
      </c>
      <c r="N192" s="69">
        <f>VLOOKUP($A192,SP_TaxPar_DB[],MATCH(N$2,SP_TaxPar_DB[#Headers],0),FALSE)</f>
        <v>0</v>
      </c>
      <c r="O192" s="71">
        <f>VLOOKUP($A192,SP_TaxPar_DB[],MATCH(O$2,SP_TaxPar_DB[#Headers],0),FALSE)</f>
        <v>0</v>
      </c>
      <c r="P192" s="72"/>
      <c r="Q192" s="69"/>
      <c r="R192" s="73"/>
      <c r="S192" s="73"/>
      <c r="T192" s="69"/>
      <c r="U192" s="69"/>
      <c r="V192" s="69"/>
      <c r="W192" s="69"/>
      <c r="X192" s="69"/>
      <c r="Y192" s="69"/>
      <c r="Z192" s="69"/>
      <c r="AA192" s="69"/>
      <c r="AB192" s="74"/>
      <c r="AC192" s="73"/>
      <c r="AD192" s="73"/>
      <c r="AE192" s="74"/>
      <c r="AF192" s="68"/>
      <c r="AG192" s="68"/>
      <c r="AH192" s="74"/>
      <c r="AI192" s="68"/>
      <c r="AJ192" s="68"/>
      <c r="AK192" s="68"/>
      <c r="AL192" s="80"/>
      <c r="AM192" s="81"/>
      <c r="AN192" s="74"/>
      <c r="AO192" s="74"/>
      <c r="AP192" s="74"/>
      <c r="AQ192" s="74"/>
      <c r="AR192" s="74"/>
      <c r="AS192" s="74"/>
      <c r="AT192" s="74"/>
      <c r="AU192" s="74"/>
      <c r="AV192" s="74"/>
      <c r="AW192" s="84"/>
    </row>
    <row r="193" spans="1:49" ht="15.75" hidden="1" x14ac:dyDescent="0.2">
      <c r="A193" s="129" t="s">
        <v>2434</v>
      </c>
      <c r="B193" s="68" t="str">
        <f>VLOOKUP($A193,SP_TaxPar_DB[],MATCH(B$2,SP_TaxPar_DB[#Headers],0),FALSE)</f>
        <v>PH2</v>
      </c>
      <c r="C193" s="67" t="str">
        <f>IF(VLOOKUP($A193,SP_TaxPar_DB[],MATCH(C$2,SP_TaxPar_DB[#Headers],0),FALSE)="",0,VLOOKUP($A193,SP_TaxPar_DB[],MATCH(C$2,SP_TaxPar_DB[#Headers],0),FALSE))</f>
        <v>T184</v>
      </c>
      <c r="D193" s="67">
        <f>IF(VLOOKUP($A193,SP_TaxPar_DB[],MATCH(D$2,SP_TaxPar_DB[#Headers],0),FALSE)="",0,VLOOKUP($A193,SP_TaxPar_DB[],MATCH(D$2,SP_TaxPar_DB[#Headers],0),FALSE))</f>
        <v>0</v>
      </c>
      <c r="E193" s="69" t="str">
        <f>VLOOKUP($A193,SP_TaxPar_DB[],MATCH(E$2,SP_TaxPar_DB[#Headers],0),FALSE)</f>
        <v>POPP JAKE M</v>
      </c>
      <c r="F193" s="69" t="str">
        <f>VLOOKUP($A193,SP_TaxPar_DB[],MATCH(F$2,SP_TaxPar_DB[#Headers],0),FALSE)</f>
        <v>3898 CR 135</v>
      </c>
      <c r="G193" s="69" t="str">
        <f>VLOOKUP($A193,SP_TaxPar_DB[],MATCH(G$2,SP_TaxPar_DB[#Headers],0),FALSE)</f>
        <v>WHARTON</v>
      </c>
      <c r="H193" s="69" t="str">
        <f>VLOOKUP($A193,SP_TaxPar_DB[],MATCH(H$2,SP_TaxPar_DB[#Headers],0),FALSE)</f>
        <v>TX</v>
      </c>
      <c r="I193" s="69" t="str">
        <f>VLOOKUP($A193,SP_TaxPar_DB[],MATCH(I$2,SP_TaxPar_DB[#Headers],0),FALSE)</f>
        <v>77488-2036</v>
      </c>
      <c r="J193" s="69" t="str">
        <f>VLOOKUP($A193,SP_TaxPar_DB[],MATCH(J$2,SP_TaxPar_DB[#Headers],0),FALSE)</f>
        <v>3898 CR 135</v>
      </c>
      <c r="K193" s="69" t="str">
        <f>VLOOKUP($A193,SP_TaxPar_DB[],MATCH(K$2,SP_TaxPar_DB[#Headers],0),FALSE)</f>
        <v>A20001 ABST.1 TRACT 6K,7 Acres:6.8200</v>
      </c>
      <c r="L193" s="69">
        <f>VLOOKUP($A193,SP_TaxPar_DB[],MATCH(L$2,SP_TaxPar_DB[#Headers],0),FALSE)</f>
        <v>0</v>
      </c>
      <c r="M193" s="69">
        <f>VLOOKUP($A193,SP_TaxPar_DB[],MATCH(M$2,SP_TaxPar_DB[#Headers],0),FALSE)</f>
        <v>0</v>
      </c>
      <c r="N193" s="69">
        <f>VLOOKUP($A193,SP_TaxPar_DB[],MATCH(N$2,SP_TaxPar_DB[#Headers],0),FALSE)</f>
        <v>0</v>
      </c>
      <c r="O193" s="71">
        <f>VLOOKUP($A193,SP_TaxPar_DB[],MATCH(O$2,SP_TaxPar_DB[#Headers],0),FALSE)</f>
        <v>0</v>
      </c>
      <c r="P193" s="72"/>
      <c r="Q193" s="69"/>
      <c r="R193" s="73"/>
      <c r="S193" s="73"/>
      <c r="T193" s="69"/>
      <c r="U193" s="69"/>
      <c r="V193" s="69"/>
      <c r="W193" s="69"/>
      <c r="X193" s="69"/>
      <c r="Y193" s="69"/>
      <c r="Z193" s="69"/>
      <c r="AA193" s="69"/>
      <c r="AB193" s="74"/>
      <c r="AC193" s="73"/>
      <c r="AD193" s="73"/>
      <c r="AE193" s="74"/>
      <c r="AF193" s="68"/>
      <c r="AG193" s="68"/>
      <c r="AH193" s="74"/>
      <c r="AI193" s="68"/>
      <c r="AJ193" s="68"/>
      <c r="AK193" s="68"/>
      <c r="AL193" s="80"/>
      <c r="AM193" s="81"/>
      <c r="AN193" s="74"/>
      <c r="AO193" s="74"/>
      <c r="AP193" s="74"/>
      <c r="AQ193" s="74"/>
      <c r="AR193" s="74"/>
      <c r="AS193" s="74"/>
      <c r="AT193" s="74"/>
      <c r="AU193" s="74"/>
      <c r="AV193" s="74"/>
      <c r="AW193" s="84"/>
    </row>
    <row r="194" spans="1:49" ht="15.75" hidden="1" x14ac:dyDescent="0.2">
      <c r="A194" s="129" t="s">
        <v>2439</v>
      </c>
      <c r="B194" s="68" t="str">
        <f>VLOOKUP($A194,SP_TaxPar_DB[],MATCH(B$2,SP_TaxPar_DB[#Headers],0),FALSE)</f>
        <v>PH2</v>
      </c>
      <c r="C194" s="67" t="str">
        <f>IF(VLOOKUP($A194,SP_TaxPar_DB[],MATCH(C$2,SP_TaxPar_DB[#Headers],0),FALSE)="",0,VLOOKUP($A194,SP_TaxPar_DB[],MATCH(C$2,SP_TaxPar_DB[#Headers],0),FALSE))</f>
        <v>T185</v>
      </c>
      <c r="D194" s="67">
        <f>IF(VLOOKUP($A194,SP_TaxPar_DB[],MATCH(D$2,SP_TaxPar_DB[#Headers],0),FALSE)="",0,VLOOKUP($A194,SP_TaxPar_DB[],MATCH(D$2,SP_TaxPar_DB[#Headers],0),FALSE))</f>
        <v>0</v>
      </c>
      <c r="E194" s="69" t="str">
        <f>VLOOKUP($A194,SP_TaxPar_DB[],MATCH(E$2,SP_TaxPar_DB[#Headers],0),FALSE)</f>
        <v>LOPEZ DAIMUS</v>
      </c>
      <c r="F194" s="69" t="str">
        <f>VLOOKUP($A194,SP_TaxPar_DB[],MATCH(F$2,SP_TaxPar_DB[#Headers],0),FALSE)</f>
        <v>378 CR 150</v>
      </c>
      <c r="G194" s="69" t="str">
        <f>VLOOKUP($A194,SP_TaxPar_DB[],MATCH(G$2,SP_TaxPar_DB[#Headers],0),FALSE)</f>
        <v>WHARTON</v>
      </c>
      <c r="H194" s="69" t="str">
        <f>VLOOKUP($A194,SP_TaxPar_DB[],MATCH(H$2,SP_TaxPar_DB[#Headers],0),FALSE)</f>
        <v>TX</v>
      </c>
      <c r="I194" s="69" t="str">
        <f>VLOOKUP($A194,SP_TaxPar_DB[],MATCH(I$2,SP_TaxPar_DB[#Headers],0),FALSE)</f>
        <v>77488</v>
      </c>
      <c r="J194" s="69" t="str">
        <f>VLOOKUP($A194,SP_TaxPar_DB[],MATCH(J$2,SP_TaxPar_DB[#Headers],0),FALSE)</f>
        <v>378 CR 150</v>
      </c>
      <c r="K194" s="69" t="str">
        <f>VLOOKUP($A194,SP_TaxPar_DB[],MATCH(K$2,SP_TaxPar_DB[#Headers],0),FALSE)</f>
        <v>A20001 ABST.1 TRACT 6A PT. Acres:1.0000</v>
      </c>
      <c r="L194" s="69">
        <f>VLOOKUP($A194,SP_TaxPar_DB[],MATCH(L$2,SP_TaxPar_DB[#Headers],0),FALSE)</f>
        <v>0</v>
      </c>
      <c r="M194" s="69">
        <f>VLOOKUP($A194,SP_TaxPar_DB[],MATCH(M$2,SP_TaxPar_DB[#Headers],0),FALSE)</f>
        <v>0</v>
      </c>
      <c r="N194" s="69">
        <f>VLOOKUP($A194,SP_TaxPar_DB[],MATCH(N$2,SP_TaxPar_DB[#Headers],0),FALSE)</f>
        <v>0</v>
      </c>
      <c r="O194" s="71">
        <f>VLOOKUP($A194,SP_TaxPar_DB[],MATCH(O$2,SP_TaxPar_DB[#Headers],0),FALSE)</f>
        <v>0</v>
      </c>
      <c r="P194" s="72"/>
      <c r="Q194" s="69"/>
      <c r="R194" s="73"/>
      <c r="S194" s="73"/>
      <c r="T194" s="69"/>
      <c r="U194" s="69"/>
      <c r="V194" s="69"/>
      <c r="W194" s="69"/>
      <c r="X194" s="69"/>
      <c r="Y194" s="69"/>
      <c r="Z194" s="69"/>
      <c r="AA194" s="69"/>
      <c r="AB194" s="74"/>
      <c r="AC194" s="73"/>
      <c r="AD194" s="73"/>
      <c r="AE194" s="74"/>
      <c r="AF194" s="68"/>
      <c r="AG194" s="68"/>
      <c r="AH194" s="74"/>
      <c r="AI194" s="68"/>
      <c r="AJ194" s="68"/>
      <c r="AK194" s="68"/>
      <c r="AL194" s="80"/>
      <c r="AM194" s="81"/>
      <c r="AN194" s="74"/>
      <c r="AO194" s="74"/>
      <c r="AP194" s="74"/>
      <c r="AQ194" s="74"/>
      <c r="AR194" s="74"/>
      <c r="AS194" s="74"/>
      <c r="AT194" s="74"/>
      <c r="AU194" s="74"/>
      <c r="AV194" s="74"/>
      <c r="AW194" s="84"/>
    </row>
    <row r="195" spans="1:49" ht="15.75" hidden="1" x14ac:dyDescent="0.2">
      <c r="A195" s="129" t="s">
        <v>2441</v>
      </c>
      <c r="B195" s="68" t="str">
        <f>VLOOKUP($A195,SP_TaxPar_DB[],MATCH(B$2,SP_TaxPar_DB[#Headers],0),FALSE)</f>
        <v>PH2</v>
      </c>
      <c r="C195" s="67" t="str">
        <f>IF(VLOOKUP($A195,SP_TaxPar_DB[],MATCH(C$2,SP_TaxPar_DB[#Headers],0),FALSE)="",0,VLOOKUP($A195,SP_TaxPar_DB[],MATCH(C$2,SP_TaxPar_DB[#Headers],0),FALSE))</f>
        <v>T186</v>
      </c>
      <c r="D195" s="67">
        <f>IF(VLOOKUP($A195,SP_TaxPar_DB[],MATCH(D$2,SP_TaxPar_DB[#Headers],0),FALSE)="",0,VLOOKUP($A195,SP_TaxPar_DB[],MATCH(D$2,SP_TaxPar_DB[#Headers],0),FALSE))</f>
        <v>0</v>
      </c>
      <c r="E195" s="69" t="str">
        <f>VLOOKUP($A195,SP_TaxPar_DB[],MATCH(E$2,SP_TaxPar_DB[#Headers],0),FALSE)</f>
        <v>LEWIS FORREST W &amp; JULIA W</v>
      </c>
      <c r="F195" s="69" t="str">
        <f>VLOOKUP($A195,SP_TaxPar_DB[],MATCH(F$2,SP_TaxPar_DB[#Headers],0),FALSE)</f>
        <v>468 CR 150 RD</v>
      </c>
      <c r="G195" s="69" t="str">
        <f>VLOOKUP($A195,SP_TaxPar_DB[],MATCH(G$2,SP_TaxPar_DB[#Headers],0),FALSE)</f>
        <v>WHARTON</v>
      </c>
      <c r="H195" s="69" t="str">
        <f>VLOOKUP($A195,SP_TaxPar_DB[],MATCH(H$2,SP_TaxPar_DB[#Headers],0),FALSE)</f>
        <v>TX</v>
      </c>
      <c r="I195" s="69" t="str">
        <f>VLOOKUP($A195,SP_TaxPar_DB[],MATCH(I$2,SP_TaxPar_DB[#Headers],0),FALSE)</f>
        <v>77488</v>
      </c>
      <c r="J195" s="69" t="str">
        <f>VLOOKUP($A195,SP_TaxPar_DB[],MATCH(J$2,SP_TaxPar_DB[#Headers],0),FALSE)</f>
        <v>468 CR 150</v>
      </c>
      <c r="K195" s="69" t="str">
        <f>VLOOKUP($A195,SP_TaxPar_DB[],MATCH(K$2,SP_TaxPar_DB[#Headers],0),FALSE)</f>
        <v>A20001 ABST.1 TRACT 6B,6C,6D Acres:11.5000</v>
      </c>
      <c r="L195" s="69">
        <f>VLOOKUP($A195,SP_TaxPar_DB[],MATCH(L$2,SP_TaxPar_DB[#Headers],0),FALSE)</f>
        <v>0</v>
      </c>
      <c r="M195" s="69">
        <f>VLOOKUP($A195,SP_TaxPar_DB[],MATCH(M$2,SP_TaxPar_DB[#Headers],0),FALSE)</f>
        <v>0</v>
      </c>
      <c r="N195" s="69">
        <f>VLOOKUP($A195,SP_TaxPar_DB[],MATCH(N$2,SP_TaxPar_DB[#Headers],0),FALSE)</f>
        <v>0</v>
      </c>
      <c r="O195" s="71">
        <f>VLOOKUP($A195,SP_TaxPar_DB[],MATCH(O$2,SP_TaxPar_DB[#Headers],0),FALSE)</f>
        <v>0</v>
      </c>
      <c r="P195" s="72"/>
      <c r="Q195" s="69"/>
      <c r="R195" s="73"/>
      <c r="S195" s="73"/>
      <c r="T195" s="69"/>
      <c r="U195" s="69"/>
      <c r="V195" s="69"/>
      <c r="W195" s="69"/>
      <c r="X195" s="69"/>
      <c r="Y195" s="69"/>
      <c r="Z195" s="69"/>
      <c r="AA195" s="69"/>
      <c r="AB195" s="74"/>
      <c r="AC195" s="73"/>
      <c r="AD195" s="73"/>
      <c r="AE195" s="74"/>
      <c r="AF195" s="68"/>
      <c r="AG195" s="68"/>
      <c r="AH195" s="74"/>
      <c r="AI195" s="68"/>
      <c r="AJ195" s="68"/>
      <c r="AK195" s="68"/>
      <c r="AL195" s="80"/>
      <c r="AM195" s="81"/>
      <c r="AN195" s="74"/>
      <c r="AO195" s="74"/>
      <c r="AP195" s="74"/>
      <c r="AQ195" s="74"/>
      <c r="AR195" s="74"/>
      <c r="AS195" s="74"/>
      <c r="AT195" s="74"/>
      <c r="AU195" s="74"/>
      <c r="AV195" s="74"/>
      <c r="AW195" s="84"/>
    </row>
    <row r="196" spans="1:49" ht="15.75" hidden="1" x14ac:dyDescent="0.2">
      <c r="A196" s="129" t="s">
        <v>2446</v>
      </c>
      <c r="B196" s="68" t="str">
        <f>VLOOKUP($A196,SP_TaxPar_DB[],MATCH(B$2,SP_TaxPar_DB[#Headers],0),FALSE)</f>
        <v>PH2</v>
      </c>
      <c r="C196" s="67" t="str">
        <f>IF(VLOOKUP($A196,SP_TaxPar_DB[],MATCH(C$2,SP_TaxPar_DB[#Headers],0),FALSE)="",0,VLOOKUP($A196,SP_TaxPar_DB[],MATCH(C$2,SP_TaxPar_DB[#Headers],0),FALSE))</f>
        <v>T187</v>
      </c>
      <c r="D196" s="67">
        <f>IF(VLOOKUP($A196,SP_TaxPar_DB[],MATCH(D$2,SP_TaxPar_DB[#Headers],0),FALSE)="",0,VLOOKUP($A196,SP_TaxPar_DB[],MATCH(D$2,SP_TaxPar_DB[#Headers],0),FALSE))</f>
        <v>0</v>
      </c>
      <c r="E196" s="69" t="str">
        <f>VLOOKUP($A196,SP_TaxPar_DB[],MATCH(E$2,SP_TaxPar_DB[#Headers],0),FALSE)</f>
        <v>HORELICA TILFORD G</v>
      </c>
      <c r="F196" s="69" t="str">
        <f>VLOOKUP($A196,SP_TaxPar_DB[],MATCH(F$2,SP_TaxPar_DB[#Headers],0),FALSE)</f>
        <v>PO BOX 570</v>
      </c>
      <c r="G196" s="69" t="str">
        <f>VLOOKUP($A196,SP_TaxPar_DB[],MATCH(G$2,SP_TaxPar_DB[#Headers],0),FALSE)</f>
        <v>MATAGORDA</v>
      </c>
      <c r="H196" s="69" t="str">
        <f>VLOOKUP($A196,SP_TaxPar_DB[],MATCH(H$2,SP_TaxPar_DB[#Headers],0),FALSE)</f>
        <v>TX</v>
      </c>
      <c r="I196" s="69" t="str">
        <f>VLOOKUP($A196,SP_TaxPar_DB[],MATCH(I$2,SP_TaxPar_DB[#Headers],0),FALSE)</f>
        <v>77457-0570</v>
      </c>
      <c r="J196" s="69" t="str">
        <f>VLOOKUP($A196,SP_TaxPar_DB[],MATCH(J$2,SP_TaxPar_DB[#Headers],0),FALSE)</f>
        <v>520 MOERS LN</v>
      </c>
      <c r="K196" s="69" t="str">
        <f>VLOOKUP($A196,SP_TaxPar_DB[],MATCH(K$2,SP_TaxPar_DB[#Headers],0),FALSE)</f>
        <v>A20001 ABST.1 TRACT 6F,7B Acres:40.2000</v>
      </c>
      <c r="L196" s="69">
        <f>VLOOKUP($A196,SP_TaxPar_DB[],MATCH(L$2,SP_TaxPar_DB[#Headers],0),FALSE)</f>
        <v>0</v>
      </c>
      <c r="M196" s="69">
        <f>VLOOKUP($A196,SP_TaxPar_DB[],MATCH(M$2,SP_TaxPar_DB[#Headers],0),FALSE)</f>
        <v>0</v>
      </c>
      <c r="N196" s="69">
        <f>VLOOKUP($A196,SP_TaxPar_DB[],MATCH(N$2,SP_TaxPar_DB[#Headers],0),FALSE)</f>
        <v>0</v>
      </c>
      <c r="O196" s="71">
        <f>VLOOKUP($A196,SP_TaxPar_DB[],MATCH(O$2,SP_TaxPar_DB[#Headers],0),FALSE)</f>
        <v>0</v>
      </c>
      <c r="P196" s="72"/>
      <c r="Q196" s="69"/>
      <c r="R196" s="73"/>
      <c r="S196" s="73"/>
      <c r="T196" s="69"/>
      <c r="U196" s="69"/>
      <c r="V196" s="69"/>
      <c r="W196" s="69"/>
      <c r="X196" s="69"/>
      <c r="Y196" s="69"/>
      <c r="Z196" s="69"/>
      <c r="AA196" s="69"/>
      <c r="AB196" s="74"/>
      <c r="AC196" s="73"/>
      <c r="AD196" s="73"/>
      <c r="AE196" s="74"/>
      <c r="AF196" s="68"/>
      <c r="AG196" s="68"/>
      <c r="AH196" s="74"/>
      <c r="AI196" s="68"/>
      <c r="AJ196" s="68"/>
      <c r="AK196" s="68"/>
      <c r="AL196" s="80"/>
      <c r="AM196" s="81"/>
      <c r="AN196" s="74"/>
      <c r="AO196" s="74"/>
      <c r="AP196" s="74"/>
      <c r="AQ196" s="74"/>
      <c r="AR196" s="74"/>
      <c r="AS196" s="74"/>
      <c r="AT196" s="74"/>
      <c r="AU196" s="74"/>
      <c r="AV196" s="74"/>
      <c r="AW196" s="84"/>
    </row>
    <row r="197" spans="1:49" ht="15.75" hidden="1" x14ac:dyDescent="0.2">
      <c r="A197" s="129" t="s">
        <v>2453</v>
      </c>
      <c r="B197" s="68" t="str">
        <f>VLOOKUP($A197,SP_TaxPar_DB[],MATCH(B$2,SP_TaxPar_DB[#Headers],0),FALSE)</f>
        <v>PH2</v>
      </c>
      <c r="C197" s="67" t="str">
        <f>IF(VLOOKUP($A197,SP_TaxPar_DB[],MATCH(C$2,SP_TaxPar_DB[#Headers],0),FALSE)="",0,VLOOKUP($A197,SP_TaxPar_DB[],MATCH(C$2,SP_TaxPar_DB[#Headers],0),FALSE))</f>
        <v>T188</v>
      </c>
      <c r="D197" s="67">
        <f>IF(VLOOKUP($A197,SP_TaxPar_DB[],MATCH(D$2,SP_TaxPar_DB[#Headers],0),FALSE)="",0,VLOOKUP($A197,SP_TaxPar_DB[],MATCH(D$2,SP_TaxPar_DB[#Headers],0),FALSE))</f>
        <v>0</v>
      </c>
      <c r="E197" s="69" t="str">
        <f>VLOOKUP($A197,SP_TaxPar_DB[],MATCH(E$2,SP_TaxPar_DB[#Headers],0),FALSE)</f>
        <v>PORTER TREY AND SARAH</v>
      </c>
      <c r="F197" s="69" t="str">
        <f>VLOOKUP($A197,SP_TaxPar_DB[],MATCH(F$2,SP_TaxPar_DB[#Headers],0),FALSE)</f>
        <v>3920 CR 135</v>
      </c>
      <c r="G197" s="69" t="str">
        <f>VLOOKUP($A197,SP_TaxPar_DB[],MATCH(G$2,SP_TaxPar_DB[#Headers],0),FALSE)</f>
        <v>WHARTON</v>
      </c>
      <c r="H197" s="69" t="str">
        <f>VLOOKUP($A197,SP_TaxPar_DB[],MATCH(H$2,SP_TaxPar_DB[#Headers],0),FALSE)</f>
        <v>TX</v>
      </c>
      <c r="I197" s="69" t="str">
        <f>VLOOKUP($A197,SP_TaxPar_DB[],MATCH(I$2,SP_TaxPar_DB[#Headers],0),FALSE)</f>
        <v>77488</v>
      </c>
      <c r="J197" s="69" t="str">
        <f>VLOOKUP($A197,SP_TaxPar_DB[],MATCH(J$2,SP_TaxPar_DB[#Headers],0),FALSE)</f>
        <v>3920 LEE LN</v>
      </c>
      <c r="K197" s="69" t="str">
        <f>VLOOKUP($A197,SP_TaxPar_DB[],MATCH(K$2,SP_TaxPar_DB[#Headers],0),FALSE)</f>
        <v>A20001 ABST.1 TRACT 6J PT. Acres:10.7671</v>
      </c>
      <c r="L197" s="69">
        <f>VLOOKUP($A197,SP_TaxPar_DB[],MATCH(L$2,SP_TaxPar_DB[#Headers],0),FALSE)</f>
        <v>0</v>
      </c>
      <c r="M197" s="69">
        <f>VLOOKUP($A197,SP_TaxPar_DB[],MATCH(M$2,SP_TaxPar_DB[#Headers],0),FALSE)</f>
        <v>0</v>
      </c>
      <c r="N197" s="69">
        <f>VLOOKUP($A197,SP_TaxPar_DB[],MATCH(N$2,SP_TaxPar_DB[#Headers],0),FALSE)</f>
        <v>0</v>
      </c>
      <c r="O197" s="71">
        <f>VLOOKUP($A197,SP_TaxPar_DB[],MATCH(O$2,SP_TaxPar_DB[#Headers],0),FALSE)</f>
        <v>0</v>
      </c>
      <c r="P197" s="72"/>
      <c r="Q197" s="69"/>
      <c r="R197" s="73"/>
      <c r="S197" s="73"/>
      <c r="T197" s="69"/>
      <c r="U197" s="69"/>
      <c r="V197" s="69"/>
      <c r="W197" s="69"/>
      <c r="X197" s="69"/>
      <c r="Y197" s="69"/>
      <c r="Z197" s="69"/>
      <c r="AA197" s="69"/>
      <c r="AB197" s="74"/>
      <c r="AC197" s="73"/>
      <c r="AD197" s="73"/>
      <c r="AE197" s="74"/>
      <c r="AF197" s="68"/>
      <c r="AG197" s="68"/>
      <c r="AH197" s="74"/>
      <c r="AI197" s="68"/>
      <c r="AJ197" s="68"/>
      <c r="AK197" s="68"/>
      <c r="AL197" s="80"/>
      <c r="AM197" s="81"/>
      <c r="AN197" s="74"/>
      <c r="AO197" s="74"/>
      <c r="AP197" s="74"/>
      <c r="AQ197" s="74"/>
      <c r="AR197" s="74"/>
      <c r="AS197" s="74"/>
      <c r="AT197" s="74"/>
      <c r="AU197" s="74"/>
      <c r="AV197" s="74"/>
      <c r="AW197" s="84"/>
    </row>
    <row r="198" spans="1:49" ht="15.75" hidden="1" x14ac:dyDescent="0.2">
      <c r="A198" s="129" t="s">
        <v>2458</v>
      </c>
      <c r="B198" s="68" t="str">
        <f>VLOOKUP($A198,SP_TaxPar_DB[],MATCH(B$2,SP_TaxPar_DB[#Headers],0),FALSE)</f>
        <v>PH2</v>
      </c>
      <c r="C198" s="67" t="str">
        <f>IF(VLOOKUP($A198,SP_TaxPar_DB[],MATCH(C$2,SP_TaxPar_DB[#Headers],0),FALSE)="",0,VLOOKUP($A198,SP_TaxPar_DB[],MATCH(C$2,SP_TaxPar_DB[#Headers],0),FALSE))</f>
        <v>T189</v>
      </c>
      <c r="D198" s="67">
        <f>IF(VLOOKUP($A198,SP_TaxPar_DB[],MATCH(D$2,SP_TaxPar_DB[#Headers],0),FALSE)="",0,VLOOKUP($A198,SP_TaxPar_DB[],MATCH(D$2,SP_TaxPar_DB[#Headers],0),FALSE))</f>
        <v>0</v>
      </c>
      <c r="E198" s="69" t="str">
        <f>VLOOKUP($A198,SP_TaxPar_DB[],MATCH(E$2,SP_TaxPar_DB[#Headers],0),FALSE)</f>
        <v>ZAHRADNIK ROBERT J &amp; WF</v>
      </c>
      <c r="F198" s="69" t="str">
        <f>VLOOKUP($A198,SP_TaxPar_DB[],MATCH(F$2,SP_TaxPar_DB[#Headers],0),FALSE)</f>
        <v>3822 CR 135 RD</v>
      </c>
      <c r="G198" s="69" t="str">
        <f>VLOOKUP($A198,SP_TaxPar_DB[],MATCH(G$2,SP_TaxPar_DB[#Headers],0),FALSE)</f>
        <v>WHARTON</v>
      </c>
      <c r="H198" s="69" t="str">
        <f>VLOOKUP($A198,SP_TaxPar_DB[],MATCH(H$2,SP_TaxPar_DB[#Headers],0),FALSE)</f>
        <v>TX</v>
      </c>
      <c r="I198" s="69" t="str">
        <f>VLOOKUP($A198,SP_TaxPar_DB[],MATCH(I$2,SP_TaxPar_DB[#Headers],0),FALSE)</f>
        <v>77488</v>
      </c>
      <c r="J198" s="69" t="str">
        <f>VLOOKUP($A198,SP_TaxPar_DB[],MATCH(J$2,SP_TaxPar_DB[#Headers],0),FALSE)</f>
        <v>0 LEE LN</v>
      </c>
      <c r="K198" s="69" t="str">
        <f>VLOOKUP($A198,SP_TaxPar_DB[],MATCH(K$2,SP_TaxPar_DB[#Headers],0),FALSE)</f>
        <v>A20001 ABST.1 TRACT 7A,7C Acres:4.5530</v>
      </c>
      <c r="L198" s="69">
        <f>VLOOKUP($A198,SP_TaxPar_DB[],MATCH(L$2,SP_TaxPar_DB[#Headers],0),FALSE)</f>
        <v>0</v>
      </c>
      <c r="M198" s="69">
        <f>VLOOKUP($A198,SP_TaxPar_DB[],MATCH(M$2,SP_TaxPar_DB[#Headers],0),FALSE)</f>
        <v>0</v>
      </c>
      <c r="N198" s="69">
        <f>VLOOKUP($A198,SP_TaxPar_DB[],MATCH(N$2,SP_TaxPar_DB[#Headers],0),FALSE)</f>
        <v>0</v>
      </c>
      <c r="O198" s="71">
        <f>VLOOKUP($A198,SP_TaxPar_DB[],MATCH(O$2,SP_TaxPar_DB[#Headers],0),FALSE)</f>
        <v>0</v>
      </c>
      <c r="P198" s="72"/>
      <c r="Q198" s="240"/>
      <c r="R198" s="240"/>
      <c r="S198" s="240"/>
      <c r="T198" s="240"/>
      <c r="U198" s="240"/>
      <c r="V198" s="240"/>
      <c r="W198" s="240"/>
      <c r="X198" s="240"/>
      <c r="Y198" s="240"/>
      <c r="Z198" s="240"/>
      <c r="AA198" s="240"/>
      <c r="AB198" s="240"/>
      <c r="AC198" s="240"/>
      <c r="AD198" s="240"/>
      <c r="AE198" s="240"/>
      <c r="AF198" s="240"/>
      <c r="AG198" s="240"/>
      <c r="AH198" s="240"/>
      <c r="AI198" s="240"/>
      <c r="AJ198" s="240"/>
      <c r="AK198" s="240"/>
      <c r="AL198" s="241"/>
      <c r="AM198" s="242"/>
      <c r="AN198" s="240"/>
      <c r="AO198" s="240"/>
      <c r="AP198" s="240"/>
      <c r="AQ198" s="240"/>
      <c r="AR198" s="240"/>
      <c r="AS198" s="240"/>
      <c r="AT198" s="240"/>
      <c r="AU198" s="240"/>
      <c r="AV198" s="240"/>
      <c r="AW198" s="241"/>
    </row>
    <row r="199" spans="1:49" ht="15.75" hidden="1" x14ac:dyDescent="0.2">
      <c r="A199" s="129" t="s">
        <v>2463</v>
      </c>
      <c r="B199" s="68" t="str">
        <f>VLOOKUP($A199,SP_TaxPar_DB[],MATCH(B$2,SP_TaxPar_DB[#Headers],0),FALSE)</f>
        <v>PH2</v>
      </c>
      <c r="C199" s="67" t="str">
        <f>IF(VLOOKUP($A199,SP_TaxPar_DB[],MATCH(C$2,SP_TaxPar_DB[#Headers],0),FALSE)="",0,VLOOKUP($A199,SP_TaxPar_DB[],MATCH(C$2,SP_TaxPar_DB[#Headers],0),FALSE))</f>
        <v>T190</v>
      </c>
      <c r="D199" s="67">
        <f>IF(VLOOKUP($A199,SP_TaxPar_DB[],MATCH(D$2,SP_TaxPar_DB[#Headers],0),FALSE)="",0,VLOOKUP($A199,SP_TaxPar_DB[],MATCH(D$2,SP_TaxPar_DB[#Headers],0),FALSE))</f>
        <v>0</v>
      </c>
      <c r="E199" s="69" t="str">
        <f>VLOOKUP($A199,SP_TaxPar_DB[],MATCH(E$2,SP_TaxPar_DB[#Headers],0),FALSE)</f>
        <v>KOLODZIEJCYK JOSEPH D &amp; KEVIN M EXEC</v>
      </c>
      <c r="F199" s="69" t="str">
        <f>VLOOKUP($A199,SP_TaxPar_DB[],MATCH(F$2,SP_TaxPar_DB[#Headers],0),FALSE)</f>
        <v>10622 FM 1726</v>
      </c>
      <c r="G199" s="69" t="str">
        <f>VLOOKUP($A199,SP_TaxPar_DB[],MATCH(G$2,SP_TaxPar_DB[#Headers],0),FALSE)</f>
        <v>GOLIAD</v>
      </c>
      <c r="H199" s="69" t="str">
        <f>VLOOKUP($A199,SP_TaxPar_DB[],MATCH(H$2,SP_TaxPar_DB[#Headers],0),FALSE)</f>
        <v>TX</v>
      </c>
      <c r="I199" s="69" t="str">
        <f>VLOOKUP($A199,SP_TaxPar_DB[],MATCH(I$2,SP_TaxPar_DB[#Headers],0),FALSE)</f>
        <v>77963</v>
      </c>
      <c r="J199" s="69" t="str">
        <f>VLOOKUP($A199,SP_TaxPar_DB[],MATCH(J$2,SP_TaxPar_DB[#Headers],0),FALSE)</f>
        <v>314 CR 150</v>
      </c>
      <c r="K199" s="69" t="str">
        <f>VLOOKUP($A199,SP_TaxPar_DB[],MATCH(K$2,SP_TaxPar_DB[#Headers],0),FALSE)</f>
        <v>A20001 ABST.1 TRACT 6I Acres:5.2050</v>
      </c>
      <c r="L199" s="69">
        <f>VLOOKUP($A199,SP_TaxPar_DB[],MATCH(L$2,SP_TaxPar_DB[#Headers],0),FALSE)</f>
        <v>0</v>
      </c>
      <c r="M199" s="69">
        <f>VLOOKUP($A199,SP_TaxPar_DB[],MATCH(M$2,SP_TaxPar_DB[#Headers],0),FALSE)</f>
        <v>0</v>
      </c>
      <c r="N199" s="69">
        <f>VLOOKUP($A199,SP_TaxPar_DB[],MATCH(N$2,SP_TaxPar_DB[#Headers],0),FALSE)</f>
        <v>0</v>
      </c>
      <c r="O199" s="71">
        <f>VLOOKUP($A199,SP_TaxPar_DB[],MATCH(O$2,SP_TaxPar_DB[#Headers],0),FALSE)</f>
        <v>0</v>
      </c>
      <c r="P199" s="72"/>
      <c r="Q199" s="69"/>
      <c r="R199" s="73"/>
      <c r="S199" s="73"/>
      <c r="T199" s="69"/>
      <c r="U199" s="69"/>
      <c r="V199" s="69"/>
      <c r="W199" s="69"/>
      <c r="X199" s="69"/>
      <c r="Y199" s="69"/>
      <c r="Z199" s="69"/>
      <c r="AA199" s="69"/>
      <c r="AB199" s="74"/>
      <c r="AC199" s="73"/>
      <c r="AD199" s="73"/>
      <c r="AE199" s="74"/>
      <c r="AF199" s="68"/>
      <c r="AG199" s="68"/>
      <c r="AH199" s="74"/>
      <c r="AI199" s="68"/>
      <c r="AJ199" s="68"/>
      <c r="AK199" s="68"/>
      <c r="AL199" s="80"/>
      <c r="AM199" s="81"/>
      <c r="AN199" s="74"/>
      <c r="AO199" s="74"/>
      <c r="AP199" s="74"/>
      <c r="AQ199" s="74"/>
      <c r="AR199" s="74"/>
      <c r="AS199" s="74"/>
      <c r="AT199" s="74"/>
      <c r="AU199" s="74"/>
      <c r="AV199" s="74"/>
      <c r="AW199" s="84"/>
    </row>
    <row r="200" spans="1:49" ht="15.75" hidden="1" x14ac:dyDescent="0.2">
      <c r="A200" s="129" t="s">
        <v>2470</v>
      </c>
      <c r="B200" s="68" t="str">
        <f>VLOOKUP($A200,SP_TaxPar_DB[],MATCH(B$2,SP_TaxPar_DB[#Headers],0),FALSE)</f>
        <v>PH2</v>
      </c>
      <c r="C200" s="67" t="str">
        <f>IF(VLOOKUP($A200,SP_TaxPar_DB[],MATCH(C$2,SP_TaxPar_DB[#Headers],0),FALSE)="",0,VLOOKUP($A200,SP_TaxPar_DB[],MATCH(C$2,SP_TaxPar_DB[#Headers],0),FALSE))</f>
        <v>T191</v>
      </c>
      <c r="D200" s="67">
        <f>IF(VLOOKUP($A200,SP_TaxPar_DB[],MATCH(D$2,SP_TaxPar_DB[#Headers],0),FALSE)="",0,VLOOKUP($A200,SP_TaxPar_DB[],MATCH(D$2,SP_TaxPar_DB[#Headers],0),FALSE))</f>
        <v>0</v>
      </c>
      <c r="E200" s="69" t="str">
        <f>VLOOKUP($A200,SP_TaxPar_DB[],MATCH(E$2,SP_TaxPar_DB[#Headers],0),FALSE)</f>
        <v>ZAHRADNIK ROBERT J &amp; MARY J</v>
      </c>
      <c r="F200" s="69" t="str">
        <f>VLOOKUP($A200,SP_TaxPar_DB[],MATCH(F$2,SP_TaxPar_DB[#Headers],0),FALSE)</f>
        <v>3822 CR 135 RD</v>
      </c>
      <c r="G200" s="69" t="str">
        <f>VLOOKUP($A200,SP_TaxPar_DB[],MATCH(G$2,SP_TaxPar_DB[#Headers],0),FALSE)</f>
        <v>WHARTON</v>
      </c>
      <c r="H200" s="69" t="str">
        <f>VLOOKUP($A200,SP_TaxPar_DB[],MATCH(H$2,SP_TaxPar_DB[#Headers],0),FALSE)</f>
        <v>TX</v>
      </c>
      <c r="I200" s="69" t="str">
        <f>VLOOKUP($A200,SP_TaxPar_DB[],MATCH(I$2,SP_TaxPar_DB[#Headers],0),FALSE)</f>
        <v>77488</v>
      </c>
      <c r="J200" s="69" t="str">
        <f>VLOOKUP($A200,SP_TaxPar_DB[],MATCH(J$2,SP_TaxPar_DB[#Headers],0),FALSE)</f>
        <v>3822 CR 135</v>
      </c>
      <c r="K200" s="69" t="str">
        <f>VLOOKUP($A200,SP_TaxPar_DB[],MATCH(K$2,SP_TaxPar_DB[#Headers],0),FALSE)</f>
        <v>A20001 ABST.1 TRACT 7A-1 Acres:6.0000</v>
      </c>
      <c r="L200" s="69">
        <f>VLOOKUP($A200,SP_TaxPar_DB[],MATCH(L$2,SP_TaxPar_DB[#Headers],0),FALSE)</f>
        <v>0</v>
      </c>
      <c r="M200" s="69">
        <f>VLOOKUP($A200,SP_TaxPar_DB[],MATCH(M$2,SP_TaxPar_DB[#Headers],0),FALSE)</f>
        <v>0</v>
      </c>
      <c r="N200" s="69">
        <f>VLOOKUP($A200,SP_TaxPar_DB[],MATCH(N$2,SP_TaxPar_DB[#Headers],0),FALSE)</f>
        <v>0</v>
      </c>
      <c r="O200" s="71">
        <f>VLOOKUP($A200,SP_TaxPar_DB[],MATCH(O$2,SP_TaxPar_DB[#Headers],0),FALSE)</f>
        <v>0</v>
      </c>
      <c r="P200" s="72"/>
      <c r="Q200" s="240"/>
      <c r="R200" s="240"/>
      <c r="S200" s="240"/>
      <c r="T200" s="240"/>
      <c r="U200" s="240"/>
      <c r="V200" s="240"/>
      <c r="W200" s="240"/>
      <c r="X200" s="240"/>
      <c r="Y200" s="240"/>
      <c r="Z200" s="240"/>
      <c r="AA200" s="240"/>
      <c r="AB200" s="240"/>
      <c r="AC200" s="240"/>
      <c r="AD200" s="240"/>
      <c r="AE200" s="240"/>
      <c r="AF200" s="240"/>
      <c r="AG200" s="240"/>
      <c r="AH200" s="240"/>
      <c r="AI200" s="240"/>
      <c r="AJ200" s="240"/>
      <c r="AK200" s="240"/>
      <c r="AL200" s="241"/>
      <c r="AM200" s="242"/>
      <c r="AN200" s="240"/>
      <c r="AO200" s="240"/>
      <c r="AP200" s="240"/>
      <c r="AQ200" s="240"/>
      <c r="AR200" s="240"/>
      <c r="AS200" s="240"/>
      <c r="AT200" s="240"/>
      <c r="AU200" s="240"/>
      <c r="AV200" s="240"/>
      <c r="AW200" s="241"/>
    </row>
    <row r="201" spans="1:49" ht="15.75" hidden="1" x14ac:dyDescent="0.2">
      <c r="A201" s="129" t="s">
        <v>2474</v>
      </c>
      <c r="B201" s="68" t="str">
        <f>VLOOKUP($A201,SP_TaxPar_DB[],MATCH(B$2,SP_TaxPar_DB[#Headers],0),FALSE)</f>
        <v>PH2</v>
      </c>
      <c r="C201" s="67" t="str">
        <f>IF(VLOOKUP($A201,SP_TaxPar_DB[],MATCH(C$2,SP_TaxPar_DB[#Headers],0),FALSE)="",0,VLOOKUP($A201,SP_TaxPar_DB[],MATCH(C$2,SP_TaxPar_DB[#Headers],0),FALSE))</f>
        <v>T192</v>
      </c>
      <c r="D201" s="67">
        <f>IF(VLOOKUP($A201,SP_TaxPar_DB[],MATCH(D$2,SP_TaxPar_DB[#Headers],0),FALSE)="",0,VLOOKUP($A201,SP_TaxPar_DB[],MATCH(D$2,SP_TaxPar_DB[#Headers],0),FALSE))</f>
        <v>0</v>
      </c>
      <c r="E201" s="69" t="str">
        <f>VLOOKUP($A201,SP_TaxPar_DB[],MATCH(E$2,SP_TaxPar_DB[#Headers],0),FALSE)</f>
        <v>MILLER MELISSA &amp; GILBERT GARY</v>
      </c>
      <c r="F201" s="69" t="str">
        <f>VLOOKUP($A201,SP_TaxPar_DB[],MATCH(F$2,SP_TaxPar_DB[#Headers],0),FALSE)</f>
        <v>1321 CRESTMONT</v>
      </c>
      <c r="G201" s="69" t="str">
        <f>VLOOKUP($A201,SP_TaxPar_DB[],MATCH(G$2,SP_TaxPar_DB[#Headers],0),FALSE)</f>
        <v>WHARTON</v>
      </c>
      <c r="H201" s="69" t="str">
        <f>VLOOKUP($A201,SP_TaxPar_DB[],MATCH(H$2,SP_TaxPar_DB[#Headers],0),FALSE)</f>
        <v>TX</v>
      </c>
      <c r="I201" s="69" t="str">
        <f>VLOOKUP($A201,SP_TaxPar_DB[],MATCH(I$2,SP_TaxPar_DB[#Headers],0),FALSE)</f>
        <v>77488</v>
      </c>
      <c r="J201" s="69" t="str">
        <f>VLOOKUP($A201,SP_TaxPar_DB[],MATCH(J$2,SP_TaxPar_DB[#Headers],0),FALSE)</f>
        <v>0 JUNIOR COLLEGE BLVD</v>
      </c>
      <c r="K201" s="69" t="str">
        <f>VLOOKUP($A201,SP_TaxPar_DB[],MATCH(K$2,SP_TaxPar_DB[#Headers],0),FALSE)</f>
        <v>A20001 ABST.1 TRACT 8,9 Acres:13.0200</v>
      </c>
      <c r="L201" s="69">
        <f>VLOOKUP($A201,SP_TaxPar_DB[],MATCH(L$2,SP_TaxPar_DB[#Headers],0),FALSE)</f>
        <v>0</v>
      </c>
      <c r="M201" s="69">
        <f>VLOOKUP($A201,SP_TaxPar_DB[],MATCH(M$2,SP_TaxPar_DB[#Headers],0),FALSE)</f>
        <v>0</v>
      </c>
      <c r="N201" s="69">
        <f>VLOOKUP($A201,SP_TaxPar_DB[],MATCH(N$2,SP_TaxPar_DB[#Headers],0),FALSE)</f>
        <v>0</v>
      </c>
      <c r="O201" s="71">
        <f>VLOOKUP($A201,SP_TaxPar_DB[],MATCH(O$2,SP_TaxPar_DB[#Headers],0),FALSE)</f>
        <v>0</v>
      </c>
      <c r="P201" s="72"/>
      <c r="Q201" s="69"/>
      <c r="R201" s="73"/>
      <c r="S201" s="73"/>
      <c r="T201" s="69"/>
      <c r="U201" s="69"/>
      <c r="V201" s="69"/>
      <c r="W201" s="69"/>
      <c r="X201" s="69"/>
      <c r="Y201" s="69"/>
      <c r="Z201" s="69"/>
      <c r="AA201" s="69"/>
      <c r="AB201" s="74"/>
      <c r="AC201" s="73"/>
      <c r="AD201" s="73"/>
      <c r="AE201" s="74"/>
      <c r="AF201" s="68"/>
      <c r="AG201" s="68"/>
      <c r="AH201" s="74"/>
      <c r="AI201" s="68"/>
      <c r="AJ201" s="68"/>
      <c r="AK201" s="68"/>
      <c r="AL201" s="80"/>
      <c r="AM201" s="81"/>
      <c r="AN201" s="74"/>
      <c r="AO201" s="74"/>
      <c r="AP201" s="74"/>
      <c r="AQ201" s="74"/>
      <c r="AR201" s="74"/>
      <c r="AS201" s="74"/>
      <c r="AT201" s="74"/>
      <c r="AU201" s="74"/>
      <c r="AV201" s="74"/>
      <c r="AW201" s="84"/>
    </row>
    <row r="202" spans="1:49" ht="15.75" hidden="1" x14ac:dyDescent="0.2">
      <c r="A202" s="129" t="s">
        <v>2479</v>
      </c>
      <c r="B202" s="68" t="str">
        <f>VLOOKUP($A202,SP_TaxPar_DB[],MATCH(B$2,SP_TaxPar_DB[#Headers],0),FALSE)</f>
        <v>PH2</v>
      </c>
      <c r="C202" s="67" t="str">
        <f>IF(VLOOKUP($A202,SP_TaxPar_DB[],MATCH(C$2,SP_TaxPar_DB[#Headers],0),FALSE)="",0,VLOOKUP($A202,SP_TaxPar_DB[],MATCH(C$2,SP_TaxPar_DB[#Headers],0),FALSE))</f>
        <v>T193</v>
      </c>
      <c r="D202" s="67">
        <f>IF(VLOOKUP($A202,SP_TaxPar_DB[],MATCH(D$2,SP_TaxPar_DB[#Headers],0),FALSE)="",0,VLOOKUP($A202,SP_TaxPar_DB[],MATCH(D$2,SP_TaxPar_DB[#Headers],0),FALSE))</f>
        <v>0</v>
      </c>
      <c r="E202" s="69" t="str">
        <f>VLOOKUP($A202,SP_TaxPar_DB[],MATCH(E$2,SP_TaxPar_DB[#Headers],0),FALSE)</f>
        <v>MAXEY JOHNNIE EST ETAL %MAXEY JAMES</v>
      </c>
      <c r="F202" s="69" t="str">
        <f>VLOOKUP($A202,SP_TaxPar_DB[],MATCH(F$2,SP_TaxPar_DB[#Headers],0),FALSE)</f>
        <v>2851 S KING DR APT 406</v>
      </c>
      <c r="G202" s="69" t="str">
        <f>VLOOKUP($A202,SP_TaxPar_DB[],MATCH(G$2,SP_TaxPar_DB[#Headers],0),FALSE)</f>
        <v>CHICAGO</v>
      </c>
      <c r="H202" s="69" t="str">
        <f>VLOOKUP($A202,SP_TaxPar_DB[],MATCH(H$2,SP_TaxPar_DB[#Headers],0),FALSE)</f>
        <v>IL</v>
      </c>
      <c r="I202" s="69" t="str">
        <f>VLOOKUP($A202,SP_TaxPar_DB[],MATCH(I$2,SP_TaxPar_DB[#Headers],0),FALSE)</f>
        <v>60616-2932</v>
      </c>
      <c r="J202" s="69" t="str">
        <f>VLOOKUP($A202,SP_TaxPar_DB[],MATCH(J$2,SP_TaxPar_DB[#Headers],0),FALSE)</f>
        <v>0  JUNIOR COLLEGE BLVD</v>
      </c>
      <c r="K202" s="69" t="str">
        <f>VLOOKUP($A202,SP_TaxPar_DB[],MATCH(K$2,SP_TaxPar_DB[#Headers],0),FALSE)</f>
        <v>A20001 ABST.1 TRACT 10E Acres:0.8870</v>
      </c>
      <c r="L202" s="69">
        <f>VLOOKUP($A202,SP_TaxPar_DB[],MATCH(L$2,SP_TaxPar_DB[#Headers],0),FALSE)</f>
        <v>0</v>
      </c>
      <c r="M202" s="69">
        <f>VLOOKUP($A202,SP_TaxPar_DB[],MATCH(M$2,SP_TaxPar_DB[#Headers],0),FALSE)</f>
        <v>0</v>
      </c>
      <c r="N202" s="69">
        <f>VLOOKUP($A202,SP_TaxPar_DB[],MATCH(N$2,SP_TaxPar_DB[#Headers],0),FALSE)</f>
        <v>0</v>
      </c>
      <c r="O202" s="71">
        <f>VLOOKUP($A202,SP_TaxPar_DB[],MATCH(O$2,SP_TaxPar_DB[#Headers],0),FALSE)</f>
        <v>0</v>
      </c>
      <c r="P202" s="72"/>
      <c r="Q202" s="69"/>
      <c r="R202" s="73"/>
      <c r="S202" s="73"/>
      <c r="T202" s="69"/>
      <c r="U202" s="69"/>
      <c r="V202" s="69"/>
      <c r="W202" s="69"/>
      <c r="X202" s="69"/>
      <c r="Y202" s="69"/>
      <c r="Z202" s="69"/>
      <c r="AA202" s="69"/>
      <c r="AB202" s="74"/>
      <c r="AC202" s="73"/>
      <c r="AD202" s="73"/>
      <c r="AE202" s="74"/>
      <c r="AF202" s="68"/>
      <c r="AG202" s="68"/>
      <c r="AH202" s="74"/>
      <c r="AI202" s="68"/>
      <c r="AJ202" s="68"/>
      <c r="AK202" s="68"/>
      <c r="AL202" s="80"/>
      <c r="AM202" s="81"/>
      <c r="AN202" s="74"/>
      <c r="AO202" s="74"/>
      <c r="AP202" s="74"/>
      <c r="AQ202" s="74"/>
      <c r="AR202" s="74"/>
      <c r="AS202" s="74"/>
      <c r="AT202" s="74"/>
      <c r="AU202" s="74"/>
      <c r="AV202" s="74"/>
      <c r="AW202" s="84"/>
    </row>
    <row r="203" spans="1:49" ht="15.75" hidden="1" x14ac:dyDescent="0.2">
      <c r="A203" s="129" t="s">
        <v>2485</v>
      </c>
      <c r="B203" s="68" t="str">
        <f>VLOOKUP($A203,SP_TaxPar_DB[],MATCH(B$2,SP_TaxPar_DB[#Headers],0),FALSE)</f>
        <v>PH2</v>
      </c>
      <c r="C203" s="67" t="str">
        <f>IF(VLOOKUP($A203,SP_TaxPar_DB[],MATCH(C$2,SP_TaxPar_DB[#Headers],0),FALSE)="",0,VLOOKUP($A203,SP_TaxPar_DB[],MATCH(C$2,SP_TaxPar_DB[#Headers],0),FALSE))</f>
        <v>T194</v>
      </c>
      <c r="D203" s="67">
        <f>IF(VLOOKUP($A203,SP_TaxPar_DB[],MATCH(D$2,SP_TaxPar_DB[#Headers],0),FALSE)="",0,VLOOKUP($A203,SP_TaxPar_DB[],MATCH(D$2,SP_TaxPar_DB[#Headers],0),FALSE))</f>
        <v>0</v>
      </c>
      <c r="E203" s="69" t="str">
        <f>VLOOKUP($A203,SP_TaxPar_DB[],MATCH(E$2,SP_TaxPar_DB[#Headers],0),FALSE)</f>
        <v>MILLER MELISSA &amp; GILBERT GARY</v>
      </c>
      <c r="F203" s="69" t="str">
        <f>VLOOKUP($A203,SP_TaxPar_DB[],MATCH(F$2,SP_TaxPar_DB[#Headers],0),FALSE)</f>
        <v>1321 CRESTMONT</v>
      </c>
      <c r="G203" s="69" t="str">
        <f>VLOOKUP($A203,SP_TaxPar_DB[],MATCH(G$2,SP_TaxPar_DB[#Headers],0),FALSE)</f>
        <v>WHARTON</v>
      </c>
      <c r="H203" s="69" t="str">
        <f>VLOOKUP($A203,SP_TaxPar_DB[],MATCH(H$2,SP_TaxPar_DB[#Headers],0),FALSE)</f>
        <v>TX</v>
      </c>
      <c r="I203" s="69" t="str">
        <f>VLOOKUP($A203,SP_TaxPar_DB[],MATCH(I$2,SP_TaxPar_DB[#Headers],0),FALSE)</f>
        <v>77488</v>
      </c>
      <c r="J203" s="69" t="str">
        <f>VLOOKUP($A203,SP_TaxPar_DB[],MATCH(J$2,SP_TaxPar_DB[#Headers],0),FALSE)</f>
        <v>2715 N CR 166</v>
      </c>
      <c r="K203" s="69" t="str">
        <f>VLOOKUP($A203,SP_TaxPar_DB[],MATCH(K$2,SP_TaxPar_DB[#Headers],0),FALSE)</f>
        <v>A20001 ABST.1 TRACT 13 Acres:62.8000</v>
      </c>
      <c r="L203" s="69">
        <f>VLOOKUP($A203,SP_TaxPar_DB[],MATCH(L$2,SP_TaxPar_DB[#Headers],0),FALSE)</f>
        <v>0</v>
      </c>
      <c r="M203" s="69">
        <f>VLOOKUP($A203,SP_TaxPar_DB[],MATCH(M$2,SP_TaxPar_DB[#Headers],0),FALSE)</f>
        <v>0</v>
      </c>
      <c r="N203" s="69">
        <f>VLOOKUP($A203,SP_TaxPar_DB[],MATCH(N$2,SP_TaxPar_DB[#Headers],0),FALSE)</f>
        <v>0</v>
      </c>
      <c r="O203" s="71">
        <f>VLOOKUP($A203,SP_TaxPar_DB[],MATCH(O$2,SP_TaxPar_DB[#Headers],0),FALSE)</f>
        <v>0</v>
      </c>
      <c r="P203" s="72"/>
      <c r="Q203" s="69"/>
      <c r="R203" s="73"/>
      <c r="S203" s="73"/>
      <c r="T203" s="69"/>
      <c r="U203" s="69"/>
      <c r="V203" s="69"/>
      <c r="W203" s="69"/>
      <c r="X203" s="69"/>
      <c r="Y203" s="69"/>
      <c r="Z203" s="69"/>
      <c r="AA203" s="69"/>
      <c r="AB203" s="74"/>
      <c r="AC203" s="73"/>
      <c r="AD203" s="73"/>
      <c r="AE203" s="74"/>
      <c r="AF203" s="68"/>
      <c r="AG203" s="68"/>
      <c r="AH203" s="74"/>
      <c r="AI203" s="68"/>
      <c r="AJ203" s="68"/>
      <c r="AK203" s="68"/>
      <c r="AL203" s="80"/>
      <c r="AM203" s="81"/>
      <c r="AN203" s="74"/>
      <c r="AO203" s="74"/>
      <c r="AP203" s="74"/>
      <c r="AQ203" s="74"/>
      <c r="AR203" s="74"/>
      <c r="AS203" s="74"/>
      <c r="AT203" s="74"/>
      <c r="AU203" s="74"/>
      <c r="AV203" s="74"/>
      <c r="AW203" s="84"/>
    </row>
    <row r="204" spans="1:49" ht="15.75" hidden="1" x14ac:dyDescent="0.2">
      <c r="A204" s="129" t="s">
        <v>2488</v>
      </c>
      <c r="B204" s="68" t="str">
        <f>VLOOKUP($A204,SP_TaxPar_DB[],MATCH(B$2,SP_TaxPar_DB[#Headers],0),FALSE)</f>
        <v>PH2</v>
      </c>
      <c r="C204" s="67" t="str">
        <f>IF(VLOOKUP($A204,SP_TaxPar_DB[],MATCH(C$2,SP_TaxPar_DB[#Headers],0),FALSE)="",0,VLOOKUP($A204,SP_TaxPar_DB[],MATCH(C$2,SP_TaxPar_DB[#Headers],0),FALSE))</f>
        <v>T195</v>
      </c>
      <c r="D204" s="67">
        <f>IF(VLOOKUP($A204,SP_TaxPar_DB[],MATCH(D$2,SP_TaxPar_DB[#Headers],0),FALSE)="",0,VLOOKUP($A204,SP_TaxPar_DB[],MATCH(D$2,SP_TaxPar_DB[#Headers],0),FALSE))</f>
        <v>0</v>
      </c>
      <c r="E204" s="69" t="str">
        <f>VLOOKUP($A204,SP_TaxPar_DB[],MATCH(E$2,SP_TaxPar_DB[#Headers],0),FALSE)</f>
        <v>HORELICA WILLIAM G</v>
      </c>
      <c r="F204" s="69" t="str">
        <f>VLOOKUP($A204,SP_TaxPar_DB[],MATCH(F$2,SP_TaxPar_DB[#Headers],0),FALSE)</f>
        <v>307 CR 150 RD</v>
      </c>
      <c r="G204" s="69" t="str">
        <f>VLOOKUP($A204,SP_TaxPar_DB[],MATCH(G$2,SP_TaxPar_DB[#Headers],0),FALSE)</f>
        <v>WHARTON</v>
      </c>
      <c r="H204" s="69" t="str">
        <f>VLOOKUP($A204,SP_TaxPar_DB[],MATCH(H$2,SP_TaxPar_DB[#Headers],0),FALSE)</f>
        <v>TX</v>
      </c>
      <c r="I204" s="69" t="str">
        <f>VLOOKUP($A204,SP_TaxPar_DB[],MATCH(I$2,SP_TaxPar_DB[#Headers],0),FALSE)</f>
        <v>77488</v>
      </c>
      <c r="J204" s="69" t="str">
        <f>VLOOKUP($A204,SP_TaxPar_DB[],MATCH(J$2,SP_TaxPar_DB[#Headers],0),FALSE)</f>
        <v>307 CR 150</v>
      </c>
      <c r="K204" s="69" t="str">
        <f>VLOOKUP($A204,SP_TaxPar_DB[],MATCH(K$2,SP_TaxPar_DB[#Headers],0),FALSE)</f>
        <v>A20001 ABST.1 TRACT 29A Acres:3.8300</v>
      </c>
      <c r="L204" s="69">
        <f>VLOOKUP($A204,SP_TaxPar_DB[],MATCH(L$2,SP_TaxPar_DB[#Headers],0),FALSE)</f>
        <v>0</v>
      </c>
      <c r="M204" s="69">
        <f>VLOOKUP($A204,SP_TaxPar_DB[],MATCH(M$2,SP_TaxPar_DB[#Headers],0),FALSE)</f>
        <v>0</v>
      </c>
      <c r="N204" s="69">
        <f>VLOOKUP($A204,SP_TaxPar_DB[],MATCH(N$2,SP_TaxPar_DB[#Headers],0),FALSE)</f>
        <v>0</v>
      </c>
      <c r="O204" s="71">
        <f>VLOOKUP($A204,SP_TaxPar_DB[],MATCH(O$2,SP_TaxPar_DB[#Headers],0),FALSE)</f>
        <v>0</v>
      </c>
      <c r="P204" s="72"/>
      <c r="Q204" s="69"/>
      <c r="R204" s="73"/>
      <c r="S204" s="73"/>
      <c r="T204" s="69"/>
      <c r="U204" s="69"/>
      <c r="V204" s="69"/>
      <c r="W204" s="69"/>
      <c r="X204" s="69"/>
      <c r="Y204" s="69"/>
      <c r="Z204" s="69"/>
      <c r="AA204" s="69"/>
      <c r="AB204" s="74"/>
      <c r="AC204" s="73"/>
      <c r="AD204" s="73"/>
      <c r="AE204" s="74"/>
      <c r="AF204" s="68"/>
      <c r="AG204" s="68"/>
      <c r="AH204" s="74"/>
      <c r="AI204" s="68"/>
      <c r="AJ204" s="68"/>
      <c r="AK204" s="68"/>
      <c r="AL204" s="80"/>
      <c r="AM204" s="81"/>
      <c r="AN204" s="74"/>
      <c r="AO204" s="74"/>
      <c r="AP204" s="74"/>
      <c r="AQ204" s="74"/>
      <c r="AR204" s="74"/>
      <c r="AS204" s="74"/>
      <c r="AT204" s="74"/>
      <c r="AU204" s="74"/>
      <c r="AV204" s="74"/>
      <c r="AW204" s="84"/>
    </row>
    <row r="205" spans="1:49" ht="15.75" hidden="1" x14ac:dyDescent="0.2">
      <c r="A205" s="129" t="s">
        <v>421</v>
      </c>
      <c r="B205" s="68" t="str">
        <f>VLOOKUP($A205,SP_TaxPar_DB[],MATCH(B$2,SP_TaxPar_DB[#Headers],0),FALSE)</f>
        <v>UNK</v>
      </c>
      <c r="C205" s="67">
        <f>IF(VLOOKUP($A205,SP_TaxPar_DB[],MATCH(C$2,SP_TaxPar_DB[#Headers],0),FALSE)="",0,VLOOKUP($A205,SP_TaxPar_DB[],MATCH(C$2,SP_TaxPar_DB[#Headers],0),FALSE))</f>
        <v>0</v>
      </c>
      <c r="D205" s="67">
        <f>IF(VLOOKUP($A205,SP_TaxPar_DB[],MATCH(D$2,SP_TaxPar_DB[#Headers],0),FALSE)="",0,VLOOKUP($A205,SP_TaxPar_DB[],MATCH(D$2,SP_TaxPar_DB[#Headers],0),FALSE))</f>
        <v>0</v>
      </c>
      <c r="E205" s="69" t="str">
        <f>VLOOKUP($A205,SP_TaxPar_DB[],MATCH(E$2,SP_TaxPar_DB[#Headers],0),FALSE)</f>
        <v>JOSE ELIO GOMEZ</v>
      </c>
      <c r="F205" s="69" t="str">
        <f>VLOOKUP($A205,SP_TaxPar_DB[],MATCH(F$2,SP_TaxPar_DB[#Headers],0),FALSE)</f>
        <v>816 TIDWELL</v>
      </c>
      <c r="G205" s="69" t="str">
        <f>VLOOKUP($A205,SP_TaxPar_DB[],MATCH(G$2,SP_TaxPar_DB[#Headers],0),FALSE)</f>
        <v>Houston</v>
      </c>
      <c r="H205" s="69" t="str">
        <f>VLOOKUP($A205,SP_TaxPar_DB[],MATCH(H$2,SP_TaxPar_DB[#Headers],0),FALSE)</f>
        <v>TX</v>
      </c>
      <c r="I205" s="69" t="str">
        <f>VLOOKUP($A205,SP_TaxPar_DB[],MATCH(I$2,SP_TaxPar_DB[#Headers],0),FALSE)</f>
        <v>77022</v>
      </c>
      <c r="J205" s="69" t="str">
        <f>VLOOKUP($A205,SP_TaxPar_DB[],MATCH(J$2,SP_TaxPar_DB[#Headers],0),FALSE)</f>
        <v>403 CR 241</v>
      </c>
      <c r="K205" s="69" t="str">
        <f>VLOOKUP($A205,SP_TaxPar_DB[],MATCH(K$2,SP_TaxPar_DB[#Headers],0),FALSE)</f>
        <v xml:space="preserve">A20003 ABST.3 TRACT 45B Acres:35.5690 </v>
      </c>
      <c r="L205" s="69">
        <f>VLOOKUP($A205,SP_TaxPar_DB[],MATCH(L$2,SP_TaxPar_DB[#Headers],0),FALSE)</f>
        <v>0</v>
      </c>
      <c r="M205" s="69">
        <f>VLOOKUP($A205,SP_TaxPar_DB[],MATCH(M$2,SP_TaxPar_DB[#Headers],0),FALSE)</f>
        <v>0</v>
      </c>
      <c r="N205" s="69">
        <f>VLOOKUP($A205,SP_TaxPar_DB[],MATCH(N$2,SP_TaxPar_DB[#Headers],0),FALSE)</f>
        <v>0</v>
      </c>
      <c r="O205" s="71" t="str">
        <f>VLOOKUP($A205,SP_TaxPar_DB[],MATCH(O$2,SP_TaxPar_DB[#Headers],0),FALSE)</f>
        <v>08/20/2019 ROE Packet mailed; 8/19/19 Received executed ROE for Mr. Gormez; 8/14/19 Per Mr. J.E. Gomez he authorized his son Jesus Gomez to be the main point of contact on this parcel.  Delivered ROE via email to Jesus Gomez.  Mr. Jose Elio verbally accep</v>
      </c>
      <c r="P205" s="72"/>
      <c r="Q205" s="69"/>
      <c r="R205" s="73"/>
      <c r="S205" s="73"/>
      <c r="T205" s="69"/>
      <c r="U205" s="69"/>
      <c r="V205" s="69"/>
      <c r="W205" s="69"/>
      <c r="X205" s="69"/>
      <c r="Y205" s="69"/>
      <c r="Z205" s="69"/>
      <c r="AA205" s="69"/>
      <c r="AB205" s="74"/>
      <c r="AC205" s="73"/>
      <c r="AD205" s="73"/>
      <c r="AE205" s="74"/>
      <c r="AF205" s="68"/>
      <c r="AG205" s="68"/>
      <c r="AH205" s="74"/>
      <c r="AI205" s="68"/>
      <c r="AJ205" s="68"/>
      <c r="AK205" s="68"/>
      <c r="AL205" s="80"/>
      <c r="AM205" s="81"/>
      <c r="AN205" s="74"/>
      <c r="AO205" s="74"/>
      <c r="AP205" s="74"/>
      <c r="AQ205" s="74"/>
      <c r="AR205" s="74"/>
      <c r="AS205" s="74"/>
      <c r="AT205" s="74"/>
      <c r="AU205" s="74"/>
      <c r="AV205" s="74"/>
      <c r="AW205" s="84"/>
    </row>
    <row r="206" spans="1:49" ht="15.75" hidden="1" x14ac:dyDescent="0.2">
      <c r="A206" s="129" t="s">
        <v>428</v>
      </c>
      <c r="B206" s="68" t="str">
        <f>VLOOKUP($A206,SP_TaxPar_DB[],MATCH(B$2,SP_TaxPar_DB[#Headers],0),FALSE)</f>
        <v>PH2</v>
      </c>
      <c r="C206" s="67" t="str">
        <f>IF(VLOOKUP($A206,SP_TaxPar_DB[],MATCH(C$2,SP_TaxPar_DB[#Headers],0),FALSE)="",0,VLOOKUP($A206,SP_TaxPar_DB[],MATCH(C$2,SP_TaxPar_DB[#Headers],0),FALSE))</f>
        <v>T278</v>
      </c>
      <c r="D206" s="67">
        <f>IF(VLOOKUP($A206,SP_TaxPar_DB[],MATCH(D$2,SP_TaxPar_DB[#Headers],0),FALSE)="",0,VLOOKUP($A206,SP_TaxPar_DB[],MATCH(D$2,SP_TaxPar_DB[#Headers],0),FALSE))</f>
        <v>0</v>
      </c>
      <c r="E206" s="69" t="str">
        <f>VLOOKUP($A206,SP_TaxPar_DB[],MATCH(E$2,SP_TaxPar_DB[#Headers],0),FALSE)</f>
        <v>SORRELLA SWITCH LLC</v>
      </c>
      <c r="F206" s="69" t="str">
        <f>VLOOKUP($A206,SP_TaxPar_DB[],MATCH(F$2,SP_TaxPar_DB[#Headers],0),FALSE)</f>
        <v>3601 LAUREN DR</v>
      </c>
      <c r="G206" s="69" t="str">
        <f>VLOOKUP($A206,SP_TaxPar_DB[],MATCH(G$2,SP_TaxPar_DB[#Headers],0),FALSE)</f>
        <v>McKinney</v>
      </c>
      <c r="H206" s="69" t="str">
        <f>VLOOKUP($A206,SP_TaxPar_DB[],MATCH(H$2,SP_TaxPar_DB[#Headers],0),FALSE)</f>
        <v>TX</v>
      </c>
      <c r="I206" s="69" t="str">
        <f>VLOOKUP($A206,SP_TaxPar_DB[],MATCH(I$2,SP_TaxPar_DB[#Headers],0),FALSE)</f>
        <v>75070</v>
      </c>
      <c r="J206" s="69" t="str">
        <f>VLOOKUP($A206,SP_TaxPar_DB[],MATCH(J$2,SP_TaxPar_DB[#Headers],0),FALSE)</f>
        <v>CR 241</v>
      </c>
      <c r="K206" s="69" t="str">
        <f>VLOOKUP($A206,SP_TaxPar_DB[],MATCH(K$2,SP_TaxPar_DB[#Headers],0),FALSE)</f>
        <v>A20003 ABST.3 TRACT 48 Acres:51.1700</v>
      </c>
      <c r="L206" s="69">
        <f>VLOOKUP($A206,SP_TaxPar_DB[],MATCH(L$2,SP_TaxPar_DB[#Headers],0),FALSE)</f>
        <v>0</v>
      </c>
      <c r="M206" s="69">
        <f>VLOOKUP($A206,SP_TaxPar_DB[],MATCH(M$2,SP_TaxPar_DB[#Headers],0),FALSE)</f>
        <v>0</v>
      </c>
      <c r="N206" s="69">
        <f>VLOOKUP($A206,SP_TaxPar_DB[],MATCH(N$2,SP_TaxPar_DB[#Headers],0),FALSE)</f>
        <v>0</v>
      </c>
      <c r="O206" s="71" t="str">
        <f>VLOOKUP($A206,SP_TaxPar_DB[],MATCH(O$2,SP_TaxPar_DB[#Headers],0),FALSE)</f>
        <v>08/20/2019 ROE Packet mailed;</v>
      </c>
      <c r="P206" s="72"/>
      <c r="Q206" s="69"/>
      <c r="R206" s="73"/>
      <c r="S206" s="73"/>
      <c r="T206" s="69"/>
      <c r="U206" s="69"/>
      <c r="V206" s="69"/>
      <c r="W206" s="69"/>
      <c r="X206" s="69"/>
      <c r="Y206" s="69"/>
      <c r="Z206" s="69"/>
      <c r="AA206" s="69"/>
      <c r="AB206" s="74"/>
      <c r="AC206" s="73"/>
      <c r="AD206" s="73"/>
      <c r="AE206" s="74"/>
      <c r="AF206" s="68"/>
      <c r="AG206" s="68"/>
      <c r="AH206" s="74"/>
      <c r="AI206" s="68"/>
      <c r="AJ206" s="68"/>
      <c r="AK206" s="68"/>
      <c r="AL206" s="80"/>
      <c r="AM206" s="81"/>
      <c r="AN206" s="74"/>
      <c r="AO206" s="74"/>
      <c r="AP206" s="74"/>
      <c r="AQ206" s="74"/>
      <c r="AR206" s="74"/>
      <c r="AS206" s="74"/>
      <c r="AT206" s="74"/>
      <c r="AU206" s="74"/>
      <c r="AV206" s="74"/>
      <c r="AW206" s="84"/>
    </row>
    <row r="207" spans="1:49" ht="15.75" hidden="1" x14ac:dyDescent="0.2">
      <c r="A207" s="129" t="s">
        <v>436</v>
      </c>
      <c r="B207" s="68" t="str">
        <f>VLOOKUP($A207,SP_TaxPar_DB[],MATCH(B$2,SP_TaxPar_DB[#Headers],0),FALSE)</f>
        <v>PH2</v>
      </c>
      <c r="C207" s="67" t="str">
        <f>IF(VLOOKUP($A207,SP_TaxPar_DB[],MATCH(C$2,SP_TaxPar_DB[#Headers],0),FALSE)="",0,VLOOKUP($A207,SP_TaxPar_DB[],MATCH(C$2,SP_TaxPar_DB[#Headers],0),FALSE))</f>
        <v>T198</v>
      </c>
      <c r="D207" s="67">
        <f>IF(VLOOKUP($A207,SP_TaxPar_DB[],MATCH(D$2,SP_TaxPar_DB[#Headers],0),FALSE)="",0,VLOOKUP($A207,SP_TaxPar_DB[],MATCH(D$2,SP_TaxPar_DB[#Headers],0),FALSE))</f>
        <v>0</v>
      </c>
      <c r="E207" s="69" t="str">
        <f>VLOOKUP($A207,SP_TaxPar_DB[],MATCH(E$2,SP_TaxPar_DB[#Headers],0),FALSE)</f>
        <v>CLINTON D. KOEHLER</v>
      </c>
      <c r="F207" s="69" t="str">
        <f>VLOOKUP($A207,SP_TaxPar_DB[],MATCH(F$2,SP_TaxPar_DB[#Headers],0),FALSE)</f>
        <v>664 CR 241</v>
      </c>
      <c r="G207" s="69" t="str">
        <f>VLOOKUP($A207,SP_TaxPar_DB[],MATCH(G$2,SP_TaxPar_DB[#Headers],0),FALSE)</f>
        <v>Wharton</v>
      </c>
      <c r="H207" s="69" t="str">
        <f>VLOOKUP($A207,SP_TaxPar_DB[],MATCH(H$2,SP_TaxPar_DB[#Headers],0),FALSE)</f>
        <v>TX</v>
      </c>
      <c r="I207" s="69" t="str">
        <f>VLOOKUP($A207,SP_TaxPar_DB[],MATCH(I$2,SP_TaxPar_DB[#Headers],0),FALSE)</f>
        <v>77488</v>
      </c>
      <c r="J207" s="69" t="str">
        <f>VLOOKUP($A207,SP_TaxPar_DB[],MATCH(J$2,SP_TaxPar_DB[#Headers],0),FALSE)</f>
        <v>664 CR 241</v>
      </c>
      <c r="K207" s="69" t="str">
        <f>VLOOKUP($A207,SP_TaxPar_DB[],MATCH(K$2,SP_TaxPar_DB[#Headers],0),FALSE)</f>
        <v>A20003 ABST.3 TRACT 49 Acres:29.1720</v>
      </c>
      <c r="L207" s="69">
        <f>VLOOKUP($A207,SP_TaxPar_DB[],MATCH(L$2,SP_TaxPar_DB[#Headers],0),FALSE)</f>
        <v>0</v>
      </c>
      <c r="M207" s="69">
        <f>VLOOKUP($A207,SP_TaxPar_DB[],MATCH(M$2,SP_TaxPar_DB[#Headers],0),FALSE)</f>
        <v>0</v>
      </c>
      <c r="N207" s="69">
        <f>VLOOKUP($A207,SP_TaxPar_DB[],MATCH(N$2,SP_TaxPar_DB[#Headers],0),FALSE)</f>
        <v>0</v>
      </c>
      <c r="O207" s="71" t="str">
        <f>VLOOKUP($A207,SP_TaxPar_DB[],MATCH(O$2,SP_TaxPar_DB[#Headers],0),FALSE)</f>
        <v>08/20/2019 ROE Packet mailed;</v>
      </c>
      <c r="P207" s="72"/>
      <c r="Q207" s="69"/>
      <c r="R207" s="73"/>
      <c r="S207" s="73"/>
      <c r="T207" s="69"/>
      <c r="U207" s="69"/>
      <c r="V207" s="69"/>
      <c r="W207" s="69"/>
      <c r="X207" s="69"/>
      <c r="Y207" s="69"/>
      <c r="Z207" s="69"/>
      <c r="AA207" s="69"/>
      <c r="AB207" s="74"/>
      <c r="AC207" s="73"/>
      <c r="AD207" s="73"/>
      <c r="AE207" s="74"/>
      <c r="AF207" s="68"/>
      <c r="AG207" s="68"/>
      <c r="AH207" s="74"/>
      <c r="AI207" s="68"/>
      <c r="AJ207" s="68"/>
      <c r="AK207" s="68"/>
      <c r="AL207" s="80"/>
      <c r="AM207" s="81"/>
      <c r="AN207" s="74"/>
      <c r="AO207" s="74"/>
      <c r="AP207" s="74"/>
      <c r="AQ207" s="74"/>
      <c r="AR207" s="74"/>
      <c r="AS207" s="74"/>
      <c r="AT207" s="74"/>
      <c r="AU207" s="74"/>
      <c r="AV207" s="74"/>
      <c r="AW207" s="84"/>
    </row>
    <row r="208" spans="1:49" ht="15.75" hidden="1" x14ac:dyDescent="0.2">
      <c r="A208" s="129" t="s">
        <v>440</v>
      </c>
      <c r="B208" s="68" t="str">
        <f>VLOOKUP($A208,SP_TaxPar_DB[],MATCH(B$2,SP_TaxPar_DB[#Headers],0),FALSE)</f>
        <v>ENV</v>
      </c>
      <c r="C208" s="67">
        <f>IF(VLOOKUP($A208,SP_TaxPar_DB[],MATCH(C$2,SP_TaxPar_DB[#Headers],0),FALSE)="",0,VLOOKUP($A208,SP_TaxPar_DB[],MATCH(C$2,SP_TaxPar_DB[#Headers],0),FALSE))</f>
        <v>0</v>
      </c>
      <c r="D208" s="67" t="str">
        <f>IF(VLOOKUP($A208,SP_TaxPar_DB[],MATCH(D$2,SP_TaxPar_DB[#Headers],0),FALSE)="",0,VLOOKUP($A208,SP_TaxPar_DB[],MATCH(D$2,SP_TaxPar_DB[#Headers],0),FALSE))</f>
        <v>199</v>
      </c>
      <c r="E208" s="69" t="str">
        <f>VLOOKUP($A208,SP_TaxPar_DB[],MATCH(E$2,SP_TaxPar_DB[#Headers],0),FALSE)</f>
        <v>CLINT &amp; MICHELLE KOEHLER</v>
      </c>
      <c r="F208" s="69" t="str">
        <f>VLOOKUP($A208,SP_TaxPar_DB[],MATCH(F$2,SP_TaxPar_DB[#Headers],0),FALSE)</f>
        <v>664 CR 241</v>
      </c>
      <c r="G208" s="69" t="str">
        <f>VLOOKUP($A208,SP_TaxPar_DB[],MATCH(G$2,SP_TaxPar_DB[#Headers],0),FALSE)</f>
        <v>Wharton</v>
      </c>
      <c r="H208" s="69" t="str">
        <f>VLOOKUP($A208,SP_TaxPar_DB[],MATCH(H$2,SP_TaxPar_DB[#Headers],0),FALSE)</f>
        <v>TX</v>
      </c>
      <c r="I208" s="69" t="str">
        <f>VLOOKUP($A208,SP_TaxPar_DB[],MATCH(I$2,SP_TaxPar_DB[#Headers],0),FALSE)</f>
        <v>77488</v>
      </c>
      <c r="J208" s="69" t="str">
        <f>VLOOKUP($A208,SP_TaxPar_DB[],MATCH(J$2,SP_TaxPar_DB[#Headers],0),FALSE)</f>
        <v>CR 241</v>
      </c>
      <c r="K208" s="69" t="str">
        <f>VLOOKUP($A208,SP_TaxPar_DB[],MATCH(K$2,SP_TaxPar_DB[#Headers],0),FALSE)</f>
        <v>A20003 ABST.3 TRACT 44 LOT 1 Acres:8.9500</v>
      </c>
      <c r="L208" s="69">
        <f>VLOOKUP($A208,SP_TaxPar_DB[],MATCH(L$2,SP_TaxPar_DB[#Headers],0),FALSE)</f>
        <v>0</v>
      </c>
      <c r="M208" s="69">
        <f>VLOOKUP($A208,SP_TaxPar_DB[],MATCH(M$2,SP_TaxPar_DB[#Headers],0),FALSE)</f>
        <v>0</v>
      </c>
      <c r="N208" s="69">
        <f>VLOOKUP($A208,SP_TaxPar_DB[],MATCH(N$2,SP_TaxPar_DB[#Headers],0),FALSE)</f>
        <v>0</v>
      </c>
      <c r="O208" s="71" t="str">
        <f>VLOOKUP($A208,SP_TaxPar_DB[],MATCH(O$2,SP_TaxPar_DB[#Headers],0),FALSE)</f>
        <v>08/20/2019 ROE Packet mailed; 8/15/19 Left voicemail message on both phone numbers of record, no returned call as of today.</v>
      </c>
      <c r="P208" s="72"/>
      <c r="Q208" s="69"/>
      <c r="R208" s="73"/>
      <c r="S208" s="73"/>
      <c r="T208" s="69"/>
      <c r="U208" s="69"/>
      <c r="V208" s="69"/>
      <c r="W208" s="69"/>
      <c r="X208" s="69"/>
      <c r="Y208" s="69"/>
      <c r="Z208" s="69"/>
      <c r="AA208" s="69"/>
      <c r="AB208" s="74"/>
      <c r="AC208" s="73"/>
      <c r="AD208" s="73"/>
      <c r="AE208" s="74"/>
      <c r="AF208" s="68"/>
      <c r="AG208" s="68"/>
      <c r="AH208" s="74"/>
      <c r="AI208" s="68"/>
      <c r="AJ208" s="68"/>
      <c r="AK208" s="68"/>
      <c r="AL208" s="80"/>
      <c r="AM208" s="81"/>
      <c r="AN208" s="74"/>
      <c r="AO208" s="74"/>
      <c r="AP208" s="74"/>
      <c r="AQ208" s="74"/>
      <c r="AR208" s="74"/>
      <c r="AS208" s="74"/>
      <c r="AT208" s="74"/>
      <c r="AU208" s="74"/>
      <c r="AV208" s="74"/>
      <c r="AW208" s="84"/>
    </row>
    <row r="209" spans="1:49" ht="15.75" hidden="1" x14ac:dyDescent="0.2">
      <c r="A209" s="129" t="s">
        <v>444</v>
      </c>
      <c r="B209" s="68" t="str">
        <f>VLOOKUP($A209,SP_TaxPar_DB[],MATCH(B$2,SP_TaxPar_DB[#Headers],0),FALSE)</f>
        <v>UNK</v>
      </c>
      <c r="C209" s="67">
        <f>IF(VLOOKUP($A209,SP_TaxPar_DB[],MATCH(C$2,SP_TaxPar_DB[#Headers],0),FALSE)="",0,VLOOKUP($A209,SP_TaxPar_DB[],MATCH(C$2,SP_TaxPar_DB[#Headers],0),FALSE))</f>
        <v>0</v>
      </c>
      <c r="D209" s="67">
        <f>IF(VLOOKUP($A209,SP_TaxPar_DB[],MATCH(D$2,SP_TaxPar_DB[#Headers],0),FALSE)="",0,VLOOKUP($A209,SP_TaxPar_DB[],MATCH(D$2,SP_TaxPar_DB[#Headers],0),FALSE))</f>
        <v>0</v>
      </c>
      <c r="E209" s="69" t="str">
        <f>VLOOKUP($A209,SP_TaxPar_DB[],MATCH(E$2,SP_TaxPar_DB[#Headers],0),FALSE)</f>
        <v>STEVE WARE</v>
      </c>
      <c r="F209" s="69" t="str">
        <f>VLOOKUP($A209,SP_TaxPar_DB[],MATCH(F$2,SP_TaxPar_DB[#Headers],0),FALSE)</f>
        <v>502 CR 241 RD</v>
      </c>
      <c r="G209" s="69" t="str">
        <f>VLOOKUP($A209,SP_TaxPar_DB[],MATCH(G$2,SP_TaxPar_DB[#Headers],0),FALSE)</f>
        <v>Wharton</v>
      </c>
      <c r="H209" s="69" t="str">
        <f>VLOOKUP($A209,SP_TaxPar_DB[],MATCH(H$2,SP_TaxPar_DB[#Headers],0),FALSE)</f>
        <v>TX</v>
      </c>
      <c r="I209" s="69" t="str">
        <f>VLOOKUP($A209,SP_TaxPar_DB[],MATCH(I$2,SP_TaxPar_DB[#Headers],0),FALSE)</f>
        <v>77488</v>
      </c>
      <c r="J209" s="69" t="str">
        <f>VLOOKUP($A209,SP_TaxPar_DB[],MATCH(J$2,SP_TaxPar_DB[#Headers],0),FALSE)</f>
        <v>502 CR 241</v>
      </c>
      <c r="K209" s="69" t="str">
        <f>VLOOKUP($A209,SP_TaxPar_DB[],MATCH(K$2,SP_TaxPar_DB[#Headers],0),FALSE)</f>
        <v>A20003 ABST.3 TRACT 44 LOT 2 Acres:1.4910</v>
      </c>
      <c r="L209" s="69">
        <f>VLOOKUP($A209,SP_TaxPar_DB[],MATCH(L$2,SP_TaxPar_DB[#Headers],0),FALSE)</f>
        <v>0</v>
      </c>
      <c r="M209" s="69">
        <f>VLOOKUP($A209,SP_TaxPar_DB[],MATCH(M$2,SP_TaxPar_DB[#Headers],0),FALSE)</f>
        <v>0</v>
      </c>
      <c r="N209" s="69">
        <f>VLOOKUP($A209,SP_TaxPar_DB[],MATCH(N$2,SP_TaxPar_DB[#Headers],0),FALSE)</f>
        <v>0</v>
      </c>
      <c r="O209" s="71" t="str">
        <f>VLOOKUP($A209,SP_TaxPar_DB[],MATCH(O$2,SP_TaxPar_DB[#Headers],0),FALSE)</f>
        <v>08/20/2019 ROE Packet mailed;</v>
      </c>
      <c r="P209" s="72"/>
      <c r="Q209" s="69"/>
      <c r="R209" s="73"/>
      <c r="S209" s="73"/>
      <c r="T209" s="69"/>
      <c r="U209" s="69"/>
      <c r="V209" s="69"/>
      <c r="W209" s="69"/>
      <c r="X209" s="69"/>
      <c r="Y209" s="69"/>
      <c r="Z209" s="69"/>
      <c r="AA209" s="69"/>
      <c r="AB209" s="74"/>
      <c r="AC209" s="73"/>
      <c r="AD209" s="73"/>
      <c r="AE209" s="74"/>
      <c r="AF209" s="68"/>
      <c r="AG209" s="68"/>
      <c r="AH209" s="74"/>
      <c r="AI209" s="68"/>
      <c r="AJ209" s="68"/>
      <c r="AK209" s="68"/>
      <c r="AL209" s="80"/>
      <c r="AM209" s="81"/>
      <c r="AN209" s="74"/>
      <c r="AO209" s="74"/>
      <c r="AP209" s="74"/>
      <c r="AQ209" s="74"/>
      <c r="AR209" s="74"/>
      <c r="AS209" s="74"/>
      <c r="AT209" s="74"/>
      <c r="AU209" s="74"/>
      <c r="AV209" s="74"/>
      <c r="AW209" s="84"/>
    </row>
    <row r="210" spans="1:49" ht="15.75" hidden="1" x14ac:dyDescent="0.2">
      <c r="A210" s="129" t="s">
        <v>449</v>
      </c>
      <c r="B210" s="68" t="str">
        <f>VLOOKUP($A210,SP_TaxPar_DB[],MATCH(B$2,SP_TaxPar_DB[#Headers],0),FALSE)</f>
        <v>UNK</v>
      </c>
      <c r="C210" s="67">
        <f>IF(VLOOKUP($A210,SP_TaxPar_DB[],MATCH(C$2,SP_TaxPar_DB[#Headers],0),FALSE)="",0,VLOOKUP($A210,SP_TaxPar_DB[],MATCH(C$2,SP_TaxPar_DB[#Headers],0),FALSE))</f>
        <v>0</v>
      </c>
      <c r="D210" s="67">
        <f>IF(VLOOKUP($A210,SP_TaxPar_DB[],MATCH(D$2,SP_TaxPar_DB[#Headers],0),FALSE)="",0,VLOOKUP($A210,SP_TaxPar_DB[],MATCH(D$2,SP_TaxPar_DB[#Headers],0),FALSE))</f>
        <v>0</v>
      </c>
      <c r="E210" s="69" t="str">
        <f>VLOOKUP($A210,SP_TaxPar_DB[],MATCH(E$2,SP_TaxPar_DB[#Headers],0),FALSE)</f>
        <v>ADA LUONG</v>
      </c>
      <c r="F210" s="69" t="str">
        <f>VLOOKUP($A210,SP_TaxPar_DB[],MATCH(F$2,SP_TaxPar_DB[#Headers],0),FALSE)</f>
        <v>5706 28TH ST</v>
      </c>
      <c r="G210" s="69" t="str">
        <f>VLOOKUP($A210,SP_TaxPar_DB[],MATCH(G$2,SP_TaxPar_DB[#Headers],0),FALSE)</f>
        <v>Sacramento</v>
      </c>
      <c r="H210" s="69" t="str">
        <f>VLOOKUP($A210,SP_TaxPar_DB[],MATCH(H$2,SP_TaxPar_DB[#Headers],0),FALSE)</f>
        <v>CA</v>
      </c>
      <c r="I210" s="69" t="str">
        <f>VLOOKUP($A210,SP_TaxPar_DB[],MATCH(I$2,SP_TaxPar_DB[#Headers],0),FALSE)</f>
        <v>95824</v>
      </c>
      <c r="J210" s="69" t="str">
        <f>VLOOKUP($A210,SP_TaxPar_DB[],MATCH(J$2,SP_TaxPar_DB[#Headers],0),FALSE)</f>
        <v>CR 241</v>
      </c>
      <c r="K210" s="69" t="str">
        <f>VLOOKUP($A210,SP_TaxPar_DB[],MATCH(K$2,SP_TaxPar_DB[#Headers],0),FALSE)</f>
        <v>A20003 ABST.3 TRACT 44, LOT 2A Acres:4.4750</v>
      </c>
      <c r="L210" s="69">
        <f>VLOOKUP($A210,SP_TaxPar_DB[],MATCH(L$2,SP_TaxPar_DB[#Headers],0),FALSE)</f>
        <v>0</v>
      </c>
      <c r="M210" s="69">
        <f>VLOOKUP($A210,SP_TaxPar_DB[],MATCH(M$2,SP_TaxPar_DB[#Headers],0),FALSE)</f>
        <v>0</v>
      </c>
      <c r="N210" s="69">
        <f>VLOOKUP($A210,SP_TaxPar_DB[],MATCH(N$2,SP_TaxPar_DB[#Headers],0),FALSE)</f>
        <v>0</v>
      </c>
      <c r="O210" s="71" t="str">
        <f>VLOOKUP($A210,SP_TaxPar_DB[],MATCH(O$2,SP_TaxPar_DB[#Headers],0),FALSE)</f>
        <v>08/20/2019 ROE Packet mailed;</v>
      </c>
      <c r="P210" s="72"/>
      <c r="Q210" s="69"/>
      <c r="R210" s="73"/>
      <c r="S210" s="73"/>
      <c r="T210" s="69"/>
      <c r="U210" s="69"/>
      <c r="V210" s="69"/>
      <c r="W210" s="69"/>
      <c r="X210" s="69"/>
      <c r="Y210" s="69"/>
      <c r="Z210" s="69"/>
      <c r="AA210" s="69"/>
      <c r="AB210" s="74"/>
      <c r="AC210" s="73"/>
      <c r="AD210" s="73"/>
      <c r="AE210" s="74"/>
      <c r="AF210" s="68"/>
      <c r="AG210" s="68"/>
      <c r="AH210" s="74"/>
      <c r="AI210" s="68"/>
      <c r="AJ210" s="68"/>
      <c r="AK210" s="68"/>
      <c r="AL210" s="80"/>
      <c r="AM210" s="81"/>
      <c r="AN210" s="74"/>
      <c r="AO210" s="74"/>
      <c r="AP210" s="74"/>
      <c r="AQ210" s="74"/>
      <c r="AR210" s="74"/>
      <c r="AS210" s="74"/>
      <c r="AT210" s="74"/>
      <c r="AU210" s="74"/>
      <c r="AV210" s="74"/>
      <c r="AW210" s="84"/>
    </row>
    <row r="211" spans="1:49" ht="15.75" hidden="1" x14ac:dyDescent="0.2">
      <c r="A211" s="129" t="s">
        <v>455</v>
      </c>
      <c r="B211" s="68" t="str">
        <f>VLOOKUP($A211,SP_TaxPar_DB[],MATCH(B$2,SP_TaxPar_DB[#Headers],0),FALSE)</f>
        <v>ENV</v>
      </c>
      <c r="C211" s="67">
        <f>IF(VLOOKUP($A211,SP_TaxPar_DB[],MATCH(C$2,SP_TaxPar_DB[#Headers],0),FALSE)="",0,VLOOKUP($A211,SP_TaxPar_DB[],MATCH(C$2,SP_TaxPar_DB[#Headers],0),FALSE))</f>
        <v>0</v>
      </c>
      <c r="D211" s="67">
        <f>IF(VLOOKUP($A211,SP_TaxPar_DB[],MATCH(D$2,SP_TaxPar_DB[#Headers],0),FALSE)="",0,VLOOKUP($A211,SP_TaxPar_DB[],MATCH(D$2,SP_TaxPar_DB[#Headers],0),FALSE))</f>
        <v>0</v>
      </c>
      <c r="E211" s="69" t="str">
        <f>VLOOKUP($A211,SP_TaxPar_DB[],MATCH(E$2,SP_TaxPar_DB[#Headers],0),FALSE)</f>
        <v>JERLINE ALLEN</v>
      </c>
      <c r="F211" s="69" t="str">
        <f>VLOOKUP($A211,SP_TaxPar_DB[],MATCH(F$2,SP_TaxPar_DB[#Headers],0),FALSE)</f>
        <v>14603 FONMEADOW ST.,  APT 2006</v>
      </c>
      <c r="G211" s="69" t="str">
        <f>VLOOKUP($A211,SP_TaxPar_DB[],MATCH(G$2,SP_TaxPar_DB[#Headers],0),FALSE)</f>
        <v>Houston</v>
      </c>
      <c r="H211" s="69" t="str">
        <f>VLOOKUP($A211,SP_TaxPar_DB[],MATCH(H$2,SP_TaxPar_DB[#Headers],0),FALSE)</f>
        <v>TX</v>
      </c>
      <c r="I211" s="69" t="str">
        <f>VLOOKUP($A211,SP_TaxPar_DB[],MATCH(I$2,SP_TaxPar_DB[#Headers],0),FALSE)</f>
        <v>77035</v>
      </c>
      <c r="J211" s="69" t="str">
        <f>VLOOKUP($A211,SP_TaxPar_DB[],MATCH(J$2,SP_TaxPar_DB[#Headers],0),FALSE)</f>
        <v>CR 241</v>
      </c>
      <c r="K211" s="69" t="str">
        <f>VLOOKUP($A211,SP_TaxPar_DB[],MATCH(K$2,SP_TaxPar_DB[#Headers],0),FALSE)</f>
        <v>A20003 ABST.3 TRACT 44 LOT 2B Acres:1.4910</v>
      </c>
      <c r="L211" s="69">
        <f>VLOOKUP($A211,SP_TaxPar_DB[],MATCH(L$2,SP_TaxPar_DB[#Headers],0),FALSE)</f>
        <v>0</v>
      </c>
      <c r="M211" s="69">
        <f>VLOOKUP($A211,SP_TaxPar_DB[],MATCH(M$2,SP_TaxPar_DB[#Headers],0),FALSE)</f>
        <v>0</v>
      </c>
      <c r="N211" s="69">
        <f>VLOOKUP($A211,SP_TaxPar_DB[],MATCH(N$2,SP_TaxPar_DB[#Headers],0),FALSE)</f>
        <v>0</v>
      </c>
      <c r="O211" s="71" t="str">
        <f>VLOOKUP($A211,SP_TaxPar_DB[],MATCH(O$2,SP_TaxPar_DB[#Headers],0),FALSE)</f>
        <v>08/20/2019 ROE Packet mailed;</v>
      </c>
      <c r="P211" s="72"/>
      <c r="Q211" s="69"/>
      <c r="R211" s="73"/>
      <c r="S211" s="73"/>
      <c r="T211" s="69"/>
      <c r="U211" s="69"/>
      <c r="V211" s="69"/>
      <c r="W211" s="69"/>
      <c r="X211" s="69"/>
      <c r="Y211" s="69"/>
      <c r="Z211" s="69"/>
      <c r="AA211" s="69"/>
      <c r="AB211" s="74"/>
      <c r="AC211" s="73"/>
      <c r="AD211" s="73"/>
      <c r="AE211" s="74"/>
      <c r="AF211" s="68"/>
      <c r="AG211" s="68"/>
      <c r="AH211" s="74"/>
      <c r="AI211" s="68"/>
      <c r="AJ211" s="68"/>
      <c r="AK211" s="68"/>
      <c r="AL211" s="80"/>
      <c r="AM211" s="81"/>
      <c r="AN211" s="74"/>
      <c r="AO211" s="74"/>
      <c r="AP211" s="74"/>
      <c r="AQ211" s="74"/>
      <c r="AR211" s="74"/>
      <c r="AS211" s="74"/>
      <c r="AT211" s="74"/>
      <c r="AU211" s="74"/>
      <c r="AV211" s="74"/>
      <c r="AW211" s="84"/>
    </row>
    <row r="212" spans="1:49" ht="15.75" hidden="1" x14ac:dyDescent="0.2">
      <c r="A212" s="129" t="s">
        <v>460</v>
      </c>
      <c r="B212" s="68" t="str">
        <f>VLOOKUP($A212,SP_TaxPar_DB[],MATCH(B$2,SP_TaxPar_DB[#Headers],0),FALSE)</f>
        <v>UNK</v>
      </c>
      <c r="C212" s="67">
        <f>IF(VLOOKUP($A212,SP_TaxPar_DB[],MATCH(C$2,SP_TaxPar_DB[#Headers],0),FALSE)="",0,VLOOKUP($A212,SP_TaxPar_DB[],MATCH(C$2,SP_TaxPar_DB[#Headers],0),FALSE))</f>
        <v>0</v>
      </c>
      <c r="D212" s="67">
        <f>IF(VLOOKUP($A212,SP_TaxPar_DB[],MATCH(D$2,SP_TaxPar_DB[#Headers],0),FALSE)="",0,VLOOKUP($A212,SP_TaxPar_DB[],MATCH(D$2,SP_TaxPar_DB[#Headers],0),FALSE))</f>
        <v>0</v>
      </c>
      <c r="E212" s="69" t="str">
        <f>VLOOKUP($A212,SP_TaxPar_DB[],MATCH(E$2,SP_TaxPar_DB[#Headers],0),FALSE)</f>
        <v>SORRELLA SWITCH LLC</v>
      </c>
      <c r="F212" s="69" t="str">
        <f>VLOOKUP($A212,SP_TaxPar_DB[],MATCH(F$2,SP_TaxPar_DB[#Headers],0),FALSE)</f>
        <v>3601 LAUREN DR</v>
      </c>
      <c r="G212" s="69" t="str">
        <f>VLOOKUP($A212,SP_TaxPar_DB[],MATCH(G$2,SP_TaxPar_DB[#Headers],0),FALSE)</f>
        <v>McKinney</v>
      </c>
      <c r="H212" s="69" t="str">
        <f>VLOOKUP($A212,SP_TaxPar_DB[],MATCH(H$2,SP_TaxPar_DB[#Headers],0),FALSE)</f>
        <v>TX</v>
      </c>
      <c r="I212" s="69" t="str">
        <f>VLOOKUP($A212,SP_TaxPar_DB[],MATCH(I$2,SP_TaxPar_DB[#Headers],0),FALSE)</f>
        <v>75070</v>
      </c>
      <c r="J212" s="69" t="str">
        <f>VLOOKUP($A212,SP_TaxPar_DB[],MATCH(J$2,SP_TaxPar_DB[#Headers],0),FALSE)</f>
        <v>CR 241</v>
      </c>
      <c r="K212" s="69" t="str">
        <f>VLOOKUP($A212,SP_TaxPar_DB[],MATCH(K$2,SP_TaxPar_DB[#Headers],0),FALSE)</f>
        <v xml:space="preserve">A20003 ABST.3 TRACT 44 LOT 3 Acres:8.9500 </v>
      </c>
      <c r="L212" s="69">
        <f>VLOOKUP($A212,SP_TaxPar_DB[],MATCH(L$2,SP_TaxPar_DB[#Headers],0),FALSE)</f>
        <v>0</v>
      </c>
      <c r="M212" s="69">
        <f>VLOOKUP($A212,SP_TaxPar_DB[],MATCH(M$2,SP_TaxPar_DB[#Headers],0),FALSE)</f>
        <v>0</v>
      </c>
      <c r="N212" s="69">
        <f>VLOOKUP($A212,SP_TaxPar_DB[],MATCH(N$2,SP_TaxPar_DB[#Headers],0),FALSE)</f>
        <v>0</v>
      </c>
      <c r="O212" s="71" t="str">
        <f>VLOOKUP($A212,SP_TaxPar_DB[],MATCH(O$2,SP_TaxPar_DB[#Headers],0),FALSE)</f>
        <v>08/20/2019 ROE Packet mailed;</v>
      </c>
      <c r="P212" s="72"/>
      <c r="Q212" s="69"/>
      <c r="R212" s="73"/>
      <c r="S212" s="73"/>
      <c r="T212" s="69"/>
      <c r="U212" s="69"/>
      <c r="V212" s="69"/>
      <c r="W212" s="69"/>
      <c r="X212" s="69"/>
      <c r="Y212" s="69"/>
      <c r="Z212" s="69"/>
      <c r="AA212" s="69"/>
      <c r="AB212" s="74"/>
      <c r="AC212" s="73"/>
      <c r="AD212" s="73"/>
      <c r="AE212" s="74"/>
      <c r="AF212" s="68"/>
      <c r="AG212" s="68"/>
      <c r="AH212" s="74"/>
      <c r="AI212" s="68"/>
      <c r="AJ212" s="68"/>
      <c r="AK212" s="68"/>
      <c r="AL212" s="80"/>
      <c r="AM212" s="81"/>
      <c r="AN212" s="74"/>
      <c r="AO212" s="74"/>
      <c r="AP212" s="74"/>
      <c r="AQ212" s="74"/>
      <c r="AR212" s="74"/>
      <c r="AS212" s="74"/>
      <c r="AT212" s="74"/>
      <c r="AU212" s="74"/>
      <c r="AV212" s="74"/>
      <c r="AW212" s="84"/>
    </row>
    <row r="213" spans="1:49" ht="15.75" hidden="1" x14ac:dyDescent="0.2">
      <c r="A213" s="129" t="s">
        <v>462</v>
      </c>
      <c r="B213" s="68" t="str">
        <f>VLOOKUP($A213,SP_TaxPar_DB[],MATCH(B$2,SP_TaxPar_DB[#Headers],0),FALSE)</f>
        <v>UNK</v>
      </c>
      <c r="C213" s="67">
        <f>IF(VLOOKUP($A213,SP_TaxPar_DB[],MATCH(C$2,SP_TaxPar_DB[#Headers],0),FALSE)="",0,VLOOKUP($A213,SP_TaxPar_DB[],MATCH(C$2,SP_TaxPar_DB[#Headers],0),FALSE))</f>
        <v>0</v>
      </c>
      <c r="D213" s="67">
        <f>IF(VLOOKUP($A213,SP_TaxPar_DB[],MATCH(D$2,SP_TaxPar_DB[#Headers],0),FALSE)="",0,VLOOKUP($A213,SP_TaxPar_DB[],MATCH(D$2,SP_TaxPar_DB[#Headers],0),FALSE))</f>
        <v>0</v>
      </c>
      <c r="E213" s="69" t="str">
        <f>VLOOKUP($A213,SP_TaxPar_DB[],MATCH(E$2,SP_TaxPar_DB[#Headers],0),FALSE)</f>
        <v>ERNEST &amp; ERMA NELSON</v>
      </c>
      <c r="F213" s="69" t="str">
        <f>VLOOKUP($A213,SP_TaxPar_DB[],MATCH(F$2,SP_TaxPar_DB[#Headers],0),FALSE)</f>
        <v>310 CR 241</v>
      </c>
      <c r="G213" s="69" t="str">
        <f>VLOOKUP($A213,SP_TaxPar_DB[],MATCH(G$2,SP_TaxPar_DB[#Headers],0),FALSE)</f>
        <v>Wharton</v>
      </c>
      <c r="H213" s="69" t="str">
        <f>VLOOKUP($A213,SP_TaxPar_DB[],MATCH(H$2,SP_TaxPar_DB[#Headers],0),FALSE)</f>
        <v>TX</v>
      </c>
      <c r="I213" s="69" t="str">
        <f>VLOOKUP($A213,SP_TaxPar_DB[],MATCH(I$2,SP_TaxPar_DB[#Headers],0),FALSE)</f>
        <v>77488</v>
      </c>
      <c r="J213" s="69" t="str">
        <f>VLOOKUP($A213,SP_TaxPar_DB[],MATCH(J$2,SP_TaxPar_DB[#Headers],0),FALSE)</f>
        <v>310 CR 241</v>
      </c>
      <c r="K213" s="69" t="str">
        <f>VLOOKUP($A213,SP_TaxPar_DB[],MATCH(K$2,SP_TaxPar_DB[#Headers],0),FALSE)</f>
        <v>A20003 ABST.3 TRACT 44 LOT 4B Acres:3.6600</v>
      </c>
      <c r="L213" s="69">
        <f>VLOOKUP($A213,SP_TaxPar_DB[],MATCH(L$2,SP_TaxPar_DB[#Headers],0),FALSE)</f>
        <v>0</v>
      </c>
      <c r="M213" s="69">
        <f>VLOOKUP($A213,SP_TaxPar_DB[],MATCH(M$2,SP_TaxPar_DB[#Headers],0),FALSE)</f>
        <v>0</v>
      </c>
      <c r="N213" s="69">
        <f>VLOOKUP($A213,SP_TaxPar_DB[],MATCH(N$2,SP_TaxPar_DB[#Headers],0),FALSE)</f>
        <v>0</v>
      </c>
      <c r="O213" s="71" t="str">
        <f>VLOOKUP($A213,SP_TaxPar_DB[],MATCH(O$2,SP_TaxPar_DB[#Headers],0),FALSE)</f>
        <v>08/20/2019 ROE Packet mailed; 8/14/2019 Ms. Rachel Nelson daughter of the Nelson’s stated her parents will reach out by Monday next week.</v>
      </c>
      <c r="P213" s="72"/>
      <c r="Q213" s="69"/>
      <c r="R213" s="73"/>
      <c r="S213" s="73"/>
      <c r="T213" s="69"/>
      <c r="U213" s="69"/>
      <c r="V213" s="69"/>
      <c r="W213" s="69"/>
      <c r="X213" s="69"/>
      <c r="Y213" s="69"/>
      <c r="Z213" s="69"/>
      <c r="AA213" s="69"/>
      <c r="AB213" s="74"/>
      <c r="AC213" s="73"/>
      <c r="AD213" s="73"/>
      <c r="AE213" s="74"/>
      <c r="AF213" s="68"/>
      <c r="AG213" s="68"/>
      <c r="AH213" s="74"/>
      <c r="AI213" s="68"/>
      <c r="AJ213" s="68"/>
      <c r="AK213" s="68"/>
      <c r="AL213" s="80"/>
      <c r="AM213" s="81"/>
      <c r="AN213" s="74"/>
      <c r="AO213" s="74"/>
      <c r="AP213" s="74"/>
      <c r="AQ213" s="74"/>
      <c r="AR213" s="74"/>
      <c r="AS213" s="74"/>
      <c r="AT213" s="74"/>
      <c r="AU213" s="74"/>
      <c r="AV213" s="74"/>
      <c r="AW213" s="84"/>
    </row>
    <row r="214" spans="1:49" ht="15.75" hidden="1" x14ac:dyDescent="0.2">
      <c r="A214" s="129" t="s">
        <v>467</v>
      </c>
      <c r="B214" s="68" t="str">
        <f>VLOOKUP($A214,SP_TaxPar_DB[],MATCH(B$2,SP_TaxPar_DB[#Headers],0),FALSE)</f>
        <v>UNK</v>
      </c>
      <c r="C214" s="67">
        <f>IF(VLOOKUP($A214,SP_TaxPar_DB[],MATCH(C$2,SP_TaxPar_DB[#Headers],0),FALSE)="",0,VLOOKUP($A214,SP_TaxPar_DB[],MATCH(C$2,SP_TaxPar_DB[#Headers],0),FALSE))</f>
        <v>0</v>
      </c>
      <c r="D214" s="67">
        <f>IF(VLOOKUP($A214,SP_TaxPar_DB[],MATCH(D$2,SP_TaxPar_DB[#Headers],0),FALSE)="",0,VLOOKUP($A214,SP_TaxPar_DB[],MATCH(D$2,SP_TaxPar_DB[#Headers],0),FALSE))</f>
        <v>0</v>
      </c>
      <c r="E214" s="69" t="str">
        <f>VLOOKUP($A214,SP_TaxPar_DB[],MATCH(E$2,SP_TaxPar_DB[#Headers],0),FALSE)</f>
        <v>TRISTAN GORDON</v>
      </c>
      <c r="F214" s="69" t="str">
        <f>VLOOKUP($A214,SP_TaxPar_DB[],MATCH(F$2,SP_TaxPar_DB[#Headers],0),FALSE)</f>
        <v>276 CR 241 RD</v>
      </c>
      <c r="G214" s="69" t="str">
        <f>VLOOKUP($A214,SP_TaxPar_DB[],MATCH(G$2,SP_TaxPar_DB[#Headers],0),FALSE)</f>
        <v>Wharton</v>
      </c>
      <c r="H214" s="69" t="str">
        <f>VLOOKUP($A214,SP_TaxPar_DB[],MATCH(H$2,SP_TaxPar_DB[#Headers],0),FALSE)</f>
        <v>TX</v>
      </c>
      <c r="I214" s="69" t="str">
        <f>VLOOKUP($A214,SP_TaxPar_DB[],MATCH(I$2,SP_TaxPar_DB[#Headers],0),FALSE)</f>
        <v>77488</v>
      </c>
      <c r="J214" s="69" t="str">
        <f>VLOOKUP($A214,SP_TaxPar_DB[],MATCH(J$2,SP_TaxPar_DB[#Headers],0),FALSE)</f>
        <v>276 CR 241</v>
      </c>
      <c r="K214" s="69" t="str">
        <f>VLOOKUP($A214,SP_TaxPar_DB[],MATCH(K$2,SP_TaxPar_DB[#Headers],0),FALSE)</f>
        <v>A20003 ABST.3 TRACT 44 LOT SOUTH 1/2 OF 5 Acres:4.4750</v>
      </c>
      <c r="L214" s="69">
        <f>VLOOKUP($A214,SP_TaxPar_DB[],MATCH(L$2,SP_TaxPar_DB[#Headers],0),FALSE)</f>
        <v>0</v>
      </c>
      <c r="M214" s="69">
        <f>VLOOKUP($A214,SP_TaxPar_DB[],MATCH(M$2,SP_TaxPar_DB[#Headers],0),FALSE)</f>
        <v>0</v>
      </c>
      <c r="N214" s="69">
        <f>VLOOKUP($A214,SP_TaxPar_DB[],MATCH(N$2,SP_TaxPar_DB[#Headers],0),FALSE)</f>
        <v>0</v>
      </c>
      <c r="O214" s="71" t="str">
        <f>VLOOKUP($A214,SP_TaxPar_DB[],MATCH(O$2,SP_TaxPar_DB[#Headers],0),FALSE)</f>
        <v>08/20/2019 ROE Packet mailed; 8/14/2019 Emailed ROE to Mr. Gordon at gordontristan@yahoo.com  and sent via cert mail, skeptical about signing any documentation, first he hears of the flood risk project.</v>
      </c>
      <c r="P214" s="72"/>
      <c r="Q214" s="69"/>
      <c r="R214" s="73"/>
      <c r="S214" s="73"/>
      <c r="T214" s="69"/>
      <c r="U214" s="69"/>
      <c r="V214" s="69"/>
      <c r="W214" s="69"/>
      <c r="X214" s="69"/>
      <c r="Y214" s="69"/>
      <c r="Z214" s="69"/>
      <c r="AA214" s="69"/>
      <c r="AB214" s="74"/>
      <c r="AC214" s="73"/>
      <c r="AD214" s="73"/>
      <c r="AE214" s="74"/>
      <c r="AF214" s="68"/>
      <c r="AG214" s="68"/>
      <c r="AH214" s="74"/>
      <c r="AI214" s="68"/>
      <c r="AJ214" s="68"/>
      <c r="AK214" s="68"/>
      <c r="AL214" s="80"/>
      <c r="AM214" s="81"/>
      <c r="AN214" s="74"/>
      <c r="AO214" s="74"/>
      <c r="AP214" s="74"/>
      <c r="AQ214" s="74"/>
      <c r="AR214" s="74"/>
      <c r="AS214" s="74"/>
      <c r="AT214" s="74"/>
      <c r="AU214" s="74"/>
      <c r="AV214" s="74"/>
      <c r="AW214" s="84"/>
    </row>
    <row r="215" spans="1:49" ht="15.75" hidden="1" x14ac:dyDescent="0.2">
      <c r="A215" s="129" t="s">
        <v>473</v>
      </c>
      <c r="B215" s="68" t="str">
        <f>VLOOKUP($A215,SP_TaxPar_DB[],MATCH(B$2,SP_TaxPar_DB[#Headers],0),FALSE)</f>
        <v>PH2</v>
      </c>
      <c r="C215" s="67" t="str">
        <f>IF(VLOOKUP($A215,SP_TaxPar_DB[],MATCH(C$2,SP_TaxPar_DB[#Headers],0),FALSE)="",0,VLOOKUP($A215,SP_TaxPar_DB[],MATCH(C$2,SP_TaxPar_DB[#Headers],0),FALSE))</f>
        <v>T200</v>
      </c>
      <c r="D215" s="67">
        <f>IF(VLOOKUP($A215,SP_TaxPar_DB[],MATCH(D$2,SP_TaxPar_DB[#Headers],0),FALSE)="",0,VLOOKUP($A215,SP_TaxPar_DB[],MATCH(D$2,SP_TaxPar_DB[#Headers],0),FALSE))</f>
        <v>0</v>
      </c>
      <c r="E215" s="69" t="str">
        <f>VLOOKUP($A215,SP_TaxPar_DB[],MATCH(E$2,SP_TaxPar_DB[#Headers],0),FALSE)</f>
        <v>ROBERT L NILSON</v>
      </c>
      <c r="F215" s="69" t="str">
        <f>VLOOKUP($A215,SP_TaxPar_DB[],MATCH(F$2,SP_TaxPar_DB[#Headers],0),FALSE)</f>
        <v>PO BOX 266</v>
      </c>
      <c r="G215" s="69" t="str">
        <f>VLOOKUP($A215,SP_TaxPar_DB[],MATCH(G$2,SP_TaxPar_DB[#Headers],0),FALSE)</f>
        <v>El Campo</v>
      </c>
      <c r="H215" s="69" t="str">
        <f>VLOOKUP($A215,SP_TaxPar_DB[],MATCH(H$2,SP_TaxPar_DB[#Headers],0),FALSE)</f>
        <v>TX</v>
      </c>
      <c r="I215" s="69" t="str">
        <f>VLOOKUP($A215,SP_TaxPar_DB[],MATCH(I$2,SP_TaxPar_DB[#Headers],0),FALSE)</f>
        <v>77437</v>
      </c>
      <c r="J215" s="69" t="str">
        <f>VLOOKUP($A215,SP_TaxPar_DB[],MATCH(J$2,SP_TaxPar_DB[#Headers],0),FALSE)</f>
        <v>4731 FM 102</v>
      </c>
      <c r="K215" s="69" t="str">
        <f>VLOOKUP($A215,SP_TaxPar_DB[],MATCH(K$2,SP_TaxPar_DB[#Headers],0),FALSE)</f>
        <v>A20003 ABST.3 TRACT 50B,51A Acres:686.5000</v>
      </c>
      <c r="L215" s="69">
        <f>VLOOKUP($A215,SP_TaxPar_DB[],MATCH(L$2,SP_TaxPar_DB[#Headers],0),FALSE)</f>
        <v>0</v>
      </c>
      <c r="M215" s="69">
        <f>VLOOKUP($A215,SP_TaxPar_DB[],MATCH(M$2,SP_TaxPar_DB[#Headers],0),FALSE)</f>
        <v>0</v>
      </c>
      <c r="N215" s="69">
        <f>VLOOKUP($A215,SP_TaxPar_DB[],MATCH(N$2,SP_TaxPar_DB[#Headers],0),FALSE)</f>
        <v>0</v>
      </c>
      <c r="O215" s="71" t="str">
        <f>VLOOKUP($A215,SP_TaxPar_DB[],MATCH(O$2,SP_TaxPar_DB[#Headers],0),FALSE)</f>
        <v>08/20/2019 ROE Packet mailed; 8/16/19 Emailed ROE to Mr. Nilson rnilson1@sbcglobal.net.  Mr. Nilson will not execute ROE until he has a map of impacted Phase II area.</v>
      </c>
      <c r="P215" s="72"/>
      <c r="Q215" s="69"/>
      <c r="R215" s="73"/>
      <c r="S215" s="73"/>
      <c r="T215" s="69"/>
      <c r="U215" s="69"/>
      <c r="V215" s="69"/>
      <c r="W215" s="69"/>
      <c r="X215" s="69"/>
      <c r="Y215" s="69"/>
      <c r="Z215" s="69"/>
      <c r="AA215" s="69"/>
      <c r="AB215" s="74"/>
      <c r="AC215" s="73"/>
      <c r="AD215" s="73"/>
      <c r="AE215" s="74"/>
      <c r="AF215" s="68"/>
      <c r="AG215" s="68"/>
      <c r="AH215" s="74"/>
      <c r="AI215" s="68"/>
      <c r="AJ215" s="68"/>
      <c r="AK215" s="68"/>
      <c r="AL215" s="80"/>
      <c r="AM215" s="81"/>
      <c r="AN215" s="74"/>
      <c r="AO215" s="74"/>
      <c r="AP215" s="74"/>
      <c r="AQ215" s="74"/>
      <c r="AR215" s="74"/>
      <c r="AS215" s="74"/>
      <c r="AT215" s="74"/>
      <c r="AU215" s="74"/>
      <c r="AV215" s="74"/>
      <c r="AW215" s="84"/>
    </row>
    <row r="216" spans="1:49" ht="15.75" hidden="1" x14ac:dyDescent="0.2">
      <c r="A216" s="129" t="s">
        <v>5105</v>
      </c>
      <c r="B216" s="68" t="str">
        <f>VLOOKUP($A216,SP_TaxPar_DB[],MATCH(B$2,SP_TaxPar_DB[#Headers],0),FALSE)</f>
        <v>PH2</v>
      </c>
      <c r="C216" s="67" t="str">
        <f>IF(VLOOKUP($A216,SP_TaxPar_DB[],MATCH(C$2,SP_TaxPar_DB[#Headers],0),FALSE)="",0,VLOOKUP($A216,SP_TaxPar_DB[],MATCH(C$2,SP_TaxPar_DB[#Headers],0),FALSE))</f>
        <v>T265</v>
      </c>
      <c r="D216" s="67">
        <f>IF(VLOOKUP($A216,SP_TaxPar_DB[],MATCH(D$2,SP_TaxPar_DB[#Headers],0),FALSE)="",0,VLOOKUP($A216,SP_TaxPar_DB[],MATCH(D$2,SP_TaxPar_DB[#Headers],0),FALSE))</f>
        <v>0</v>
      </c>
      <c r="E216" s="69" t="str">
        <f>VLOOKUP($A216,SP_TaxPar_DB[],MATCH(E$2,SP_TaxPar_DB[#Headers],0),FALSE)</f>
        <v>HARRISON AGRICULTURE LTD</v>
      </c>
      <c r="F216" s="69" t="str">
        <f>VLOOKUP($A216,SP_TaxPar_DB[],MATCH(F$2,SP_TaxPar_DB[#Headers],0),FALSE)</f>
        <v>5318 INWOOD</v>
      </c>
      <c r="G216" s="69" t="str">
        <f>VLOOKUP($A216,SP_TaxPar_DB[],MATCH(G$2,SP_TaxPar_DB[#Headers],0),FALSE)</f>
        <v>HOUSTON</v>
      </c>
      <c r="H216" s="69" t="str">
        <f>VLOOKUP($A216,SP_TaxPar_DB[],MATCH(H$2,SP_TaxPar_DB[#Headers],0),FALSE)</f>
        <v>TX</v>
      </c>
      <c r="I216" s="69" t="str">
        <f>VLOOKUP($A216,SP_TaxPar_DB[],MATCH(I$2,SP_TaxPar_DB[#Headers],0),FALSE)</f>
        <v>77056-0000</v>
      </c>
      <c r="J216" s="69" t="str">
        <f>VLOOKUP($A216,SP_TaxPar_DB[],MATCH(J$2,SP_TaxPar_DB[#Headers],0),FALSE)</f>
        <v>FM 102</v>
      </c>
      <c r="K216" s="69" t="str">
        <f>VLOOKUP($A216,SP_TaxPar_DB[],MATCH(K$2,SP_TaxPar_DB[#Headers],0),FALSE)</f>
        <v>A20034 ABST.34 TRACT 43,44 Acres:173.6559</v>
      </c>
      <c r="L216" s="69">
        <f>VLOOKUP($A216,SP_TaxPar_DB[],MATCH(L$2,SP_TaxPar_DB[#Headers],0),FALSE)</f>
        <v>173.6559</v>
      </c>
      <c r="M216" s="69" t="str">
        <f>VLOOKUP($A216,SP_TaxPar_DB[],MATCH(M$2,SP_TaxPar_DB[#Headers],0),FALSE)</f>
        <v>AG</v>
      </c>
      <c r="N216" s="69" t="str">
        <f>VLOOKUP($A216,SP_TaxPar_DB[],MATCH(N$2,SP_TaxPar_DB[#Headers],0),FALSE)</f>
        <v>V1000 PG476</v>
      </c>
      <c r="O216" s="71">
        <f>VLOOKUP($A216,SP_TaxPar_DB[],MATCH(O$2,SP_TaxPar_DB[#Headers],0),FALSE)</f>
        <v>0</v>
      </c>
      <c r="P216" s="72"/>
      <c r="Q216" s="69"/>
      <c r="R216" s="73"/>
      <c r="S216" s="73"/>
      <c r="T216" s="69"/>
      <c r="U216" s="69"/>
      <c r="V216" s="69"/>
      <c r="W216" s="69"/>
      <c r="X216" s="69"/>
      <c r="Y216" s="69"/>
      <c r="Z216" s="69"/>
      <c r="AA216" s="69"/>
      <c r="AB216" s="74"/>
      <c r="AC216" s="73"/>
      <c r="AD216" s="73"/>
      <c r="AE216" s="74"/>
      <c r="AF216" s="68"/>
      <c r="AG216" s="68"/>
      <c r="AH216" s="74"/>
      <c r="AI216" s="68"/>
      <c r="AJ216" s="68"/>
      <c r="AK216" s="68"/>
      <c r="AL216" s="80"/>
      <c r="AM216" s="81"/>
      <c r="AN216" s="74"/>
      <c r="AO216" s="74"/>
      <c r="AP216" s="74"/>
      <c r="AQ216" s="74"/>
      <c r="AR216" s="74"/>
      <c r="AS216" s="74"/>
      <c r="AT216" s="74"/>
      <c r="AU216" s="74"/>
      <c r="AV216" s="74"/>
      <c r="AW216" s="84"/>
    </row>
    <row r="217" spans="1:49" ht="15.75" hidden="1" x14ac:dyDescent="0.2">
      <c r="A217" s="129" t="s">
        <v>481</v>
      </c>
      <c r="B217" s="68" t="str">
        <f>VLOOKUP($A217,SP_TaxPar_DB[],MATCH(B$2,SP_TaxPar_DB[#Headers],0),FALSE)</f>
        <v>PH1</v>
      </c>
      <c r="C217" s="67" t="str">
        <f>IF(VLOOKUP($A217,SP_TaxPar_DB[],MATCH(C$2,SP_TaxPar_DB[#Headers],0),FALSE)="",0,VLOOKUP($A217,SP_TaxPar_DB[],MATCH(C$2,SP_TaxPar_DB[#Headers],0),FALSE))</f>
        <v>211</v>
      </c>
      <c r="D217" s="67">
        <f>IF(VLOOKUP($A217,SP_TaxPar_DB[],MATCH(D$2,SP_TaxPar_DB[#Headers],0),FALSE)="",0,VLOOKUP($A217,SP_TaxPar_DB[],MATCH(D$2,SP_TaxPar_DB[#Headers],0),FALSE))</f>
        <v>0</v>
      </c>
      <c r="E217" s="69" t="str">
        <f>VLOOKUP($A217,SP_TaxPar_DB[],MATCH(E$2,SP_TaxPar_DB[#Headers],0),FALSE)</f>
        <v>W A Harrison Agriculture LTD, W A Harrison Jr.</v>
      </c>
      <c r="F217" s="69" t="str">
        <f>VLOOKUP($A217,SP_TaxPar_DB[],MATCH(F$2,SP_TaxPar_DB[#Headers],0),FALSE)</f>
        <v>5318 Inwood</v>
      </c>
      <c r="G217" s="69" t="str">
        <f>VLOOKUP($A217,SP_TaxPar_DB[],MATCH(G$2,SP_TaxPar_DB[#Headers],0),FALSE)</f>
        <v>Houston</v>
      </c>
      <c r="H217" s="69" t="str">
        <f>VLOOKUP($A217,SP_TaxPar_DB[],MATCH(H$2,SP_TaxPar_DB[#Headers],0),FALSE)</f>
        <v>TX</v>
      </c>
      <c r="I217" s="69" t="str">
        <f>VLOOKUP($A217,SP_TaxPar_DB[],MATCH(I$2,SP_TaxPar_DB[#Headers],0),FALSE)</f>
        <v>77056</v>
      </c>
      <c r="J217" s="69" t="str">
        <f>VLOOKUP($A217,SP_TaxPar_DB[],MATCH(J$2,SP_TaxPar_DB[#Headers],0),FALSE)</f>
        <v>0 W Milam</v>
      </c>
      <c r="K217" s="69" t="str">
        <f>VLOOKUP($A217,SP_TaxPar_DB[],MATCH(K$2,SP_TaxPar_DB[#Headers],0),FALSE)</f>
        <v>A20034 ABST .34 Tract 47 , 85</v>
      </c>
      <c r="L217" s="69">
        <f>VLOOKUP($A217,SP_TaxPar_DB[],MATCH(L$2,SP_TaxPar_DB[#Headers],0),FALSE)</f>
        <v>86.97</v>
      </c>
      <c r="M217" s="69" t="str">
        <f>VLOOKUP($A217,SP_TaxPar_DB[],MATCH(M$2,SP_TaxPar_DB[#Headers],0),FALSE)</f>
        <v>Ag Land</v>
      </c>
      <c r="N217" s="69" t="str">
        <f>VLOOKUP($A217,SP_TaxPar_DB[],MATCH(N$2,SP_TaxPar_DB[#Headers],0),FALSE)</f>
        <v>1000 / 476</v>
      </c>
      <c r="O217" s="71">
        <f>VLOOKUP($A217,SP_TaxPar_DB[],MATCH(O$2,SP_TaxPar_DB[#Headers],0),FALSE)</f>
        <v>0</v>
      </c>
      <c r="P217" s="72"/>
      <c r="Q217" s="69"/>
      <c r="R217" s="73"/>
      <c r="S217" s="73"/>
      <c r="T217" s="69"/>
      <c r="U217" s="69"/>
      <c r="V217" s="69"/>
      <c r="W217" s="69"/>
      <c r="X217" s="69"/>
      <c r="Y217" s="69"/>
      <c r="Z217" s="69"/>
      <c r="AA217" s="69"/>
      <c r="AB217" s="74"/>
      <c r="AC217" s="73"/>
      <c r="AD217" s="73"/>
      <c r="AE217" s="74"/>
      <c r="AF217" s="68"/>
      <c r="AG217" s="68"/>
      <c r="AH217" s="74"/>
      <c r="AI217" s="68"/>
      <c r="AJ217" s="68"/>
      <c r="AK217" s="68"/>
      <c r="AL217" s="80"/>
      <c r="AM217" s="81"/>
      <c r="AN217" s="74"/>
      <c r="AO217" s="74"/>
      <c r="AP217" s="74"/>
      <c r="AQ217" s="74"/>
      <c r="AR217" s="74"/>
      <c r="AS217" s="74"/>
      <c r="AT217" s="74"/>
      <c r="AU217" s="74"/>
      <c r="AV217" s="74"/>
      <c r="AW217" s="84"/>
    </row>
    <row r="218" spans="1:49" ht="15.75" hidden="1" x14ac:dyDescent="0.2">
      <c r="A218" s="129" t="s">
        <v>2494</v>
      </c>
      <c r="B218" s="68" t="str">
        <f>VLOOKUP($A218,SP_TaxPar_DB[],MATCH(B$2,SP_TaxPar_DB[#Headers],0),FALSE)</f>
        <v>ENV</v>
      </c>
      <c r="C218" s="67">
        <f>IF(VLOOKUP($A218,SP_TaxPar_DB[],MATCH(C$2,SP_TaxPar_DB[#Headers],0),FALSE)="",0,VLOOKUP($A218,SP_TaxPar_DB[],MATCH(C$2,SP_TaxPar_DB[#Headers],0),FALSE))</f>
        <v>0</v>
      </c>
      <c r="D218" s="67" t="str">
        <f>IF(VLOOKUP($A218,SP_TaxPar_DB[],MATCH(D$2,SP_TaxPar_DB[#Headers],0),FALSE)="",0,VLOOKUP($A218,SP_TaxPar_DB[],MATCH(D$2,SP_TaxPar_DB[#Headers],0),FALSE))</f>
        <v>202</v>
      </c>
      <c r="E218" s="69" t="str">
        <f>VLOOKUP($A218,SP_TaxPar_DB[],MATCH(E$2,SP_TaxPar_DB[#Headers],0),FALSE)</f>
        <v>NEAL BURNELL</v>
      </c>
      <c r="F218" s="69" t="str">
        <f>VLOOKUP($A218,SP_TaxPar_DB[],MATCH(F$2,SP_TaxPar_DB[#Headers],0),FALSE)</f>
        <v>1522 COLUMBINE</v>
      </c>
      <c r="G218" s="69" t="str">
        <f>VLOOKUP($A218,SP_TaxPar_DB[],MATCH(G$2,SP_TaxPar_DB[#Headers],0),FALSE)</f>
        <v>WHARTON</v>
      </c>
      <c r="H218" s="69" t="str">
        <f>VLOOKUP($A218,SP_TaxPar_DB[],MATCH(H$2,SP_TaxPar_DB[#Headers],0),FALSE)</f>
        <v>TX</v>
      </c>
      <c r="I218" s="69" t="str">
        <f>VLOOKUP($A218,SP_TaxPar_DB[],MATCH(I$2,SP_TaxPar_DB[#Headers],0),FALSE)</f>
        <v>77488</v>
      </c>
      <c r="J218" s="69" t="str">
        <f>VLOOKUP($A218,SP_TaxPar_DB[],MATCH(J$2,SP_TaxPar_DB[#Headers],0),FALSE)</f>
        <v>108 S OUTLAR</v>
      </c>
      <c r="K218" s="69" t="str">
        <f>VLOOKUP($A218,SP_TaxPar_DB[],MATCH(K$2,SP_TaxPar_DB[#Headers],0),FALSE)</f>
        <v>A20034 ABST.34 TRACT 49,49A Acres:1.3400</v>
      </c>
      <c r="L218" s="69">
        <f>VLOOKUP($A218,SP_TaxPar_DB[],MATCH(L$2,SP_TaxPar_DB[#Headers],0),FALSE)</f>
        <v>0</v>
      </c>
      <c r="M218" s="69">
        <f>VLOOKUP($A218,SP_TaxPar_DB[],MATCH(M$2,SP_TaxPar_DB[#Headers],0),FALSE)</f>
        <v>0</v>
      </c>
      <c r="N218" s="69">
        <f>VLOOKUP($A218,SP_TaxPar_DB[],MATCH(N$2,SP_TaxPar_DB[#Headers],0),FALSE)</f>
        <v>0</v>
      </c>
      <c r="O218" s="71">
        <f>VLOOKUP($A218,SP_TaxPar_DB[],MATCH(O$2,SP_TaxPar_DB[#Headers],0),FALSE)</f>
        <v>0</v>
      </c>
      <c r="P218" s="72"/>
      <c r="Q218" s="69"/>
      <c r="R218" s="73"/>
      <c r="S218" s="73"/>
      <c r="T218" s="69"/>
      <c r="U218" s="69"/>
      <c r="V218" s="69"/>
      <c r="W218" s="69"/>
      <c r="X218" s="69"/>
      <c r="Y218" s="69"/>
      <c r="Z218" s="69"/>
      <c r="AA218" s="69"/>
      <c r="AB218" s="74"/>
      <c r="AC218" s="73"/>
      <c r="AD218" s="73"/>
      <c r="AE218" s="74"/>
      <c r="AF218" s="68"/>
      <c r="AG218" s="68"/>
      <c r="AH218" s="74"/>
      <c r="AI218" s="68"/>
      <c r="AJ218" s="68"/>
      <c r="AK218" s="68"/>
      <c r="AL218" s="80"/>
      <c r="AM218" s="81"/>
      <c r="AN218" s="74"/>
      <c r="AO218" s="74"/>
      <c r="AP218" s="74"/>
      <c r="AQ218" s="74"/>
      <c r="AR218" s="74"/>
      <c r="AS218" s="74"/>
      <c r="AT218" s="74"/>
      <c r="AU218" s="74"/>
      <c r="AV218" s="74"/>
      <c r="AW218" s="84"/>
    </row>
    <row r="219" spans="1:49" ht="15.75" hidden="1" x14ac:dyDescent="0.2">
      <c r="A219" s="129" t="s">
        <v>2497</v>
      </c>
      <c r="B219" s="68" t="str">
        <f>VLOOKUP($A219,SP_TaxPar_DB[],MATCH(B$2,SP_TaxPar_DB[#Headers],0),FALSE)</f>
        <v>ENV</v>
      </c>
      <c r="C219" s="67">
        <f>IF(VLOOKUP($A219,SP_TaxPar_DB[],MATCH(C$2,SP_TaxPar_DB[#Headers],0),FALSE)="",0,VLOOKUP($A219,SP_TaxPar_DB[],MATCH(C$2,SP_TaxPar_DB[#Headers],0),FALSE))</f>
        <v>0</v>
      </c>
      <c r="D219" s="67" t="str">
        <f>IF(VLOOKUP($A219,SP_TaxPar_DB[],MATCH(D$2,SP_TaxPar_DB[#Headers],0),FALSE)="",0,VLOOKUP($A219,SP_TaxPar_DB[],MATCH(D$2,SP_TaxPar_DB[#Headers],0),FALSE))</f>
        <v>203</v>
      </c>
      <c r="E219" s="69" t="str">
        <f>VLOOKUP($A219,SP_TaxPar_DB[],MATCH(E$2,SP_TaxPar_DB[#Headers],0),FALSE)</f>
        <v>JOHNSON JAYMES K &amp; MASON CATHEY F</v>
      </c>
      <c r="F219" s="69" t="str">
        <f>VLOOKUP($A219,SP_TaxPar_DB[],MATCH(F$2,SP_TaxPar_DB[#Headers],0),FALSE)</f>
        <v>9834 SPRING HARVEST</v>
      </c>
      <c r="G219" s="69" t="str">
        <f>VLOOKUP($A219,SP_TaxPar_DB[],MATCH(G$2,SP_TaxPar_DB[#Headers],0),FALSE)</f>
        <v>SAN ANTONIO</v>
      </c>
      <c r="H219" s="69" t="str">
        <f>VLOOKUP($A219,SP_TaxPar_DB[],MATCH(H$2,SP_TaxPar_DB[#Headers],0),FALSE)</f>
        <v>TX</v>
      </c>
      <c r="I219" s="69" t="str">
        <f>VLOOKUP($A219,SP_TaxPar_DB[],MATCH(I$2,SP_TaxPar_DB[#Headers],0),FALSE)</f>
        <v>78254</v>
      </c>
      <c r="J219" s="69" t="str">
        <f>VLOOKUP($A219,SP_TaxPar_DB[],MATCH(J$2,SP_TaxPar_DB[#Headers],0),FALSE)</f>
        <v>116 S OUTLAR</v>
      </c>
      <c r="K219" s="69" t="str">
        <f>VLOOKUP($A219,SP_TaxPar_DB[],MATCH(K$2,SP_TaxPar_DB[#Headers],0),FALSE)</f>
        <v>A20034 ABST.34 TRACT 49B Acres:0.2290</v>
      </c>
      <c r="L219" s="69">
        <f>VLOOKUP($A219,SP_TaxPar_DB[],MATCH(L$2,SP_TaxPar_DB[#Headers],0),FALSE)</f>
        <v>0</v>
      </c>
      <c r="M219" s="69">
        <f>VLOOKUP($A219,SP_TaxPar_DB[],MATCH(M$2,SP_TaxPar_DB[#Headers],0),FALSE)</f>
        <v>0</v>
      </c>
      <c r="N219" s="69">
        <f>VLOOKUP($A219,SP_TaxPar_DB[],MATCH(N$2,SP_TaxPar_DB[#Headers],0),FALSE)</f>
        <v>0</v>
      </c>
      <c r="O219" s="71">
        <f>VLOOKUP($A219,SP_TaxPar_DB[],MATCH(O$2,SP_TaxPar_DB[#Headers],0),FALSE)</f>
        <v>0</v>
      </c>
      <c r="P219" s="72"/>
      <c r="Q219" s="69"/>
      <c r="R219" s="73"/>
      <c r="S219" s="73"/>
      <c r="T219" s="69"/>
      <c r="U219" s="69"/>
      <c r="V219" s="69"/>
      <c r="W219" s="69"/>
      <c r="X219" s="69"/>
      <c r="Y219" s="69"/>
      <c r="Z219" s="69"/>
      <c r="AA219" s="69"/>
      <c r="AB219" s="74"/>
      <c r="AC219" s="73"/>
      <c r="AD219" s="73"/>
      <c r="AE219" s="74"/>
      <c r="AF219" s="68"/>
      <c r="AG219" s="68"/>
      <c r="AH219" s="74"/>
      <c r="AI219" s="68"/>
      <c r="AJ219" s="68"/>
      <c r="AK219" s="68"/>
      <c r="AL219" s="80"/>
      <c r="AM219" s="81"/>
      <c r="AN219" s="74"/>
      <c r="AO219" s="74"/>
      <c r="AP219" s="74"/>
      <c r="AQ219" s="74"/>
      <c r="AR219" s="74"/>
      <c r="AS219" s="74"/>
      <c r="AT219" s="74"/>
      <c r="AU219" s="74"/>
      <c r="AV219" s="74"/>
      <c r="AW219" s="84"/>
    </row>
    <row r="220" spans="1:49" ht="15.75" hidden="1" x14ac:dyDescent="0.2">
      <c r="A220" s="129" t="s">
        <v>486</v>
      </c>
      <c r="B220" s="68" t="str">
        <f>VLOOKUP($A220,SP_TaxPar_DB[],MATCH(B$2,SP_TaxPar_DB[#Headers],0),FALSE)</f>
        <v>PH1</v>
      </c>
      <c r="C220" s="67" t="str">
        <f>IF(VLOOKUP($A220,SP_TaxPar_DB[],MATCH(C$2,SP_TaxPar_DB[#Headers],0),FALSE)="",0,VLOOKUP($A220,SP_TaxPar_DB[],MATCH(C$2,SP_TaxPar_DB[#Headers],0),FALSE))</f>
        <v>202</v>
      </c>
      <c r="D220" s="67">
        <f>IF(VLOOKUP($A220,SP_TaxPar_DB[],MATCH(D$2,SP_TaxPar_DB[#Headers],0),FALSE)="",0,VLOOKUP($A220,SP_TaxPar_DB[],MATCH(D$2,SP_TaxPar_DB[#Headers],0),FALSE))</f>
        <v>0</v>
      </c>
      <c r="E220" s="69" t="str">
        <f>VLOOKUP($A220,SP_TaxPar_DB[],MATCH(E$2,SP_TaxPar_DB[#Headers],0),FALSE)</f>
        <v>Robert S Vineyard</v>
      </c>
      <c r="F220" s="69" t="str">
        <f>VLOOKUP($A220,SP_TaxPar_DB[],MATCH(F$2,SP_TaxPar_DB[#Headers],0),FALSE)</f>
        <v>PO Box 430</v>
      </c>
      <c r="G220" s="69" t="str">
        <f>VLOOKUP($A220,SP_TaxPar_DB[],MATCH(G$2,SP_TaxPar_DB[#Headers],0),FALSE)</f>
        <v>Wharton</v>
      </c>
      <c r="H220" s="69" t="str">
        <f>VLOOKUP($A220,SP_TaxPar_DB[],MATCH(H$2,SP_TaxPar_DB[#Headers],0),FALSE)</f>
        <v>TX</v>
      </c>
      <c r="I220" s="69" t="str">
        <f>VLOOKUP($A220,SP_TaxPar_DB[],MATCH(I$2,SP_TaxPar_DB[#Headers],0),FALSE)</f>
        <v>77488</v>
      </c>
      <c r="J220" s="69" t="str">
        <f>VLOOKUP($A220,SP_TaxPar_DB[],MATCH(J$2,SP_TaxPar_DB[#Headers],0),FALSE)</f>
        <v>0 MLK Blvd</v>
      </c>
      <c r="K220" s="69" t="str">
        <f>VLOOKUP($A220,SP_TaxPar_DB[],MATCH(K$2,SP_TaxPar_DB[#Headers],0),FALSE)</f>
        <v>A20034 ABST .34 Tract South 63</v>
      </c>
      <c r="L220" s="69">
        <f>VLOOKUP($A220,SP_TaxPar_DB[],MATCH(L$2,SP_TaxPar_DB[#Headers],0),FALSE)</f>
        <v>31.8</v>
      </c>
      <c r="M220" s="69" t="str">
        <f>VLOOKUP($A220,SP_TaxPar_DB[],MATCH(M$2,SP_TaxPar_DB[#Headers],0),FALSE)</f>
        <v>Non-QL Ag Land</v>
      </c>
      <c r="N220" s="69">
        <f>VLOOKUP($A220,SP_TaxPar_DB[],MATCH(N$2,SP_TaxPar_DB[#Headers],0),FALSE)</f>
        <v>0</v>
      </c>
      <c r="O220" s="71" t="str">
        <f>VLOOKUP($A220,SP_TaxPar_DB[],MATCH(O$2,SP_TaxPar_DB[#Headers],0),FALSE)</f>
        <v>50% Ownership</v>
      </c>
      <c r="P220" s="72"/>
      <c r="Q220" s="69"/>
      <c r="R220" s="73"/>
      <c r="S220" s="73"/>
      <c r="T220" s="69"/>
      <c r="U220" s="69"/>
      <c r="V220" s="69"/>
      <c r="W220" s="69"/>
      <c r="X220" s="69"/>
      <c r="Y220" s="69"/>
      <c r="Z220" s="69"/>
      <c r="AA220" s="69"/>
      <c r="AB220" s="74"/>
      <c r="AC220" s="73"/>
      <c r="AD220" s="73"/>
      <c r="AE220" s="74"/>
      <c r="AF220" s="68"/>
      <c r="AG220" s="68"/>
      <c r="AH220" s="74"/>
      <c r="AI220" s="68"/>
      <c r="AJ220" s="68"/>
      <c r="AK220" s="68"/>
      <c r="AL220" s="80"/>
      <c r="AM220" s="81"/>
      <c r="AN220" s="74"/>
      <c r="AO220" s="74"/>
      <c r="AP220" s="74"/>
      <c r="AQ220" s="74"/>
      <c r="AR220" s="74"/>
      <c r="AS220" s="74"/>
      <c r="AT220" s="74"/>
      <c r="AU220" s="74"/>
      <c r="AV220" s="74"/>
      <c r="AW220" s="84"/>
    </row>
    <row r="221" spans="1:49" ht="15.75" hidden="1" x14ac:dyDescent="0.2">
      <c r="A221" s="129" t="s">
        <v>1282</v>
      </c>
      <c r="B221" s="68" t="str">
        <f>VLOOKUP($A221,SP_TaxPar_DB[],MATCH(B$2,SP_TaxPar_DB[#Headers],0),FALSE)</f>
        <v>UNK</v>
      </c>
      <c r="C221" s="67">
        <f>IF(VLOOKUP($A221,SP_TaxPar_DB[],MATCH(C$2,SP_TaxPar_DB[#Headers],0),FALSE)="",0,VLOOKUP($A221,SP_TaxPar_DB[],MATCH(C$2,SP_TaxPar_DB[#Headers],0),FALSE))</f>
        <v>0</v>
      </c>
      <c r="D221" s="67">
        <f>IF(VLOOKUP($A221,SP_TaxPar_DB[],MATCH(D$2,SP_TaxPar_DB[#Headers],0),FALSE)="",0,VLOOKUP($A221,SP_TaxPar_DB[],MATCH(D$2,SP_TaxPar_DB[#Headers],0),FALSE))</f>
        <v>0</v>
      </c>
      <c r="E221" s="69" t="str">
        <f>VLOOKUP($A221,SP_TaxPar_DB[],MATCH(E$2,SP_TaxPar_DB[#Headers],0),FALSE)</f>
        <v>Vinyard Holding Co Inc</v>
      </c>
      <c r="F221" s="69" t="str">
        <f>VLOOKUP($A221,SP_TaxPar_DB[],MATCH(F$2,SP_TaxPar_DB[#Headers],0),FALSE)</f>
        <v>PO Box 430</v>
      </c>
      <c r="G221" s="69" t="str">
        <f>VLOOKUP($A221,SP_TaxPar_DB[],MATCH(G$2,SP_TaxPar_DB[#Headers],0),FALSE)</f>
        <v>Wharton</v>
      </c>
      <c r="H221" s="69" t="str">
        <f>VLOOKUP($A221,SP_TaxPar_DB[],MATCH(H$2,SP_TaxPar_DB[#Headers],0),FALSE)</f>
        <v>TX</v>
      </c>
      <c r="I221" s="69" t="str">
        <f>VLOOKUP($A221,SP_TaxPar_DB[],MATCH(I$2,SP_TaxPar_DB[#Headers],0),FALSE)</f>
        <v>7748</v>
      </c>
      <c r="J221" s="69" t="str">
        <f>VLOOKUP($A221,SP_TaxPar_DB[],MATCH(J$2,SP_TaxPar_DB[#Headers],0),FALSE)</f>
        <v>MLK Blvd</v>
      </c>
      <c r="K221" s="69" t="str">
        <f>VLOOKUP($A221,SP_TaxPar_DB[],MATCH(K$2,SP_TaxPar_DB[#Headers],0),FALSE)</f>
        <v>A20034 ABST .34 Tract South 63</v>
      </c>
      <c r="L221" s="69">
        <f>VLOOKUP($A221,SP_TaxPar_DB[],MATCH(L$2,SP_TaxPar_DB[#Headers],0),FALSE)</f>
        <v>31.8</v>
      </c>
      <c r="M221" s="69" t="str">
        <f>VLOOKUP($A221,SP_TaxPar_DB[],MATCH(M$2,SP_TaxPar_DB[#Headers],0),FALSE)</f>
        <v>Non-QL Ag Land</v>
      </c>
      <c r="N221" s="69">
        <f>VLOOKUP($A221,SP_TaxPar_DB[],MATCH(N$2,SP_TaxPar_DB[#Headers],0),FALSE)</f>
        <v>0</v>
      </c>
      <c r="O221" s="71" t="str">
        <f>VLOOKUP($A221,SP_TaxPar_DB[],MATCH(O$2,SP_TaxPar_DB[#Headers],0),FALSE)</f>
        <v>50% Ownership - was PH1 T202</v>
      </c>
      <c r="P221" s="72"/>
      <c r="Q221" s="69"/>
      <c r="R221" s="73"/>
      <c r="S221" s="73"/>
      <c r="T221" s="69"/>
      <c r="U221" s="69"/>
      <c r="V221" s="69"/>
      <c r="W221" s="69"/>
      <c r="X221" s="69"/>
      <c r="Y221" s="69"/>
      <c r="Z221" s="69"/>
      <c r="AA221" s="69"/>
      <c r="AB221" s="74"/>
      <c r="AC221" s="73"/>
      <c r="AD221" s="73"/>
      <c r="AE221" s="74"/>
      <c r="AF221" s="68"/>
      <c r="AG221" s="68"/>
      <c r="AH221" s="74"/>
      <c r="AI221" s="68"/>
      <c r="AJ221" s="68"/>
      <c r="AK221" s="68"/>
      <c r="AL221" s="80"/>
      <c r="AM221" s="81"/>
      <c r="AN221" s="74"/>
      <c r="AO221" s="74"/>
      <c r="AP221" s="74"/>
      <c r="AQ221" s="74"/>
      <c r="AR221" s="74"/>
      <c r="AS221" s="74"/>
      <c r="AT221" s="74"/>
      <c r="AU221" s="74"/>
      <c r="AV221" s="74"/>
      <c r="AW221" s="84"/>
    </row>
    <row r="222" spans="1:49" ht="15.75" hidden="1" x14ac:dyDescent="0.2">
      <c r="A222" s="129" t="s">
        <v>5110</v>
      </c>
      <c r="B222" s="68" t="str">
        <f>VLOOKUP($A222,SP_TaxPar_DB[],MATCH(B$2,SP_TaxPar_DB[#Headers],0),FALSE)</f>
        <v>PH2</v>
      </c>
      <c r="C222" s="67" t="str">
        <f>IF(VLOOKUP($A222,SP_TaxPar_DB[],MATCH(C$2,SP_TaxPar_DB[#Headers],0),FALSE)="",0,VLOOKUP($A222,SP_TaxPar_DB[],MATCH(C$2,SP_TaxPar_DB[#Headers],0),FALSE))</f>
        <v>T266</v>
      </c>
      <c r="D222" s="67">
        <f>IF(VLOOKUP($A222,SP_TaxPar_DB[],MATCH(D$2,SP_TaxPar_DB[#Headers],0),FALSE)="",0,VLOOKUP($A222,SP_TaxPar_DB[],MATCH(D$2,SP_TaxPar_DB[#Headers],0),FALSE))</f>
        <v>0</v>
      </c>
      <c r="E222" s="69" t="str">
        <f>VLOOKUP($A222,SP_TaxPar_DB[],MATCH(E$2,SP_TaxPar_DB[#Headers],0),FALSE)</f>
        <v>HARRISON AGRICULTURE LTD</v>
      </c>
      <c r="F222" s="69" t="str">
        <f>VLOOKUP($A222,SP_TaxPar_DB[],MATCH(F$2,SP_TaxPar_DB[#Headers],0),FALSE)</f>
        <v>5318 INWOOD</v>
      </c>
      <c r="G222" s="69" t="str">
        <f>VLOOKUP($A222,SP_TaxPar_DB[],MATCH(G$2,SP_TaxPar_DB[#Headers],0),FALSE)</f>
        <v>HOUSTON</v>
      </c>
      <c r="H222" s="69" t="str">
        <f>VLOOKUP($A222,SP_TaxPar_DB[],MATCH(H$2,SP_TaxPar_DB[#Headers],0),FALSE)</f>
        <v>TX</v>
      </c>
      <c r="I222" s="69" t="str">
        <f>VLOOKUP($A222,SP_TaxPar_DB[],MATCH(I$2,SP_TaxPar_DB[#Headers],0),FALSE)</f>
        <v>77056-0000</v>
      </c>
      <c r="J222" s="69" t="str">
        <f>VLOOKUP($A222,SP_TaxPar_DB[],MATCH(J$2,SP_TaxPar_DB[#Headers],0),FALSE)</f>
        <v>1219 FM 102</v>
      </c>
      <c r="K222" s="69" t="str">
        <f>VLOOKUP($A222,SP_TaxPar_DB[],MATCH(K$2,SP_TaxPar_DB[#Headers],0),FALSE)</f>
        <v>A20038 ABST.38 TRACT 45A,51,52 Acres: 272.6525</v>
      </c>
      <c r="L222" s="69">
        <f>VLOOKUP($A222,SP_TaxPar_DB[],MATCH(L$2,SP_TaxPar_DB[#Headers],0),FALSE)</f>
        <v>272.65249999999997</v>
      </c>
      <c r="M222" s="69" t="str">
        <f>VLOOKUP($A222,SP_TaxPar_DB[],MATCH(M$2,SP_TaxPar_DB[#Headers],0),FALSE)</f>
        <v>AG/R</v>
      </c>
      <c r="N222" s="69" t="str">
        <f>VLOOKUP($A222,SP_TaxPar_DB[],MATCH(N$2,SP_TaxPar_DB[#Headers],0),FALSE)</f>
        <v>V1000 PG475</v>
      </c>
      <c r="O222" s="71">
        <f>VLOOKUP($A222,SP_TaxPar_DB[],MATCH(O$2,SP_TaxPar_DB[#Headers],0),FALSE)</f>
        <v>0</v>
      </c>
      <c r="P222" s="72"/>
      <c r="Q222" s="69"/>
      <c r="R222" s="73"/>
      <c r="S222" s="73"/>
      <c r="T222" s="69"/>
      <c r="U222" s="69"/>
      <c r="V222" s="69"/>
      <c r="W222" s="69"/>
      <c r="X222" s="69"/>
      <c r="Y222" s="69"/>
      <c r="Z222" s="69"/>
      <c r="AA222" s="69"/>
      <c r="AB222" s="74"/>
      <c r="AC222" s="73"/>
      <c r="AD222" s="73"/>
      <c r="AE222" s="74"/>
      <c r="AF222" s="68"/>
      <c r="AG222" s="68"/>
      <c r="AH222" s="74"/>
      <c r="AI222" s="68"/>
      <c r="AJ222" s="68"/>
      <c r="AK222" s="68"/>
      <c r="AL222" s="80"/>
      <c r="AM222" s="81"/>
      <c r="AN222" s="74"/>
      <c r="AO222" s="74"/>
      <c r="AP222" s="74"/>
      <c r="AQ222" s="74"/>
      <c r="AR222" s="74"/>
      <c r="AS222" s="74"/>
      <c r="AT222" s="74"/>
      <c r="AU222" s="74"/>
      <c r="AV222" s="74"/>
      <c r="AW222" s="84"/>
    </row>
    <row r="223" spans="1:49" ht="15.75" hidden="1" x14ac:dyDescent="0.2">
      <c r="A223" s="129" t="s">
        <v>2500</v>
      </c>
      <c r="B223" s="68" t="str">
        <f>VLOOKUP($A223,SP_TaxPar_DB[],MATCH(B$2,SP_TaxPar_DB[#Headers],0),FALSE)</f>
        <v>PH2</v>
      </c>
      <c r="C223" s="67" t="str">
        <f>IF(VLOOKUP($A223,SP_TaxPar_DB[],MATCH(C$2,SP_TaxPar_DB[#Headers],0),FALSE)="",0,VLOOKUP($A223,SP_TaxPar_DB[],MATCH(C$2,SP_TaxPar_DB[#Headers],0),FALSE))</f>
        <v>T205</v>
      </c>
      <c r="D223" s="67">
        <f>IF(VLOOKUP($A223,SP_TaxPar_DB[],MATCH(D$2,SP_TaxPar_DB[#Headers],0),FALSE)="",0,VLOOKUP($A223,SP_TaxPar_DB[],MATCH(D$2,SP_TaxPar_DB[#Headers],0),FALSE))</f>
        <v>0</v>
      </c>
      <c r="E223" s="69" t="str">
        <f>VLOOKUP($A223,SP_TaxPar_DB[],MATCH(E$2,SP_TaxPar_DB[#Headers],0),FALSE)</f>
        <v>WITT ANN L &amp; RAYMOND R</v>
      </c>
      <c r="F223" s="69" t="str">
        <f>VLOOKUP($A223,SP_TaxPar_DB[],MATCH(F$2,SP_TaxPar_DB[#Headers],0),FALSE)</f>
        <v>5651 CHEVY CHASE</v>
      </c>
      <c r="G223" s="69" t="str">
        <f>VLOOKUP($A223,SP_TaxPar_DB[],MATCH(G$2,SP_TaxPar_DB[#Headers],0),FALSE)</f>
        <v>HOUSTON</v>
      </c>
      <c r="H223" s="69" t="str">
        <f>VLOOKUP($A223,SP_TaxPar_DB[],MATCH(H$2,SP_TaxPar_DB[#Headers],0),FALSE)</f>
        <v>TX</v>
      </c>
      <c r="I223" s="69" t="str">
        <f>VLOOKUP($A223,SP_TaxPar_DB[],MATCH(I$2,SP_TaxPar_DB[#Headers],0),FALSE)</f>
        <v>77056</v>
      </c>
      <c r="J223" s="69" t="str">
        <f>VLOOKUP($A223,SP_TaxPar_DB[],MATCH(J$2,SP_TaxPar_DB[#Headers],0),FALSE)</f>
        <v>0  CR 222</v>
      </c>
      <c r="K223" s="69" t="str">
        <f>VLOOKUP($A223,SP_TaxPar_DB[],MATCH(K$2,SP_TaxPar_DB[#Headers],0),FALSE)</f>
        <v>A20038 ABST.38 TRACT 46 Acres:41.1200</v>
      </c>
      <c r="L223" s="69">
        <f>VLOOKUP($A223,SP_TaxPar_DB[],MATCH(L$2,SP_TaxPar_DB[#Headers],0),FALSE)</f>
        <v>0</v>
      </c>
      <c r="M223" s="69">
        <f>VLOOKUP($A223,SP_TaxPar_DB[],MATCH(M$2,SP_TaxPar_DB[#Headers],0),FALSE)</f>
        <v>0</v>
      </c>
      <c r="N223" s="69">
        <f>VLOOKUP($A223,SP_TaxPar_DB[],MATCH(N$2,SP_TaxPar_DB[#Headers],0),FALSE)</f>
        <v>0</v>
      </c>
      <c r="O223" s="71">
        <f>VLOOKUP($A223,SP_TaxPar_DB[],MATCH(O$2,SP_TaxPar_DB[#Headers],0),FALSE)</f>
        <v>0</v>
      </c>
      <c r="P223" s="72"/>
      <c r="Q223" s="69"/>
      <c r="R223" s="73"/>
      <c r="S223" s="73"/>
      <c r="T223" s="69"/>
      <c r="U223" s="69"/>
      <c r="V223" s="69"/>
      <c r="W223" s="69"/>
      <c r="X223" s="69"/>
      <c r="Y223" s="69"/>
      <c r="Z223" s="69"/>
      <c r="AA223" s="69"/>
      <c r="AB223" s="74"/>
      <c r="AC223" s="73"/>
      <c r="AD223" s="73"/>
      <c r="AE223" s="74"/>
      <c r="AF223" s="68"/>
      <c r="AG223" s="68"/>
      <c r="AH223" s="74"/>
      <c r="AI223" s="68"/>
      <c r="AJ223" s="68"/>
      <c r="AK223" s="68"/>
      <c r="AL223" s="80"/>
      <c r="AM223" s="81"/>
      <c r="AN223" s="74"/>
      <c r="AO223" s="74"/>
      <c r="AP223" s="74"/>
      <c r="AQ223" s="74"/>
      <c r="AR223" s="74"/>
      <c r="AS223" s="74"/>
      <c r="AT223" s="74"/>
      <c r="AU223" s="74"/>
      <c r="AV223" s="74"/>
      <c r="AW223" s="84"/>
    </row>
    <row r="224" spans="1:49" ht="15.75" hidden="1" x14ac:dyDescent="0.2">
      <c r="A224" s="129" t="s">
        <v>2505</v>
      </c>
      <c r="B224" s="68" t="str">
        <f>VLOOKUP($A224,SP_TaxPar_DB[],MATCH(B$2,SP_TaxPar_DB[#Headers],0),FALSE)</f>
        <v>PH2</v>
      </c>
      <c r="C224" s="67" t="str">
        <f>IF(VLOOKUP($A224,SP_TaxPar_DB[],MATCH(C$2,SP_TaxPar_DB[#Headers],0),FALSE)="",0,VLOOKUP($A224,SP_TaxPar_DB[],MATCH(C$2,SP_TaxPar_DB[#Headers],0),FALSE))</f>
        <v>T206</v>
      </c>
      <c r="D224" s="67">
        <f>IF(VLOOKUP($A224,SP_TaxPar_DB[],MATCH(D$2,SP_TaxPar_DB[#Headers],0),FALSE)="",0,VLOOKUP($A224,SP_TaxPar_DB[],MATCH(D$2,SP_TaxPar_DB[#Headers],0),FALSE))</f>
        <v>0</v>
      </c>
      <c r="E224" s="69" t="str">
        <f>VLOOKUP($A224,SP_TaxPar_DB[],MATCH(E$2,SP_TaxPar_DB[#Headers],0),FALSE)</f>
        <v>JANSKY JUNE</v>
      </c>
      <c r="F224" s="69" t="str">
        <f>VLOOKUP($A224,SP_TaxPar_DB[],MATCH(F$2,SP_TaxPar_DB[#Headers],0),FALSE)</f>
        <v>4238 CR 131 RD</v>
      </c>
      <c r="G224" s="69" t="str">
        <f>VLOOKUP($A224,SP_TaxPar_DB[],MATCH(G$2,SP_TaxPar_DB[#Headers],0),FALSE)</f>
        <v>WHARTON</v>
      </c>
      <c r="H224" s="69" t="str">
        <f>VLOOKUP($A224,SP_TaxPar_DB[],MATCH(H$2,SP_TaxPar_DB[#Headers],0),FALSE)</f>
        <v>TX</v>
      </c>
      <c r="I224" s="69" t="str">
        <f>VLOOKUP($A224,SP_TaxPar_DB[],MATCH(I$2,SP_TaxPar_DB[#Headers],0),FALSE)</f>
        <v>77488</v>
      </c>
      <c r="J224" s="69" t="str">
        <f>VLOOKUP($A224,SP_TaxPar_DB[],MATCH(J$2,SP_TaxPar_DB[#Headers],0),FALSE)</f>
        <v>0  HWY 59</v>
      </c>
      <c r="K224" s="69" t="str">
        <f>VLOOKUP($A224,SP_TaxPar_DB[],MATCH(K$2,SP_TaxPar_DB[#Headers],0),FALSE)</f>
        <v>A20038 ABST.38 TRACT 48 Acres:4.5000</v>
      </c>
      <c r="L224" s="69">
        <f>VLOOKUP($A224,SP_TaxPar_DB[],MATCH(L$2,SP_TaxPar_DB[#Headers],0),FALSE)</f>
        <v>0</v>
      </c>
      <c r="M224" s="69">
        <f>VLOOKUP($A224,SP_TaxPar_DB[],MATCH(M$2,SP_TaxPar_DB[#Headers],0),FALSE)</f>
        <v>0</v>
      </c>
      <c r="N224" s="69">
        <f>VLOOKUP($A224,SP_TaxPar_DB[],MATCH(N$2,SP_TaxPar_DB[#Headers],0),FALSE)</f>
        <v>0</v>
      </c>
      <c r="O224" s="71">
        <f>VLOOKUP($A224,SP_TaxPar_DB[],MATCH(O$2,SP_TaxPar_DB[#Headers],0),FALSE)</f>
        <v>0</v>
      </c>
      <c r="P224" s="72"/>
      <c r="Q224" s="69"/>
      <c r="R224" s="73"/>
      <c r="S224" s="73"/>
      <c r="T224" s="69"/>
      <c r="U224" s="69"/>
      <c r="V224" s="69"/>
      <c r="W224" s="69"/>
      <c r="X224" s="69"/>
      <c r="Y224" s="69"/>
      <c r="Z224" s="69"/>
      <c r="AA224" s="69"/>
      <c r="AB224" s="74"/>
      <c r="AC224" s="73"/>
      <c r="AD224" s="73"/>
      <c r="AE224" s="74"/>
      <c r="AF224" s="68"/>
      <c r="AG224" s="68"/>
      <c r="AH224" s="74"/>
      <c r="AI224" s="68"/>
      <c r="AJ224" s="68"/>
      <c r="AK224" s="68"/>
      <c r="AL224" s="80"/>
      <c r="AM224" s="81"/>
      <c r="AN224" s="74"/>
      <c r="AO224" s="74"/>
      <c r="AP224" s="74"/>
      <c r="AQ224" s="74"/>
      <c r="AR224" s="74"/>
      <c r="AS224" s="74"/>
      <c r="AT224" s="74"/>
      <c r="AU224" s="74"/>
      <c r="AV224" s="74"/>
      <c r="AW224" s="84"/>
    </row>
    <row r="225" spans="1:49" ht="15.75" hidden="1" x14ac:dyDescent="0.2">
      <c r="A225" s="129" t="s">
        <v>2510</v>
      </c>
      <c r="B225" s="68" t="str">
        <f>VLOOKUP($A225,SP_TaxPar_DB[],MATCH(B$2,SP_TaxPar_DB[#Headers],0),FALSE)</f>
        <v>PH2</v>
      </c>
      <c r="C225" s="67" t="str">
        <f>IF(VLOOKUP($A225,SP_TaxPar_DB[],MATCH(C$2,SP_TaxPar_DB[#Headers],0),FALSE)="",0,VLOOKUP($A225,SP_TaxPar_DB[],MATCH(C$2,SP_TaxPar_DB[#Headers],0),FALSE))</f>
        <v>T207</v>
      </c>
      <c r="D225" s="67">
        <f>IF(VLOOKUP($A225,SP_TaxPar_DB[],MATCH(D$2,SP_TaxPar_DB[#Headers],0),FALSE)="",0,VLOOKUP($A225,SP_TaxPar_DB[],MATCH(D$2,SP_TaxPar_DB[#Headers],0),FALSE))</f>
        <v>0</v>
      </c>
      <c r="E225" s="69" t="str">
        <f>VLOOKUP($A225,SP_TaxPar_DB[],MATCH(E$2,SP_TaxPar_DB[#Headers],0),FALSE)</f>
        <v>HAWES BARBARA LOUISE TRUST DATED 8-17-81</v>
      </c>
      <c r="F225" s="69" t="str">
        <f>VLOOKUP($A225,SP_TaxPar_DB[],MATCH(F$2,SP_TaxPar_DB[#Headers],0),FALSE)</f>
        <v>PO BOX 707</v>
      </c>
      <c r="G225" s="69" t="str">
        <f>VLOOKUP($A225,SP_TaxPar_DB[],MATCH(G$2,SP_TaxPar_DB[#Headers],0),FALSE)</f>
        <v>WHARTON</v>
      </c>
      <c r="H225" s="69" t="str">
        <f>VLOOKUP($A225,SP_TaxPar_DB[],MATCH(H$2,SP_TaxPar_DB[#Headers],0),FALSE)</f>
        <v>TX</v>
      </c>
      <c r="I225" s="69" t="str">
        <f>VLOOKUP($A225,SP_TaxPar_DB[],MATCH(I$2,SP_TaxPar_DB[#Headers],0),FALSE)</f>
        <v>77488</v>
      </c>
      <c r="J225" s="69" t="str">
        <f>VLOOKUP($A225,SP_TaxPar_DB[],MATCH(J$2,SP_TaxPar_DB[#Headers],0),FALSE)</f>
        <v>0 N FULTON</v>
      </c>
      <c r="K225" s="69" t="str">
        <f>VLOOKUP($A225,SP_TaxPar_DB[],MATCH(K$2,SP_TaxPar_DB[#Headers],0),FALSE)</f>
        <v>A20038 ABST.38 TRACT 55 PT.(EAST),55T,56C Acres:207.0180</v>
      </c>
      <c r="L225" s="69">
        <f>VLOOKUP($A225,SP_TaxPar_DB[],MATCH(L$2,SP_TaxPar_DB[#Headers],0),FALSE)</f>
        <v>0</v>
      </c>
      <c r="M225" s="69">
        <f>VLOOKUP($A225,SP_TaxPar_DB[],MATCH(M$2,SP_TaxPar_DB[#Headers],0),FALSE)</f>
        <v>0</v>
      </c>
      <c r="N225" s="69">
        <f>VLOOKUP($A225,SP_TaxPar_DB[],MATCH(N$2,SP_TaxPar_DB[#Headers],0),FALSE)</f>
        <v>0</v>
      </c>
      <c r="O225" s="71">
        <f>VLOOKUP($A225,SP_TaxPar_DB[],MATCH(O$2,SP_TaxPar_DB[#Headers],0),FALSE)</f>
        <v>0</v>
      </c>
      <c r="P225" s="72"/>
      <c r="Q225" s="69"/>
      <c r="R225" s="73"/>
      <c r="S225" s="73"/>
      <c r="T225" s="69"/>
      <c r="U225" s="69"/>
      <c r="V225" s="69"/>
      <c r="W225" s="69"/>
      <c r="X225" s="69"/>
      <c r="Y225" s="69"/>
      <c r="Z225" s="69"/>
      <c r="AA225" s="69"/>
      <c r="AB225" s="74"/>
      <c r="AC225" s="73"/>
      <c r="AD225" s="73"/>
      <c r="AE225" s="74"/>
      <c r="AF225" s="68"/>
      <c r="AG225" s="68"/>
      <c r="AH225" s="74"/>
      <c r="AI225" s="68"/>
      <c r="AJ225" s="68"/>
      <c r="AK225" s="68"/>
      <c r="AL225" s="80"/>
      <c r="AM225" s="81"/>
      <c r="AN225" s="74"/>
      <c r="AO225" s="74"/>
      <c r="AP225" s="74"/>
      <c r="AQ225" s="74"/>
      <c r="AR225" s="74"/>
      <c r="AS225" s="74"/>
      <c r="AT225" s="74"/>
      <c r="AU225" s="74"/>
      <c r="AV225" s="74"/>
      <c r="AW225" s="84"/>
    </row>
    <row r="226" spans="1:49" ht="15.75" hidden="1" x14ac:dyDescent="0.2">
      <c r="A226" s="129" t="s">
        <v>2515</v>
      </c>
      <c r="B226" s="68" t="str">
        <f>VLOOKUP($A226,SP_TaxPar_DB[],MATCH(B$2,SP_TaxPar_DB[#Headers],0),FALSE)</f>
        <v>PH2</v>
      </c>
      <c r="C226" s="67" t="str">
        <f>IF(VLOOKUP($A226,SP_TaxPar_DB[],MATCH(C$2,SP_TaxPar_DB[#Headers],0),FALSE)="",0,VLOOKUP($A226,SP_TaxPar_DB[],MATCH(C$2,SP_TaxPar_DB[#Headers],0),FALSE))</f>
        <v>T210</v>
      </c>
      <c r="D226" s="67">
        <f>IF(VLOOKUP($A226,SP_TaxPar_DB[],MATCH(D$2,SP_TaxPar_DB[#Headers],0),FALSE)="",0,VLOOKUP($A226,SP_TaxPar_DB[],MATCH(D$2,SP_TaxPar_DB[#Headers],0),FALSE))</f>
        <v>0</v>
      </c>
      <c r="E226" s="69" t="str">
        <f>VLOOKUP($A226,SP_TaxPar_DB[],MATCH(E$2,SP_TaxPar_DB[#Headers],0),FALSE)</f>
        <v>GAD NANDAN P</v>
      </c>
      <c r="F226" s="69" t="str">
        <f>VLOOKUP($A226,SP_TaxPar_DB[],MATCH(F$2,SP_TaxPar_DB[#Headers],0),FALSE)</f>
        <v>1006 STAFORD ST</v>
      </c>
      <c r="G226" s="69" t="str">
        <f>VLOOKUP($A226,SP_TaxPar_DB[],MATCH(G$2,SP_TaxPar_DB[#Headers],0),FALSE)</f>
        <v>HOUSTON</v>
      </c>
      <c r="H226" s="69" t="str">
        <f>VLOOKUP($A226,SP_TaxPar_DB[],MATCH(H$2,SP_TaxPar_DB[#Headers],0),FALSE)</f>
        <v>TX</v>
      </c>
      <c r="I226" s="69" t="str">
        <f>VLOOKUP($A226,SP_TaxPar_DB[],MATCH(I$2,SP_TaxPar_DB[#Headers],0),FALSE)</f>
        <v>77019</v>
      </c>
      <c r="J226" s="69" t="str">
        <f>VLOOKUP($A226,SP_TaxPar_DB[],MATCH(J$2,SP_TaxPar_DB[#Headers],0),FALSE)</f>
        <v>3602 N FULTON</v>
      </c>
      <c r="K226" s="69" t="str">
        <f>VLOOKUP($A226,SP_TaxPar_DB[],MATCH(K$2,SP_TaxPar_DB[#Headers],0),FALSE)</f>
        <v>A20038 ABST.38 TRACT 55B Acres:0.3400</v>
      </c>
      <c r="L226" s="69">
        <f>VLOOKUP($A226,SP_TaxPar_DB[],MATCH(L$2,SP_TaxPar_DB[#Headers],0),FALSE)</f>
        <v>0</v>
      </c>
      <c r="M226" s="69">
        <f>VLOOKUP($A226,SP_TaxPar_DB[],MATCH(M$2,SP_TaxPar_DB[#Headers],0),FALSE)</f>
        <v>0</v>
      </c>
      <c r="N226" s="69">
        <f>VLOOKUP($A226,SP_TaxPar_DB[],MATCH(N$2,SP_TaxPar_DB[#Headers],0),FALSE)</f>
        <v>0</v>
      </c>
      <c r="O226" s="71">
        <f>VLOOKUP($A226,SP_TaxPar_DB[],MATCH(O$2,SP_TaxPar_DB[#Headers],0),FALSE)</f>
        <v>0</v>
      </c>
      <c r="P226" s="72"/>
      <c r="Q226" s="69"/>
      <c r="R226" s="73"/>
      <c r="S226" s="73"/>
      <c r="T226" s="69"/>
      <c r="U226" s="69"/>
      <c r="V226" s="69"/>
      <c r="W226" s="69"/>
      <c r="X226" s="69"/>
      <c r="Y226" s="69"/>
      <c r="Z226" s="69"/>
      <c r="AA226" s="69"/>
      <c r="AB226" s="74"/>
      <c r="AC226" s="73"/>
      <c r="AD226" s="73"/>
      <c r="AE226" s="74"/>
      <c r="AF226" s="68"/>
      <c r="AG226" s="68"/>
      <c r="AH226" s="74"/>
      <c r="AI226" s="68"/>
      <c r="AJ226" s="68"/>
      <c r="AK226" s="68"/>
      <c r="AL226" s="80"/>
      <c r="AM226" s="81"/>
      <c r="AN226" s="74"/>
      <c r="AO226" s="74"/>
      <c r="AP226" s="74"/>
      <c r="AQ226" s="74"/>
      <c r="AR226" s="74"/>
      <c r="AS226" s="74"/>
      <c r="AT226" s="74"/>
      <c r="AU226" s="74"/>
      <c r="AV226" s="74"/>
      <c r="AW226" s="84"/>
    </row>
    <row r="227" spans="1:49" ht="15.75" hidden="1" x14ac:dyDescent="0.2">
      <c r="A227" s="129" t="s">
        <v>2521</v>
      </c>
      <c r="B227" s="68" t="str">
        <f>VLOOKUP($A227,SP_TaxPar_DB[],MATCH(B$2,SP_TaxPar_DB[#Headers],0),FALSE)</f>
        <v>PH2</v>
      </c>
      <c r="C227" s="67" t="str">
        <f>IF(VLOOKUP($A227,SP_TaxPar_DB[],MATCH(C$2,SP_TaxPar_DB[#Headers],0),FALSE)="",0,VLOOKUP($A227,SP_TaxPar_DB[],MATCH(C$2,SP_TaxPar_DB[#Headers],0),FALSE))</f>
        <v>T211</v>
      </c>
      <c r="D227" s="67">
        <f>IF(VLOOKUP($A227,SP_TaxPar_DB[],MATCH(D$2,SP_TaxPar_DB[#Headers],0),FALSE)="",0,VLOOKUP($A227,SP_TaxPar_DB[],MATCH(D$2,SP_TaxPar_DB[#Headers],0),FALSE))</f>
        <v>0</v>
      </c>
      <c r="E227" s="69" t="str">
        <f>VLOOKUP($A227,SP_TaxPar_DB[],MATCH(E$2,SP_TaxPar_DB[#Headers],0),FALSE)</f>
        <v>GAD NANDAN P</v>
      </c>
      <c r="F227" s="69" t="str">
        <f>VLOOKUP($A227,SP_TaxPar_DB[],MATCH(F$2,SP_TaxPar_DB[#Headers],0),FALSE)</f>
        <v>1006 STAFORD ST</v>
      </c>
      <c r="G227" s="69" t="str">
        <f>VLOOKUP($A227,SP_TaxPar_DB[],MATCH(G$2,SP_TaxPar_DB[#Headers],0),FALSE)</f>
        <v>HOUSTON</v>
      </c>
      <c r="H227" s="69" t="str">
        <f>VLOOKUP($A227,SP_TaxPar_DB[],MATCH(H$2,SP_TaxPar_DB[#Headers],0),FALSE)</f>
        <v>TX</v>
      </c>
      <c r="I227" s="69" t="str">
        <f>VLOOKUP($A227,SP_TaxPar_DB[],MATCH(I$2,SP_TaxPar_DB[#Headers],0),FALSE)</f>
        <v>77019</v>
      </c>
      <c r="J227" s="69" t="str">
        <f>VLOOKUP($A227,SP_TaxPar_DB[],MATCH(J$2,SP_TaxPar_DB[#Headers],0),FALSE)</f>
        <v>UNLISTED</v>
      </c>
      <c r="K227" s="69" t="str">
        <f>VLOOKUP($A227,SP_TaxPar_DB[],MATCH(K$2,SP_TaxPar_DB[#Headers],0),FALSE)</f>
        <v>A20038 ABST.38 TRACT 55B-1 Acres:0.3400</v>
      </c>
      <c r="L227" s="69">
        <f>VLOOKUP($A227,SP_TaxPar_DB[],MATCH(L$2,SP_TaxPar_DB[#Headers],0),FALSE)</f>
        <v>0</v>
      </c>
      <c r="M227" s="69">
        <f>VLOOKUP($A227,SP_TaxPar_DB[],MATCH(M$2,SP_TaxPar_DB[#Headers],0),FALSE)</f>
        <v>0</v>
      </c>
      <c r="N227" s="69">
        <f>VLOOKUP($A227,SP_TaxPar_DB[],MATCH(N$2,SP_TaxPar_DB[#Headers],0),FALSE)</f>
        <v>0</v>
      </c>
      <c r="O227" s="71">
        <f>VLOOKUP($A227,SP_TaxPar_DB[],MATCH(O$2,SP_TaxPar_DB[#Headers],0),FALSE)</f>
        <v>0</v>
      </c>
      <c r="P227" s="72"/>
      <c r="Q227" s="69"/>
      <c r="R227" s="73"/>
      <c r="S227" s="73"/>
      <c r="T227" s="69"/>
      <c r="U227" s="69"/>
      <c r="V227" s="69"/>
      <c r="W227" s="69"/>
      <c r="X227" s="69"/>
      <c r="Y227" s="69"/>
      <c r="Z227" s="69"/>
      <c r="AA227" s="69"/>
      <c r="AB227" s="74"/>
      <c r="AC227" s="73"/>
      <c r="AD227" s="73"/>
      <c r="AE227" s="74"/>
      <c r="AF227" s="68"/>
      <c r="AG227" s="68"/>
      <c r="AH227" s="74"/>
      <c r="AI227" s="68"/>
      <c r="AJ227" s="68"/>
      <c r="AK227" s="68"/>
      <c r="AL227" s="80"/>
      <c r="AM227" s="81"/>
      <c r="AN227" s="74"/>
      <c r="AO227" s="74"/>
      <c r="AP227" s="74"/>
      <c r="AQ227" s="74"/>
      <c r="AR227" s="74"/>
      <c r="AS227" s="74"/>
      <c r="AT227" s="74"/>
      <c r="AU227" s="74"/>
      <c r="AV227" s="74"/>
      <c r="AW227" s="84"/>
    </row>
    <row r="228" spans="1:49" ht="15.75" hidden="1" x14ac:dyDescent="0.2">
      <c r="A228" s="129" t="s">
        <v>2524</v>
      </c>
      <c r="B228" s="68" t="str">
        <f>VLOOKUP($A228,SP_TaxPar_DB[],MATCH(B$2,SP_TaxPar_DB[#Headers],0),FALSE)</f>
        <v>PH2</v>
      </c>
      <c r="C228" s="67" t="str">
        <f>IF(VLOOKUP($A228,SP_TaxPar_DB[],MATCH(C$2,SP_TaxPar_DB[#Headers],0),FALSE)="",0,VLOOKUP($A228,SP_TaxPar_DB[],MATCH(C$2,SP_TaxPar_DB[#Headers],0),FALSE))</f>
        <v>T212</v>
      </c>
      <c r="D228" s="67">
        <f>IF(VLOOKUP($A228,SP_TaxPar_DB[],MATCH(D$2,SP_TaxPar_DB[#Headers],0),FALSE)="",0,VLOOKUP($A228,SP_TaxPar_DB[],MATCH(D$2,SP_TaxPar_DB[#Headers],0),FALSE))</f>
        <v>0</v>
      </c>
      <c r="E228" s="69" t="str">
        <f>VLOOKUP($A228,SP_TaxPar_DB[],MATCH(E$2,SP_TaxPar_DB[#Headers],0),FALSE)</f>
        <v>GUTTENBERGER GEORGE R</v>
      </c>
      <c r="F228" s="69" t="str">
        <f>VLOOKUP($A228,SP_TaxPar_DB[],MATCH(F$2,SP_TaxPar_DB[#Headers],0),FALSE)</f>
        <v>311 MARGARET</v>
      </c>
      <c r="G228" s="69" t="str">
        <f>VLOOKUP($A228,SP_TaxPar_DB[],MATCH(G$2,SP_TaxPar_DB[#Headers],0),FALSE)</f>
        <v>WHARTON</v>
      </c>
      <c r="H228" s="69" t="str">
        <f>VLOOKUP($A228,SP_TaxPar_DB[],MATCH(H$2,SP_TaxPar_DB[#Headers],0),FALSE)</f>
        <v>TX</v>
      </c>
      <c r="I228" s="69" t="str">
        <f>VLOOKUP($A228,SP_TaxPar_DB[],MATCH(I$2,SP_TaxPar_DB[#Headers],0),FALSE)</f>
        <v>77488</v>
      </c>
      <c r="J228" s="69" t="str">
        <f>VLOOKUP($A228,SP_TaxPar_DB[],MATCH(J$2,SP_TaxPar_DB[#Headers],0),FALSE)</f>
        <v>3518 N FULTON</v>
      </c>
      <c r="K228" s="69" t="str">
        <f>VLOOKUP($A228,SP_TaxPar_DB[],MATCH(K$2,SP_TaxPar_DB[#Headers],0),FALSE)</f>
        <v>A20038 ABST.38 TRACT 55C,55D Acres:1.3800</v>
      </c>
      <c r="L228" s="69">
        <f>VLOOKUP($A228,SP_TaxPar_DB[],MATCH(L$2,SP_TaxPar_DB[#Headers],0),FALSE)</f>
        <v>0</v>
      </c>
      <c r="M228" s="69">
        <f>VLOOKUP($A228,SP_TaxPar_DB[],MATCH(M$2,SP_TaxPar_DB[#Headers],0),FALSE)</f>
        <v>0</v>
      </c>
      <c r="N228" s="69">
        <f>VLOOKUP($A228,SP_TaxPar_DB[],MATCH(N$2,SP_TaxPar_DB[#Headers],0),FALSE)</f>
        <v>0</v>
      </c>
      <c r="O228" s="71">
        <f>VLOOKUP($A228,SP_TaxPar_DB[],MATCH(O$2,SP_TaxPar_DB[#Headers],0),FALSE)</f>
        <v>0</v>
      </c>
      <c r="P228" s="72"/>
      <c r="Q228" s="69"/>
      <c r="R228" s="73"/>
      <c r="S228" s="73"/>
      <c r="T228" s="69"/>
      <c r="U228" s="69"/>
      <c r="V228" s="69"/>
      <c r="W228" s="69"/>
      <c r="X228" s="69"/>
      <c r="Y228" s="69"/>
      <c r="Z228" s="69"/>
      <c r="AA228" s="69"/>
      <c r="AB228" s="74"/>
      <c r="AC228" s="73"/>
      <c r="AD228" s="73"/>
      <c r="AE228" s="74"/>
      <c r="AF228" s="68"/>
      <c r="AG228" s="68"/>
      <c r="AH228" s="74"/>
      <c r="AI228" s="68"/>
      <c r="AJ228" s="68"/>
      <c r="AK228" s="68"/>
      <c r="AL228" s="80"/>
      <c r="AM228" s="81"/>
      <c r="AN228" s="74"/>
      <c r="AO228" s="74"/>
      <c r="AP228" s="74"/>
      <c r="AQ228" s="74"/>
      <c r="AR228" s="74"/>
      <c r="AS228" s="74"/>
      <c r="AT228" s="74"/>
      <c r="AU228" s="74"/>
      <c r="AV228" s="74"/>
      <c r="AW228" s="84"/>
    </row>
    <row r="229" spans="1:49" ht="15.75" hidden="1" x14ac:dyDescent="0.2">
      <c r="A229" s="129" t="s">
        <v>2529</v>
      </c>
      <c r="B229" s="68" t="str">
        <f>VLOOKUP($A229,SP_TaxPar_DB[],MATCH(B$2,SP_TaxPar_DB[#Headers],0),FALSE)</f>
        <v>PH2</v>
      </c>
      <c r="C229" s="67" t="str">
        <f>IF(VLOOKUP($A229,SP_TaxPar_DB[],MATCH(C$2,SP_TaxPar_DB[#Headers],0),FALSE)="",0,VLOOKUP($A229,SP_TaxPar_DB[],MATCH(C$2,SP_TaxPar_DB[#Headers],0),FALSE))</f>
        <v>T213</v>
      </c>
      <c r="D229" s="67">
        <f>IF(VLOOKUP($A229,SP_TaxPar_DB[],MATCH(D$2,SP_TaxPar_DB[#Headers],0),FALSE)="",0,VLOOKUP($A229,SP_TaxPar_DB[],MATCH(D$2,SP_TaxPar_DB[#Headers],0),FALSE))</f>
        <v>0</v>
      </c>
      <c r="E229" s="69" t="str">
        <f>VLOOKUP($A229,SP_TaxPar_DB[],MATCH(E$2,SP_TaxPar_DB[#Headers],0),FALSE)</f>
        <v>LUERA NINFA R LIFE ESTATE</v>
      </c>
      <c r="F229" s="69" t="str">
        <f>VLOOKUP($A229,SP_TaxPar_DB[],MATCH(F$2,SP_TaxPar_DB[#Headers],0),FALSE)</f>
        <v>3510 N FULTON</v>
      </c>
      <c r="G229" s="69" t="str">
        <f>VLOOKUP($A229,SP_TaxPar_DB[],MATCH(G$2,SP_TaxPar_DB[#Headers],0),FALSE)</f>
        <v>WHARTON</v>
      </c>
      <c r="H229" s="69" t="str">
        <f>VLOOKUP($A229,SP_TaxPar_DB[],MATCH(H$2,SP_TaxPar_DB[#Headers],0),FALSE)</f>
        <v>TX</v>
      </c>
      <c r="I229" s="69" t="str">
        <f>VLOOKUP($A229,SP_TaxPar_DB[],MATCH(I$2,SP_TaxPar_DB[#Headers],0),FALSE)</f>
        <v>77488</v>
      </c>
      <c r="J229" s="69" t="str">
        <f>VLOOKUP($A229,SP_TaxPar_DB[],MATCH(J$2,SP_TaxPar_DB[#Headers],0),FALSE)</f>
        <v>3510 N FULTON</v>
      </c>
      <c r="K229" s="69" t="str">
        <f>VLOOKUP($A229,SP_TaxPar_DB[],MATCH(K$2,SP_TaxPar_DB[#Headers],0),FALSE)</f>
        <v>A20038 ABST.38 TRACT 55E-1,55E-2 Acres:0.6800</v>
      </c>
      <c r="L229" s="69">
        <f>VLOOKUP($A229,SP_TaxPar_DB[],MATCH(L$2,SP_TaxPar_DB[#Headers],0),FALSE)</f>
        <v>0</v>
      </c>
      <c r="M229" s="69">
        <f>VLOOKUP($A229,SP_TaxPar_DB[],MATCH(M$2,SP_TaxPar_DB[#Headers],0),FALSE)</f>
        <v>0</v>
      </c>
      <c r="N229" s="69">
        <f>VLOOKUP($A229,SP_TaxPar_DB[],MATCH(N$2,SP_TaxPar_DB[#Headers],0),FALSE)</f>
        <v>0</v>
      </c>
      <c r="O229" s="71">
        <f>VLOOKUP($A229,SP_TaxPar_DB[],MATCH(O$2,SP_TaxPar_DB[#Headers],0),FALSE)</f>
        <v>0</v>
      </c>
      <c r="P229" s="72"/>
      <c r="Q229" s="69"/>
      <c r="R229" s="73"/>
      <c r="S229" s="73"/>
      <c r="T229" s="69"/>
      <c r="U229" s="69"/>
      <c r="V229" s="69"/>
      <c r="W229" s="69"/>
      <c r="X229" s="69"/>
      <c r="Y229" s="69"/>
      <c r="Z229" s="69"/>
      <c r="AA229" s="69"/>
      <c r="AB229" s="74"/>
      <c r="AC229" s="73"/>
      <c r="AD229" s="73"/>
      <c r="AE229" s="74"/>
      <c r="AF229" s="68"/>
      <c r="AG229" s="68"/>
      <c r="AH229" s="74"/>
      <c r="AI229" s="68"/>
      <c r="AJ229" s="68"/>
      <c r="AK229" s="68"/>
      <c r="AL229" s="80"/>
      <c r="AM229" s="81"/>
      <c r="AN229" s="74"/>
      <c r="AO229" s="74"/>
      <c r="AP229" s="74"/>
      <c r="AQ229" s="74"/>
      <c r="AR229" s="74"/>
      <c r="AS229" s="74"/>
      <c r="AT229" s="74"/>
      <c r="AU229" s="74"/>
      <c r="AV229" s="74"/>
      <c r="AW229" s="84"/>
    </row>
    <row r="230" spans="1:49" ht="15.75" hidden="1" x14ac:dyDescent="0.2">
      <c r="A230" s="129" t="s">
        <v>5114</v>
      </c>
      <c r="B230" s="68" t="str">
        <f>VLOOKUP($A230,SP_TaxPar_DB[],MATCH(B$2,SP_TaxPar_DB[#Headers],0),FALSE)</f>
        <v>PH2</v>
      </c>
      <c r="C230" s="67" t="str">
        <f>IF(VLOOKUP($A230,SP_TaxPar_DB[],MATCH(C$2,SP_TaxPar_DB[#Headers],0),FALSE)="",0,VLOOKUP($A230,SP_TaxPar_DB[],MATCH(C$2,SP_TaxPar_DB[#Headers],0),FALSE))</f>
        <v>T267</v>
      </c>
      <c r="D230" s="67">
        <f>IF(VLOOKUP($A230,SP_TaxPar_DB[],MATCH(D$2,SP_TaxPar_DB[#Headers],0),FALSE)="",0,VLOOKUP($A230,SP_TaxPar_DB[],MATCH(D$2,SP_TaxPar_DB[#Headers],0),FALSE))</f>
        <v>0</v>
      </c>
      <c r="E230" s="69" t="str">
        <f>VLOOKUP($A230,SP_TaxPar_DB[],MATCH(E$2,SP_TaxPar_DB[#Headers],0),FALSE)</f>
        <v>TORRES CURTIS M.</v>
      </c>
      <c r="F230" s="69" t="str">
        <f>VLOOKUP($A230,SP_TaxPar_DB[],MATCH(F$2,SP_TaxPar_DB[#Headers],0),FALSE)</f>
        <v>3618 N FULTON</v>
      </c>
      <c r="G230" s="69" t="str">
        <f>VLOOKUP($A230,SP_TaxPar_DB[],MATCH(G$2,SP_TaxPar_DB[#Headers],0),FALSE)</f>
        <v>WHARTON</v>
      </c>
      <c r="H230" s="69" t="str">
        <f>VLOOKUP($A230,SP_TaxPar_DB[],MATCH(H$2,SP_TaxPar_DB[#Headers],0),FALSE)</f>
        <v>TX</v>
      </c>
      <c r="I230" s="69" t="str">
        <f>VLOOKUP($A230,SP_TaxPar_DB[],MATCH(I$2,SP_TaxPar_DB[#Headers],0),FALSE)</f>
        <v>77488</v>
      </c>
      <c r="J230" s="69" t="str">
        <f>VLOOKUP($A230,SP_TaxPar_DB[],MATCH(J$2,SP_TaxPar_DB[#Headers],0),FALSE)</f>
        <v>3618 N FULTON</v>
      </c>
      <c r="K230" s="69" t="str">
        <f>VLOOKUP($A230,SP_TaxPar_DB[],MATCH(K$2,SP_TaxPar_DB[#Headers],0),FALSE)</f>
        <v>A20038 ABST.38 TRACT 55F Acres:1.0330</v>
      </c>
      <c r="L230" s="69">
        <f>VLOOKUP($A230,SP_TaxPar_DB[],MATCH(L$2,SP_TaxPar_DB[#Headers],0),FALSE)</f>
        <v>1.0329999999999999</v>
      </c>
      <c r="M230" s="69" t="str">
        <f>VLOOKUP($A230,SP_TaxPar_DB[],MATCH(M$2,SP_TaxPar_DB[#Headers],0),FALSE)</f>
        <v>R</v>
      </c>
      <c r="N230" s="69" t="str">
        <f>VLOOKUP($A230,SP_TaxPar_DB[],MATCH(N$2,SP_TaxPar_DB[#Headers],0),FALSE)</f>
        <v>V485 PG889</v>
      </c>
      <c r="O230" s="71">
        <f>VLOOKUP($A230,SP_TaxPar_DB[],MATCH(O$2,SP_TaxPar_DB[#Headers],0),FALSE)</f>
        <v>0</v>
      </c>
      <c r="P230" s="72"/>
      <c r="Q230" s="69"/>
      <c r="R230" s="73"/>
      <c r="S230" s="73"/>
      <c r="T230" s="69"/>
      <c r="U230" s="69"/>
      <c r="V230" s="69"/>
      <c r="W230" s="69"/>
      <c r="X230" s="69"/>
      <c r="Y230" s="69"/>
      <c r="Z230" s="69"/>
      <c r="AA230" s="69"/>
      <c r="AB230" s="74"/>
      <c r="AC230" s="73"/>
      <c r="AD230" s="73"/>
      <c r="AE230" s="74"/>
      <c r="AF230" s="68"/>
      <c r="AG230" s="68"/>
      <c r="AH230" s="74"/>
      <c r="AI230" s="68"/>
      <c r="AJ230" s="68"/>
      <c r="AK230" s="68"/>
      <c r="AL230" s="80"/>
      <c r="AM230" s="81"/>
      <c r="AN230" s="74"/>
      <c r="AO230" s="74"/>
      <c r="AP230" s="74"/>
      <c r="AQ230" s="74"/>
      <c r="AR230" s="74"/>
      <c r="AS230" s="74"/>
      <c r="AT230" s="74"/>
      <c r="AU230" s="74"/>
      <c r="AV230" s="74"/>
      <c r="AW230" s="84"/>
    </row>
    <row r="231" spans="1:49" ht="15.75" hidden="1" x14ac:dyDescent="0.2">
      <c r="A231" s="129" t="s">
        <v>5118</v>
      </c>
      <c r="B231" s="68" t="str">
        <f>VLOOKUP($A231,SP_TaxPar_DB[],MATCH(B$2,SP_TaxPar_DB[#Headers],0),FALSE)</f>
        <v>PH2</v>
      </c>
      <c r="C231" s="67" t="str">
        <f>IF(VLOOKUP($A231,SP_TaxPar_DB[],MATCH(C$2,SP_TaxPar_DB[#Headers],0),FALSE)="",0,VLOOKUP($A231,SP_TaxPar_DB[],MATCH(C$2,SP_TaxPar_DB[#Headers],0),FALSE))</f>
        <v>T268</v>
      </c>
      <c r="D231" s="67">
        <f>IF(VLOOKUP($A231,SP_TaxPar_DB[],MATCH(D$2,SP_TaxPar_DB[#Headers],0),FALSE)="",0,VLOOKUP($A231,SP_TaxPar_DB[],MATCH(D$2,SP_TaxPar_DB[#Headers],0),FALSE))</f>
        <v>0</v>
      </c>
      <c r="E231" s="69" t="str">
        <f>VLOOKUP($A231,SP_TaxPar_DB[],MATCH(E$2,SP_TaxPar_DB[#Headers],0),FALSE)</f>
        <v>GARCIA LIONEL JR &amp; RACHEL M</v>
      </c>
      <c r="F231" s="69" t="str">
        <f>VLOOKUP($A231,SP_TaxPar_DB[],MATCH(F$2,SP_TaxPar_DB[#Headers],0),FALSE)</f>
        <v>3702 N FULTON</v>
      </c>
      <c r="G231" s="69" t="str">
        <f>VLOOKUP($A231,SP_TaxPar_DB[],MATCH(G$2,SP_TaxPar_DB[#Headers],0),FALSE)</f>
        <v>WHARTON</v>
      </c>
      <c r="H231" s="69" t="str">
        <f>VLOOKUP($A231,SP_TaxPar_DB[],MATCH(H$2,SP_TaxPar_DB[#Headers],0),FALSE)</f>
        <v>TX</v>
      </c>
      <c r="I231" s="69" t="str">
        <f>VLOOKUP($A231,SP_TaxPar_DB[],MATCH(I$2,SP_TaxPar_DB[#Headers],0),FALSE)</f>
        <v>77488</v>
      </c>
      <c r="J231" s="69" t="str">
        <f>VLOOKUP($A231,SP_TaxPar_DB[],MATCH(J$2,SP_TaxPar_DB[#Headers],0),FALSE)</f>
        <v>3702 N FULTON</v>
      </c>
      <c r="K231" s="69" t="str">
        <f>VLOOKUP($A231,SP_TaxPar_DB[],MATCH(K$2,SP_TaxPar_DB[#Headers],0),FALSE)</f>
        <v>A20038 ABST.38 TRACT 55G Acres:0.6890</v>
      </c>
      <c r="L231" s="69">
        <f>VLOOKUP($A231,SP_TaxPar_DB[],MATCH(L$2,SP_TaxPar_DB[#Headers],0),FALSE)</f>
        <v>0.68899999999999995</v>
      </c>
      <c r="M231" s="69" t="str">
        <f>VLOOKUP($A231,SP_TaxPar_DB[],MATCH(M$2,SP_TaxPar_DB[#Headers],0),FALSE)</f>
        <v>R</v>
      </c>
      <c r="N231" s="69" t="str">
        <f>VLOOKUP($A231,SP_TaxPar_DB[],MATCH(N$2,SP_TaxPar_DB[#Headers],0),FALSE)</f>
        <v>V948 PG800</v>
      </c>
      <c r="O231" s="71">
        <f>VLOOKUP($A231,SP_TaxPar_DB[],MATCH(O$2,SP_TaxPar_DB[#Headers],0),FALSE)</f>
        <v>0</v>
      </c>
      <c r="P231" s="72"/>
      <c r="Q231" s="69"/>
      <c r="R231" s="73"/>
      <c r="S231" s="73"/>
      <c r="T231" s="69"/>
      <c r="U231" s="69"/>
      <c r="V231" s="69"/>
      <c r="W231" s="69"/>
      <c r="X231" s="69"/>
      <c r="Y231" s="69"/>
      <c r="Z231" s="69"/>
      <c r="AA231" s="69"/>
      <c r="AB231" s="74"/>
      <c r="AC231" s="73"/>
      <c r="AD231" s="73"/>
      <c r="AE231" s="74"/>
      <c r="AF231" s="68"/>
      <c r="AG231" s="68"/>
      <c r="AH231" s="74"/>
      <c r="AI231" s="68"/>
      <c r="AJ231" s="68"/>
      <c r="AK231" s="68"/>
      <c r="AL231" s="80"/>
      <c r="AM231" s="81"/>
      <c r="AN231" s="74"/>
      <c r="AO231" s="74"/>
      <c r="AP231" s="74"/>
      <c r="AQ231" s="74"/>
      <c r="AR231" s="74"/>
      <c r="AS231" s="74"/>
      <c r="AT231" s="74"/>
      <c r="AU231" s="74"/>
      <c r="AV231" s="74"/>
      <c r="AW231" s="84"/>
    </row>
    <row r="232" spans="1:49" ht="15.75" hidden="1" x14ac:dyDescent="0.2">
      <c r="A232" s="129" t="s">
        <v>5121</v>
      </c>
      <c r="B232" s="68" t="str">
        <f>VLOOKUP($A232,SP_TaxPar_DB[],MATCH(B$2,SP_TaxPar_DB[#Headers],0),FALSE)</f>
        <v>PH2</v>
      </c>
      <c r="C232" s="67" t="str">
        <f>IF(VLOOKUP($A232,SP_TaxPar_DB[],MATCH(C$2,SP_TaxPar_DB[#Headers],0),FALSE)="",0,VLOOKUP($A232,SP_TaxPar_DB[],MATCH(C$2,SP_TaxPar_DB[#Headers],0),FALSE))</f>
        <v>T269</v>
      </c>
      <c r="D232" s="67">
        <f>IF(VLOOKUP($A232,SP_TaxPar_DB[],MATCH(D$2,SP_TaxPar_DB[#Headers],0),FALSE)="",0,VLOOKUP($A232,SP_TaxPar_DB[],MATCH(D$2,SP_TaxPar_DB[#Headers],0),FALSE))</f>
        <v>0</v>
      </c>
      <c r="E232" s="69" t="str">
        <f>VLOOKUP($A232,SP_TaxPar_DB[],MATCH(E$2,SP_TaxPar_DB[#Headers],0),FALSE)</f>
        <v>CANALES FRANK</v>
      </c>
      <c r="F232" s="69" t="str">
        <f>VLOOKUP($A232,SP_TaxPar_DB[],MATCH(F$2,SP_TaxPar_DB[#Headers],0),FALSE)</f>
        <v>3710 N FULTON</v>
      </c>
      <c r="G232" s="69" t="str">
        <f>VLOOKUP($A232,SP_TaxPar_DB[],MATCH(G$2,SP_TaxPar_DB[#Headers],0),FALSE)</f>
        <v>WHARTON</v>
      </c>
      <c r="H232" s="69" t="str">
        <f>VLOOKUP($A232,SP_TaxPar_DB[],MATCH(H$2,SP_TaxPar_DB[#Headers],0),FALSE)</f>
        <v>TX</v>
      </c>
      <c r="I232" s="69" t="str">
        <f>VLOOKUP($A232,SP_TaxPar_DB[],MATCH(I$2,SP_TaxPar_DB[#Headers],0),FALSE)</f>
        <v>77488</v>
      </c>
      <c r="J232" s="69" t="str">
        <f>VLOOKUP($A232,SP_TaxPar_DB[],MATCH(J$2,SP_TaxPar_DB[#Headers],0),FALSE)</f>
        <v>3710 N FULTON</v>
      </c>
      <c r="K232" s="69" t="str">
        <f>VLOOKUP($A232,SP_TaxPar_DB[],MATCH(K$2,SP_TaxPar_DB[#Headers],0),FALSE)</f>
        <v>A20038 ABST.38 TRACT 55H,55L Acres:1.0290</v>
      </c>
      <c r="L232" s="69">
        <f>VLOOKUP($A232,SP_TaxPar_DB[],MATCH(L$2,SP_TaxPar_DB[#Headers],0),FALSE)</f>
        <v>1.0289999999999999</v>
      </c>
      <c r="M232" s="69" t="str">
        <f>VLOOKUP($A232,SP_TaxPar_DB[],MATCH(M$2,SP_TaxPar_DB[#Headers],0),FALSE)</f>
        <v>R</v>
      </c>
      <c r="N232" s="69">
        <f>VLOOKUP($A232,SP_TaxPar_DB[],MATCH(N$2,SP_TaxPar_DB[#Headers],0),FALSE)</f>
        <v>0</v>
      </c>
      <c r="O232" s="71">
        <f>VLOOKUP($A232,SP_TaxPar_DB[],MATCH(O$2,SP_TaxPar_DB[#Headers],0),FALSE)</f>
        <v>0</v>
      </c>
      <c r="P232" s="72"/>
      <c r="Q232" s="69"/>
      <c r="R232" s="73"/>
      <c r="S232" s="73"/>
      <c r="T232" s="69"/>
      <c r="U232" s="69"/>
      <c r="V232" s="69"/>
      <c r="W232" s="69"/>
      <c r="X232" s="69"/>
      <c r="Y232" s="69"/>
      <c r="Z232" s="69"/>
      <c r="AA232" s="69"/>
      <c r="AB232" s="74"/>
      <c r="AC232" s="73"/>
      <c r="AD232" s="73"/>
      <c r="AE232" s="74"/>
      <c r="AF232" s="68"/>
      <c r="AG232" s="68"/>
      <c r="AH232" s="74"/>
      <c r="AI232" s="68"/>
      <c r="AJ232" s="68"/>
      <c r="AK232" s="68"/>
      <c r="AL232" s="80"/>
      <c r="AM232" s="81"/>
      <c r="AN232" s="74"/>
      <c r="AO232" s="74"/>
      <c r="AP232" s="74"/>
      <c r="AQ232" s="74"/>
      <c r="AR232" s="74"/>
      <c r="AS232" s="74"/>
      <c r="AT232" s="74"/>
      <c r="AU232" s="74"/>
      <c r="AV232" s="74"/>
      <c r="AW232" s="84"/>
    </row>
    <row r="233" spans="1:49" ht="15.75" hidden="1" x14ac:dyDescent="0.2">
      <c r="A233" s="129" t="s">
        <v>2533</v>
      </c>
      <c r="B233" s="68" t="str">
        <f>VLOOKUP($A233,SP_TaxPar_DB[],MATCH(B$2,SP_TaxPar_DB[#Headers],0),FALSE)</f>
        <v>ENV</v>
      </c>
      <c r="C233" s="67">
        <f>IF(VLOOKUP($A233,SP_TaxPar_DB[],MATCH(C$2,SP_TaxPar_DB[#Headers],0),FALSE)="",0,VLOOKUP($A233,SP_TaxPar_DB[],MATCH(C$2,SP_TaxPar_DB[#Headers],0),FALSE))</f>
        <v>0</v>
      </c>
      <c r="D233" s="67" t="str">
        <f>IF(VLOOKUP($A233,SP_TaxPar_DB[],MATCH(D$2,SP_TaxPar_DB[#Headers],0),FALSE)="",0,VLOOKUP($A233,SP_TaxPar_DB[],MATCH(D$2,SP_TaxPar_DB[#Headers],0),FALSE))</f>
        <v>214</v>
      </c>
      <c r="E233" s="69" t="str">
        <f>VLOOKUP($A233,SP_TaxPar_DB[],MATCH(E$2,SP_TaxPar_DB[#Headers],0),FALSE)</f>
        <v>BOEDEKER KELLY G</v>
      </c>
      <c r="F233" s="69" t="str">
        <f>VLOOKUP($A233,SP_TaxPar_DB[],MATCH(F$2,SP_TaxPar_DB[#Headers],0),FALSE)</f>
        <v>114 S HOUSTON</v>
      </c>
      <c r="G233" s="69" t="str">
        <f>VLOOKUP($A233,SP_TaxPar_DB[],MATCH(G$2,SP_TaxPar_DB[#Headers],0),FALSE)</f>
        <v>WHARTON</v>
      </c>
      <c r="H233" s="69" t="str">
        <f>VLOOKUP($A233,SP_TaxPar_DB[],MATCH(H$2,SP_TaxPar_DB[#Headers],0),FALSE)</f>
        <v>TX</v>
      </c>
      <c r="I233" s="69" t="str">
        <f>VLOOKUP($A233,SP_TaxPar_DB[],MATCH(I$2,SP_TaxPar_DB[#Headers],0),FALSE)</f>
        <v>77488</v>
      </c>
      <c r="J233" s="69" t="str">
        <f>VLOOKUP($A233,SP_TaxPar_DB[],MATCH(J$2,SP_TaxPar_DB[#Headers],0),FALSE)</f>
        <v>414 CR 144</v>
      </c>
      <c r="K233" s="69" t="str">
        <f>VLOOKUP($A233,SP_TaxPar_DB[],MATCH(K$2,SP_TaxPar_DB[#Headers],0),FALSE)</f>
        <v>A20038 ABST.38 TRACT 55S Acres:0.8610</v>
      </c>
      <c r="L233" s="69">
        <f>VLOOKUP($A233,SP_TaxPar_DB[],MATCH(L$2,SP_TaxPar_DB[#Headers],0),FALSE)</f>
        <v>0</v>
      </c>
      <c r="M233" s="69">
        <f>VLOOKUP($A233,SP_TaxPar_DB[],MATCH(M$2,SP_TaxPar_DB[#Headers],0),FALSE)</f>
        <v>0</v>
      </c>
      <c r="N233" s="69">
        <f>VLOOKUP($A233,SP_TaxPar_DB[],MATCH(N$2,SP_TaxPar_DB[#Headers],0),FALSE)</f>
        <v>0</v>
      </c>
      <c r="O233" s="71">
        <f>VLOOKUP($A233,SP_TaxPar_DB[],MATCH(O$2,SP_TaxPar_DB[#Headers],0),FALSE)</f>
        <v>0</v>
      </c>
      <c r="P233" s="72"/>
      <c r="Q233" s="69"/>
      <c r="R233" s="73"/>
      <c r="S233" s="73"/>
      <c r="T233" s="69"/>
      <c r="U233" s="69"/>
      <c r="V233" s="69"/>
      <c r="W233" s="69"/>
      <c r="X233" s="69"/>
      <c r="Y233" s="69"/>
      <c r="Z233" s="69"/>
      <c r="AA233" s="69"/>
      <c r="AB233" s="74"/>
      <c r="AC233" s="73"/>
      <c r="AD233" s="73"/>
      <c r="AE233" s="74"/>
      <c r="AF233" s="68"/>
      <c r="AG233" s="68"/>
      <c r="AH233" s="74"/>
      <c r="AI233" s="68"/>
      <c r="AJ233" s="68"/>
      <c r="AK233" s="68"/>
      <c r="AL233" s="80"/>
      <c r="AM233" s="81"/>
      <c r="AN233" s="74"/>
      <c r="AO233" s="74"/>
      <c r="AP233" s="74"/>
      <c r="AQ233" s="74"/>
      <c r="AR233" s="74"/>
      <c r="AS233" s="74"/>
      <c r="AT233" s="74"/>
      <c r="AU233" s="74"/>
      <c r="AV233" s="74"/>
      <c r="AW233" s="84"/>
    </row>
    <row r="234" spans="1:49" ht="15.75" hidden="1" x14ac:dyDescent="0.2">
      <c r="A234" s="129" t="s">
        <v>2538</v>
      </c>
      <c r="B234" s="68" t="str">
        <f>VLOOKUP($A234,SP_TaxPar_DB[],MATCH(B$2,SP_TaxPar_DB[#Headers],0),FALSE)</f>
        <v>PH2</v>
      </c>
      <c r="C234" s="67" t="str">
        <f>IF(VLOOKUP($A234,SP_TaxPar_DB[],MATCH(C$2,SP_TaxPar_DB[#Headers],0),FALSE)="",0,VLOOKUP($A234,SP_TaxPar_DB[],MATCH(C$2,SP_TaxPar_DB[#Headers],0),FALSE))</f>
        <v>T215</v>
      </c>
      <c r="D234" s="67">
        <f>IF(VLOOKUP($A234,SP_TaxPar_DB[],MATCH(D$2,SP_TaxPar_DB[#Headers],0),FALSE)="",0,VLOOKUP($A234,SP_TaxPar_DB[],MATCH(D$2,SP_TaxPar_DB[#Headers],0),FALSE))</f>
        <v>0</v>
      </c>
      <c r="E234" s="69" t="str">
        <f>VLOOKUP($A234,SP_TaxPar_DB[],MATCH(E$2,SP_TaxPar_DB[#Headers],0),FALSE)</f>
        <v>NELSON ERNESTINE</v>
      </c>
      <c r="F234" s="69" t="str">
        <f>VLOOKUP($A234,SP_TaxPar_DB[],MATCH(F$2,SP_TaxPar_DB[#Headers],0),FALSE)</f>
        <v>3322 JUNIOR COLLEGE BLVD</v>
      </c>
      <c r="G234" s="69" t="str">
        <f>VLOOKUP($A234,SP_TaxPar_DB[],MATCH(G$2,SP_TaxPar_DB[#Headers],0),FALSE)</f>
        <v>WHARTON</v>
      </c>
      <c r="H234" s="69" t="str">
        <f>VLOOKUP($A234,SP_TaxPar_DB[],MATCH(H$2,SP_TaxPar_DB[#Headers],0),FALSE)</f>
        <v>TX</v>
      </c>
      <c r="I234" s="69" t="str">
        <f>VLOOKUP($A234,SP_TaxPar_DB[],MATCH(I$2,SP_TaxPar_DB[#Headers],0),FALSE)</f>
        <v>77488-9682</v>
      </c>
      <c r="J234" s="69" t="str">
        <f>VLOOKUP($A234,SP_TaxPar_DB[],MATCH(J$2,SP_TaxPar_DB[#Headers],0),FALSE)</f>
        <v>3322 CR 135</v>
      </c>
      <c r="K234" s="69" t="str">
        <f>VLOOKUP($A234,SP_TaxPar_DB[],MATCH(K$2,SP_TaxPar_DB[#Headers],0),FALSE)</f>
        <v>A20001 ABST.1 TRACT 10C-2,10C-3,10C-4 Acres:1.0647</v>
      </c>
      <c r="L234" s="69">
        <f>VLOOKUP($A234,SP_TaxPar_DB[],MATCH(L$2,SP_TaxPar_DB[#Headers],0),FALSE)</f>
        <v>0</v>
      </c>
      <c r="M234" s="69">
        <f>VLOOKUP($A234,SP_TaxPar_DB[],MATCH(M$2,SP_TaxPar_DB[#Headers],0),FALSE)</f>
        <v>0</v>
      </c>
      <c r="N234" s="69">
        <f>VLOOKUP($A234,SP_TaxPar_DB[],MATCH(N$2,SP_TaxPar_DB[#Headers],0),FALSE)</f>
        <v>0</v>
      </c>
      <c r="O234" s="71">
        <f>VLOOKUP($A234,SP_TaxPar_DB[],MATCH(O$2,SP_TaxPar_DB[#Headers],0),FALSE)</f>
        <v>0</v>
      </c>
      <c r="P234" s="72"/>
      <c r="Q234" s="69"/>
      <c r="R234" s="73"/>
      <c r="S234" s="73"/>
      <c r="T234" s="69"/>
      <c r="U234" s="69"/>
      <c r="V234" s="69"/>
      <c r="W234" s="69"/>
      <c r="X234" s="69"/>
      <c r="Y234" s="69"/>
      <c r="Z234" s="69"/>
      <c r="AA234" s="69"/>
      <c r="AB234" s="74"/>
      <c r="AC234" s="73"/>
      <c r="AD234" s="73"/>
      <c r="AE234" s="74"/>
      <c r="AF234" s="68"/>
      <c r="AG234" s="68"/>
      <c r="AH234" s="74"/>
      <c r="AI234" s="68"/>
      <c r="AJ234" s="68"/>
      <c r="AK234" s="68"/>
      <c r="AL234" s="80"/>
      <c r="AM234" s="81"/>
      <c r="AN234" s="74"/>
      <c r="AO234" s="74"/>
      <c r="AP234" s="74"/>
      <c r="AQ234" s="74"/>
      <c r="AR234" s="74"/>
      <c r="AS234" s="74"/>
      <c r="AT234" s="74"/>
      <c r="AU234" s="74"/>
      <c r="AV234" s="74"/>
      <c r="AW234" s="84"/>
    </row>
    <row r="235" spans="1:49" ht="15.75" hidden="1" x14ac:dyDescent="0.2">
      <c r="A235" s="129" t="s">
        <v>495</v>
      </c>
      <c r="B235" s="68" t="str">
        <f>VLOOKUP($A235,SP_TaxPar_DB[],MATCH(B$2,SP_TaxPar_DB[#Headers],0),FALSE)</f>
        <v>PH1</v>
      </c>
      <c r="C235" s="67" t="str">
        <f>IF(VLOOKUP($A235,SP_TaxPar_DB[],MATCH(C$2,SP_TaxPar_DB[#Headers],0),FALSE)="",0,VLOOKUP($A235,SP_TaxPar_DB[],MATCH(C$2,SP_TaxPar_DB[#Headers],0),FALSE))</f>
        <v>213</v>
      </c>
      <c r="D235" s="67">
        <f>IF(VLOOKUP($A235,SP_TaxPar_DB[],MATCH(D$2,SP_TaxPar_DB[#Headers],0),FALSE)="",0,VLOOKUP($A235,SP_TaxPar_DB[],MATCH(D$2,SP_TaxPar_DB[#Headers],0),FALSE))</f>
        <v>0</v>
      </c>
      <c r="E235" s="69" t="str">
        <f>VLOOKUP($A235,SP_TaxPar_DB[],MATCH(E$2,SP_TaxPar_DB[#Headers],0),FALSE)</f>
        <v>Curtis Wade Evans</v>
      </c>
      <c r="F235" s="69" t="str">
        <f>VLOOKUP($A235,SP_TaxPar_DB[],MATCH(F$2,SP_TaxPar_DB[#Headers],0),FALSE)</f>
        <v>436 S Sheppard</v>
      </c>
      <c r="G235" s="69" t="str">
        <f>VLOOKUP($A235,SP_TaxPar_DB[],MATCH(G$2,SP_TaxPar_DB[#Headers],0),FALSE)</f>
        <v>Wharton</v>
      </c>
      <c r="H235" s="69" t="str">
        <f>VLOOKUP($A235,SP_TaxPar_DB[],MATCH(H$2,SP_TaxPar_DB[#Headers],0),FALSE)</f>
        <v>TX</v>
      </c>
      <c r="I235" s="69" t="str">
        <f>VLOOKUP($A235,SP_TaxPar_DB[],MATCH(I$2,SP_TaxPar_DB[#Headers],0),FALSE)</f>
        <v>77488</v>
      </c>
      <c r="J235" s="69" t="str">
        <f>VLOOKUP($A235,SP_TaxPar_DB[],MATCH(J$2,SP_TaxPar_DB[#Headers],0),FALSE)</f>
        <v>420 S Sheppard</v>
      </c>
      <c r="K235" s="69" t="str">
        <f>VLOOKUP($A235,SP_TaxPar_DB[],MATCH(K$2,SP_TaxPar_DB[#Headers],0),FALSE)</f>
        <v>Little Mexico Lot 7</v>
      </c>
      <c r="L235" s="69">
        <f>VLOOKUP($A235,SP_TaxPar_DB[],MATCH(L$2,SP_TaxPar_DB[#Headers],0),FALSE)</f>
        <v>0.1714</v>
      </c>
      <c r="M235" s="69" t="str">
        <f>VLOOKUP($A235,SP_TaxPar_DB[],MATCH(M$2,SP_TaxPar_DB[#Headers],0),FALSE)</f>
        <v>Res -Vacant</v>
      </c>
      <c r="N235" s="69" t="str">
        <f>VLOOKUP($A235,SP_TaxPar_DB[],MATCH(N$2,SP_TaxPar_DB[#Headers],0),FALSE)</f>
        <v>1039 / 551</v>
      </c>
      <c r="O235" s="71">
        <f>VLOOKUP($A235,SP_TaxPar_DB[],MATCH(O$2,SP_TaxPar_DB[#Headers],0),FALSE)</f>
        <v>0</v>
      </c>
      <c r="P235" s="72"/>
      <c r="Q235" s="69"/>
      <c r="R235" s="73"/>
      <c r="S235" s="73"/>
      <c r="T235" s="69"/>
      <c r="U235" s="69"/>
      <c r="V235" s="69"/>
      <c r="W235" s="69"/>
      <c r="X235" s="69"/>
      <c r="Y235" s="69"/>
      <c r="Z235" s="69"/>
      <c r="AA235" s="69"/>
      <c r="AB235" s="74"/>
      <c r="AC235" s="73"/>
      <c r="AD235" s="73"/>
      <c r="AE235" s="74"/>
      <c r="AF235" s="68"/>
      <c r="AG235" s="68"/>
      <c r="AH235" s="74"/>
      <c r="AI235" s="68"/>
      <c r="AJ235" s="68"/>
      <c r="AK235" s="68"/>
      <c r="AL235" s="80"/>
      <c r="AM235" s="81"/>
      <c r="AN235" s="74"/>
      <c r="AO235" s="74"/>
      <c r="AP235" s="74"/>
      <c r="AQ235" s="74"/>
      <c r="AR235" s="74"/>
      <c r="AS235" s="74"/>
      <c r="AT235" s="74"/>
      <c r="AU235" s="74"/>
      <c r="AV235" s="74"/>
      <c r="AW235" s="84"/>
    </row>
    <row r="236" spans="1:49" ht="15.75" hidden="1" x14ac:dyDescent="0.2">
      <c r="A236" s="129" t="s">
        <v>499</v>
      </c>
      <c r="B236" s="68" t="str">
        <f>VLOOKUP($A236,SP_TaxPar_DB[],MATCH(B$2,SP_TaxPar_DB[#Headers],0),FALSE)</f>
        <v>PH1</v>
      </c>
      <c r="C236" s="67" t="str">
        <f>IF(VLOOKUP($A236,SP_TaxPar_DB[],MATCH(C$2,SP_TaxPar_DB[#Headers],0),FALSE)="",0,VLOOKUP($A236,SP_TaxPar_DB[],MATCH(C$2,SP_TaxPar_DB[#Headers],0),FALSE))</f>
        <v>224</v>
      </c>
      <c r="D236" s="67">
        <f>IF(VLOOKUP($A236,SP_TaxPar_DB[],MATCH(D$2,SP_TaxPar_DB[#Headers],0),FALSE)="",0,VLOOKUP($A236,SP_TaxPar_DB[],MATCH(D$2,SP_TaxPar_DB[#Headers],0),FALSE))</f>
        <v>0</v>
      </c>
      <c r="E236" s="69" t="str">
        <f>VLOOKUP($A236,SP_TaxPar_DB[],MATCH(E$2,SP_TaxPar_DB[#Headers],0),FALSE)</f>
        <v>W A Harrison Agriculture LTD, W A Harrison Jr.</v>
      </c>
      <c r="F236" s="69" t="str">
        <f>VLOOKUP($A236,SP_TaxPar_DB[],MATCH(F$2,SP_TaxPar_DB[#Headers],0),FALSE)</f>
        <v>5318 Inwood</v>
      </c>
      <c r="G236" s="69" t="str">
        <f>VLOOKUP($A236,SP_TaxPar_DB[],MATCH(G$2,SP_TaxPar_DB[#Headers],0),FALSE)</f>
        <v>Houston</v>
      </c>
      <c r="H236" s="69" t="str">
        <f>VLOOKUP($A236,SP_TaxPar_DB[],MATCH(H$2,SP_TaxPar_DB[#Headers],0),FALSE)</f>
        <v>TX</v>
      </c>
      <c r="I236" s="69" t="str">
        <f>VLOOKUP($A236,SP_TaxPar_DB[],MATCH(I$2,SP_TaxPar_DB[#Headers],0),FALSE)</f>
        <v>77056</v>
      </c>
      <c r="J236" s="69" t="str">
        <f>VLOOKUP($A236,SP_TaxPar_DB[],MATCH(J$2,SP_TaxPar_DB[#Headers],0),FALSE)</f>
        <v>FM 102</v>
      </c>
      <c r="K236" s="69" t="str">
        <f>VLOOKUP($A236,SP_TaxPar_DB[],MATCH(K$2,SP_TaxPar_DB[#Headers],0),FALSE)</f>
        <v>A20034 ABST .34 Tract 44A, 53</v>
      </c>
      <c r="L236" s="69">
        <f>VLOOKUP($A236,SP_TaxPar_DB[],MATCH(L$2,SP_TaxPar_DB[#Headers],0),FALSE)</f>
        <v>23.302099999999999</v>
      </c>
      <c r="M236" s="69" t="str">
        <f>VLOOKUP($A236,SP_TaxPar_DB[],MATCH(M$2,SP_TaxPar_DB[#Headers],0),FALSE)</f>
        <v>Ag Land / Residential</v>
      </c>
      <c r="N236" s="69" t="str">
        <f>VLOOKUP($A236,SP_TaxPar_DB[],MATCH(N$2,SP_TaxPar_DB[#Headers],0),FALSE)</f>
        <v>1000 / 476</v>
      </c>
      <c r="O236" s="71">
        <f>VLOOKUP($A236,SP_TaxPar_DB[],MATCH(O$2,SP_TaxPar_DB[#Headers],0),FALSE)</f>
        <v>0</v>
      </c>
      <c r="P236" s="72"/>
      <c r="Q236" s="69"/>
      <c r="R236" s="73"/>
      <c r="S236" s="73"/>
      <c r="T236" s="69"/>
      <c r="U236" s="69"/>
      <c r="V236" s="69"/>
      <c r="W236" s="69"/>
      <c r="X236" s="69"/>
      <c r="Y236" s="69"/>
      <c r="Z236" s="69"/>
      <c r="AA236" s="69"/>
      <c r="AB236" s="74"/>
      <c r="AC236" s="73"/>
      <c r="AD236" s="73"/>
      <c r="AE236" s="74"/>
      <c r="AF236" s="68"/>
      <c r="AG236" s="68"/>
      <c r="AH236" s="74"/>
      <c r="AI236" s="68"/>
      <c r="AJ236" s="68"/>
      <c r="AK236" s="68"/>
      <c r="AL236" s="80"/>
      <c r="AM236" s="81"/>
      <c r="AN236" s="74"/>
      <c r="AO236" s="74"/>
      <c r="AP236" s="74"/>
      <c r="AQ236" s="74"/>
      <c r="AR236" s="74"/>
      <c r="AS236" s="74"/>
      <c r="AT236" s="74"/>
      <c r="AU236" s="74"/>
      <c r="AV236" s="74"/>
      <c r="AW236" s="84"/>
    </row>
    <row r="237" spans="1:49" ht="15.75" hidden="1" x14ac:dyDescent="0.2">
      <c r="A237" s="129" t="s">
        <v>502</v>
      </c>
      <c r="B237" s="68" t="str">
        <f>VLOOKUP($A237,SP_TaxPar_DB[],MATCH(B$2,SP_TaxPar_DB[#Headers],0),FALSE)</f>
        <v>PH1</v>
      </c>
      <c r="C237" s="67" t="str">
        <f>IF(VLOOKUP($A237,SP_TaxPar_DB[],MATCH(C$2,SP_TaxPar_DB[#Headers],0),FALSE)="",0,VLOOKUP($A237,SP_TaxPar_DB[],MATCH(C$2,SP_TaxPar_DB[#Headers],0),FALSE))</f>
        <v>224</v>
      </c>
      <c r="D237" s="67">
        <f>IF(VLOOKUP($A237,SP_TaxPar_DB[],MATCH(D$2,SP_TaxPar_DB[#Headers],0),FALSE)="",0,VLOOKUP($A237,SP_TaxPar_DB[],MATCH(D$2,SP_TaxPar_DB[#Headers],0),FALSE))</f>
        <v>0</v>
      </c>
      <c r="E237" s="69" t="str">
        <f>VLOOKUP($A237,SP_TaxPar_DB[],MATCH(E$2,SP_TaxPar_DB[#Headers],0),FALSE)</f>
        <v>W A Harrison Agriculture LTD, W A Harrison Jr.</v>
      </c>
      <c r="F237" s="69" t="str">
        <f>VLOOKUP($A237,SP_TaxPar_DB[],MATCH(F$2,SP_TaxPar_DB[#Headers],0),FALSE)</f>
        <v>5318 Inwood</v>
      </c>
      <c r="G237" s="69" t="str">
        <f>VLOOKUP($A237,SP_TaxPar_DB[],MATCH(G$2,SP_TaxPar_DB[#Headers],0),FALSE)</f>
        <v>Houston</v>
      </c>
      <c r="H237" s="69" t="str">
        <f>VLOOKUP($A237,SP_TaxPar_DB[],MATCH(H$2,SP_TaxPar_DB[#Headers],0),FALSE)</f>
        <v>TX</v>
      </c>
      <c r="I237" s="69" t="str">
        <f>VLOOKUP($A237,SP_TaxPar_DB[],MATCH(I$2,SP_TaxPar_DB[#Headers],0),FALSE)</f>
        <v>77056</v>
      </c>
      <c r="J237" s="69" t="str">
        <f>VLOOKUP($A237,SP_TaxPar_DB[],MATCH(J$2,SP_TaxPar_DB[#Headers],0),FALSE)</f>
        <v>FM 102</v>
      </c>
      <c r="K237" s="69" t="str">
        <f>VLOOKUP($A237,SP_TaxPar_DB[],MATCH(K$2,SP_TaxPar_DB[#Headers],0),FALSE)</f>
        <v>A20038 ABST .38 Tract 52D</v>
      </c>
      <c r="L237" s="69">
        <f>VLOOKUP($A237,SP_TaxPar_DB[],MATCH(L$2,SP_TaxPar_DB[#Headers],0),FALSE)</f>
        <v>37.133499999999998</v>
      </c>
      <c r="M237" s="69" t="str">
        <f>VLOOKUP($A237,SP_TaxPar_DB[],MATCH(M$2,SP_TaxPar_DB[#Headers],0),FALSE)</f>
        <v>Ag Land</v>
      </c>
      <c r="N237" s="69" t="str">
        <f>VLOOKUP($A237,SP_TaxPar_DB[],MATCH(N$2,SP_TaxPar_DB[#Headers],0),FALSE)</f>
        <v>1000 / 476</v>
      </c>
      <c r="O237" s="71">
        <f>VLOOKUP($A237,SP_TaxPar_DB[],MATCH(O$2,SP_TaxPar_DB[#Headers],0),FALSE)</f>
        <v>0</v>
      </c>
      <c r="P237" s="72"/>
      <c r="Q237" s="69"/>
      <c r="R237" s="73"/>
      <c r="S237" s="73"/>
      <c r="T237" s="69"/>
      <c r="U237" s="69"/>
      <c r="V237" s="69"/>
      <c r="W237" s="69"/>
      <c r="X237" s="69"/>
      <c r="Y237" s="69"/>
      <c r="Z237" s="69"/>
      <c r="AA237" s="69"/>
      <c r="AB237" s="74"/>
      <c r="AC237" s="73"/>
      <c r="AD237" s="73"/>
      <c r="AE237" s="74"/>
      <c r="AF237" s="68"/>
      <c r="AG237" s="68"/>
      <c r="AH237" s="74"/>
      <c r="AI237" s="68"/>
      <c r="AJ237" s="68"/>
      <c r="AK237" s="68"/>
      <c r="AL237" s="80"/>
      <c r="AM237" s="81"/>
      <c r="AN237" s="74"/>
      <c r="AO237" s="74"/>
      <c r="AP237" s="74"/>
      <c r="AQ237" s="74"/>
      <c r="AR237" s="74"/>
      <c r="AS237" s="74"/>
      <c r="AT237" s="74"/>
      <c r="AU237" s="74"/>
      <c r="AV237" s="74"/>
      <c r="AW237" s="84"/>
    </row>
    <row r="238" spans="1:49" ht="15.75" hidden="1" x14ac:dyDescent="0.2">
      <c r="A238" s="129" t="s">
        <v>2544</v>
      </c>
      <c r="B238" s="68" t="str">
        <f>VLOOKUP($A238,SP_TaxPar_DB[],MATCH(B$2,SP_TaxPar_DB[#Headers],0),FALSE)</f>
        <v>ENV</v>
      </c>
      <c r="C238" s="67">
        <f>IF(VLOOKUP($A238,SP_TaxPar_DB[],MATCH(C$2,SP_TaxPar_DB[#Headers],0),FALSE)="",0,VLOOKUP($A238,SP_TaxPar_DB[],MATCH(C$2,SP_TaxPar_DB[#Headers],0),FALSE))</f>
        <v>0</v>
      </c>
      <c r="D238" s="67" t="str">
        <f>IF(VLOOKUP($A238,SP_TaxPar_DB[],MATCH(D$2,SP_TaxPar_DB[#Headers],0),FALSE)="",0,VLOOKUP($A238,SP_TaxPar_DB[],MATCH(D$2,SP_TaxPar_DB[#Headers],0),FALSE))</f>
        <v>219</v>
      </c>
      <c r="E238" s="69" t="str">
        <f>VLOOKUP($A238,SP_TaxPar_DB[],MATCH(E$2,SP_TaxPar_DB[#Headers],0),FALSE)</f>
        <v>SHANKLIN JULIUS</v>
      </c>
      <c r="F238" s="69" t="str">
        <f>VLOOKUP($A238,SP_TaxPar_DB[],MATCH(F$2,SP_TaxPar_DB[#Headers],0),FALSE)</f>
        <v>220 N WILKES</v>
      </c>
      <c r="G238" s="69" t="str">
        <f>VLOOKUP($A238,SP_TaxPar_DB[],MATCH(G$2,SP_TaxPar_DB[#Headers],0),FALSE)</f>
        <v>WHARTON</v>
      </c>
      <c r="H238" s="69" t="str">
        <f>VLOOKUP($A238,SP_TaxPar_DB[],MATCH(H$2,SP_TaxPar_DB[#Headers],0),FALSE)</f>
        <v>TX</v>
      </c>
      <c r="I238" s="69" t="str">
        <f>VLOOKUP($A238,SP_TaxPar_DB[],MATCH(I$2,SP_TaxPar_DB[#Headers],0),FALSE)</f>
        <v>77488</v>
      </c>
      <c r="J238" s="69" t="str">
        <f>VLOOKUP($A238,SP_TaxPar_DB[],MATCH(J$2,SP_TaxPar_DB[#Headers],0),FALSE)</f>
        <v>220 WILKES</v>
      </c>
      <c r="K238" s="69" t="str">
        <f>VLOOKUP($A238,SP_TaxPar_DB[],MATCH(K$2,SP_TaxPar_DB[#Headers],0),FALSE)</f>
        <v>JOHN HARRIS LOT 64D-11 Acres:0.5868</v>
      </c>
      <c r="L238" s="69">
        <f>VLOOKUP($A238,SP_TaxPar_DB[],MATCH(L$2,SP_TaxPar_DB[#Headers],0),FALSE)</f>
        <v>0</v>
      </c>
      <c r="M238" s="69">
        <f>VLOOKUP($A238,SP_TaxPar_DB[],MATCH(M$2,SP_TaxPar_DB[#Headers],0),FALSE)</f>
        <v>0</v>
      </c>
      <c r="N238" s="69">
        <f>VLOOKUP($A238,SP_TaxPar_DB[],MATCH(N$2,SP_TaxPar_DB[#Headers],0),FALSE)</f>
        <v>0</v>
      </c>
      <c r="O238" s="71">
        <f>VLOOKUP($A238,SP_TaxPar_DB[],MATCH(O$2,SP_TaxPar_DB[#Headers],0),FALSE)</f>
        <v>0</v>
      </c>
      <c r="P238" s="72"/>
      <c r="Q238" s="69"/>
      <c r="R238" s="73"/>
      <c r="S238" s="73"/>
      <c r="T238" s="69"/>
      <c r="U238" s="69"/>
      <c r="V238" s="69"/>
      <c r="W238" s="69"/>
      <c r="X238" s="69"/>
      <c r="Y238" s="69"/>
      <c r="Z238" s="69"/>
      <c r="AA238" s="69"/>
      <c r="AB238" s="74"/>
      <c r="AC238" s="73"/>
      <c r="AD238" s="73"/>
      <c r="AE238" s="74"/>
      <c r="AF238" s="68"/>
      <c r="AG238" s="68"/>
      <c r="AH238" s="74"/>
      <c r="AI238" s="68"/>
      <c r="AJ238" s="68"/>
      <c r="AK238" s="68"/>
      <c r="AL238" s="80"/>
      <c r="AM238" s="81"/>
      <c r="AN238" s="74"/>
      <c r="AO238" s="74"/>
      <c r="AP238" s="74"/>
      <c r="AQ238" s="74"/>
      <c r="AR238" s="74"/>
      <c r="AS238" s="74"/>
      <c r="AT238" s="74"/>
      <c r="AU238" s="74"/>
      <c r="AV238" s="74"/>
      <c r="AW238" s="84"/>
    </row>
    <row r="239" spans="1:49" ht="15.75" hidden="1" x14ac:dyDescent="0.2">
      <c r="A239" s="129" t="s">
        <v>2549</v>
      </c>
      <c r="B239" s="68" t="str">
        <f>VLOOKUP($A239,SP_TaxPar_DB[],MATCH(B$2,SP_TaxPar_DB[#Headers],0),FALSE)</f>
        <v>ENV</v>
      </c>
      <c r="C239" s="67">
        <f>IF(VLOOKUP($A239,SP_TaxPar_DB[],MATCH(C$2,SP_TaxPar_DB[#Headers],0),FALSE)="",0,VLOOKUP($A239,SP_TaxPar_DB[],MATCH(C$2,SP_TaxPar_DB[#Headers],0),FALSE))</f>
        <v>0</v>
      </c>
      <c r="D239" s="67" t="str">
        <f>IF(VLOOKUP($A239,SP_TaxPar_DB[],MATCH(D$2,SP_TaxPar_DB[#Headers],0),FALSE)="",0,VLOOKUP($A239,SP_TaxPar_DB[],MATCH(D$2,SP_TaxPar_DB[#Headers],0),FALSE))</f>
        <v>220</v>
      </c>
      <c r="E239" s="69" t="str">
        <f>VLOOKUP($A239,SP_TaxPar_DB[],MATCH(E$2,SP_TaxPar_DB[#Headers],0),FALSE)</f>
        <v>SHANKLIN JULIUS</v>
      </c>
      <c r="F239" s="69" t="str">
        <f>VLOOKUP($A239,SP_TaxPar_DB[],MATCH(F$2,SP_TaxPar_DB[#Headers],0),FALSE)</f>
        <v>220 N WILKES</v>
      </c>
      <c r="G239" s="69" t="str">
        <f>VLOOKUP($A239,SP_TaxPar_DB[],MATCH(G$2,SP_TaxPar_DB[#Headers],0),FALSE)</f>
        <v>WHARTON</v>
      </c>
      <c r="H239" s="69" t="str">
        <f>VLOOKUP($A239,SP_TaxPar_DB[],MATCH(H$2,SP_TaxPar_DB[#Headers],0),FALSE)</f>
        <v>TX</v>
      </c>
      <c r="I239" s="69" t="str">
        <f>VLOOKUP($A239,SP_TaxPar_DB[],MATCH(I$2,SP_TaxPar_DB[#Headers],0),FALSE)</f>
        <v>77488</v>
      </c>
      <c r="J239" s="69" t="str">
        <f>VLOOKUP($A239,SP_TaxPar_DB[],MATCH(J$2,SP_TaxPar_DB[#Headers],0),FALSE)</f>
        <v>0  WILKES</v>
      </c>
      <c r="K239" s="69" t="str">
        <f>VLOOKUP($A239,SP_TaxPar_DB[],MATCH(K$2,SP_TaxPar_DB[#Headers],0),FALSE)</f>
        <v>JOHN HARRIS LOT 64D-11A Acres:0.1377</v>
      </c>
      <c r="L239" s="69">
        <f>VLOOKUP($A239,SP_TaxPar_DB[],MATCH(L$2,SP_TaxPar_DB[#Headers],0),FALSE)</f>
        <v>0</v>
      </c>
      <c r="M239" s="69">
        <f>VLOOKUP($A239,SP_TaxPar_DB[],MATCH(M$2,SP_TaxPar_DB[#Headers],0),FALSE)</f>
        <v>0</v>
      </c>
      <c r="N239" s="69">
        <f>VLOOKUP($A239,SP_TaxPar_DB[],MATCH(N$2,SP_TaxPar_DB[#Headers],0),FALSE)</f>
        <v>0</v>
      </c>
      <c r="O239" s="71">
        <f>VLOOKUP($A239,SP_TaxPar_DB[],MATCH(O$2,SP_TaxPar_DB[#Headers],0),FALSE)</f>
        <v>0</v>
      </c>
      <c r="P239" s="72"/>
      <c r="Q239" s="69"/>
      <c r="R239" s="73"/>
      <c r="S239" s="73"/>
      <c r="T239" s="69"/>
      <c r="U239" s="69"/>
      <c r="V239" s="69"/>
      <c r="W239" s="69"/>
      <c r="X239" s="69"/>
      <c r="Y239" s="69"/>
      <c r="Z239" s="69"/>
      <c r="AA239" s="69"/>
      <c r="AB239" s="74"/>
      <c r="AC239" s="73"/>
      <c r="AD239" s="73"/>
      <c r="AE239" s="74"/>
      <c r="AF239" s="68"/>
      <c r="AG239" s="68"/>
      <c r="AH239" s="74"/>
      <c r="AI239" s="68"/>
      <c r="AJ239" s="68"/>
      <c r="AK239" s="68"/>
      <c r="AL239" s="80"/>
      <c r="AM239" s="81"/>
      <c r="AN239" s="74"/>
      <c r="AO239" s="74"/>
      <c r="AP239" s="74"/>
      <c r="AQ239" s="74"/>
      <c r="AR239" s="74"/>
      <c r="AS239" s="74"/>
      <c r="AT239" s="74"/>
      <c r="AU239" s="74"/>
      <c r="AV239" s="74"/>
      <c r="AW239" s="84"/>
    </row>
    <row r="240" spans="1:49" ht="15.75" hidden="1" x14ac:dyDescent="0.2">
      <c r="A240" s="129" t="s">
        <v>2551</v>
      </c>
      <c r="B240" s="68" t="str">
        <f>VLOOKUP($A240,SP_TaxPar_DB[],MATCH(B$2,SP_TaxPar_DB[#Headers],0),FALSE)</f>
        <v>PH2</v>
      </c>
      <c r="C240" s="67" t="str">
        <f>IF(VLOOKUP($A240,SP_TaxPar_DB[],MATCH(C$2,SP_TaxPar_DB[#Headers],0),FALSE)="",0,VLOOKUP($A240,SP_TaxPar_DB[],MATCH(C$2,SP_TaxPar_DB[#Headers],0),FALSE))</f>
        <v>T274</v>
      </c>
      <c r="D240" s="67">
        <f>IF(VLOOKUP($A240,SP_TaxPar_DB[],MATCH(D$2,SP_TaxPar_DB[#Headers],0),FALSE)="",0,VLOOKUP($A240,SP_TaxPar_DB[],MATCH(D$2,SP_TaxPar_DB[#Headers],0),FALSE))</f>
        <v>0</v>
      </c>
      <c r="E240" s="69" t="str">
        <f>VLOOKUP($A240,SP_TaxPar_DB[],MATCH(E$2,SP_TaxPar_DB[#Headers],0),FALSE)</f>
        <v>HAWES BARBARA LOUISE TRUST DATED 8-17-81</v>
      </c>
      <c r="F240" s="69" t="str">
        <f>VLOOKUP($A240,SP_TaxPar_DB[],MATCH(F$2,SP_TaxPar_DB[#Headers],0),FALSE)</f>
        <v>COULD BE OWNED BY COW - CHECKING 1/17</v>
      </c>
      <c r="G240" s="69">
        <f>VLOOKUP($A240,SP_TaxPar_DB[],MATCH(G$2,SP_TaxPar_DB[#Headers],0),FALSE)</f>
        <v>0</v>
      </c>
      <c r="H240" s="69">
        <f>VLOOKUP($A240,SP_TaxPar_DB[],MATCH(H$2,SP_TaxPar_DB[#Headers],0),FALSE)</f>
        <v>0</v>
      </c>
      <c r="I240" s="69">
        <f>VLOOKUP($A240,SP_TaxPar_DB[],MATCH(I$2,SP_TaxPar_DB[#Headers],0),FALSE)</f>
        <v>0</v>
      </c>
      <c r="J240" s="69" t="str">
        <f>VLOOKUP($A240,SP_TaxPar_DB[],MATCH(J$2,SP_TaxPar_DB[#Headers],0),FALSE)</f>
        <v>UNLISTED</v>
      </c>
      <c r="K240" s="69" t="str">
        <f>VLOOKUP($A240,SP_TaxPar_DB[],MATCH(K$2,SP_TaxPar_DB[#Headers],0),FALSE)</f>
        <v>WHARTON BLOCK 22,23--OUT LOT 1,3 Acres:1.6842</v>
      </c>
      <c r="L240" s="69">
        <f>VLOOKUP($A240,SP_TaxPar_DB[],MATCH(L$2,SP_TaxPar_DB[#Headers],0),FALSE)</f>
        <v>0</v>
      </c>
      <c r="M240" s="69">
        <f>VLOOKUP($A240,SP_TaxPar_DB[],MATCH(M$2,SP_TaxPar_DB[#Headers],0),FALSE)</f>
        <v>0</v>
      </c>
      <c r="N240" s="69">
        <f>VLOOKUP($A240,SP_TaxPar_DB[],MATCH(N$2,SP_TaxPar_DB[#Headers],0),FALSE)</f>
        <v>0</v>
      </c>
      <c r="O240" s="71">
        <f>VLOOKUP($A240,SP_TaxPar_DB[],MATCH(O$2,SP_TaxPar_DB[#Headers],0),FALSE)</f>
        <v>0</v>
      </c>
      <c r="P240" s="72"/>
      <c r="Q240" s="69"/>
      <c r="R240" s="73"/>
      <c r="S240" s="73"/>
      <c r="T240" s="69"/>
      <c r="U240" s="69"/>
      <c r="V240" s="69"/>
      <c r="W240" s="69"/>
      <c r="X240" s="69"/>
      <c r="Y240" s="69"/>
      <c r="Z240" s="69"/>
      <c r="AA240" s="69"/>
      <c r="AB240" s="74"/>
      <c r="AC240" s="73"/>
      <c r="AD240" s="73"/>
      <c r="AE240" s="74"/>
      <c r="AF240" s="68"/>
      <c r="AG240" s="68"/>
      <c r="AH240" s="74"/>
      <c r="AI240" s="68"/>
      <c r="AJ240" s="68"/>
      <c r="AK240" s="68"/>
      <c r="AL240" s="80"/>
      <c r="AM240" s="81"/>
      <c r="AN240" s="74"/>
      <c r="AO240" s="74"/>
      <c r="AP240" s="74"/>
      <c r="AQ240" s="74"/>
      <c r="AR240" s="74"/>
      <c r="AS240" s="74"/>
      <c r="AT240" s="74"/>
      <c r="AU240" s="74"/>
      <c r="AV240" s="74"/>
      <c r="AW240" s="84"/>
    </row>
    <row r="241" spans="1:49" ht="15.75" hidden="1" x14ac:dyDescent="0.2">
      <c r="A241" s="129" t="s">
        <v>152</v>
      </c>
      <c r="B241" s="68" t="str">
        <f>VLOOKUP($A241,SP_TaxPar_DB[],MATCH(B$2,SP_TaxPar_DB[#Headers],0),FALSE)</f>
        <v>PH1</v>
      </c>
      <c r="C241" s="67" t="str">
        <f>IF(VLOOKUP($A241,SP_TaxPar_DB[],MATCH(C$2,SP_TaxPar_DB[#Headers],0),FALSE)="",0,VLOOKUP($A241,SP_TaxPar_DB[],MATCH(C$2,SP_TaxPar_DB[#Headers],0),FALSE))</f>
        <v>222</v>
      </c>
      <c r="D241" s="67">
        <f>IF(VLOOKUP($A241,SP_TaxPar_DB[],MATCH(D$2,SP_TaxPar_DB[#Headers],0),FALSE)="",0,VLOOKUP($A241,SP_TaxPar_DB[],MATCH(D$2,SP_TaxPar_DB[#Headers],0),FALSE))</f>
        <v>0</v>
      </c>
      <c r="E241" s="69" t="str">
        <f>VLOOKUP($A241,SP_TaxPar_DB[],MATCH(E$2,SP_TaxPar_DB[#Headers],0),FALSE)</f>
        <v>John Michael Mason</v>
      </c>
      <c r="F241" s="69" t="str">
        <f>VLOOKUP($A241,SP_TaxPar_DB[],MATCH(F$2,SP_TaxPar_DB[#Headers],0),FALSE)</f>
        <v>4739 Arvilla Lane</v>
      </c>
      <c r="G241" s="69" t="str">
        <f>VLOOKUP($A241,SP_TaxPar_DB[],MATCH(G$2,SP_TaxPar_DB[#Headers],0),FALSE)</f>
        <v>Houston</v>
      </c>
      <c r="H241" s="69" t="str">
        <f>VLOOKUP($A241,SP_TaxPar_DB[],MATCH(H$2,SP_TaxPar_DB[#Headers],0),FALSE)</f>
        <v>TX</v>
      </c>
      <c r="I241" s="69" t="str">
        <f>VLOOKUP($A241,SP_TaxPar_DB[],MATCH(I$2,SP_TaxPar_DB[#Headers],0),FALSE)</f>
        <v>77021</v>
      </c>
      <c r="J241" s="69" t="str">
        <f>VLOOKUP($A241,SP_TaxPar_DB[],MATCH(J$2,SP_TaxPar_DB[#Headers],0),FALSE)</f>
        <v>0 Camellia Ave</v>
      </c>
      <c r="K241" s="69" t="str">
        <f>VLOOKUP($A241,SP_TaxPar_DB[],MATCH(K$2,SP_TaxPar_DB[#Headers],0),FALSE)</f>
        <v>Smith Garden Spot Block 3 Lot 14A</v>
      </c>
      <c r="L241" s="69">
        <f>VLOOKUP($A241,SP_TaxPar_DB[],MATCH(L$2,SP_TaxPar_DB[#Headers],0),FALSE)</f>
        <v>3.44E-2</v>
      </c>
      <c r="M241" s="69" t="str">
        <f>VLOOKUP($A241,SP_TaxPar_DB[],MATCH(M$2,SP_TaxPar_DB[#Headers],0),FALSE)</f>
        <v>Res -Vacant</v>
      </c>
      <c r="N241" s="69" t="str">
        <f>VLOOKUP($A241,SP_TaxPar_DB[],MATCH(N$2,SP_TaxPar_DB[#Headers],0),FALSE)</f>
        <v>14 / 153</v>
      </c>
      <c r="O241" s="71">
        <f>VLOOKUP($A241,SP_TaxPar_DB[],MATCH(O$2,SP_TaxPar_DB[#Headers],0),FALSE)</f>
        <v>0</v>
      </c>
      <c r="P241" s="72"/>
      <c r="Q241" s="69"/>
      <c r="R241" s="73"/>
      <c r="S241" s="73"/>
      <c r="T241" s="69"/>
      <c r="U241" s="69"/>
      <c r="V241" s="69"/>
      <c r="W241" s="69"/>
      <c r="X241" s="69"/>
      <c r="Y241" s="69"/>
      <c r="Z241" s="69"/>
      <c r="AA241" s="69"/>
      <c r="AB241" s="74"/>
      <c r="AC241" s="73"/>
      <c r="AD241" s="73"/>
      <c r="AE241" s="74"/>
      <c r="AF241" s="68"/>
      <c r="AG241" s="68"/>
      <c r="AH241" s="74"/>
      <c r="AI241" s="68"/>
      <c r="AJ241" s="68"/>
      <c r="AK241" s="68"/>
      <c r="AL241" s="80"/>
      <c r="AM241" s="81"/>
      <c r="AN241" s="74"/>
      <c r="AO241" s="74"/>
      <c r="AP241" s="74"/>
      <c r="AQ241" s="74"/>
      <c r="AR241" s="74"/>
      <c r="AS241" s="74"/>
      <c r="AT241" s="74"/>
      <c r="AU241" s="74"/>
      <c r="AV241" s="74"/>
      <c r="AW241" s="84"/>
    </row>
    <row r="242" spans="1:49" ht="15.75" hidden="1" x14ac:dyDescent="0.2">
      <c r="A242" s="129" t="s">
        <v>507</v>
      </c>
      <c r="B242" s="68" t="str">
        <f>VLOOKUP($A242,SP_TaxPar_DB[],MATCH(B$2,SP_TaxPar_DB[#Headers],0),FALSE)</f>
        <v>PH1</v>
      </c>
      <c r="C242" s="67" t="str">
        <f>IF(VLOOKUP($A242,SP_TaxPar_DB[],MATCH(C$2,SP_TaxPar_DB[#Headers],0),FALSE)="",0,VLOOKUP($A242,SP_TaxPar_DB[],MATCH(C$2,SP_TaxPar_DB[#Headers],0),FALSE))</f>
        <v>220</v>
      </c>
      <c r="D242" s="67">
        <f>IF(VLOOKUP($A242,SP_TaxPar_DB[],MATCH(D$2,SP_TaxPar_DB[#Headers],0),FALSE)="",0,VLOOKUP($A242,SP_TaxPar_DB[],MATCH(D$2,SP_TaxPar_DB[#Headers],0),FALSE))</f>
        <v>0</v>
      </c>
      <c r="E242" s="69" t="str">
        <f>VLOOKUP($A242,SP_TaxPar_DB[],MATCH(E$2,SP_TaxPar_DB[#Headers],0),FALSE)</f>
        <v>Troy Q. Allen</v>
      </c>
      <c r="F242" s="69" t="str">
        <f>VLOOKUP($A242,SP_TaxPar_DB[],MATCH(F$2,SP_TaxPar_DB[#Headers],0),FALSE)</f>
        <v>1500 Camellia Ave</v>
      </c>
      <c r="G242" s="69" t="str">
        <f>VLOOKUP($A242,SP_TaxPar_DB[],MATCH(G$2,SP_TaxPar_DB[#Headers],0),FALSE)</f>
        <v>Wharton</v>
      </c>
      <c r="H242" s="69" t="str">
        <f>VLOOKUP($A242,SP_TaxPar_DB[],MATCH(H$2,SP_TaxPar_DB[#Headers],0),FALSE)</f>
        <v>TX</v>
      </c>
      <c r="I242" s="69" t="str">
        <f>VLOOKUP($A242,SP_TaxPar_DB[],MATCH(I$2,SP_TaxPar_DB[#Headers],0),FALSE)</f>
        <v>77488</v>
      </c>
      <c r="J242" s="69" t="str">
        <f>VLOOKUP($A242,SP_TaxPar_DB[],MATCH(J$2,SP_TaxPar_DB[#Headers],0),FALSE)</f>
        <v>1500 Camellia Ave</v>
      </c>
      <c r="K242" s="69" t="str">
        <f>VLOOKUP($A242,SP_TaxPar_DB[],MATCH(K$2,SP_TaxPar_DB[#Headers],0),FALSE)</f>
        <v>Smith Garden Spot Block 3 Lot 14, 15</v>
      </c>
      <c r="L242" s="69">
        <f>VLOOKUP($A242,SP_TaxPar_DB[],MATCH(L$2,SP_TaxPar_DB[#Headers],0),FALSE)</f>
        <v>0.1951</v>
      </c>
      <c r="M242" s="69" t="str">
        <f>VLOOKUP($A242,SP_TaxPar_DB[],MATCH(M$2,SP_TaxPar_DB[#Headers],0),FALSE)</f>
        <v>Residential</v>
      </c>
      <c r="N242" s="69" t="str">
        <f>VLOOKUP($A242,SP_TaxPar_DB[],MATCH(N$2,SP_TaxPar_DB[#Headers],0),FALSE)</f>
        <v>247 / 160</v>
      </c>
      <c r="O242" s="71" t="str">
        <f>VLOOKUP($A242,SP_TaxPar_DB[],MATCH(O$2,SP_TaxPar_DB[#Headers],0),FALSE)</f>
        <v>Mobile Home</v>
      </c>
      <c r="P242" s="72"/>
      <c r="Q242" s="69"/>
      <c r="R242" s="73"/>
      <c r="S242" s="73"/>
      <c r="T242" s="69"/>
      <c r="U242" s="69"/>
      <c r="V242" s="69"/>
      <c r="W242" s="69"/>
      <c r="X242" s="69"/>
      <c r="Y242" s="69"/>
      <c r="Z242" s="69"/>
      <c r="AA242" s="69"/>
      <c r="AB242" s="74"/>
      <c r="AC242" s="73"/>
      <c r="AD242" s="73"/>
      <c r="AE242" s="74"/>
      <c r="AF242" s="68"/>
      <c r="AG242" s="68"/>
      <c r="AH242" s="74"/>
      <c r="AI242" s="68"/>
      <c r="AJ242" s="68"/>
      <c r="AK242" s="68"/>
      <c r="AL242" s="80"/>
      <c r="AM242" s="81"/>
      <c r="AN242" s="74"/>
      <c r="AO242" s="74"/>
      <c r="AP242" s="74"/>
      <c r="AQ242" s="74"/>
      <c r="AR242" s="74"/>
      <c r="AS242" s="74"/>
      <c r="AT242" s="74"/>
      <c r="AU242" s="74"/>
      <c r="AV242" s="74"/>
      <c r="AW242" s="84"/>
    </row>
    <row r="243" spans="1:49" ht="15.75" hidden="1" x14ac:dyDescent="0.2">
      <c r="A243" s="129" t="s">
        <v>2554</v>
      </c>
      <c r="B243" s="68" t="str">
        <f>VLOOKUP($A243,SP_TaxPar_DB[],MATCH(B$2,SP_TaxPar_DB[#Headers],0),FALSE)</f>
        <v>ENV</v>
      </c>
      <c r="C243" s="67">
        <f>IF(VLOOKUP($A243,SP_TaxPar_DB[],MATCH(C$2,SP_TaxPar_DB[#Headers],0),FALSE)="",0,VLOOKUP($A243,SP_TaxPar_DB[],MATCH(C$2,SP_TaxPar_DB[#Headers],0),FALSE))</f>
        <v>0</v>
      </c>
      <c r="D243" s="67" t="str">
        <f>IF(VLOOKUP($A243,SP_TaxPar_DB[],MATCH(D$2,SP_TaxPar_DB[#Headers],0),FALSE)="",0,VLOOKUP($A243,SP_TaxPar_DB[],MATCH(D$2,SP_TaxPar_DB[#Headers],0),FALSE))</f>
        <v>225</v>
      </c>
      <c r="E243" s="69" t="str">
        <f>VLOOKUP($A243,SP_TaxPar_DB[],MATCH(E$2,SP_TaxPar_DB[#Headers],0),FALSE)</f>
        <v>EDWARDS CURTIS E</v>
      </c>
      <c r="F243" s="69" t="str">
        <f>VLOOKUP($A243,SP_TaxPar_DB[],MATCH(F$2,SP_TaxPar_DB[#Headers],0),FALSE)</f>
        <v>303 S SHEPPARD</v>
      </c>
      <c r="G243" s="69" t="str">
        <f>VLOOKUP($A243,SP_TaxPar_DB[],MATCH(G$2,SP_TaxPar_DB[#Headers],0),FALSE)</f>
        <v>WHARTON</v>
      </c>
      <c r="H243" s="69" t="str">
        <f>VLOOKUP($A243,SP_TaxPar_DB[],MATCH(H$2,SP_TaxPar_DB[#Headers],0),FALSE)</f>
        <v>TX</v>
      </c>
      <c r="I243" s="69" t="str">
        <f>VLOOKUP($A243,SP_TaxPar_DB[],MATCH(I$2,SP_TaxPar_DB[#Headers],0),FALSE)</f>
        <v>77488</v>
      </c>
      <c r="J243" s="69" t="str">
        <f>VLOOKUP($A243,SP_TaxPar_DB[],MATCH(J$2,SP_TaxPar_DB[#Headers],0),FALSE)</f>
        <v>0 KEARNEY</v>
      </c>
      <c r="K243" s="69" t="str">
        <f>VLOOKUP($A243,SP_TaxPar_DB[],MATCH(K$2,SP_TaxPar_DB[#Headers],0),FALSE)</f>
        <v>WM.KINCHELOE BLOCK 63 LOT 173F Acres:0.2207</v>
      </c>
      <c r="L243" s="69">
        <f>VLOOKUP($A243,SP_TaxPar_DB[],MATCH(L$2,SP_TaxPar_DB[#Headers],0),FALSE)</f>
        <v>0</v>
      </c>
      <c r="M243" s="69">
        <f>VLOOKUP($A243,SP_TaxPar_DB[],MATCH(M$2,SP_TaxPar_DB[#Headers],0),FALSE)</f>
        <v>0</v>
      </c>
      <c r="N243" s="69">
        <f>VLOOKUP($A243,SP_TaxPar_DB[],MATCH(N$2,SP_TaxPar_DB[#Headers],0),FALSE)</f>
        <v>0</v>
      </c>
      <c r="O243" s="71">
        <f>VLOOKUP($A243,SP_TaxPar_DB[],MATCH(O$2,SP_TaxPar_DB[#Headers],0),FALSE)</f>
        <v>0</v>
      </c>
      <c r="P243" s="72"/>
      <c r="Q243" s="69"/>
      <c r="R243" s="73"/>
      <c r="S243" s="73"/>
      <c r="T243" s="69"/>
      <c r="U243" s="69"/>
      <c r="V243" s="69"/>
      <c r="W243" s="69"/>
      <c r="X243" s="69"/>
      <c r="Y243" s="69"/>
      <c r="Z243" s="69"/>
      <c r="AA243" s="69"/>
      <c r="AB243" s="74"/>
      <c r="AC243" s="73"/>
      <c r="AD243" s="73"/>
      <c r="AE243" s="74"/>
      <c r="AF243" s="68"/>
      <c r="AG243" s="68"/>
      <c r="AH243" s="74"/>
      <c r="AI243" s="68"/>
      <c r="AJ243" s="68"/>
      <c r="AK243" s="68"/>
      <c r="AL243" s="80"/>
      <c r="AM243" s="81"/>
      <c r="AN243" s="74"/>
      <c r="AO243" s="74"/>
      <c r="AP243" s="74"/>
      <c r="AQ243" s="74"/>
      <c r="AR243" s="74"/>
      <c r="AS243" s="74"/>
      <c r="AT243" s="74"/>
      <c r="AU243" s="74"/>
      <c r="AV243" s="74"/>
      <c r="AW243" s="84"/>
    </row>
    <row r="244" spans="1:49" ht="15.75" hidden="1" x14ac:dyDescent="0.2">
      <c r="A244" s="129" t="s">
        <v>2557</v>
      </c>
      <c r="B244" s="68" t="str">
        <f>VLOOKUP($A244,SP_TaxPar_DB[],MATCH(B$2,SP_TaxPar_DB[#Headers],0),FALSE)</f>
        <v>ENV</v>
      </c>
      <c r="C244" s="67">
        <f>IF(VLOOKUP($A244,SP_TaxPar_DB[],MATCH(C$2,SP_TaxPar_DB[#Headers],0),FALSE)="",0,VLOOKUP($A244,SP_TaxPar_DB[],MATCH(C$2,SP_TaxPar_DB[#Headers],0),FALSE))</f>
        <v>0</v>
      </c>
      <c r="D244" s="67" t="str">
        <f>IF(VLOOKUP($A244,SP_TaxPar_DB[],MATCH(D$2,SP_TaxPar_DB[#Headers],0),FALSE)="",0,VLOOKUP($A244,SP_TaxPar_DB[],MATCH(D$2,SP_TaxPar_DB[#Headers],0),FALSE))</f>
        <v>226</v>
      </c>
      <c r="E244" s="69" t="str">
        <f>VLOOKUP($A244,SP_TaxPar_DB[],MATCH(E$2,SP_TaxPar_DB[#Headers],0),FALSE)</f>
        <v>EDWARDS CURTIS E &amp; WF</v>
      </c>
      <c r="F244" s="69" t="str">
        <f>VLOOKUP($A244,SP_TaxPar_DB[],MATCH(F$2,SP_TaxPar_DB[#Headers],0),FALSE)</f>
        <v>303 S SHEPPARD</v>
      </c>
      <c r="G244" s="69" t="str">
        <f>VLOOKUP($A244,SP_TaxPar_DB[],MATCH(G$2,SP_TaxPar_DB[#Headers],0),FALSE)</f>
        <v>WHARTON</v>
      </c>
      <c r="H244" s="69" t="str">
        <f>VLOOKUP($A244,SP_TaxPar_DB[],MATCH(H$2,SP_TaxPar_DB[#Headers],0),FALSE)</f>
        <v>TX</v>
      </c>
      <c r="I244" s="69" t="str">
        <f>VLOOKUP($A244,SP_TaxPar_DB[],MATCH(I$2,SP_TaxPar_DB[#Headers],0),FALSE)</f>
        <v>77488</v>
      </c>
      <c r="J244" s="69" t="str">
        <f>VLOOKUP($A244,SP_TaxPar_DB[],MATCH(J$2,SP_TaxPar_DB[#Headers],0),FALSE)</f>
        <v>0  KEARNEY</v>
      </c>
      <c r="K244" s="69" t="str">
        <f>VLOOKUP($A244,SP_TaxPar_DB[],MATCH(K$2,SP_TaxPar_DB[#Headers],0),FALSE)</f>
        <v>WM.KINCHELOE BLOCK 63 LOT 173G Acres:0.1664</v>
      </c>
      <c r="L244" s="69">
        <f>VLOOKUP($A244,SP_TaxPar_DB[],MATCH(L$2,SP_TaxPar_DB[#Headers],0),FALSE)</f>
        <v>0</v>
      </c>
      <c r="M244" s="69">
        <f>VLOOKUP($A244,SP_TaxPar_DB[],MATCH(M$2,SP_TaxPar_DB[#Headers],0),FALSE)</f>
        <v>0</v>
      </c>
      <c r="N244" s="69">
        <f>VLOOKUP($A244,SP_TaxPar_DB[],MATCH(N$2,SP_TaxPar_DB[#Headers],0),FALSE)</f>
        <v>0</v>
      </c>
      <c r="O244" s="71">
        <f>VLOOKUP($A244,SP_TaxPar_DB[],MATCH(O$2,SP_TaxPar_DB[#Headers],0),FALSE)</f>
        <v>0</v>
      </c>
      <c r="P244" s="72"/>
      <c r="Q244" s="69"/>
      <c r="R244" s="73"/>
      <c r="S244" s="73"/>
      <c r="T244" s="69"/>
      <c r="U244" s="69"/>
      <c r="V244" s="69"/>
      <c r="W244" s="69"/>
      <c r="X244" s="69"/>
      <c r="Y244" s="69"/>
      <c r="Z244" s="69"/>
      <c r="AA244" s="69"/>
      <c r="AB244" s="74"/>
      <c r="AC244" s="73"/>
      <c r="AD244" s="73"/>
      <c r="AE244" s="74"/>
      <c r="AF244" s="68"/>
      <c r="AG244" s="68"/>
      <c r="AH244" s="74"/>
      <c r="AI244" s="68"/>
      <c r="AJ244" s="68"/>
      <c r="AK244" s="68"/>
      <c r="AL244" s="80"/>
      <c r="AM244" s="81"/>
      <c r="AN244" s="74"/>
      <c r="AO244" s="74"/>
      <c r="AP244" s="74"/>
      <c r="AQ244" s="74"/>
      <c r="AR244" s="74"/>
      <c r="AS244" s="74"/>
      <c r="AT244" s="74"/>
      <c r="AU244" s="74"/>
      <c r="AV244" s="74"/>
      <c r="AW244" s="84"/>
    </row>
    <row r="245" spans="1:49" ht="15.75" hidden="1" x14ac:dyDescent="0.2">
      <c r="A245" s="129" t="s">
        <v>2559</v>
      </c>
      <c r="B245" s="68" t="str">
        <f>VLOOKUP($A245,SP_TaxPar_DB[],MATCH(B$2,SP_TaxPar_DB[#Headers],0),FALSE)</f>
        <v>PH2</v>
      </c>
      <c r="C245" s="67" t="str">
        <f>IF(VLOOKUP($A245,SP_TaxPar_DB[],MATCH(C$2,SP_TaxPar_DB[#Headers],0),FALSE)="",0,VLOOKUP($A245,SP_TaxPar_DB[],MATCH(C$2,SP_TaxPar_DB[#Headers],0),FALSE))</f>
        <v>T227</v>
      </c>
      <c r="D245" s="67">
        <f>IF(VLOOKUP($A245,SP_TaxPar_DB[],MATCH(D$2,SP_TaxPar_DB[#Headers],0),FALSE)="",0,VLOOKUP($A245,SP_TaxPar_DB[],MATCH(D$2,SP_TaxPar_DB[#Headers],0),FALSE))</f>
        <v>0</v>
      </c>
      <c r="E245" s="69" t="str">
        <f>VLOOKUP($A245,SP_TaxPar_DB[],MATCH(E$2,SP_TaxPar_DB[#Headers],0),FALSE)</f>
        <v>DAVIS JEFF</v>
      </c>
      <c r="F245" s="69" t="str">
        <f>VLOOKUP($A245,SP_TaxPar_DB[],MATCH(F$2,SP_TaxPar_DB[#Headers],0),FALSE)</f>
        <v>PO BOX 647</v>
      </c>
      <c r="G245" s="69" t="str">
        <f>VLOOKUP($A245,SP_TaxPar_DB[],MATCH(G$2,SP_TaxPar_DB[#Headers],0),FALSE)</f>
        <v>WHARTON</v>
      </c>
      <c r="H245" s="69" t="str">
        <f>VLOOKUP($A245,SP_TaxPar_DB[],MATCH(H$2,SP_TaxPar_DB[#Headers],0),FALSE)</f>
        <v>TX</v>
      </c>
      <c r="I245" s="69" t="str">
        <f>VLOOKUP($A245,SP_TaxPar_DB[],MATCH(I$2,SP_TaxPar_DB[#Headers],0),FALSE)</f>
        <v>77488</v>
      </c>
      <c r="J245" s="69" t="str">
        <f>VLOOKUP($A245,SP_TaxPar_DB[],MATCH(J$2,SP_TaxPar_DB[#Headers],0),FALSE)</f>
        <v>0 BRIETLING LN</v>
      </c>
      <c r="K245" s="69" t="str">
        <f>VLOOKUP($A245,SP_TaxPar_DB[],MATCH(K$2,SP_TaxPar_DB[#Headers],0),FALSE)</f>
        <v>WHARTON BLOCK 19--OUT LOT 12B Acres:0.4156</v>
      </c>
      <c r="L245" s="69">
        <f>VLOOKUP($A245,SP_TaxPar_DB[],MATCH(L$2,SP_TaxPar_DB[#Headers],0),FALSE)</f>
        <v>0</v>
      </c>
      <c r="M245" s="69">
        <f>VLOOKUP($A245,SP_TaxPar_DB[],MATCH(M$2,SP_TaxPar_DB[#Headers],0),FALSE)</f>
        <v>0</v>
      </c>
      <c r="N245" s="69">
        <f>VLOOKUP($A245,SP_TaxPar_DB[],MATCH(N$2,SP_TaxPar_DB[#Headers],0),FALSE)</f>
        <v>0</v>
      </c>
      <c r="O245" s="71">
        <f>VLOOKUP($A245,SP_TaxPar_DB[],MATCH(O$2,SP_TaxPar_DB[#Headers],0),FALSE)</f>
        <v>0</v>
      </c>
      <c r="P245" s="72"/>
      <c r="Q245" s="69"/>
      <c r="R245" s="73"/>
      <c r="S245" s="73"/>
      <c r="T245" s="69"/>
      <c r="U245" s="69"/>
      <c r="V245" s="69"/>
      <c r="W245" s="69"/>
      <c r="X245" s="69"/>
      <c r="Y245" s="69"/>
      <c r="Z245" s="69"/>
      <c r="AA245" s="69"/>
      <c r="AB245" s="74"/>
      <c r="AC245" s="73"/>
      <c r="AD245" s="73"/>
      <c r="AE245" s="74"/>
      <c r="AF245" s="68"/>
      <c r="AG245" s="68"/>
      <c r="AH245" s="74"/>
      <c r="AI245" s="68"/>
      <c r="AJ245" s="68"/>
      <c r="AK245" s="68"/>
      <c r="AL245" s="80"/>
      <c r="AM245" s="81"/>
      <c r="AN245" s="74"/>
      <c r="AO245" s="74"/>
      <c r="AP245" s="74"/>
      <c r="AQ245" s="74"/>
      <c r="AR245" s="74"/>
      <c r="AS245" s="74"/>
      <c r="AT245" s="74"/>
      <c r="AU245" s="74"/>
      <c r="AV245" s="74"/>
      <c r="AW245" s="84"/>
    </row>
    <row r="246" spans="1:49" ht="15.75" hidden="1" x14ac:dyDescent="0.2">
      <c r="A246" s="129" t="s">
        <v>2562</v>
      </c>
      <c r="B246" s="68" t="str">
        <f>VLOOKUP($A246,SP_TaxPar_DB[],MATCH(B$2,SP_TaxPar_DB[#Headers],0),FALSE)</f>
        <v>PH2</v>
      </c>
      <c r="C246" s="67" t="str">
        <f>IF(VLOOKUP($A246,SP_TaxPar_DB[],MATCH(C$2,SP_TaxPar_DB[#Headers],0),FALSE)="",0,VLOOKUP($A246,SP_TaxPar_DB[],MATCH(C$2,SP_TaxPar_DB[#Headers],0),FALSE))</f>
        <v>T228</v>
      </c>
      <c r="D246" s="67">
        <f>IF(VLOOKUP($A246,SP_TaxPar_DB[],MATCH(D$2,SP_TaxPar_DB[#Headers],0),FALSE)="",0,VLOOKUP($A246,SP_TaxPar_DB[],MATCH(D$2,SP_TaxPar_DB[#Headers],0),FALSE))</f>
        <v>0</v>
      </c>
      <c r="E246" s="69" t="str">
        <f>VLOOKUP($A246,SP_TaxPar_DB[],MATCH(E$2,SP_TaxPar_DB[#Headers],0),FALSE)</f>
        <v>DAVIS JEFF</v>
      </c>
      <c r="F246" s="69" t="str">
        <f>VLOOKUP($A246,SP_TaxPar_DB[],MATCH(F$2,SP_TaxPar_DB[#Headers],0),FALSE)</f>
        <v>P O BOX 647</v>
      </c>
      <c r="G246" s="69" t="str">
        <f>VLOOKUP($A246,SP_TaxPar_DB[],MATCH(G$2,SP_TaxPar_DB[#Headers],0),FALSE)</f>
        <v>WHARTON</v>
      </c>
      <c r="H246" s="69" t="str">
        <f>VLOOKUP($A246,SP_TaxPar_DB[],MATCH(H$2,SP_TaxPar_DB[#Headers],0),FALSE)</f>
        <v>TX</v>
      </c>
      <c r="I246" s="69" t="str">
        <f>VLOOKUP($A246,SP_TaxPar_DB[],MATCH(I$2,SP_TaxPar_DB[#Headers],0),FALSE)</f>
        <v>77488</v>
      </c>
      <c r="J246" s="69" t="str">
        <f>VLOOKUP($A246,SP_TaxPar_DB[],MATCH(J$2,SP_TaxPar_DB[#Headers],0),FALSE)</f>
        <v>533 BRIETLING LN</v>
      </c>
      <c r="K246" s="69" t="str">
        <f>VLOOKUP($A246,SP_TaxPar_DB[],MATCH(K$2,SP_TaxPar_DB[#Headers],0),FALSE)</f>
        <v>WHARTON BLOCK 19,23--OUT LOT N PT 15 Acres:0.1711</v>
      </c>
      <c r="L246" s="69">
        <f>VLOOKUP($A246,SP_TaxPar_DB[],MATCH(L$2,SP_TaxPar_DB[#Headers],0),FALSE)</f>
        <v>0</v>
      </c>
      <c r="M246" s="69">
        <f>VLOOKUP($A246,SP_TaxPar_DB[],MATCH(M$2,SP_TaxPar_DB[#Headers],0),FALSE)</f>
        <v>0</v>
      </c>
      <c r="N246" s="69">
        <f>VLOOKUP($A246,SP_TaxPar_DB[],MATCH(N$2,SP_TaxPar_DB[#Headers],0),FALSE)</f>
        <v>0</v>
      </c>
      <c r="O246" s="71">
        <f>VLOOKUP($A246,SP_TaxPar_DB[],MATCH(O$2,SP_TaxPar_DB[#Headers],0),FALSE)</f>
        <v>0</v>
      </c>
      <c r="P246" s="72"/>
      <c r="Q246" s="69"/>
      <c r="R246" s="73"/>
      <c r="S246" s="73"/>
      <c r="T246" s="69"/>
      <c r="U246" s="69"/>
      <c r="V246" s="69"/>
      <c r="W246" s="69"/>
      <c r="X246" s="69"/>
      <c r="Y246" s="69"/>
      <c r="Z246" s="69"/>
      <c r="AA246" s="69"/>
      <c r="AB246" s="74"/>
      <c r="AC246" s="73"/>
      <c r="AD246" s="73"/>
      <c r="AE246" s="74"/>
      <c r="AF246" s="68"/>
      <c r="AG246" s="68"/>
      <c r="AH246" s="74"/>
      <c r="AI246" s="68"/>
      <c r="AJ246" s="68"/>
      <c r="AK246" s="68"/>
      <c r="AL246" s="80"/>
      <c r="AM246" s="81"/>
      <c r="AN246" s="74"/>
      <c r="AO246" s="74"/>
      <c r="AP246" s="74"/>
      <c r="AQ246" s="74"/>
      <c r="AR246" s="74"/>
      <c r="AS246" s="74"/>
      <c r="AT246" s="74"/>
      <c r="AU246" s="74"/>
      <c r="AV246" s="74"/>
      <c r="AW246" s="84"/>
    </row>
    <row r="247" spans="1:49" ht="15.75" hidden="1" x14ac:dyDescent="0.2">
      <c r="A247" s="129" t="s">
        <v>2565</v>
      </c>
      <c r="B247" s="68" t="str">
        <f>VLOOKUP($A247,SP_TaxPar_DB[],MATCH(B$2,SP_TaxPar_DB[#Headers],0),FALSE)</f>
        <v>ENV</v>
      </c>
      <c r="C247" s="67">
        <f>IF(VLOOKUP($A247,SP_TaxPar_DB[],MATCH(C$2,SP_TaxPar_DB[#Headers],0),FALSE)="",0,VLOOKUP($A247,SP_TaxPar_DB[],MATCH(C$2,SP_TaxPar_DB[#Headers],0),FALSE))</f>
        <v>0</v>
      </c>
      <c r="D247" s="67" t="str">
        <f>IF(VLOOKUP($A247,SP_TaxPar_DB[],MATCH(D$2,SP_TaxPar_DB[#Headers],0),FALSE)="",0,VLOOKUP($A247,SP_TaxPar_DB[],MATCH(D$2,SP_TaxPar_DB[#Headers],0),FALSE))</f>
        <v>229</v>
      </c>
      <c r="E247" s="69" t="str">
        <f>VLOOKUP($A247,SP_TaxPar_DB[],MATCH(E$2,SP_TaxPar_DB[#Headers],0),FALSE)</f>
        <v>GONZALES JOE L EST</v>
      </c>
      <c r="F247" s="69" t="str">
        <f>VLOOKUP($A247,SP_TaxPar_DB[],MATCH(F$2,SP_TaxPar_DB[#Headers],0),FALSE)</f>
        <v>302 CR 150</v>
      </c>
      <c r="G247" s="69" t="str">
        <f>VLOOKUP($A247,SP_TaxPar_DB[],MATCH(G$2,SP_TaxPar_DB[#Headers],0),FALSE)</f>
        <v>WHARTON</v>
      </c>
      <c r="H247" s="69" t="str">
        <f>VLOOKUP($A247,SP_TaxPar_DB[],MATCH(H$2,SP_TaxPar_DB[#Headers],0),FALSE)</f>
        <v>TX</v>
      </c>
      <c r="I247" s="69" t="str">
        <f>VLOOKUP($A247,SP_TaxPar_DB[],MATCH(I$2,SP_TaxPar_DB[#Headers],0),FALSE)</f>
        <v>77488</v>
      </c>
      <c r="J247" s="69" t="str">
        <f>VLOOKUP($A247,SP_TaxPar_DB[],MATCH(J$2,SP_TaxPar_DB[#Headers],0),FALSE)</f>
        <v>302 CR 150</v>
      </c>
      <c r="K247" s="69" t="str">
        <f>VLOOKUP($A247,SP_TaxPar_DB[],MATCH(K$2,SP_TaxPar_DB[#Headers],0),FALSE)</f>
        <v>A20001 ABST.1 TRACT 6H Acres:4.0000</v>
      </c>
      <c r="L247" s="69">
        <f>VLOOKUP($A247,SP_TaxPar_DB[],MATCH(L$2,SP_TaxPar_DB[#Headers],0),FALSE)</f>
        <v>0</v>
      </c>
      <c r="M247" s="69">
        <f>VLOOKUP($A247,SP_TaxPar_DB[],MATCH(M$2,SP_TaxPar_DB[#Headers],0),FALSE)</f>
        <v>0</v>
      </c>
      <c r="N247" s="69">
        <f>VLOOKUP($A247,SP_TaxPar_DB[],MATCH(N$2,SP_TaxPar_DB[#Headers],0),FALSE)</f>
        <v>0</v>
      </c>
      <c r="O247" s="71">
        <f>VLOOKUP($A247,SP_TaxPar_DB[],MATCH(O$2,SP_TaxPar_DB[#Headers],0),FALSE)</f>
        <v>0</v>
      </c>
      <c r="P247" s="72"/>
      <c r="Q247" s="69"/>
      <c r="R247" s="73"/>
      <c r="S247" s="73"/>
      <c r="T247" s="69"/>
      <c r="U247" s="69"/>
      <c r="V247" s="69"/>
      <c r="W247" s="69"/>
      <c r="X247" s="69"/>
      <c r="Y247" s="69"/>
      <c r="Z247" s="69"/>
      <c r="AA247" s="69"/>
      <c r="AB247" s="74"/>
      <c r="AC247" s="73"/>
      <c r="AD247" s="73"/>
      <c r="AE247" s="74"/>
      <c r="AF247" s="68"/>
      <c r="AG247" s="68"/>
      <c r="AH247" s="74"/>
      <c r="AI247" s="68"/>
      <c r="AJ247" s="68"/>
      <c r="AK247" s="68"/>
      <c r="AL247" s="80"/>
      <c r="AM247" s="81"/>
      <c r="AN247" s="74"/>
      <c r="AO247" s="74"/>
      <c r="AP247" s="74"/>
      <c r="AQ247" s="74"/>
      <c r="AR247" s="74"/>
      <c r="AS247" s="74"/>
      <c r="AT247" s="74"/>
      <c r="AU247" s="74"/>
      <c r="AV247" s="74"/>
      <c r="AW247" s="84"/>
    </row>
    <row r="248" spans="1:49" ht="15.75" hidden="1" x14ac:dyDescent="0.2">
      <c r="A248" s="129" t="s">
        <v>2569</v>
      </c>
      <c r="B248" s="68" t="str">
        <f>VLOOKUP($A248,SP_TaxPar_DB[],MATCH(B$2,SP_TaxPar_DB[#Headers],0),FALSE)</f>
        <v>ENV</v>
      </c>
      <c r="C248" s="67">
        <f>IF(VLOOKUP($A248,SP_TaxPar_DB[],MATCH(C$2,SP_TaxPar_DB[#Headers],0),FALSE)="",0,VLOOKUP($A248,SP_TaxPar_DB[],MATCH(C$2,SP_TaxPar_DB[#Headers],0),FALSE))</f>
        <v>0</v>
      </c>
      <c r="D248" s="67" t="str">
        <f>IF(VLOOKUP($A248,SP_TaxPar_DB[],MATCH(D$2,SP_TaxPar_DB[#Headers],0),FALSE)="",0,VLOOKUP($A248,SP_TaxPar_DB[],MATCH(D$2,SP_TaxPar_DB[#Headers],0),FALSE))</f>
        <v>230</v>
      </c>
      <c r="E248" s="69" t="str">
        <f>VLOOKUP($A248,SP_TaxPar_DB[],MATCH(E$2,SP_TaxPar_DB[#Headers],0),FALSE)</f>
        <v>WITT ANN L &amp; RAYMOND R</v>
      </c>
      <c r="F248" s="69" t="str">
        <f>VLOOKUP($A248,SP_TaxPar_DB[],MATCH(F$2,SP_TaxPar_DB[#Headers],0),FALSE)</f>
        <v>5651 CHEVY CHASE</v>
      </c>
      <c r="G248" s="69" t="str">
        <f>VLOOKUP($A248,SP_TaxPar_DB[],MATCH(G$2,SP_TaxPar_DB[#Headers],0),FALSE)</f>
        <v>HOUSTON</v>
      </c>
      <c r="H248" s="69" t="str">
        <f>VLOOKUP($A248,SP_TaxPar_DB[],MATCH(H$2,SP_TaxPar_DB[#Headers],0),FALSE)</f>
        <v>TX</v>
      </c>
      <c r="I248" s="69" t="str">
        <f>VLOOKUP($A248,SP_TaxPar_DB[],MATCH(I$2,SP_TaxPar_DB[#Headers],0),FALSE)</f>
        <v>77056</v>
      </c>
      <c r="J248" s="69" t="str">
        <f>VLOOKUP($A248,SP_TaxPar_DB[],MATCH(J$2,SP_TaxPar_DB[#Headers],0),FALSE)</f>
        <v>0 CR 222</v>
      </c>
      <c r="K248" s="69" t="str">
        <f>VLOOKUP($A248,SP_TaxPar_DB[],MATCH(K$2,SP_TaxPar_DB[#Headers],0),FALSE)</f>
        <v>A20038 ABST.38 TRACT 20 Acres:30.4800</v>
      </c>
      <c r="L248" s="69">
        <f>VLOOKUP($A248,SP_TaxPar_DB[],MATCH(L$2,SP_TaxPar_DB[#Headers],0),FALSE)</f>
        <v>0</v>
      </c>
      <c r="M248" s="69">
        <f>VLOOKUP($A248,SP_TaxPar_DB[],MATCH(M$2,SP_TaxPar_DB[#Headers],0),FALSE)</f>
        <v>0</v>
      </c>
      <c r="N248" s="69">
        <f>VLOOKUP($A248,SP_TaxPar_DB[],MATCH(N$2,SP_TaxPar_DB[#Headers],0),FALSE)</f>
        <v>0</v>
      </c>
      <c r="O248" s="71">
        <f>VLOOKUP($A248,SP_TaxPar_DB[],MATCH(O$2,SP_TaxPar_DB[#Headers],0),FALSE)</f>
        <v>0</v>
      </c>
      <c r="P248" s="72"/>
      <c r="Q248" s="240"/>
      <c r="R248" s="240"/>
      <c r="S248" s="240"/>
      <c r="T248" s="240"/>
      <c r="U248" s="240"/>
      <c r="V248" s="240"/>
      <c r="W248" s="240"/>
      <c r="X248" s="240"/>
      <c r="Y248" s="240"/>
      <c r="Z248" s="240"/>
      <c r="AA248" s="240"/>
      <c r="AB248" s="240"/>
      <c r="AC248" s="240"/>
      <c r="AD248" s="240"/>
      <c r="AE248" s="240"/>
      <c r="AF248" s="240"/>
      <c r="AG248" s="240"/>
      <c r="AH248" s="240"/>
      <c r="AI248" s="240"/>
      <c r="AJ248" s="240"/>
      <c r="AK248" s="240"/>
      <c r="AL248" s="241"/>
      <c r="AM248" s="242"/>
      <c r="AN248" s="240"/>
      <c r="AO248" s="240"/>
      <c r="AP248" s="240"/>
      <c r="AQ248" s="240"/>
      <c r="AR248" s="240"/>
      <c r="AS248" s="240"/>
      <c r="AT248" s="240"/>
      <c r="AU248" s="240"/>
      <c r="AV248" s="240"/>
      <c r="AW248" s="241"/>
    </row>
    <row r="249" spans="1:49" ht="15.75" hidden="1" x14ac:dyDescent="0.2">
      <c r="A249" s="129" t="s">
        <v>2572</v>
      </c>
      <c r="B249" s="68" t="str">
        <f>VLOOKUP($A249,SP_TaxPar_DB[],MATCH(B$2,SP_TaxPar_DB[#Headers],0),FALSE)</f>
        <v>ENV</v>
      </c>
      <c r="C249" s="67">
        <f>IF(VLOOKUP($A249,SP_TaxPar_DB[],MATCH(C$2,SP_TaxPar_DB[#Headers],0),FALSE)="",0,VLOOKUP($A249,SP_TaxPar_DB[],MATCH(C$2,SP_TaxPar_DB[#Headers],0),FALSE))</f>
        <v>0</v>
      </c>
      <c r="D249" s="67" t="str">
        <f>IF(VLOOKUP($A249,SP_TaxPar_DB[],MATCH(D$2,SP_TaxPar_DB[#Headers],0),FALSE)="",0,VLOOKUP($A249,SP_TaxPar_DB[],MATCH(D$2,SP_TaxPar_DB[#Headers],0),FALSE))</f>
        <v>231</v>
      </c>
      <c r="E249" s="69" t="str">
        <f>VLOOKUP($A249,SP_TaxPar_DB[],MATCH(E$2,SP_TaxPar_DB[#Headers],0),FALSE)</f>
        <v>HENRY RUDOLPH ETUX SHERYL</v>
      </c>
      <c r="F249" s="69" t="str">
        <f>VLOOKUP($A249,SP_TaxPar_DB[],MATCH(F$2,SP_TaxPar_DB[#Headers],0),FALSE)</f>
        <v>1004 CAROLYN</v>
      </c>
      <c r="G249" s="69" t="str">
        <f>VLOOKUP($A249,SP_TaxPar_DB[],MATCH(G$2,SP_TaxPar_DB[#Headers],0),FALSE)</f>
        <v>WHARTON</v>
      </c>
      <c r="H249" s="69" t="str">
        <f>VLOOKUP($A249,SP_TaxPar_DB[],MATCH(H$2,SP_TaxPar_DB[#Headers],0),FALSE)</f>
        <v>TX</v>
      </c>
      <c r="I249" s="69" t="str">
        <f>VLOOKUP($A249,SP_TaxPar_DB[],MATCH(I$2,SP_TaxPar_DB[#Headers],0),FALSE)</f>
        <v>77488</v>
      </c>
      <c r="J249" s="69" t="str">
        <f>VLOOKUP($A249,SP_TaxPar_DB[],MATCH(J$2,SP_TaxPar_DB[#Headers],0),FALSE)</f>
        <v>0 CR 222</v>
      </c>
      <c r="K249" s="69" t="str">
        <f>VLOOKUP($A249,SP_TaxPar_DB[],MATCH(K$2,SP_TaxPar_DB[#Headers],0),FALSE)</f>
        <v>A20038 ABST.38 TRACT 20C Acres:7.1000</v>
      </c>
      <c r="L249" s="69">
        <f>VLOOKUP($A249,SP_TaxPar_DB[],MATCH(L$2,SP_TaxPar_DB[#Headers],0),FALSE)</f>
        <v>0</v>
      </c>
      <c r="M249" s="69">
        <f>VLOOKUP($A249,SP_TaxPar_DB[],MATCH(M$2,SP_TaxPar_DB[#Headers],0),FALSE)</f>
        <v>0</v>
      </c>
      <c r="N249" s="69">
        <f>VLOOKUP($A249,SP_TaxPar_DB[],MATCH(N$2,SP_TaxPar_DB[#Headers],0),FALSE)</f>
        <v>0</v>
      </c>
      <c r="O249" s="71">
        <f>VLOOKUP($A249,SP_TaxPar_DB[],MATCH(O$2,SP_TaxPar_DB[#Headers],0),FALSE)</f>
        <v>0</v>
      </c>
      <c r="P249" s="72"/>
      <c r="Q249" s="69"/>
      <c r="R249" s="73"/>
      <c r="S249" s="73"/>
      <c r="T249" s="69"/>
      <c r="U249" s="69"/>
      <c r="V249" s="69"/>
      <c r="W249" s="69"/>
      <c r="X249" s="69"/>
      <c r="Y249" s="69"/>
      <c r="Z249" s="69"/>
      <c r="AA249" s="69"/>
      <c r="AB249" s="74"/>
      <c r="AC249" s="73"/>
      <c r="AD249" s="73"/>
      <c r="AE249" s="74"/>
      <c r="AF249" s="68"/>
      <c r="AG249" s="68"/>
      <c r="AH249" s="74"/>
      <c r="AI249" s="68"/>
      <c r="AJ249" s="68"/>
      <c r="AK249" s="68"/>
      <c r="AL249" s="80"/>
      <c r="AM249" s="81"/>
      <c r="AN249" s="74"/>
      <c r="AO249" s="74"/>
      <c r="AP249" s="74"/>
      <c r="AQ249" s="74"/>
      <c r="AR249" s="74"/>
      <c r="AS249" s="74"/>
      <c r="AT249" s="74"/>
      <c r="AU249" s="74"/>
      <c r="AV249" s="74"/>
      <c r="AW249" s="84"/>
    </row>
    <row r="250" spans="1:49" ht="15.75" hidden="1" x14ac:dyDescent="0.2">
      <c r="A250" s="129" t="s">
        <v>2576</v>
      </c>
      <c r="B250" s="68" t="str">
        <f>VLOOKUP($A250,SP_TaxPar_DB[],MATCH(B$2,SP_TaxPar_DB[#Headers],0),FALSE)</f>
        <v>ENV</v>
      </c>
      <c r="C250" s="67">
        <f>IF(VLOOKUP($A250,SP_TaxPar_DB[],MATCH(C$2,SP_TaxPar_DB[#Headers],0),FALSE)="",0,VLOOKUP($A250,SP_TaxPar_DB[],MATCH(C$2,SP_TaxPar_DB[#Headers],0),FALSE))</f>
        <v>0</v>
      </c>
      <c r="D250" s="67" t="str">
        <f>IF(VLOOKUP($A250,SP_TaxPar_DB[],MATCH(D$2,SP_TaxPar_DB[#Headers],0),FALSE)="",0,VLOOKUP($A250,SP_TaxPar_DB[],MATCH(D$2,SP_TaxPar_DB[#Headers],0),FALSE))</f>
        <v>232</v>
      </c>
      <c r="E250" s="69" t="str">
        <f>VLOOKUP($A250,SP_TaxPar_DB[],MATCH(E$2,SP_TaxPar_DB[#Headers],0),FALSE)</f>
        <v>MACHA GENE G ETUX NANCY</v>
      </c>
      <c r="F250" s="69" t="str">
        <f>VLOOKUP($A250,SP_TaxPar_DB[],MATCH(F$2,SP_TaxPar_DB[#Headers],0),FALSE)</f>
        <v>PO BOX 132</v>
      </c>
      <c r="G250" s="69" t="str">
        <f>VLOOKUP($A250,SP_TaxPar_DB[],MATCH(G$2,SP_TaxPar_DB[#Headers],0),FALSE)</f>
        <v>HUNGERFORD</v>
      </c>
      <c r="H250" s="69" t="str">
        <f>VLOOKUP($A250,SP_TaxPar_DB[],MATCH(H$2,SP_TaxPar_DB[#Headers],0),FALSE)</f>
        <v>TX</v>
      </c>
      <c r="I250" s="69" t="str">
        <f>VLOOKUP($A250,SP_TaxPar_DB[],MATCH(I$2,SP_TaxPar_DB[#Headers],0),FALSE)</f>
        <v>77448</v>
      </c>
      <c r="J250" s="69" t="str">
        <f>VLOOKUP($A250,SP_TaxPar_DB[],MATCH(J$2,SP_TaxPar_DB[#Headers],0),FALSE)</f>
        <v>725 CR 150</v>
      </c>
      <c r="K250" s="69" t="str">
        <f>VLOOKUP($A250,SP_TaxPar_DB[],MATCH(K$2,SP_TaxPar_DB[#Headers],0),FALSE)</f>
        <v>A20001 ABST.1 TRACT 30,30-1,30A-1 Acres:88.8480</v>
      </c>
      <c r="L250" s="69">
        <f>VLOOKUP($A250,SP_TaxPar_DB[],MATCH(L$2,SP_TaxPar_DB[#Headers],0),FALSE)</f>
        <v>0</v>
      </c>
      <c r="M250" s="69">
        <f>VLOOKUP($A250,SP_TaxPar_DB[],MATCH(M$2,SP_TaxPar_DB[#Headers],0),FALSE)</f>
        <v>0</v>
      </c>
      <c r="N250" s="69">
        <f>VLOOKUP($A250,SP_TaxPar_DB[],MATCH(N$2,SP_TaxPar_DB[#Headers],0),FALSE)</f>
        <v>0</v>
      </c>
      <c r="O250" s="71">
        <f>VLOOKUP($A250,SP_TaxPar_DB[],MATCH(O$2,SP_TaxPar_DB[#Headers],0),FALSE)</f>
        <v>0</v>
      </c>
      <c r="P250" s="72"/>
      <c r="Q250" s="69"/>
      <c r="R250" s="73"/>
      <c r="S250" s="73"/>
      <c r="T250" s="69"/>
      <c r="U250" s="69"/>
      <c r="V250" s="69"/>
      <c r="W250" s="69"/>
      <c r="X250" s="69"/>
      <c r="Y250" s="69"/>
      <c r="Z250" s="69"/>
      <c r="AA250" s="69"/>
      <c r="AB250" s="74"/>
      <c r="AC250" s="73"/>
      <c r="AD250" s="73"/>
      <c r="AE250" s="74"/>
      <c r="AF250" s="68"/>
      <c r="AG250" s="68"/>
      <c r="AH250" s="74"/>
      <c r="AI250" s="68"/>
      <c r="AJ250" s="68"/>
      <c r="AK250" s="68"/>
      <c r="AL250" s="80"/>
      <c r="AM250" s="81"/>
      <c r="AN250" s="74"/>
      <c r="AO250" s="74"/>
      <c r="AP250" s="74"/>
      <c r="AQ250" s="74"/>
      <c r="AR250" s="74"/>
      <c r="AS250" s="74"/>
      <c r="AT250" s="74"/>
      <c r="AU250" s="74"/>
      <c r="AV250" s="74"/>
      <c r="AW250" s="84"/>
    </row>
    <row r="251" spans="1:49" ht="15.75" hidden="1" x14ac:dyDescent="0.2">
      <c r="A251" s="129" t="s">
        <v>2581</v>
      </c>
      <c r="B251" s="68" t="str">
        <f>VLOOKUP($A251,SP_TaxPar_DB[],MATCH(B$2,SP_TaxPar_DB[#Headers],0),FALSE)</f>
        <v>ENV</v>
      </c>
      <c r="C251" s="67">
        <f>IF(VLOOKUP($A251,SP_TaxPar_DB[],MATCH(C$2,SP_TaxPar_DB[#Headers],0),FALSE)="",0,VLOOKUP($A251,SP_TaxPar_DB[],MATCH(C$2,SP_TaxPar_DB[#Headers],0),FALSE))</f>
        <v>0</v>
      </c>
      <c r="D251" s="67" t="str">
        <f>IF(VLOOKUP($A251,SP_TaxPar_DB[],MATCH(D$2,SP_TaxPar_DB[#Headers],0),FALSE)="",0,VLOOKUP($A251,SP_TaxPar_DB[],MATCH(D$2,SP_TaxPar_DB[#Headers],0),FALSE))</f>
        <v>233</v>
      </c>
      <c r="E251" s="69" t="str">
        <f>VLOOKUP($A251,SP_TaxPar_DB[],MATCH(E$2,SP_TaxPar_DB[#Headers],0),FALSE)</f>
        <v>KALINA LARRY J ETUX DIANE</v>
      </c>
      <c r="F251" s="69" t="str">
        <f>VLOOKUP($A251,SP_TaxPar_DB[],MATCH(F$2,SP_TaxPar_DB[#Headers],0),FALSE)</f>
        <v>3225 N RICHMOND RD</v>
      </c>
      <c r="G251" s="69" t="str">
        <f>VLOOKUP($A251,SP_TaxPar_DB[],MATCH(G$2,SP_TaxPar_DB[#Headers],0),FALSE)</f>
        <v>WHARTON</v>
      </c>
      <c r="H251" s="69" t="str">
        <f>VLOOKUP($A251,SP_TaxPar_DB[],MATCH(H$2,SP_TaxPar_DB[#Headers],0),FALSE)</f>
        <v>TX</v>
      </c>
      <c r="I251" s="69" t="str">
        <f>VLOOKUP($A251,SP_TaxPar_DB[],MATCH(I$2,SP_TaxPar_DB[#Headers],0),FALSE)</f>
        <v>77488</v>
      </c>
      <c r="J251" s="69" t="str">
        <f>VLOOKUP($A251,SP_TaxPar_DB[],MATCH(J$2,SP_TaxPar_DB[#Headers],0),FALSE)</f>
        <v>3225 N RICHMOND</v>
      </c>
      <c r="K251" s="69" t="str">
        <f>VLOOKUP($A251,SP_TaxPar_DB[],MATCH(K$2,SP_TaxPar_DB[#Headers],0),FALSE)</f>
        <v>A20038 ABST.38 TRACT 47A,49,50 PT. Acres:11.1620</v>
      </c>
      <c r="L251" s="69">
        <f>VLOOKUP($A251,SP_TaxPar_DB[],MATCH(L$2,SP_TaxPar_DB[#Headers],0),FALSE)</f>
        <v>0</v>
      </c>
      <c r="M251" s="69">
        <f>VLOOKUP($A251,SP_TaxPar_DB[],MATCH(M$2,SP_TaxPar_DB[#Headers],0),FALSE)</f>
        <v>0</v>
      </c>
      <c r="N251" s="69">
        <f>VLOOKUP($A251,SP_TaxPar_DB[],MATCH(N$2,SP_TaxPar_DB[#Headers],0),FALSE)</f>
        <v>0</v>
      </c>
      <c r="O251" s="71">
        <f>VLOOKUP($A251,SP_TaxPar_DB[],MATCH(O$2,SP_TaxPar_DB[#Headers],0),FALSE)</f>
        <v>0</v>
      </c>
      <c r="P251" s="72"/>
      <c r="Q251" s="69"/>
      <c r="R251" s="73"/>
      <c r="S251" s="73"/>
      <c r="T251" s="69"/>
      <c r="U251" s="69"/>
      <c r="V251" s="69"/>
      <c r="W251" s="69"/>
      <c r="X251" s="69"/>
      <c r="Y251" s="69"/>
      <c r="Z251" s="69"/>
      <c r="AA251" s="69"/>
      <c r="AB251" s="74"/>
      <c r="AC251" s="73"/>
      <c r="AD251" s="73"/>
      <c r="AE251" s="74"/>
      <c r="AF251" s="68"/>
      <c r="AG251" s="68"/>
      <c r="AH251" s="74"/>
      <c r="AI251" s="68"/>
      <c r="AJ251" s="68"/>
      <c r="AK251" s="68"/>
      <c r="AL251" s="80"/>
      <c r="AM251" s="81"/>
      <c r="AN251" s="74"/>
      <c r="AO251" s="74"/>
      <c r="AP251" s="74"/>
      <c r="AQ251" s="74"/>
      <c r="AR251" s="74"/>
      <c r="AS251" s="74"/>
      <c r="AT251" s="74"/>
      <c r="AU251" s="74"/>
      <c r="AV251" s="74"/>
      <c r="AW251" s="84"/>
    </row>
    <row r="252" spans="1:49" ht="15.75" hidden="1" x14ac:dyDescent="0.2">
      <c r="A252" s="129" t="s">
        <v>2586</v>
      </c>
      <c r="B252" s="68" t="str">
        <f>VLOOKUP($A252,SP_TaxPar_DB[],MATCH(B$2,SP_TaxPar_DB[#Headers],0),FALSE)</f>
        <v>PH2</v>
      </c>
      <c r="C252" s="67" t="str">
        <f>IF(VLOOKUP($A252,SP_TaxPar_DB[],MATCH(C$2,SP_TaxPar_DB[#Headers],0),FALSE)="",0,VLOOKUP($A252,SP_TaxPar_DB[],MATCH(C$2,SP_TaxPar_DB[#Headers],0),FALSE))</f>
        <v>T234</v>
      </c>
      <c r="D252" s="67">
        <f>IF(VLOOKUP($A252,SP_TaxPar_DB[],MATCH(D$2,SP_TaxPar_DB[#Headers],0),FALSE)="",0,VLOOKUP($A252,SP_TaxPar_DB[],MATCH(D$2,SP_TaxPar_DB[#Headers],0),FALSE))</f>
        <v>0</v>
      </c>
      <c r="E252" s="69" t="str">
        <f>VLOOKUP($A252,SP_TaxPar_DB[],MATCH(E$2,SP_TaxPar_DB[#Headers],0),FALSE)</f>
        <v>KALINA LARRY J ETUX DIANE</v>
      </c>
      <c r="F252" s="69" t="str">
        <f>VLOOKUP($A252,SP_TaxPar_DB[],MATCH(F$2,SP_TaxPar_DB[#Headers],0),FALSE)</f>
        <v>3225 N RICHMOND RD</v>
      </c>
      <c r="G252" s="69" t="str">
        <f>VLOOKUP($A252,SP_TaxPar_DB[],MATCH(G$2,SP_TaxPar_DB[#Headers],0),FALSE)</f>
        <v>WHARTON</v>
      </c>
      <c r="H252" s="69" t="str">
        <f>VLOOKUP($A252,SP_TaxPar_DB[],MATCH(H$2,SP_TaxPar_DB[#Headers],0),FALSE)</f>
        <v>TX</v>
      </c>
      <c r="I252" s="69" t="str">
        <f>VLOOKUP($A252,SP_TaxPar_DB[],MATCH(I$2,SP_TaxPar_DB[#Headers],0),FALSE)</f>
        <v>77488</v>
      </c>
      <c r="J252" s="69" t="str">
        <f>VLOOKUP($A252,SP_TaxPar_DB[],MATCH(J$2,SP_TaxPar_DB[#Headers],0),FALSE)</f>
        <v>3617 HWY 59</v>
      </c>
      <c r="K252" s="69" t="str">
        <f>VLOOKUP($A252,SP_TaxPar_DB[],MATCH(K$2,SP_TaxPar_DB[#Headers],0),FALSE)</f>
        <v>A20038 ABST.38 TRACT 47A,49 Acres:75.4180</v>
      </c>
      <c r="L252" s="69">
        <f>VLOOKUP($A252,SP_TaxPar_DB[],MATCH(L$2,SP_TaxPar_DB[#Headers],0),FALSE)</f>
        <v>0</v>
      </c>
      <c r="M252" s="69">
        <f>VLOOKUP($A252,SP_TaxPar_DB[],MATCH(M$2,SP_TaxPar_DB[#Headers],0),FALSE)</f>
        <v>0</v>
      </c>
      <c r="N252" s="69">
        <f>VLOOKUP($A252,SP_TaxPar_DB[],MATCH(N$2,SP_TaxPar_DB[#Headers],0),FALSE)</f>
        <v>0</v>
      </c>
      <c r="O252" s="71">
        <f>VLOOKUP($A252,SP_TaxPar_DB[],MATCH(O$2,SP_TaxPar_DB[#Headers],0),FALSE)</f>
        <v>0</v>
      </c>
      <c r="P252" s="72"/>
      <c r="Q252" s="69"/>
      <c r="R252" s="73"/>
      <c r="S252" s="73"/>
      <c r="T252" s="69"/>
      <c r="U252" s="69"/>
      <c r="V252" s="69"/>
      <c r="W252" s="69"/>
      <c r="X252" s="69"/>
      <c r="Y252" s="69"/>
      <c r="Z252" s="69"/>
      <c r="AA252" s="69"/>
      <c r="AB252" s="74"/>
      <c r="AC252" s="73"/>
      <c r="AD252" s="73"/>
      <c r="AE252" s="74"/>
      <c r="AF252" s="68"/>
      <c r="AG252" s="68"/>
      <c r="AH252" s="74"/>
      <c r="AI252" s="68"/>
      <c r="AJ252" s="68"/>
      <c r="AK252" s="68"/>
      <c r="AL252" s="80"/>
      <c r="AM252" s="81"/>
      <c r="AN252" s="74"/>
      <c r="AO252" s="74"/>
      <c r="AP252" s="74"/>
      <c r="AQ252" s="74"/>
      <c r="AR252" s="74"/>
      <c r="AS252" s="74"/>
      <c r="AT252" s="74"/>
      <c r="AU252" s="74"/>
      <c r="AV252" s="74"/>
      <c r="AW252" s="84"/>
    </row>
    <row r="253" spans="1:49" ht="15.75" hidden="1" x14ac:dyDescent="0.2">
      <c r="A253" s="129" t="s">
        <v>1120</v>
      </c>
      <c r="B253" s="68" t="str">
        <f>VLOOKUP($A253,SP_TaxPar_DB[],MATCH(B$2,SP_TaxPar_DB[#Headers],0),FALSE)</f>
        <v>PH1</v>
      </c>
      <c r="C253" s="67" t="str">
        <f>IF(VLOOKUP($A253,SP_TaxPar_DB[],MATCH(C$2,SP_TaxPar_DB[#Headers],0),FALSE)="",0,VLOOKUP($A253,SP_TaxPar_DB[],MATCH(C$2,SP_TaxPar_DB[#Headers],0),FALSE))</f>
        <v>322</v>
      </c>
      <c r="D253" s="67">
        <f>IF(VLOOKUP($A253,SP_TaxPar_DB[],MATCH(D$2,SP_TaxPar_DB[#Headers],0),FALSE)="",0,VLOOKUP($A253,SP_TaxPar_DB[],MATCH(D$2,SP_TaxPar_DB[#Headers],0),FALSE))</f>
        <v>0</v>
      </c>
      <c r="E253" s="69" t="str">
        <f>VLOOKUP($A253,SP_TaxPar_DB[],MATCH(E$2,SP_TaxPar_DB[#Headers],0),FALSE)</f>
        <v>Kansas City Southern Attn:Property Tax Dept.</v>
      </c>
      <c r="F253" s="69" t="str">
        <f>VLOOKUP($A253,SP_TaxPar_DB[],MATCH(F$2,SP_TaxPar_DB[#Headers],0),FALSE)</f>
        <v>P.O. Box 219335</v>
      </c>
      <c r="G253" s="69" t="str">
        <f>VLOOKUP($A253,SP_TaxPar_DB[],MATCH(G$2,SP_TaxPar_DB[#Headers],0),FALSE)</f>
        <v>Kansas City</v>
      </c>
      <c r="H253" s="69" t="str">
        <f>VLOOKUP($A253,SP_TaxPar_DB[],MATCH(H$2,SP_TaxPar_DB[#Headers],0),FALSE)</f>
        <v>MO</v>
      </c>
      <c r="I253" s="69" t="str">
        <f>VLOOKUP($A253,SP_TaxPar_DB[],MATCH(I$2,SP_TaxPar_DB[#Headers],0),FALSE)</f>
        <v>64121-9335</v>
      </c>
      <c r="J253" s="69" t="str">
        <f>VLOOKUP($A253,SP_TaxPar_DB[],MATCH(J$2,SP_TaxPar_DB[#Headers],0),FALSE)</f>
        <v>Colorado</v>
      </c>
      <c r="K253" s="69" t="str">
        <f>VLOOKUP($A253,SP_TaxPar_DB[],MATCH(K$2,SP_TaxPar_DB[#Headers],0),FALSE)</f>
        <v>WHARTON BLOCK ABS 38, PT RR CORR Acres:73.3100</v>
      </c>
      <c r="L253" s="69">
        <f>VLOOKUP($A253,SP_TaxPar_DB[],MATCH(L$2,SP_TaxPar_DB[#Headers],0),FALSE)</f>
        <v>73.31</v>
      </c>
      <c r="M253" s="69" t="str">
        <f>VLOOKUP($A253,SP_TaxPar_DB[],MATCH(M$2,SP_TaxPar_DB[#Headers],0),FALSE)</f>
        <v>RR</v>
      </c>
      <c r="N253" s="69">
        <f>VLOOKUP($A253,SP_TaxPar_DB[],MATCH(N$2,SP_TaxPar_DB[#Headers],0),FALSE)</f>
        <v>0</v>
      </c>
      <c r="O253" s="71">
        <f>VLOOKUP($A253,SP_TaxPar_DB[],MATCH(O$2,SP_TaxPar_DB[#Headers],0),FALSE)</f>
        <v>0</v>
      </c>
      <c r="P253" s="72"/>
      <c r="Q253" s="69"/>
      <c r="R253" s="73"/>
      <c r="S253" s="73"/>
      <c r="T253" s="69"/>
      <c r="U253" s="69"/>
      <c r="V253" s="69"/>
      <c r="W253" s="69"/>
      <c r="X253" s="69"/>
      <c r="Y253" s="69"/>
      <c r="Z253" s="69"/>
      <c r="AA253" s="69"/>
      <c r="AB253" s="74"/>
      <c r="AC253" s="73"/>
      <c r="AD253" s="73"/>
      <c r="AE253" s="74"/>
      <c r="AF253" s="68"/>
      <c r="AG253" s="68"/>
      <c r="AH253" s="74"/>
      <c r="AI253" s="68"/>
      <c r="AJ253" s="68"/>
      <c r="AK253" s="68"/>
      <c r="AL253" s="80"/>
      <c r="AM253" s="81"/>
      <c r="AN253" s="74"/>
      <c r="AO253" s="74"/>
      <c r="AP253" s="74"/>
      <c r="AQ253" s="74"/>
      <c r="AR253" s="74"/>
      <c r="AS253" s="74"/>
      <c r="AT253" s="74"/>
      <c r="AU253" s="74"/>
      <c r="AV253" s="74"/>
      <c r="AW253" s="84"/>
    </row>
    <row r="254" spans="1:49" ht="15.75" hidden="1" x14ac:dyDescent="0.2">
      <c r="A254" s="129" t="s">
        <v>2589</v>
      </c>
      <c r="B254" s="68" t="str">
        <f>VLOOKUP($A254,SP_TaxPar_DB[],MATCH(B$2,SP_TaxPar_DB[#Headers],0),FALSE)</f>
        <v>PH2</v>
      </c>
      <c r="C254" s="67" t="str">
        <f>IF(VLOOKUP($A254,SP_TaxPar_DB[],MATCH(C$2,SP_TaxPar_DB[#Headers],0),FALSE)="",0,VLOOKUP($A254,SP_TaxPar_DB[],MATCH(C$2,SP_TaxPar_DB[#Headers],0),FALSE))</f>
        <v>T236</v>
      </c>
      <c r="D254" s="67">
        <f>IF(VLOOKUP($A254,SP_TaxPar_DB[],MATCH(D$2,SP_TaxPar_DB[#Headers],0),FALSE)="",0,VLOOKUP($A254,SP_TaxPar_DB[],MATCH(D$2,SP_TaxPar_DB[#Headers],0),FALSE))</f>
        <v>0</v>
      </c>
      <c r="E254" s="69" t="str">
        <f>VLOOKUP($A254,SP_TaxPar_DB[],MATCH(E$2,SP_TaxPar_DB[#Headers],0),FALSE)</f>
        <v>NILSON ROBERT L</v>
      </c>
      <c r="F254" s="69" t="str">
        <f>VLOOKUP($A254,SP_TaxPar_DB[],MATCH(F$2,SP_TaxPar_DB[#Headers],0),FALSE)</f>
        <v>PO BOX 266</v>
      </c>
      <c r="G254" s="69" t="str">
        <f>VLOOKUP($A254,SP_TaxPar_DB[],MATCH(G$2,SP_TaxPar_DB[#Headers],0),FALSE)</f>
        <v>EL CAMPO</v>
      </c>
      <c r="H254" s="69" t="str">
        <f>VLOOKUP($A254,SP_TaxPar_DB[],MATCH(H$2,SP_TaxPar_DB[#Headers],0),FALSE)</f>
        <v>TX</v>
      </c>
      <c r="I254" s="69" t="str">
        <f>VLOOKUP($A254,SP_TaxPar_DB[],MATCH(I$2,SP_TaxPar_DB[#Headers],0),FALSE)</f>
        <v>77437</v>
      </c>
      <c r="J254" s="69" t="str">
        <f>VLOOKUP($A254,SP_TaxPar_DB[],MATCH(J$2,SP_TaxPar_DB[#Headers],0),FALSE)</f>
        <v>0 FM 102</v>
      </c>
      <c r="K254" s="69" t="str">
        <f>VLOOKUP($A254,SP_TaxPar_DB[],MATCH(K$2,SP_TaxPar_DB[#Headers],0),FALSE)</f>
        <v>A20003 ABST.3 TRACT 50B-RR Acres:3.4400</v>
      </c>
      <c r="L254" s="69">
        <f>VLOOKUP($A254,SP_TaxPar_DB[],MATCH(L$2,SP_TaxPar_DB[#Headers],0),FALSE)</f>
        <v>0</v>
      </c>
      <c r="M254" s="69">
        <f>VLOOKUP($A254,SP_TaxPar_DB[],MATCH(M$2,SP_TaxPar_DB[#Headers],0),FALSE)</f>
        <v>0</v>
      </c>
      <c r="N254" s="69">
        <f>VLOOKUP($A254,SP_TaxPar_DB[],MATCH(N$2,SP_TaxPar_DB[#Headers],0),FALSE)</f>
        <v>0</v>
      </c>
      <c r="O254" s="71">
        <f>VLOOKUP($A254,SP_TaxPar_DB[],MATCH(O$2,SP_TaxPar_DB[#Headers],0),FALSE)</f>
        <v>0</v>
      </c>
      <c r="P254" s="72"/>
      <c r="Q254" s="69"/>
      <c r="R254" s="73"/>
      <c r="S254" s="73"/>
      <c r="T254" s="69"/>
      <c r="U254" s="69"/>
      <c r="V254" s="69"/>
      <c r="W254" s="69"/>
      <c r="X254" s="69"/>
      <c r="Y254" s="69"/>
      <c r="Z254" s="69"/>
      <c r="AA254" s="69"/>
      <c r="AB254" s="74"/>
      <c r="AC254" s="73"/>
      <c r="AD254" s="73"/>
      <c r="AE254" s="74"/>
      <c r="AF254" s="68"/>
      <c r="AG254" s="68"/>
      <c r="AH254" s="74"/>
      <c r="AI254" s="68"/>
      <c r="AJ254" s="68"/>
      <c r="AK254" s="68"/>
      <c r="AL254" s="80"/>
      <c r="AM254" s="81"/>
      <c r="AN254" s="74"/>
      <c r="AO254" s="74"/>
      <c r="AP254" s="74"/>
      <c r="AQ254" s="74"/>
      <c r="AR254" s="74"/>
      <c r="AS254" s="74"/>
      <c r="AT254" s="74"/>
      <c r="AU254" s="74"/>
      <c r="AV254" s="74"/>
      <c r="AW254" s="84"/>
    </row>
    <row r="255" spans="1:49" ht="15.75" hidden="1" x14ac:dyDescent="0.2">
      <c r="A255" s="129" t="s">
        <v>2594</v>
      </c>
      <c r="B255" s="68" t="str">
        <f>VLOOKUP($A255,SP_TaxPar_DB[],MATCH(B$2,SP_TaxPar_DB[#Headers],0),FALSE)</f>
        <v>PH2</v>
      </c>
      <c r="C255" s="67" t="str">
        <f>IF(VLOOKUP($A255,SP_TaxPar_DB[],MATCH(C$2,SP_TaxPar_DB[#Headers],0),FALSE)="",0,VLOOKUP($A255,SP_TaxPar_DB[],MATCH(C$2,SP_TaxPar_DB[#Headers],0),FALSE))</f>
        <v>T237</v>
      </c>
      <c r="D255" s="67">
        <f>IF(VLOOKUP($A255,SP_TaxPar_DB[],MATCH(D$2,SP_TaxPar_DB[#Headers],0),FALSE)="",0,VLOOKUP($A255,SP_TaxPar_DB[],MATCH(D$2,SP_TaxPar_DB[#Headers],0),FALSE))</f>
        <v>0</v>
      </c>
      <c r="E255" s="69" t="str">
        <f>VLOOKUP($A255,SP_TaxPar_DB[],MATCH(E$2,SP_TaxPar_DB[#Headers],0),FALSE)</f>
        <v>MITCHELL ROBERT</v>
      </c>
      <c r="F255" s="69" t="str">
        <f>VLOOKUP($A255,SP_TaxPar_DB[],MATCH(F$2,SP_TaxPar_DB[#Headers],0),FALSE)</f>
        <v>3500 JUNIOR COLLEGE BLVD</v>
      </c>
      <c r="G255" s="69" t="str">
        <f>VLOOKUP($A255,SP_TaxPar_DB[],MATCH(G$2,SP_TaxPar_DB[#Headers],0),FALSE)</f>
        <v>WHARTON</v>
      </c>
      <c r="H255" s="69" t="str">
        <f>VLOOKUP($A255,SP_TaxPar_DB[],MATCH(H$2,SP_TaxPar_DB[#Headers],0),FALSE)</f>
        <v>TX</v>
      </c>
      <c r="I255" s="69" t="str">
        <f>VLOOKUP($A255,SP_TaxPar_DB[],MATCH(I$2,SP_TaxPar_DB[#Headers],0),FALSE)</f>
        <v>77488</v>
      </c>
      <c r="J255" s="69" t="str">
        <f>VLOOKUP($A255,SP_TaxPar_DB[],MATCH(J$2,SP_TaxPar_DB[#Headers],0),FALSE)</f>
        <v>3500 JUNIOR COLLEGE BLVD</v>
      </c>
      <c r="K255" s="69" t="str">
        <f>VLOOKUP($A255,SP_TaxPar_DB[],MATCH(K$2,SP_TaxPar_DB[#Headers],0),FALSE)</f>
        <v>A20001 ABST.1 TRACT 10D Acres:4.0000</v>
      </c>
      <c r="L255" s="69">
        <f>VLOOKUP($A255,SP_TaxPar_DB[],MATCH(L$2,SP_TaxPar_DB[#Headers],0),FALSE)</f>
        <v>0</v>
      </c>
      <c r="M255" s="69">
        <f>VLOOKUP($A255,SP_TaxPar_DB[],MATCH(M$2,SP_TaxPar_DB[#Headers],0),FALSE)</f>
        <v>0</v>
      </c>
      <c r="N255" s="69">
        <f>VLOOKUP($A255,SP_TaxPar_DB[],MATCH(N$2,SP_TaxPar_DB[#Headers],0),FALSE)</f>
        <v>0</v>
      </c>
      <c r="O255" s="71">
        <f>VLOOKUP($A255,SP_TaxPar_DB[],MATCH(O$2,SP_TaxPar_DB[#Headers],0),FALSE)</f>
        <v>0</v>
      </c>
      <c r="P255" s="72"/>
      <c r="Q255" s="69"/>
      <c r="R255" s="73"/>
      <c r="S255" s="73"/>
      <c r="T255" s="69"/>
      <c r="U255" s="69"/>
      <c r="V255" s="69"/>
      <c r="W255" s="69"/>
      <c r="X255" s="69"/>
      <c r="Y255" s="69"/>
      <c r="Z255" s="69"/>
      <c r="AA255" s="69"/>
      <c r="AB255" s="74"/>
      <c r="AC255" s="73"/>
      <c r="AD255" s="73"/>
      <c r="AE255" s="74"/>
      <c r="AF255" s="68"/>
      <c r="AG255" s="68"/>
      <c r="AH255" s="74"/>
      <c r="AI255" s="68"/>
      <c r="AJ255" s="68"/>
      <c r="AK255" s="68"/>
      <c r="AL255" s="80"/>
      <c r="AM255" s="81"/>
      <c r="AN255" s="74"/>
      <c r="AO255" s="74"/>
      <c r="AP255" s="74"/>
      <c r="AQ255" s="74"/>
      <c r="AR255" s="74"/>
      <c r="AS255" s="74"/>
      <c r="AT255" s="74"/>
      <c r="AU255" s="74"/>
      <c r="AV255" s="74"/>
      <c r="AW255" s="84"/>
    </row>
    <row r="256" spans="1:49" ht="15.75" hidden="1" x14ac:dyDescent="0.2">
      <c r="A256" s="129" t="s">
        <v>2598</v>
      </c>
      <c r="B256" s="68" t="str">
        <f>VLOOKUP($A256,SP_TaxPar_DB[],MATCH(B$2,SP_TaxPar_DB[#Headers],0),FALSE)</f>
        <v>PH2</v>
      </c>
      <c r="C256" s="67" t="str">
        <f>IF(VLOOKUP($A256,SP_TaxPar_DB[],MATCH(C$2,SP_TaxPar_DB[#Headers],0),FALSE)="",0,VLOOKUP($A256,SP_TaxPar_DB[],MATCH(C$2,SP_TaxPar_DB[#Headers],0),FALSE))</f>
        <v>T238</v>
      </c>
      <c r="D256" s="67">
        <f>IF(VLOOKUP($A256,SP_TaxPar_DB[],MATCH(D$2,SP_TaxPar_DB[#Headers],0),FALSE)="",0,VLOOKUP($A256,SP_TaxPar_DB[],MATCH(D$2,SP_TaxPar_DB[#Headers],0),FALSE))</f>
        <v>0</v>
      </c>
      <c r="E256" s="69" t="str">
        <f>VLOOKUP($A256,SP_TaxPar_DB[],MATCH(E$2,SP_TaxPar_DB[#Headers],0),FALSE)</f>
        <v>MITCHELL MICHAEL</v>
      </c>
      <c r="F256" s="69" t="str">
        <f>VLOOKUP($A256,SP_TaxPar_DB[],MATCH(F$2,SP_TaxPar_DB[#Headers],0),FALSE)</f>
        <v>442 WOODRAIL DR</v>
      </c>
      <c r="G256" s="69" t="str">
        <f>VLOOKUP($A256,SP_TaxPar_DB[],MATCH(G$2,SP_TaxPar_DB[#Headers],0),FALSE)</f>
        <v>WEBSTER</v>
      </c>
      <c r="H256" s="69" t="str">
        <f>VLOOKUP($A256,SP_TaxPar_DB[],MATCH(H$2,SP_TaxPar_DB[#Headers],0),FALSE)</f>
        <v>TX</v>
      </c>
      <c r="I256" s="69" t="str">
        <f>VLOOKUP($A256,SP_TaxPar_DB[],MATCH(I$2,SP_TaxPar_DB[#Headers],0),FALSE)</f>
        <v>77598-2512</v>
      </c>
      <c r="J256" s="69" t="str">
        <f>VLOOKUP($A256,SP_TaxPar_DB[],MATCH(J$2,SP_TaxPar_DB[#Headers],0),FALSE)</f>
        <v>0 JUNIOR COLLEGE BLVD</v>
      </c>
      <c r="K256" s="69" t="str">
        <f>VLOOKUP($A256,SP_TaxPar_DB[],MATCH(K$2,SP_TaxPar_DB[#Headers],0),FALSE)</f>
        <v>A20001 ABST.1 TRACT 10D-1 Acres:3.1000</v>
      </c>
      <c r="L256" s="69">
        <f>VLOOKUP($A256,SP_TaxPar_DB[],MATCH(L$2,SP_TaxPar_DB[#Headers],0),FALSE)</f>
        <v>0</v>
      </c>
      <c r="M256" s="69">
        <f>VLOOKUP($A256,SP_TaxPar_DB[],MATCH(M$2,SP_TaxPar_DB[#Headers],0),FALSE)</f>
        <v>0</v>
      </c>
      <c r="N256" s="69">
        <f>VLOOKUP($A256,SP_TaxPar_DB[],MATCH(N$2,SP_TaxPar_DB[#Headers],0),FALSE)</f>
        <v>0</v>
      </c>
      <c r="O256" s="71">
        <f>VLOOKUP($A256,SP_TaxPar_DB[],MATCH(O$2,SP_TaxPar_DB[#Headers],0),FALSE)</f>
        <v>0</v>
      </c>
      <c r="P256" s="72"/>
      <c r="Q256" s="69"/>
      <c r="R256" s="73"/>
      <c r="S256" s="73"/>
      <c r="T256" s="69"/>
      <c r="U256" s="69"/>
      <c r="V256" s="69"/>
      <c r="W256" s="69"/>
      <c r="X256" s="69"/>
      <c r="Y256" s="69"/>
      <c r="Z256" s="69"/>
      <c r="AA256" s="69"/>
      <c r="AB256" s="74"/>
      <c r="AC256" s="73"/>
      <c r="AD256" s="73"/>
      <c r="AE256" s="74"/>
      <c r="AF256" s="68"/>
      <c r="AG256" s="68"/>
      <c r="AH256" s="74"/>
      <c r="AI256" s="68"/>
      <c r="AJ256" s="68"/>
      <c r="AK256" s="68"/>
      <c r="AL256" s="80"/>
      <c r="AM256" s="81"/>
      <c r="AN256" s="74"/>
      <c r="AO256" s="74"/>
      <c r="AP256" s="74"/>
      <c r="AQ256" s="74"/>
      <c r="AR256" s="74"/>
      <c r="AS256" s="74"/>
      <c r="AT256" s="74"/>
      <c r="AU256" s="74"/>
      <c r="AV256" s="74"/>
      <c r="AW256" s="84"/>
    </row>
    <row r="257" spans="1:49" ht="15.75" hidden="1" x14ac:dyDescent="0.2">
      <c r="A257" s="129" t="s">
        <v>874</v>
      </c>
      <c r="B257" s="68" t="str">
        <f>VLOOKUP($A257,SP_TaxPar_DB[],MATCH(B$2,SP_TaxPar_DB[#Headers],0),FALSE)</f>
        <v>PH1</v>
      </c>
      <c r="C257" s="67" t="str">
        <f>IF(VLOOKUP($A257,SP_TaxPar_DB[],MATCH(C$2,SP_TaxPar_DB[#Headers],0),FALSE)="",0,VLOOKUP($A257,SP_TaxPar_DB[],MATCH(C$2,SP_TaxPar_DB[#Headers],0),FALSE))</f>
        <v>305MH</v>
      </c>
      <c r="D257" s="67">
        <f>IF(VLOOKUP($A257,SP_TaxPar_DB[],MATCH(D$2,SP_TaxPar_DB[#Headers],0),FALSE)="",0,VLOOKUP($A257,SP_TaxPar_DB[],MATCH(D$2,SP_TaxPar_DB[#Headers],0),FALSE))</f>
        <v>0</v>
      </c>
      <c r="E257" s="69" t="str">
        <f>VLOOKUP($A257,SP_TaxPar_DB[],MATCH(E$2,SP_TaxPar_DB[#Headers],0),FALSE)</f>
        <v>Raymond L Frazier, Sr.</v>
      </c>
      <c r="F257" s="69" t="str">
        <f>VLOOKUP($A257,SP_TaxPar_DB[],MATCH(F$2,SP_TaxPar_DB[#Headers],0),FALSE)</f>
        <v>505 S Ford</v>
      </c>
      <c r="G257" s="69" t="str">
        <f>VLOOKUP($A257,SP_TaxPar_DB[],MATCH(G$2,SP_TaxPar_DB[#Headers],0),FALSE)</f>
        <v>Wharton</v>
      </c>
      <c r="H257" s="69" t="str">
        <f>VLOOKUP($A257,SP_TaxPar_DB[],MATCH(H$2,SP_TaxPar_DB[#Headers],0),FALSE)</f>
        <v>TX</v>
      </c>
      <c r="I257" s="69" t="str">
        <f>VLOOKUP($A257,SP_TaxPar_DB[],MATCH(I$2,SP_TaxPar_DB[#Headers],0),FALSE)</f>
        <v>77488-0000</v>
      </c>
      <c r="J257" s="69" t="str">
        <f>VLOOKUP($A257,SP_TaxPar_DB[],MATCH(J$2,SP_TaxPar_DB[#Headers],0),FALSE)</f>
        <v>505 S Ford</v>
      </c>
      <c r="K257" s="69" t="str">
        <f>VLOOKUP($A257,SP_TaxPar_DB[],MATCH(K$2,SP_TaxPar_DB[#Headers],0),FALSE)</f>
        <v>WM.KINCHELOE BLOCK 63 LOT 205,210 --IMP.ONLY 1997 PALM HARBOR PALM HARBOR 28X66 DW LABEL # PFS0458211 SERIAL # PH077744A Acres:0.0000</v>
      </c>
      <c r="L257" s="69">
        <f>VLOOKUP($A257,SP_TaxPar_DB[],MATCH(L$2,SP_TaxPar_DB[#Headers],0),FALSE)</f>
        <v>0</v>
      </c>
      <c r="M257" s="69">
        <f>VLOOKUP($A257,SP_TaxPar_DB[],MATCH(M$2,SP_TaxPar_DB[#Headers],0),FALSE)</f>
        <v>0</v>
      </c>
      <c r="N257" s="69">
        <f>VLOOKUP($A257,SP_TaxPar_DB[],MATCH(N$2,SP_TaxPar_DB[#Headers],0),FALSE)</f>
        <v>0</v>
      </c>
      <c r="O257" s="71" t="str">
        <f>VLOOKUP($A257,SP_TaxPar_DB[],MATCH(O$2,SP_TaxPar_DB[#Headers],0),FALSE)</f>
        <v>Mobile Home only</v>
      </c>
      <c r="P257" s="72"/>
      <c r="Q257" s="69"/>
      <c r="R257" s="73"/>
      <c r="S257" s="73"/>
      <c r="T257" s="69"/>
      <c r="U257" s="69"/>
      <c r="V257" s="69"/>
      <c r="W257" s="69"/>
      <c r="X257" s="69"/>
      <c r="Y257" s="69"/>
      <c r="Z257" s="69"/>
      <c r="AA257" s="69"/>
      <c r="AB257" s="74"/>
      <c r="AC257" s="73"/>
      <c r="AD257" s="73"/>
      <c r="AE257" s="74"/>
      <c r="AF257" s="68"/>
      <c r="AG257" s="68"/>
      <c r="AH257" s="74"/>
      <c r="AI257" s="68"/>
      <c r="AJ257" s="68"/>
      <c r="AK257" s="68"/>
      <c r="AL257" s="80"/>
      <c r="AM257" s="81"/>
      <c r="AN257" s="74"/>
      <c r="AO257" s="74"/>
      <c r="AP257" s="74"/>
      <c r="AQ257" s="74"/>
      <c r="AR257" s="74"/>
      <c r="AS257" s="74"/>
      <c r="AT257" s="74"/>
      <c r="AU257" s="74"/>
      <c r="AV257" s="74"/>
      <c r="AW257" s="84"/>
    </row>
    <row r="258" spans="1:49" ht="15.75" hidden="1" x14ac:dyDescent="0.2">
      <c r="A258" s="129" t="s">
        <v>230</v>
      </c>
      <c r="B258" s="68" t="str">
        <f>VLOOKUP($A258,SP_TaxPar_DB[],MATCH(B$2,SP_TaxPar_DB[#Headers],0),FALSE)</f>
        <v>PH1</v>
      </c>
      <c r="C258" s="67" t="str">
        <f>IF(VLOOKUP($A258,SP_TaxPar_DB[],MATCH(C$2,SP_TaxPar_DB[#Headers],0),FALSE)="",0,VLOOKUP($A258,SP_TaxPar_DB[],MATCH(C$2,SP_TaxPar_DB[#Headers],0),FALSE))</f>
        <v>421A</v>
      </c>
      <c r="D258" s="67">
        <f>IF(VLOOKUP($A258,SP_TaxPar_DB[],MATCH(D$2,SP_TaxPar_DB[#Headers],0),FALSE)="",0,VLOOKUP($A258,SP_TaxPar_DB[],MATCH(D$2,SP_TaxPar_DB[#Headers],0),FALSE))</f>
        <v>0</v>
      </c>
      <c r="E258" s="69" t="str">
        <f>VLOOKUP($A258,SP_TaxPar_DB[],MATCH(E$2,SP_TaxPar_DB[#Headers],0),FALSE)</f>
        <v>Marlene Soles</v>
      </c>
      <c r="F258" s="69" t="str">
        <f>VLOOKUP($A258,SP_TaxPar_DB[],MATCH(F$2,SP_TaxPar_DB[#Headers],0),FALSE)</f>
        <v>421-A Colorado</v>
      </c>
      <c r="G258" s="69" t="str">
        <f>VLOOKUP($A258,SP_TaxPar_DB[],MATCH(G$2,SP_TaxPar_DB[#Headers],0),FALSE)</f>
        <v>Wharton</v>
      </c>
      <c r="H258" s="69" t="str">
        <f>VLOOKUP($A258,SP_TaxPar_DB[],MATCH(H$2,SP_TaxPar_DB[#Headers],0),FALSE)</f>
        <v>TX</v>
      </c>
      <c r="I258" s="69" t="str">
        <f>VLOOKUP($A258,SP_TaxPar_DB[],MATCH(I$2,SP_TaxPar_DB[#Headers],0),FALSE)</f>
        <v>77488</v>
      </c>
      <c r="J258" s="69" t="str">
        <f>VLOOKUP($A258,SP_TaxPar_DB[],MATCH(J$2,SP_TaxPar_DB[#Headers],0),FALSE)</f>
        <v>421 Colorado</v>
      </c>
      <c r="K258" s="69" t="str">
        <f>VLOOKUP($A258,SP_TaxPar_DB[],MATCH(K$2,SP_TaxPar_DB[#Headers],0),FALSE)</f>
        <v>WHARTON BLOCK 60 LOT 5-1</v>
      </c>
      <c r="L258" s="69">
        <f>VLOOKUP($A258,SP_TaxPar_DB[],MATCH(L$2,SP_TaxPar_DB[#Headers],0),FALSE)</f>
        <v>0.2319</v>
      </c>
      <c r="M258" s="69" t="str">
        <f>VLOOKUP($A258,SP_TaxPar_DB[],MATCH(M$2,SP_TaxPar_DB[#Headers],0),FALSE)</f>
        <v>Residental</v>
      </c>
      <c r="N258" s="69" t="str">
        <f>VLOOKUP($A258,SP_TaxPar_DB[],MATCH(N$2,SP_TaxPar_DB[#Headers],0),FALSE)</f>
        <v>V 331 / P 825</v>
      </c>
      <c r="O258" s="71" t="str">
        <f>VLOOKUP($A258,SP_TaxPar_DB[],MATCH(O$2,SP_TaxPar_DB[#Headers],0),FALSE)</f>
        <v>Please call (832)381-6048 for each occurrance.  Home Phone (979)532-8758 and Son Phillip Gartom (713)301-2699</v>
      </c>
      <c r="P258" s="72"/>
      <c r="Q258" s="69"/>
      <c r="R258" s="73"/>
      <c r="S258" s="73"/>
      <c r="T258" s="69"/>
      <c r="U258" s="69"/>
      <c r="V258" s="69"/>
      <c r="W258" s="69"/>
      <c r="X258" s="69"/>
      <c r="Y258" s="69"/>
      <c r="Z258" s="69"/>
      <c r="AA258" s="69"/>
      <c r="AB258" s="74"/>
      <c r="AC258" s="73"/>
      <c r="AD258" s="73"/>
      <c r="AE258" s="74"/>
      <c r="AF258" s="68"/>
      <c r="AG258" s="68"/>
      <c r="AH258" s="74"/>
      <c r="AI258" s="68"/>
      <c r="AJ258" s="68"/>
      <c r="AK258" s="68"/>
      <c r="AL258" s="80"/>
      <c r="AM258" s="81"/>
      <c r="AN258" s="74"/>
      <c r="AO258" s="74"/>
      <c r="AP258" s="74"/>
      <c r="AQ258" s="74"/>
      <c r="AR258" s="74"/>
      <c r="AS258" s="74"/>
      <c r="AT258" s="74"/>
      <c r="AU258" s="74"/>
      <c r="AV258" s="74"/>
      <c r="AW258" s="84"/>
    </row>
    <row r="259" spans="1:49" ht="15.75" hidden="1" x14ac:dyDescent="0.2">
      <c r="A259" s="129" t="s">
        <v>512</v>
      </c>
      <c r="B259" s="68" t="str">
        <f>VLOOKUP($A259,SP_TaxPar_DB[],MATCH(B$2,SP_TaxPar_DB[#Headers],0),FALSE)</f>
        <v>PH1</v>
      </c>
      <c r="C259" s="67" t="str">
        <f>IF(VLOOKUP($A259,SP_TaxPar_DB[],MATCH(C$2,SP_TaxPar_DB[#Headers],0),FALSE)="",0,VLOOKUP($A259,SP_TaxPar_DB[],MATCH(C$2,SP_TaxPar_DB[#Headers],0),FALSE))</f>
        <v>320</v>
      </c>
      <c r="D259" s="67">
        <f>IF(VLOOKUP($A259,SP_TaxPar_DB[],MATCH(D$2,SP_TaxPar_DB[#Headers],0),FALSE)="",0,VLOOKUP($A259,SP_TaxPar_DB[],MATCH(D$2,SP_TaxPar_DB[#Headers],0),FALSE))</f>
        <v>0</v>
      </c>
      <c r="E259" s="69" t="str">
        <f>VLOOKUP($A259,SP_TaxPar_DB[],MATCH(E$2,SP_TaxPar_DB[#Headers],0),FALSE)</f>
        <v>Dianne F Segrest</v>
      </c>
      <c r="F259" s="69" t="str">
        <f>VLOOKUP($A259,SP_TaxPar_DB[],MATCH(F$2,SP_TaxPar_DB[#Headers],0),FALSE)</f>
        <v>2313 N Richmond Rd</v>
      </c>
      <c r="G259" s="69" t="str">
        <f>VLOOKUP($A259,SP_TaxPar_DB[],MATCH(G$2,SP_TaxPar_DB[#Headers],0),FALSE)</f>
        <v>Wharton</v>
      </c>
      <c r="H259" s="69" t="str">
        <f>VLOOKUP($A259,SP_TaxPar_DB[],MATCH(H$2,SP_TaxPar_DB[#Headers],0),FALSE)</f>
        <v>TX</v>
      </c>
      <c r="I259" s="69" t="str">
        <f>VLOOKUP($A259,SP_TaxPar_DB[],MATCH(I$2,SP_TaxPar_DB[#Headers],0),FALSE)</f>
        <v>77488</v>
      </c>
      <c r="J259" s="69" t="str">
        <f>VLOOKUP($A259,SP_TaxPar_DB[],MATCH(J$2,SP_TaxPar_DB[#Headers],0),FALSE)</f>
        <v>421 Colorado</v>
      </c>
      <c r="K259" s="69" t="str">
        <f>VLOOKUP($A259,SP_TaxPar_DB[],MATCH(K$2,SP_TaxPar_DB[#Headers],0),FALSE)</f>
        <v>Wharton Block 60 Lot 5, 5-2</v>
      </c>
      <c r="L259" s="69">
        <f>VLOOKUP($A259,SP_TaxPar_DB[],MATCH(L$2,SP_TaxPar_DB[#Headers],0),FALSE)</f>
        <v>1.1549</v>
      </c>
      <c r="M259" s="69" t="str">
        <f>VLOOKUP($A259,SP_TaxPar_DB[],MATCH(M$2,SP_TaxPar_DB[#Headers],0),FALSE)</f>
        <v>Residential</v>
      </c>
      <c r="N259" s="69" t="str">
        <f>VLOOKUP($A259,SP_TaxPar_DB[],MATCH(N$2,SP_TaxPar_DB[#Headers],0),FALSE)</f>
        <v>13258</v>
      </c>
      <c r="O259" s="71" t="str">
        <f>VLOOKUP($A259,SP_TaxPar_DB[],MATCH(O$2,SP_TaxPar_DB[#Headers],0),FALSE)</f>
        <v>No actual volume and page</v>
      </c>
      <c r="P259" s="72"/>
      <c r="Q259" s="69"/>
      <c r="R259" s="73"/>
      <c r="S259" s="73"/>
      <c r="T259" s="69"/>
      <c r="U259" s="69"/>
      <c r="V259" s="69"/>
      <c r="W259" s="69"/>
      <c r="X259" s="69"/>
      <c r="Y259" s="69"/>
      <c r="Z259" s="69"/>
      <c r="AA259" s="69"/>
      <c r="AB259" s="74"/>
      <c r="AC259" s="73"/>
      <c r="AD259" s="73"/>
      <c r="AE259" s="74"/>
      <c r="AF259" s="68"/>
      <c r="AG259" s="68"/>
      <c r="AH259" s="74"/>
      <c r="AI259" s="68"/>
      <c r="AJ259" s="68"/>
      <c r="AK259" s="68"/>
      <c r="AL259" s="80"/>
      <c r="AM259" s="81"/>
      <c r="AN259" s="74"/>
      <c r="AO259" s="74"/>
      <c r="AP259" s="74"/>
      <c r="AQ259" s="74"/>
      <c r="AR259" s="74"/>
      <c r="AS259" s="74"/>
      <c r="AT259" s="74"/>
      <c r="AU259" s="74"/>
      <c r="AV259" s="74"/>
      <c r="AW259" s="84"/>
    </row>
    <row r="260" spans="1:49" ht="15.75" hidden="1" x14ac:dyDescent="0.2">
      <c r="A260" s="129" t="s">
        <v>5123</v>
      </c>
      <c r="B260" s="68" t="str">
        <f>VLOOKUP($A260,SP_TaxPar_DB[],MATCH(B$2,SP_TaxPar_DB[#Headers],0),FALSE)</f>
        <v>PH2</v>
      </c>
      <c r="C260" s="67" t="str">
        <f>IF(VLOOKUP($A260,SP_TaxPar_DB[],MATCH(C$2,SP_TaxPar_DB[#Headers],0),FALSE)="",0,VLOOKUP($A260,SP_TaxPar_DB[],MATCH(C$2,SP_TaxPar_DB[#Headers],0),FALSE))</f>
        <v>T270</v>
      </c>
      <c r="D260" s="67">
        <f>IF(VLOOKUP($A260,SP_TaxPar_DB[],MATCH(D$2,SP_TaxPar_DB[#Headers],0),FALSE)="",0,VLOOKUP($A260,SP_TaxPar_DB[],MATCH(D$2,SP_TaxPar_DB[#Headers],0),FALSE))</f>
        <v>0</v>
      </c>
      <c r="E260" s="69" t="str">
        <f>VLOOKUP($A260,SP_TaxPar_DB[],MATCH(E$2,SP_TaxPar_DB[#Headers],0),FALSE)</f>
        <v>HARRISON AGRICULTURE LTD</v>
      </c>
      <c r="F260" s="69" t="str">
        <f>VLOOKUP($A260,SP_TaxPar_DB[],MATCH(F$2,SP_TaxPar_DB[#Headers],0),FALSE)</f>
        <v>5318 INWOOD</v>
      </c>
      <c r="G260" s="69" t="str">
        <f>VLOOKUP($A260,SP_TaxPar_DB[],MATCH(G$2,SP_TaxPar_DB[#Headers],0),FALSE)</f>
        <v>HOUSTON</v>
      </c>
      <c r="H260" s="69" t="str">
        <f>VLOOKUP($A260,SP_TaxPar_DB[],MATCH(H$2,SP_TaxPar_DB[#Headers],0),FALSE)</f>
        <v>TX</v>
      </c>
      <c r="I260" s="69" t="str">
        <f>VLOOKUP($A260,SP_TaxPar_DB[],MATCH(I$2,SP_TaxPar_DB[#Headers],0),FALSE)</f>
        <v>77056-0000</v>
      </c>
      <c r="J260" s="69" t="str">
        <f>VLOOKUP($A260,SP_TaxPar_DB[],MATCH(J$2,SP_TaxPar_DB[#Headers],0),FALSE)</f>
        <v>CR 231</v>
      </c>
      <c r="K260" s="69" t="str">
        <f>VLOOKUP($A260,SP_TaxPar_DB[],MATCH(K$2,SP_TaxPar_DB[#Headers],0),FALSE)</f>
        <v>A20034 ABST.34 TRACT 59 SOUTH Acres:15.3630</v>
      </c>
      <c r="L260" s="69">
        <f>VLOOKUP($A260,SP_TaxPar_DB[],MATCH(L$2,SP_TaxPar_DB[#Headers],0),FALSE)</f>
        <v>15.363</v>
      </c>
      <c r="M260" s="69" t="str">
        <f>VLOOKUP($A260,SP_TaxPar_DB[],MATCH(M$2,SP_TaxPar_DB[#Headers],0),FALSE)</f>
        <v>AG</v>
      </c>
      <c r="N260" s="69" t="str">
        <f>VLOOKUP($A260,SP_TaxPar_DB[],MATCH(N$2,SP_TaxPar_DB[#Headers],0),FALSE)</f>
        <v>V1000 PG476</v>
      </c>
      <c r="O260" s="71">
        <f>VLOOKUP($A260,SP_TaxPar_DB[],MATCH(O$2,SP_TaxPar_DB[#Headers],0),FALSE)</f>
        <v>0</v>
      </c>
      <c r="P260" s="72"/>
      <c r="Q260" s="69"/>
      <c r="R260" s="73"/>
      <c r="S260" s="73"/>
      <c r="T260" s="69"/>
      <c r="U260" s="69"/>
      <c r="V260" s="69"/>
      <c r="W260" s="69"/>
      <c r="X260" s="69"/>
      <c r="Y260" s="69"/>
      <c r="Z260" s="69"/>
      <c r="AA260" s="69"/>
      <c r="AB260" s="74"/>
      <c r="AC260" s="73"/>
      <c r="AD260" s="73"/>
      <c r="AE260" s="74"/>
      <c r="AF260" s="68"/>
      <c r="AG260" s="68"/>
      <c r="AH260" s="74"/>
      <c r="AI260" s="68"/>
      <c r="AJ260" s="68"/>
      <c r="AK260" s="68"/>
      <c r="AL260" s="80"/>
      <c r="AM260" s="81"/>
      <c r="AN260" s="74"/>
      <c r="AO260" s="74"/>
      <c r="AP260" s="74"/>
      <c r="AQ260" s="74"/>
      <c r="AR260" s="74"/>
      <c r="AS260" s="74"/>
      <c r="AT260" s="74"/>
      <c r="AU260" s="74"/>
      <c r="AV260" s="74"/>
      <c r="AW260" s="84"/>
    </row>
    <row r="261" spans="1:49" ht="15.75" hidden="1" x14ac:dyDescent="0.2">
      <c r="A261" s="129" t="s">
        <v>162</v>
      </c>
      <c r="B261" s="68" t="str">
        <f>VLOOKUP($A261,SP_TaxPar_DB[],MATCH(B$2,SP_TaxPar_DB[#Headers],0),FALSE)</f>
        <v>PH1</v>
      </c>
      <c r="C261" s="67" t="str">
        <f>IF(VLOOKUP($A261,SP_TaxPar_DB[],MATCH(C$2,SP_TaxPar_DB[#Headers],0),FALSE)="",0,VLOOKUP($A261,SP_TaxPar_DB[],MATCH(C$2,SP_TaxPar_DB[#Headers],0),FALSE))</f>
        <v>300</v>
      </c>
      <c r="D261" s="67">
        <f>IF(VLOOKUP($A261,SP_TaxPar_DB[],MATCH(D$2,SP_TaxPar_DB[#Headers],0),FALSE)="",0,VLOOKUP($A261,SP_TaxPar_DB[],MATCH(D$2,SP_TaxPar_DB[#Headers],0),FALSE))</f>
        <v>0</v>
      </c>
      <c r="E261" s="69" t="str">
        <f>VLOOKUP($A261,SP_TaxPar_DB[],MATCH(E$2,SP_TaxPar_DB[#Headers],0),FALSE)</f>
        <v>Vina Mae Coleman</v>
      </c>
      <c r="F261" s="69" t="str">
        <f>VLOOKUP($A261,SP_TaxPar_DB[],MATCH(F$2,SP_TaxPar_DB[#Headers],0),FALSE)</f>
        <v>1516 M L King Blvd</v>
      </c>
      <c r="G261" s="69" t="str">
        <f>VLOOKUP($A261,SP_TaxPar_DB[],MATCH(G$2,SP_TaxPar_DB[#Headers],0),FALSE)</f>
        <v>Wharton</v>
      </c>
      <c r="H261" s="69" t="str">
        <f>VLOOKUP($A261,SP_TaxPar_DB[],MATCH(H$2,SP_TaxPar_DB[#Headers],0),FALSE)</f>
        <v>TX</v>
      </c>
      <c r="I261" s="69" t="str">
        <f>VLOOKUP($A261,SP_TaxPar_DB[],MATCH(I$2,SP_TaxPar_DB[#Headers],0),FALSE)</f>
        <v>77488</v>
      </c>
      <c r="J261" s="69" t="str">
        <f>VLOOKUP($A261,SP_TaxPar_DB[],MATCH(J$2,SP_TaxPar_DB[#Headers],0),FALSE)</f>
        <v>0 S Sheppard</v>
      </c>
      <c r="K261" s="69" t="str">
        <f>VLOOKUP($A261,SP_TaxPar_DB[],MATCH(K$2,SP_TaxPar_DB[#Headers],0),FALSE)</f>
        <v>Wm Kincheloe Block 63 Lot 173A</v>
      </c>
      <c r="L261" s="69">
        <f>VLOOKUP($A261,SP_TaxPar_DB[],MATCH(L$2,SP_TaxPar_DB[#Headers],0),FALSE)</f>
        <v>9.4169999999999998</v>
      </c>
      <c r="M261" s="69" t="str">
        <f>VLOOKUP($A261,SP_TaxPar_DB[],MATCH(M$2,SP_TaxPar_DB[#Headers],0),FALSE)</f>
        <v>Ag Land</v>
      </c>
      <c r="N261" s="69" t="str">
        <f>VLOOKUP($A261,SP_TaxPar_DB[],MATCH(N$2,SP_TaxPar_DB[#Headers],0),FALSE)</f>
        <v>496 / 870</v>
      </c>
      <c r="O261" s="71">
        <f>VLOOKUP($A261,SP_TaxPar_DB[],MATCH(O$2,SP_TaxPar_DB[#Headers],0),FALSE)</f>
        <v>0</v>
      </c>
      <c r="P261" s="72"/>
      <c r="Q261" s="69"/>
      <c r="R261" s="73"/>
      <c r="S261" s="73"/>
      <c r="T261" s="69"/>
      <c r="U261" s="69"/>
      <c r="V261" s="69"/>
      <c r="W261" s="69"/>
      <c r="X261" s="69"/>
      <c r="Y261" s="69"/>
      <c r="Z261" s="69"/>
      <c r="AA261" s="69"/>
      <c r="AB261" s="74"/>
      <c r="AC261" s="73"/>
      <c r="AD261" s="73"/>
      <c r="AE261" s="74"/>
      <c r="AF261" s="68"/>
      <c r="AG261" s="68"/>
      <c r="AH261" s="74"/>
      <c r="AI261" s="68"/>
      <c r="AJ261" s="68"/>
      <c r="AK261" s="68"/>
      <c r="AL261" s="80"/>
      <c r="AM261" s="81"/>
      <c r="AN261" s="74"/>
      <c r="AO261" s="74"/>
      <c r="AP261" s="74"/>
      <c r="AQ261" s="74"/>
      <c r="AR261" s="74"/>
      <c r="AS261" s="74"/>
      <c r="AT261" s="74"/>
      <c r="AU261" s="74"/>
      <c r="AV261" s="74"/>
      <c r="AW261" s="84"/>
    </row>
    <row r="262" spans="1:49" ht="15.75" hidden="1" x14ac:dyDescent="0.2">
      <c r="A262" s="129" t="s">
        <v>2604</v>
      </c>
      <c r="B262" s="68" t="str">
        <f>VLOOKUP($A262,SP_TaxPar_DB[],MATCH(B$2,SP_TaxPar_DB[#Headers],0),FALSE)</f>
        <v>PH2</v>
      </c>
      <c r="C262" s="67" t="str">
        <f>IF(VLOOKUP($A262,SP_TaxPar_DB[],MATCH(C$2,SP_TaxPar_DB[#Headers],0),FALSE)="",0,VLOOKUP($A262,SP_TaxPar_DB[],MATCH(C$2,SP_TaxPar_DB[#Headers],0),FALSE))</f>
        <v>T241</v>
      </c>
      <c r="D262" s="67">
        <f>IF(VLOOKUP($A262,SP_TaxPar_DB[],MATCH(D$2,SP_TaxPar_DB[#Headers],0),FALSE)="",0,VLOOKUP($A262,SP_TaxPar_DB[],MATCH(D$2,SP_TaxPar_DB[#Headers],0),FALSE))</f>
        <v>0</v>
      </c>
      <c r="E262" s="69" t="str">
        <f>VLOOKUP($A262,SP_TaxPar_DB[],MATCH(E$2,SP_TaxPar_DB[#Headers],0),FALSE)</f>
        <v>JURASEK RUSSELL A ETUX JACQUELIN</v>
      </c>
      <c r="F262" s="69" t="str">
        <f>VLOOKUP($A262,SP_TaxPar_DB[],MATCH(F$2,SP_TaxPar_DB[#Headers],0),FALSE)</f>
        <v>1500 FM 1299</v>
      </c>
      <c r="G262" s="69" t="str">
        <f>VLOOKUP($A262,SP_TaxPar_DB[],MATCH(G$2,SP_TaxPar_DB[#Headers],0),FALSE)</f>
        <v>WHARTON</v>
      </c>
      <c r="H262" s="69" t="str">
        <f>VLOOKUP($A262,SP_TaxPar_DB[],MATCH(H$2,SP_TaxPar_DB[#Headers],0),FALSE)</f>
        <v>TX</v>
      </c>
      <c r="I262" s="69" t="str">
        <f>VLOOKUP($A262,SP_TaxPar_DB[],MATCH(I$2,SP_TaxPar_DB[#Headers],0),FALSE)</f>
        <v>77488</v>
      </c>
      <c r="J262" s="69" t="str">
        <f>VLOOKUP($A262,SP_TaxPar_DB[],MATCH(J$2,SP_TaxPar_DB[#Headers],0),FALSE)</f>
        <v>1106 CR 188</v>
      </c>
      <c r="K262" s="69" t="str">
        <f>VLOOKUP($A262,SP_TaxPar_DB[],MATCH(K$2,SP_TaxPar_DB[#Headers],0),FALSE)</f>
        <v>WM.KINCHELOE BLOCK 68 LOT 1B Acres:21.4100</v>
      </c>
      <c r="L262" s="69">
        <f>VLOOKUP($A262,SP_TaxPar_DB[],MATCH(L$2,SP_TaxPar_DB[#Headers],0),FALSE)</f>
        <v>0</v>
      </c>
      <c r="M262" s="69">
        <f>VLOOKUP($A262,SP_TaxPar_DB[],MATCH(M$2,SP_TaxPar_DB[#Headers],0),FALSE)</f>
        <v>0</v>
      </c>
      <c r="N262" s="69">
        <f>VLOOKUP($A262,SP_TaxPar_DB[],MATCH(N$2,SP_TaxPar_DB[#Headers],0),FALSE)</f>
        <v>0</v>
      </c>
      <c r="O262" s="71">
        <f>VLOOKUP($A262,SP_TaxPar_DB[],MATCH(O$2,SP_TaxPar_DB[#Headers],0),FALSE)</f>
        <v>0</v>
      </c>
      <c r="P262" s="72"/>
      <c r="Q262" s="69"/>
      <c r="R262" s="73"/>
      <c r="S262" s="73"/>
      <c r="T262" s="69"/>
      <c r="U262" s="69"/>
      <c r="V262" s="69"/>
      <c r="W262" s="69"/>
      <c r="X262" s="69"/>
      <c r="Y262" s="69"/>
      <c r="Z262" s="69"/>
      <c r="AA262" s="69"/>
      <c r="AB262" s="74"/>
      <c r="AC262" s="73"/>
      <c r="AD262" s="73"/>
      <c r="AE262" s="74"/>
      <c r="AF262" s="68"/>
      <c r="AG262" s="68"/>
      <c r="AH262" s="74"/>
      <c r="AI262" s="68"/>
      <c r="AJ262" s="68"/>
      <c r="AK262" s="68"/>
      <c r="AL262" s="80"/>
      <c r="AM262" s="81"/>
      <c r="AN262" s="74"/>
      <c r="AO262" s="74"/>
      <c r="AP262" s="74"/>
      <c r="AQ262" s="74"/>
      <c r="AR262" s="74"/>
      <c r="AS262" s="74"/>
      <c r="AT262" s="74"/>
      <c r="AU262" s="74"/>
      <c r="AV262" s="74"/>
      <c r="AW262" s="84"/>
    </row>
    <row r="263" spans="1:49" ht="15.75" hidden="1" x14ac:dyDescent="0.2">
      <c r="A263" s="129" t="s">
        <v>2607</v>
      </c>
      <c r="B263" s="68" t="str">
        <f>VLOOKUP($A263,SP_TaxPar_DB[],MATCH(B$2,SP_TaxPar_DB[#Headers],0),FALSE)</f>
        <v>PH2</v>
      </c>
      <c r="C263" s="67" t="str">
        <f>IF(VLOOKUP($A263,SP_TaxPar_DB[],MATCH(C$2,SP_TaxPar_DB[#Headers],0),FALSE)="",0,VLOOKUP($A263,SP_TaxPar_DB[],MATCH(C$2,SP_TaxPar_DB[#Headers],0),FALSE))</f>
        <v>T242</v>
      </c>
      <c r="D263" s="67">
        <f>IF(VLOOKUP($A263,SP_TaxPar_DB[],MATCH(D$2,SP_TaxPar_DB[#Headers],0),FALSE)="",0,VLOOKUP($A263,SP_TaxPar_DB[],MATCH(D$2,SP_TaxPar_DB[#Headers],0),FALSE))</f>
        <v>0</v>
      </c>
      <c r="E263" s="69" t="str">
        <f>VLOOKUP($A263,SP_TaxPar_DB[],MATCH(E$2,SP_TaxPar_DB[#Headers],0),FALSE)</f>
        <v>SORRELLA SWITCH LLC</v>
      </c>
      <c r="F263" s="69" t="str">
        <f>VLOOKUP($A263,SP_TaxPar_DB[],MATCH(F$2,SP_TaxPar_DB[#Headers],0),FALSE)</f>
        <v>3601 LAUREN DR</v>
      </c>
      <c r="G263" s="69" t="str">
        <f>VLOOKUP($A263,SP_TaxPar_DB[],MATCH(G$2,SP_TaxPar_DB[#Headers],0),FALSE)</f>
        <v>MCKINNEY</v>
      </c>
      <c r="H263" s="69" t="str">
        <f>VLOOKUP($A263,SP_TaxPar_DB[],MATCH(H$2,SP_TaxPar_DB[#Headers],0),FALSE)</f>
        <v>TX</v>
      </c>
      <c r="I263" s="69" t="str">
        <f>VLOOKUP($A263,SP_TaxPar_DB[],MATCH(I$2,SP_TaxPar_DB[#Headers],0),FALSE)</f>
        <v>75070</v>
      </c>
      <c r="J263" s="69" t="str">
        <f>VLOOKUP($A263,SP_TaxPar_DB[],MATCH(J$2,SP_TaxPar_DB[#Headers],0),FALSE)</f>
        <v>0  FM 102</v>
      </c>
      <c r="K263" s="69" t="str">
        <f>VLOOKUP($A263,SP_TaxPar_DB[],MATCH(K$2,SP_TaxPar_DB[#Headers],0),FALSE)</f>
        <v>A20003 ABST.3 TRACT 51A-RR Acres:4.6920</v>
      </c>
      <c r="L263" s="69">
        <f>VLOOKUP($A263,SP_TaxPar_DB[],MATCH(L$2,SP_TaxPar_DB[#Headers],0),FALSE)</f>
        <v>0</v>
      </c>
      <c r="M263" s="69">
        <f>VLOOKUP($A263,SP_TaxPar_DB[],MATCH(M$2,SP_TaxPar_DB[#Headers],0),FALSE)</f>
        <v>0</v>
      </c>
      <c r="N263" s="69">
        <f>VLOOKUP($A263,SP_TaxPar_DB[],MATCH(N$2,SP_TaxPar_DB[#Headers],0),FALSE)</f>
        <v>0</v>
      </c>
      <c r="O263" s="71">
        <f>VLOOKUP($A263,SP_TaxPar_DB[],MATCH(O$2,SP_TaxPar_DB[#Headers],0),FALSE)</f>
        <v>0</v>
      </c>
      <c r="P263" s="72"/>
      <c r="Q263" s="69"/>
      <c r="R263" s="73"/>
      <c r="S263" s="73"/>
      <c r="T263" s="69"/>
      <c r="U263" s="69"/>
      <c r="V263" s="69"/>
      <c r="W263" s="69"/>
      <c r="X263" s="69"/>
      <c r="Y263" s="69"/>
      <c r="Z263" s="69"/>
      <c r="AA263" s="69"/>
      <c r="AB263" s="74"/>
      <c r="AC263" s="73"/>
      <c r="AD263" s="73"/>
      <c r="AE263" s="74"/>
      <c r="AF263" s="68"/>
      <c r="AG263" s="68"/>
      <c r="AH263" s="74"/>
      <c r="AI263" s="68"/>
      <c r="AJ263" s="68"/>
      <c r="AK263" s="68"/>
      <c r="AL263" s="80"/>
      <c r="AM263" s="81"/>
      <c r="AN263" s="74"/>
      <c r="AO263" s="74"/>
      <c r="AP263" s="74"/>
      <c r="AQ263" s="74"/>
      <c r="AR263" s="74"/>
      <c r="AS263" s="74"/>
      <c r="AT263" s="74"/>
      <c r="AU263" s="74"/>
      <c r="AV263" s="74"/>
      <c r="AW263" s="84"/>
    </row>
    <row r="264" spans="1:49" ht="15.75" hidden="1" x14ac:dyDescent="0.2">
      <c r="A264" s="129" t="s">
        <v>2611</v>
      </c>
      <c r="B264" s="68" t="str">
        <f>VLOOKUP($A264,SP_TaxPar_DB[],MATCH(B$2,SP_TaxPar_DB[#Headers],0),FALSE)</f>
        <v>PH2</v>
      </c>
      <c r="C264" s="67" t="str">
        <f>IF(VLOOKUP($A264,SP_TaxPar_DB[],MATCH(C$2,SP_TaxPar_DB[#Headers],0),FALSE)="",0,VLOOKUP($A264,SP_TaxPar_DB[],MATCH(C$2,SP_TaxPar_DB[#Headers],0),FALSE))</f>
        <v>T243</v>
      </c>
      <c r="D264" s="67">
        <f>IF(VLOOKUP($A264,SP_TaxPar_DB[],MATCH(D$2,SP_TaxPar_DB[#Headers],0),FALSE)="",0,VLOOKUP($A264,SP_TaxPar_DB[],MATCH(D$2,SP_TaxPar_DB[#Headers],0),FALSE))</f>
        <v>0</v>
      </c>
      <c r="E264" s="69" t="str">
        <f>VLOOKUP($A264,SP_TaxPar_DB[],MATCH(E$2,SP_TaxPar_DB[#Headers],0),FALSE)</f>
        <v>MOWELS STEPHANIE L</v>
      </c>
      <c r="F264" s="69" t="str">
        <f>VLOOKUP($A264,SP_TaxPar_DB[],MATCH(F$2,SP_TaxPar_DB[#Headers],0),FALSE)</f>
        <v>3802 CR 135 RD</v>
      </c>
      <c r="G264" s="69" t="str">
        <f>VLOOKUP($A264,SP_TaxPar_DB[],MATCH(G$2,SP_TaxPar_DB[#Headers],0),FALSE)</f>
        <v>WHARTON</v>
      </c>
      <c r="H264" s="69" t="str">
        <f>VLOOKUP($A264,SP_TaxPar_DB[],MATCH(H$2,SP_TaxPar_DB[#Headers],0),FALSE)</f>
        <v>TX</v>
      </c>
      <c r="I264" s="69" t="str">
        <f>VLOOKUP($A264,SP_TaxPar_DB[],MATCH(I$2,SP_TaxPar_DB[#Headers],0),FALSE)</f>
        <v>77488</v>
      </c>
      <c r="J264" s="69" t="str">
        <f>VLOOKUP($A264,SP_TaxPar_DB[],MATCH(J$2,SP_TaxPar_DB[#Headers],0),FALSE)</f>
        <v>3802 CR 135</v>
      </c>
      <c r="K264" s="69" t="str">
        <f>VLOOKUP($A264,SP_TaxPar_DB[],MATCH(K$2,SP_TaxPar_DB[#Headers],0),FALSE)</f>
        <v>A20001 ABST.1 TRACT 7D Acres:2.9210</v>
      </c>
      <c r="L264" s="69">
        <f>VLOOKUP($A264,SP_TaxPar_DB[],MATCH(L$2,SP_TaxPar_DB[#Headers],0),FALSE)</f>
        <v>0</v>
      </c>
      <c r="M264" s="69">
        <f>VLOOKUP($A264,SP_TaxPar_DB[],MATCH(M$2,SP_TaxPar_DB[#Headers],0),FALSE)</f>
        <v>0</v>
      </c>
      <c r="N264" s="69">
        <f>VLOOKUP($A264,SP_TaxPar_DB[],MATCH(N$2,SP_TaxPar_DB[#Headers],0),FALSE)</f>
        <v>0</v>
      </c>
      <c r="O264" s="71">
        <f>VLOOKUP($A264,SP_TaxPar_DB[],MATCH(O$2,SP_TaxPar_DB[#Headers],0),FALSE)</f>
        <v>0</v>
      </c>
      <c r="P264" s="72"/>
      <c r="Q264" s="69"/>
      <c r="R264" s="73"/>
      <c r="S264" s="73"/>
      <c r="T264" s="69"/>
      <c r="U264" s="69"/>
      <c r="V264" s="69"/>
      <c r="W264" s="69"/>
      <c r="X264" s="69"/>
      <c r="Y264" s="69"/>
      <c r="Z264" s="69"/>
      <c r="AA264" s="69"/>
      <c r="AB264" s="74"/>
      <c r="AC264" s="73"/>
      <c r="AD264" s="73"/>
      <c r="AE264" s="74"/>
      <c r="AF264" s="68"/>
      <c r="AG264" s="68"/>
      <c r="AH264" s="74"/>
      <c r="AI264" s="68"/>
      <c r="AJ264" s="68"/>
      <c r="AK264" s="68"/>
      <c r="AL264" s="80"/>
      <c r="AM264" s="81"/>
      <c r="AN264" s="74"/>
      <c r="AO264" s="74"/>
      <c r="AP264" s="74"/>
      <c r="AQ264" s="74"/>
      <c r="AR264" s="74"/>
      <c r="AS264" s="74"/>
      <c r="AT264" s="74"/>
      <c r="AU264" s="74"/>
      <c r="AV264" s="74"/>
      <c r="AW264" s="84"/>
    </row>
    <row r="265" spans="1:49" ht="15.75" hidden="1" x14ac:dyDescent="0.2">
      <c r="A265" s="129" t="s">
        <v>518</v>
      </c>
      <c r="B265" s="68" t="str">
        <f>VLOOKUP($A265,SP_TaxPar_DB[],MATCH(B$2,SP_TaxPar_DB[#Headers],0),FALSE)</f>
        <v>PH1</v>
      </c>
      <c r="C265" s="67" t="str">
        <f>IF(VLOOKUP($A265,SP_TaxPar_DB[],MATCH(C$2,SP_TaxPar_DB[#Headers],0),FALSE)="",0,VLOOKUP($A265,SP_TaxPar_DB[],MATCH(C$2,SP_TaxPar_DB[#Headers],0),FALSE))</f>
        <v>200</v>
      </c>
      <c r="D265" s="67">
        <f>IF(VLOOKUP($A265,SP_TaxPar_DB[],MATCH(D$2,SP_TaxPar_DB[#Headers],0),FALSE)="",0,VLOOKUP($A265,SP_TaxPar_DB[],MATCH(D$2,SP_TaxPar_DB[#Headers],0),FALSE))</f>
        <v>0</v>
      </c>
      <c r="E265" s="69" t="str">
        <f>VLOOKUP($A265,SP_TaxPar_DB[],MATCH(E$2,SP_TaxPar_DB[#Headers],0),FALSE)</f>
        <v>Nan Ya Plastics Corp USA</v>
      </c>
      <c r="F265" s="69" t="str">
        <f>VLOOKUP($A265,SP_TaxPar_DB[],MATCH(F$2,SP_TaxPar_DB[#Headers],0),FALSE)</f>
        <v>2081 FM 102 RD</v>
      </c>
      <c r="G265" s="69" t="str">
        <f>VLOOKUP($A265,SP_TaxPar_DB[],MATCH(G$2,SP_TaxPar_DB[#Headers],0),FALSE)</f>
        <v>Wharton</v>
      </c>
      <c r="H265" s="69" t="str">
        <f>VLOOKUP($A265,SP_TaxPar_DB[],MATCH(H$2,SP_TaxPar_DB[#Headers],0),FALSE)</f>
        <v>TX</v>
      </c>
      <c r="I265" s="69" t="str">
        <f>VLOOKUP($A265,SP_TaxPar_DB[],MATCH(I$2,SP_TaxPar_DB[#Headers],0),FALSE)</f>
        <v>77488</v>
      </c>
      <c r="J265" s="69" t="str">
        <f>VLOOKUP($A265,SP_TaxPar_DB[],MATCH(J$2,SP_TaxPar_DB[#Headers],0),FALSE)</f>
        <v>HWY 59</v>
      </c>
      <c r="K265" s="69" t="str">
        <f>VLOOKUP($A265,SP_TaxPar_DB[],MATCH(K$2,SP_TaxPar_DB[#Headers],0),FALSE)</f>
        <v>A20034 ABST .34 Tract 66</v>
      </c>
      <c r="L265" s="69">
        <f>VLOOKUP($A265,SP_TaxPar_DB[],MATCH(L$2,SP_TaxPar_DB[#Headers],0),FALSE)</f>
        <v>26.978000000000002</v>
      </c>
      <c r="M265" s="69" t="str">
        <f>VLOOKUP($A265,SP_TaxPar_DB[],MATCH(M$2,SP_TaxPar_DB[#Headers],0),FALSE)</f>
        <v>Commercial - Vacant</v>
      </c>
      <c r="N265" s="69">
        <f>VLOOKUP($A265,SP_TaxPar_DB[],MATCH(N$2,SP_TaxPar_DB[#Headers],0),FALSE)</f>
        <v>0</v>
      </c>
      <c r="O265" s="71">
        <f>VLOOKUP($A265,SP_TaxPar_DB[],MATCH(O$2,SP_TaxPar_DB[#Headers],0),FALSE)</f>
        <v>0</v>
      </c>
      <c r="P265" s="72"/>
      <c r="Q265" s="69"/>
      <c r="R265" s="73"/>
      <c r="S265" s="73"/>
      <c r="T265" s="69"/>
      <c r="U265" s="69"/>
      <c r="V265" s="69"/>
      <c r="W265" s="69"/>
      <c r="X265" s="69"/>
      <c r="Y265" s="69"/>
      <c r="Z265" s="69"/>
      <c r="AA265" s="69"/>
      <c r="AB265" s="74"/>
      <c r="AC265" s="73"/>
      <c r="AD265" s="73"/>
      <c r="AE265" s="74"/>
      <c r="AF265" s="68"/>
      <c r="AG265" s="68"/>
      <c r="AH265" s="74"/>
      <c r="AI265" s="68"/>
      <c r="AJ265" s="68"/>
      <c r="AK265" s="68"/>
      <c r="AL265" s="80"/>
      <c r="AM265" s="81"/>
      <c r="AN265" s="74"/>
      <c r="AO265" s="74"/>
      <c r="AP265" s="74"/>
      <c r="AQ265" s="74"/>
      <c r="AR265" s="74"/>
      <c r="AS265" s="74"/>
      <c r="AT265" s="74"/>
      <c r="AU265" s="74"/>
      <c r="AV265" s="74"/>
      <c r="AW265" s="84"/>
    </row>
    <row r="266" spans="1:49" ht="15.75" hidden="1" x14ac:dyDescent="0.2">
      <c r="A266" s="129" t="s">
        <v>2616</v>
      </c>
      <c r="B266" s="68" t="str">
        <f>VLOOKUP($A266,SP_TaxPar_DB[],MATCH(B$2,SP_TaxPar_DB[#Headers],0),FALSE)</f>
        <v>ENV</v>
      </c>
      <c r="C266" s="67">
        <f>IF(VLOOKUP($A266,SP_TaxPar_DB[],MATCH(C$2,SP_TaxPar_DB[#Headers],0),FALSE)="",0,VLOOKUP($A266,SP_TaxPar_DB[],MATCH(C$2,SP_TaxPar_DB[#Headers],0),FALSE))</f>
        <v>0</v>
      </c>
      <c r="D266" s="67" t="str">
        <f>IF(VLOOKUP($A266,SP_TaxPar_DB[],MATCH(D$2,SP_TaxPar_DB[#Headers],0),FALSE)="",0,VLOOKUP($A266,SP_TaxPar_DB[],MATCH(D$2,SP_TaxPar_DB[#Headers],0),FALSE))</f>
        <v>245</v>
      </c>
      <c r="E266" s="69" t="str">
        <f>VLOOKUP($A266,SP_TaxPar_DB[],MATCH(E$2,SP_TaxPar_DB[#Headers],0),FALSE)</f>
        <v>ROGERS MARQUITA L</v>
      </c>
      <c r="F266" s="69" t="str">
        <f>VLOOKUP($A266,SP_TaxPar_DB[],MATCH(F$2,SP_TaxPar_DB[#Headers],0),FALSE)</f>
        <v>2212 S CONGRESS AVE</v>
      </c>
      <c r="G266" s="69" t="str">
        <f>VLOOKUP($A266,SP_TaxPar_DB[],MATCH(G$2,SP_TaxPar_DB[#Headers],0),FALSE)</f>
        <v>AUSTIN</v>
      </c>
      <c r="H266" s="69" t="str">
        <f>VLOOKUP($A266,SP_TaxPar_DB[],MATCH(H$2,SP_TaxPar_DB[#Headers],0),FALSE)</f>
        <v>TX</v>
      </c>
      <c r="I266" s="69" t="str">
        <f>VLOOKUP($A266,SP_TaxPar_DB[],MATCH(I$2,SP_TaxPar_DB[#Headers],0),FALSE)</f>
        <v>78704</v>
      </c>
      <c r="J266" s="69" t="str">
        <f>VLOOKUP($A266,SP_TaxPar_DB[],MATCH(J$2,SP_TaxPar_DB[#Headers],0),FALSE)</f>
        <v>400 S SHEPPARD</v>
      </c>
      <c r="K266" s="69" t="str">
        <f>VLOOKUP($A266,SP_TaxPar_DB[],MATCH(K$2,SP_TaxPar_DB[#Headers],0),FALSE)</f>
        <v>HABITAT FOR HUMANITY BLOCK 1 LOT 1 Acres:0.2632</v>
      </c>
      <c r="L266" s="69">
        <f>VLOOKUP($A266,SP_TaxPar_DB[],MATCH(L$2,SP_TaxPar_DB[#Headers],0),FALSE)</f>
        <v>0</v>
      </c>
      <c r="M266" s="69">
        <f>VLOOKUP($A266,SP_TaxPar_DB[],MATCH(M$2,SP_TaxPar_DB[#Headers],0),FALSE)</f>
        <v>0</v>
      </c>
      <c r="N266" s="69">
        <f>VLOOKUP($A266,SP_TaxPar_DB[],MATCH(N$2,SP_TaxPar_DB[#Headers],0),FALSE)</f>
        <v>0</v>
      </c>
      <c r="O266" s="71">
        <f>VLOOKUP($A266,SP_TaxPar_DB[],MATCH(O$2,SP_TaxPar_DB[#Headers],0),FALSE)</f>
        <v>0</v>
      </c>
      <c r="P266" s="72"/>
      <c r="Q266" s="69"/>
      <c r="R266" s="73"/>
      <c r="S266" s="73"/>
      <c r="T266" s="69"/>
      <c r="U266" s="69"/>
      <c r="V266" s="69"/>
      <c r="W266" s="69"/>
      <c r="X266" s="69"/>
      <c r="Y266" s="69"/>
      <c r="Z266" s="69"/>
      <c r="AA266" s="69"/>
      <c r="AB266" s="74"/>
      <c r="AC266" s="73"/>
      <c r="AD266" s="73"/>
      <c r="AE266" s="74"/>
      <c r="AF266" s="68"/>
      <c r="AG266" s="68"/>
      <c r="AH266" s="74"/>
      <c r="AI266" s="68"/>
      <c r="AJ266" s="68"/>
      <c r="AK266" s="68"/>
      <c r="AL266" s="80"/>
      <c r="AM266" s="81"/>
      <c r="AN266" s="74"/>
      <c r="AO266" s="74"/>
      <c r="AP266" s="74"/>
      <c r="AQ266" s="74"/>
      <c r="AR266" s="74"/>
      <c r="AS266" s="74"/>
      <c r="AT266" s="74"/>
      <c r="AU266" s="74"/>
      <c r="AV266" s="74"/>
      <c r="AW266" s="84"/>
    </row>
    <row r="267" spans="1:49" ht="15.75" hidden="1" x14ac:dyDescent="0.2">
      <c r="A267" s="129" t="s">
        <v>521</v>
      </c>
      <c r="B267" s="68" t="str">
        <f>VLOOKUP($A267,SP_TaxPar_DB[],MATCH(B$2,SP_TaxPar_DB[#Headers],0),FALSE)</f>
        <v>UNK</v>
      </c>
      <c r="C267" s="67">
        <f>IF(VLOOKUP($A267,SP_TaxPar_DB[],MATCH(C$2,SP_TaxPar_DB[#Headers],0),FALSE)="",0,VLOOKUP($A267,SP_TaxPar_DB[],MATCH(C$2,SP_TaxPar_DB[#Headers],0),FALSE))</f>
        <v>0</v>
      </c>
      <c r="D267" s="67">
        <f>IF(VLOOKUP($A267,SP_TaxPar_DB[],MATCH(D$2,SP_TaxPar_DB[#Headers],0),FALSE)="",0,VLOOKUP($A267,SP_TaxPar_DB[],MATCH(D$2,SP_TaxPar_DB[#Headers],0),FALSE))</f>
        <v>0</v>
      </c>
      <c r="E267" s="69" t="str">
        <f>VLOOKUP($A267,SP_TaxPar_DB[],MATCH(E$2,SP_TaxPar_DB[#Headers],0),FALSE)</f>
        <v>HERMAN &amp; LINDA WITTIG</v>
      </c>
      <c r="F267" s="69" t="str">
        <f>VLOOKUP($A267,SP_TaxPar_DB[],MATCH(F$2,SP_TaxPar_DB[#Headers],0),FALSE)</f>
        <v>1238 CR 107 RD</v>
      </c>
      <c r="G267" s="69" t="str">
        <f>VLOOKUP($A267,SP_TaxPar_DB[],MATCH(G$2,SP_TaxPar_DB[#Headers],0),FALSE)</f>
        <v>Boling</v>
      </c>
      <c r="H267" s="69" t="str">
        <f>VLOOKUP($A267,SP_TaxPar_DB[],MATCH(H$2,SP_TaxPar_DB[#Headers],0),FALSE)</f>
        <v>TX</v>
      </c>
      <c r="I267" s="69" t="str">
        <f>VLOOKUP($A267,SP_TaxPar_DB[],MATCH(I$2,SP_TaxPar_DB[#Headers],0),FALSE)</f>
        <v>77420</v>
      </c>
      <c r="J267" s="69" t="str">
        <f>VLOOKUP($A267,SP_TaxPar_DB[],MATCH(J$2,SP_TaxPar_DB[#Headers],0),FALSE)</f>
        <v>CR 241</v>
      </c>
      <c r="K267" s="69" t="str">
        <f>VLOOKUP($A267,SP_TaxPar_DB[],MATCH(K$2,SP_TaxPar_DB[#Headers],0),FALSE)</f>
        <v>A20003 ABST.3 TRACT 45B-1,45B-1B Acres:26.8200</v>
      </c>
      <c r="L267" s="69">
        <f>VLOOKUP($A267,SP_TaxPar_DB[],MATCH(L$2,SP_TaxPar_DB[#Headers],0),FALSE)</f>
        <v>0</v>
      </c>
      <c r="M267" s="69">
        <f>VLOOKUP($A267,SP_TaxPar_DB[],MATCH(M$2,SP_TaxPar_DB[#Headers],0),FALSE)</f>
        <v>0</v>
      </c>
      <c r="N267" s="69">
        <f>VLOOKUP($A267,SP_TaxPar_DB[],MATCH(N$2,SP_TaxPar_DB[#Headers],0),FALSE)</f>
        <v>0</v>
      </c>
      <c r="O267" s="71" t="str">
        <f>VLOOKUP($A267,SP_TaxPar_DB[],MATCH(O$2,SP_TaxPar_DB[#Headers],0),FALSE)</f>
        <v>08/20/2019 ROE Packet mailed;</v>
      </c>
      <c r="P267" s="72"/>
      <c r="Q267" s="69"/>
      <c r="R267" s="73"/>
      <c r="S267" s="73"/>
      <c r="T267" s="69"/>
      <c r="U267" s="69"/>
      <c r="V267" s="69"/>
      <c r="W267" s="69"/>
      <c r="X267" s="69"/>
      <c r="Y267" s="69"/>
      <c r="Z267" s="69"/>
      <c r="AA267" s="69"/>
      <c r="AB267" s="74"/>
      <c r="AC267" s="73"/>
      <c r="AD267" s="73"/>
      <c r="AE267" s="74"/>
      <c r="AF267" s="68"/>
      <c r="AG267" s="68"/>
      <c r="AH267" s="74"/>
      <c r="AI267" s="68"/>
      <c r="AJ267" s="68"/>
      <c r="AK267" s="68"/>
      <c r="AL267" s="80"/>
      <c r="AM267" s="81"/>
      <c r="AN267" s="74"/>
      <c r="AO267" s="74"/>
      <c r="AP267" s="74"/>
      <c r="AQ267" s="74"/>
      <c r="AR267" s="74"/>
      <c r="AS267" s="74"/>
      <c r="AT267" s="74"/>
      <c r="AU267" s="74"/>
      <c r="AV267" s="74"/>
      <c r="AW267" s="84"/>
    </row>
    <row r="268" spans="1:49" ht="15.75" hidden="1" x14ac:dyDescent="0.2">
      <c r="A268" s="129" t="s">
        <v>134</v>
      </c>
      <c r="B268" s="68" t="str">
        <f>VLOOKUP($A268,SP_TaxPar_DB[],MATCH(B$2,SP_TaxPar_DB[#Headers],0),FALSE)</f>
        <v>PH1</v>
      </c>
      <c r="C268" s="67" t="str">
        <f>IF(VLOOKUP($A268,SP_TaxPar_DB[],MATCH(C$2,SP_TaxPar_DB[#Headers],0),FALSE)="",0,VLOOKUP($A268,SP_TaxPar_DB[],MATCH(C$2,SP_TaxPar_DB[#Headers],0),FALSE))</f>
        <v>217</v>
      </c>
      <c r="D268" s="67">
        <f>IF(VLOOKUP($A268,SP_TaxPar_DB[],MATCH(D$2,SP_TaxPar_DB[#Headers],0),FALSE)="",0,VLOOKUP($A268,SP_TaxPar_DB[],MATCH(D$2,SP_TaxPar_DB[#Headers],0),FALSE))</f>
        <v>0</v>
      </c>
      <c r="E268" s="69" t="str">
        <f>VLOOKUP($A268,SP_TaxPar_DB[],MATCH(E$2,SP_TaxPar_DB[#Headers],0),FALSE)</f>
        <v>Clarence Manciaz Sr % BCL of Texas</v>
      </c>
      <c r="F268" s="69" t="str">
        <f>VLOOKUP($A268,SP_TaxPar_DB[],MATCH(F$2,SP_TaxPar_DB[#Headers],0),FALSE)</f>
        <v>2212 S. Congress Ave</v>
      </c>
      <c r="G268" s="69" t="str">
        <f>VLOOKUP($A268,SP_TaxPar_DB[],MATCH(G$2,SP_TaxPar_DB[#Headers],0),FALSE)</f>
        <v>Austin</v>
      </c>
      <c r="H268" s="69" t="str">
        <f>VLOOKUP($A268,SP_TaxPar_DB[],MATCH(H$2,SP_TaxPar_DB[#Headers],0),FALSE)</f>
        <v>TX</v>
      </c>
      <c r="I268" s="69" t="str">
        <f>VLOOKUP($A268,SP_TaxPar_DB[],MATCH(I$2,SP_TaxPar_DB[#Headers],0),FALSE)</f>
        <v>78704</v>
      </c>
      <c r="J268" s="69" t="str">
        <f>VLOOKUP($A268,SP_TaxPar_DB[],MATCH(J$2,SP_TaxPar_DB[#Headers],0),FALSE)</f>
        <v>410 S Sheppard</v>
      </c>
      <c r="K268" s="69" t="str">
        <f>VLOOKUP($A268,SP_TaxPar_DB[],MATCH(K$2,SP_TaxPar_DB[#Headers],0),FALSE)</f>
        <v>Habitat for Humanity Block 1 Lot 3</v>
      </c>
      <c r="L268" s="69">
        <f>VLOOKUP($A268,SP_TaxPar_DB[],MATCH(L$2,SP_TaxPar_DB[#Headers],0),FALSE)</f>
        <v>0.23860000000000001</v>
      </c>
      <c r="M268" s="69" t="str">
        <f>VLOOKUP($A268,SP_TaxPar_DB[],MATCH(M$2,SP_TaxPar_DB[#Headers],0),FALSE)</f>
        <v>Residential</v>
      </c>
      <c r="N268" s="69" t="str">
        <f>VLOOKUP($A268,SP_TaxPar_DB[],MATCH(N$2,SP_TaxPar_DB[#Headers],0),FALSE)</f>
        <v>743 / 147</v>
      </c>
      <c r="O268" s="71">
        <f>VLOOKUP($A268,SP_TaxPar_DB[],MATCH(O$2,SP_TaxPar_DB[#Headers],0),FALSE)</f>
        <v>0</v>
      </c>
      <c r="P268" s="72"/>
      <c r="Q268" s="69"/>
      <c r="R268" s="73"/>
      <c r="S268" s="73"/>
      <c r="T268" s="69"/>
      <c r="U268" s="69"/>
      <c r="V268" s="69"/>
      <c r="W268" s="69"/>
      <c r="X268" s="69"/>
      <c r="Y268" s="69"/>
      <c r="Z268" s="69"/>
      <c r="AA268" s="69"/>
      <c r="AB268" s="74"/>
      <c r="AC268" s="73"/>
      <c r="AD268" s="73"/>
      <c r="AE268" s="74"/>
      <c r="AF268" s="68"/>
      <c r="AG268" s="68"/>
      <c r="AH268" s="74"/>
      <c r="AI268" s="68"/>
      <c r="AJ268" s="68"/>
      <c r="AK268" s="68"/>
      <c r="AL268" s="80"/>
      <c r="AM268" s="81"/>
      <c r="AN268" s="74"/>
      <c r="AO268" s="74"/>
      <c r="AP268" s="74"/>
      <c r="AQ268" s="74"/>
      <c r="AR268" s="74"/>
      <c r="AS268" s="74"/>
      <c r="AT268" s="74"/>
      <c r="AU268" s="74"/>
      <c r="AV268" s="74"/>
      <c r="AW268" s="84"/>
    </row>
    <row r="269" spans="1:49" ht="15.75" hidden="1" x14ac:dyDescent="0.2">
      <c r="A269" s="129" t="s">
        <v>139</v>
      </c>
      <c r="B269" s="68" t="str">
        <f>VLOOKUP($A269,SP_TaxPar_DB[],MATCH(B$2,SP_TaxPar_DB[#Headers],0),FALSE)</f>
        <v>PH1</v>
      </c>
      <c r="C269" s="67" t="str">
        <f>IF(VLOOKUP($A269,SP_TaxPar_DB[],MATCH(C$2,SP_TaxPar_DB[#Headers],0),FALSE)="",0,VLOOKUP($A269,SP_TaxPar_DB[],MATCH(C$2,SP_TaxPar_DB[#Headers],0),FALSE))</f>
        <v>218</v>
      </c>
      <c r="D269" s="67">
        <f>IF(VLOOKUP($A269,SP_TaxPar_DB[],MATCH(D$2,SP_TaxPar_DB[#Headers],0),FALSE)="",0,VLOOKUP($A269,SP_TaxPar_DB[],MATCH(D$2,SP_TaxPar_DB[#Headers],0),FALSE))</f>
        <v>0</v>
      </c>
      <c r="E269" s="69" t="str">
        <f>VLOOKUP($A269,SP_TaxPar_DB[],MATCH(E$2,SP_TaxPar_DB[#Headers],0),FALSE)</f>
        <v>Barbara Hearne c/o BCL of Texas</v>
      </c>
      <c r="F269" s="69" t="str">
        <f>VLOOKUP($A269,SP_TaxPar_DB[],MATCH(F$2,SP_TaxPar_DB[#Headers],0),FALSE)</f>
        <v>2212 S. Congress Ave</v>
      </c>
      <c r="G269" s="69" t="str">
        <f>VLOOKUP($A269,SP_TaxPar_DB[],MATCH(G$2,SP_TaxPar_DB[#Headers],0),FALSE)</f>
        <v>Austin</v>
      </c>
      <c r="H269" s="69" t="str">
        <f>VLOOKUP($A269,SP_TaxPar_DB[],MATCH(H$2,SP_TaxPar_DB[#Headers],0),FALSE)</f>
        <v>TX</v>
      </c>
      <c r="I269" s="69" t="str">
        <f>VLOOKUP($A269,SP_TaxPar_DB[],MATCH(I$2,SP_TaxPar_DB[#Headers],0),FALSE)</f>
        <v>78704</v>
      </c>
      <c r="J269" s="69" t="str">
        <f>VLOOKUP($A269,SP_TaxPar_DB[],MATCH(J$2,SP_TaxPar_DB[#Headers],0),FALSE)</f>
        <v>408 S Sheppard</v>
      </c>
      <c r="K269" s="69" t="str">
        <f>VLOOKUP($A269,SP_TaxPar_DB[],MATCH(K$2,SP_TaxPar_DB[#Headers],0),FALSE)</f>
        <v>Habitat for Humanity Block 1 Lot 2</v>
      </c>
      <c r="L269" s="69">
        <f>VLOOKUP($A269,SP_TaxPar_DB[],MATCH(L$2,SP_TaxPar_DB[#Headers],0),FALSE)</f>
        <v>0.2409</v>
      </c>
      <c r="M269" s="69" t="str">
        <f>VLOOKUP($A269,SP_TaxPar_DB[],MATCH(M$2,SP_TaxPar_DB[#Headers],0),FALSE)</f>
        <v>Residential</v>
      </c>
      <c r="N269" s="69" t="str">
        <f>VLOOKUP($A269,SP_TaxPar_DB[],MATCH(N$2,SP_TaxPar_DB[#Headers],0),FALSE)</f>
        <v>696 / 214</v>
      </c>
      <c r="O269" s="71">
        <f>VLOOKUP($A269,SP_TaxPar_DB[],MATCH(O$2,SP_TaxPar_DB[#Headers],0),FALSE)</f>
        <v>0</v>
      </c>
      <c r="P269" s="72"/>
      <c r="Q269" s="69"/>
      <c r="R269" s="73"/>
      <c r="S269" s="73"/>
      <c r="T269" s="69"/>
      <c r="U269" s="69"/>
      <c r="V269" s="69"/>
      <c r="W269" s="69"/>
      <c r="X269" s="69"/>
      <c r="Y269" s="69"/>
      <c r="Z269" s="69"/>
      <c r="AA269" s="69"/>
      <c r="AB269" s="74"/>
      <c r="AC269" s="73"/>
      <c r="AD269" s="73"/>
      <c r="AE269" s="74"/>
      <c r="AF269" s="68"/>
      <c r="AG269" s="68"/>
      <c r="AH269" s="74"/>
      <c r="AI269" s="68"/>
      <c r="AJ269" s="68"/>
      <c r="AK269" s="68"/>
      <c r="AL269" s="80"/>
      <c r="AM269" s="81"/>
      <c r="AN269" s="74"/>
      <c r="AO269" s="74"/>
      <c r="AP269" s="74"/>
      <c r="AQ269" s="74"/>
      <c r="AR269" s="74"/>
      <c r="AS269" s="74"/>
      <c r="AT269" s="74"/>
      <c r="AU269" s="74"/>
      <c r="AV269" s="74"/>
      <c r="AW269" s="84"/>
    </row>
    <row r="270" spans="1:49" ht="15.75" hidden="1" x14ac:dyDescent="0.2">
      <c r="A270" s="129" t="s">
        <v>2621</v>
      </c>
      <c r="B270" s="68" t="str">
        <f>VLOOKUP($A270,SP_TaxPar_DB[],MATCH(B$2,SP_TaxPar_DB[#Headers],0),FALSE)</f>
        <v>ENV</v>
      </c>
      <c r="C270" s="67">
        <f>IF(VLOOKUP($A270,SP_TaxPar_DB[],MATCH(C$2,SP_TaxPar_DB[#Headers],0),FALSE)="",0,VLOOKUP($A270,SP_TaxPar_DB[],MATCH(C$2,SP_TaxPar_DB[#Headers],0),FALSE))</f>
        <v>0</v>
      </c>
      <c r="D270" s="67" t="str">
        <f>IF(VLOOKUP($A270,SP_TaxPar_DB[],MATCH(D$2,SP_TaxPar_DB[#Headers],0),FALSE)="",0,VLOOKUP($A270,SP_TaxPar_DB[],MATCH(D$2,SP_TaxPar_DB[#Headers],0),FALSE))</f>
        <v>250</v>
      </c>
      <c r="E270" s="69" t="str">
        <f>VLOOKUP($A270,SP_TaxPar_DB[],MATCH(E$2,SP_TaxPar_DB[#Headers],0),FALSE)</f>
        <v>Valliere R. Auzenne Life Estate</v>
      </c>
      <c r="F270" s="69" t="str">
        <f>VLOOKUP($A270,SP_TaxPar_DB[],MATCH(F$2,SP_TaxPar_DB[#Headers],0),FALSE)</f>
        <v>2467 ELFINWING LN</v>
      </c>
      <c r="G270" s="69" t="str">
        <f>VLOOKUP($A270,SP_TaxPar_DB[],MATCH(G$2,SP_TaxPar_DB[#Headers],0),FALSE)</f>
        <v>TALLAHASSEE</v>
      </c>
      <c r="H270" s="69" t="str">
        <f>VLOOKUP($A270,SP_TaxPar_DB[],MATCH(H$2,SP_TaxPar_DB[#Headers],0),FALSE)</f>
        <v>FL</v>
      </c>
      <c r="I270" s="69" t="str">
        <f>VLOOKUP($A270,SP_TaxPar_DB[],MATCH(I$2,SP_TaxPar_DB[#Headers],0),FALSE)</f>
        <v>32309</v>
      </c>
      <c r="J270" s="69" t="str">
        <f>VLOOKUP($A270,SP_TaxPar_DB[],MATCH(J$2,SP_TaxPar_DB[#Headers],0),FALSE)</f>
        <v>0 BLACK</v>
      </c>
      <c r="K270" s="69" t="str">
        <f>VLOOKUP($A270,SP_TaxPar_DB[],MATCH(K$2,SP_TaxPar_DB[#Headers],0),FALSE)</f>
        <v>WHARTON BLOCK 19--OUT LOT 13B Acres:0.1323</v>
      </c>
      <c r="L270" s="69">
        <f>VLOOKUP($A270,SP_TaxPar_DB[],MATCH(L$2,SP_TaxPar_DB[#Headers],0),FALSE)</f>
        <v>0</v>
      </c>
      <c r="M270" s="69">
        <f>VLOOKUP($A270,SP_TaxPar_DB[],MATCH(M$2,SP_TaxPar_DB[#Headers],0),FALSE)</f>
        <v>0</v>
      </c>
      <c r="N270" s="69">
        <f>VLOOKUP($A270,SP_TaxPar_DB[],MATCH(N$2,SP_TaxPar_DB[#Headers],0),FALSE)</f>
        <v>0</v>
      </c>
      <c r="O270" s="71">
        <f>VLOOKUP($A270,SP_TaxPar_DB[],MATCH(O$2,SP_TaxPar_DB[#Headers],0),FALSE)</f>
        <v>0</v>
      </c>
      <c r="P270" s="72"/>
      <c r="Q270" s="69"/>
      <c r="R270" s="73"/>
      <c r="S270" s="73"/>
      <c r="T270" s="69"/>
      <c r="U270" s="69"/>
      <c r="V270" s="69"/>
      <c r="W270" s="69"/>
      <c r="X270" s="69"/>
      <c r="Y270" s="69"/>
      <c r="Z270" s="69"/>
      <c r="AA270" s="69"/>
      <c r="AB270" s="74"/>
      <c r="AC270" s="73"/>
      <c r="AD270" s="73"/>
      <c r="AE270" s="74"/>
      <c r="AF270" s="68"/>
      <c r="AG270" s="68"/>
      <c r="AH270" s="74"/>
      <c r="AI270" s="68"/>
      <c r="AJ270" s="68"/>
      <c r="AK270" s="68"/>
      <c r="AL270" s="80"/>
      <c r="AM270" s="81"/>
      <c r="AN270" s="74"/>
      <c r="AO270" s="74"/>
      <c r="AP270" s="74"/>
      <c r="AQ270" s="74"/>
      <c r="AR270" s="74"/>
      <c r="AS270" s="74"/>
      <c r="AT270" s="74"/>
      <c r="AU270" s="74"/>
      <c r="AV270" s="74"/>
      <c r="AW270" s="84"/>
    </row>
    <row r="271" spans="1:49" ht="15.75" hidden="1" x14ac:dyDescent="0.2">
      <c r="A271" s="129" t="s">
        <v>535</v>
      </c>
      <c r="B271" s="68" t="str">
        <f>VLOOKUP($A271,SP_TaxPar_DB[],MATCH(B$2,SP_TaxPar_DB[#Headers],0),FALSE)</f>
        <v>PH1</v>
      </c>
      <c r="C271" s="67" t="str">
        <f>IF(VLOOKUP($A271,SP_TaxPar_DB[],MATCH(C$2,SP_TaxPar_DB[#Headers],0),FALSE)="",0,VLOOKUP($A271,SP_TaxPar_DB[],MATCH(C$2,SP_TaxPar_DB[#Headers],0),FALSE))</f>
        <v>100</v>
      </c>
      <c r="D271" s="67">
        <f>IF(VLOOKUP($A271,SP_TaxPar_DB[],MATCH(D$2,SP_TaxPar_DB[#Headers],0),FALSE)="",0,VLOOKUP($A271,SP_TaxPar_DB[],MATCH(D$2,SP_TaxPar_DB[#Headers],0),FALSE))</f>
        <v>0</v>
      </c>
      <c r="E271" s="69" t="str">
        <f>VLOOKUP($A271,SP_TaxPar_DB[],MATCH(E$2,SP_TaxPar_DB[#Headers],0),FALSE)</f>
        <v>Lloyd Rust Family Limited Partnership &amp; Rust TMLLC % Rosemary Rust</v>
      </c>
      <c r="F271" s="69" t="str">
        <f>VLOOKUP($A271,SP_TaxPar_DB[],MATCH(F$2,SP_TaxPar_DB[#Headers],0),FALSE)</f>
        <v>PO Box 1027</v>
      </c>
      <c r="G271" s="69" t="str">
        <f>VLOOKUP($A271,SP_TaxPar_DB[],MATCH(G$2,SP_TaxPar_DB[#Headers],0),FALSE)</f>
        <v>Wharton</v>
      </c>
      <c r="H271" s="69" t="str">
        <f>VLOOKUP($A271,SP_TaxPar_DB[],MATCH(H$2,SP_TaxPar_DB[#Headers],0),FALSE)</f>
        <v>TX</v>
      </c>
      <c r="I271" s="69" t="str">
        <f>VLOOKUP($A271,SP_TaxPar_DB[],MATCH(I$2,SP_TaxPar_DB[#Headers],0),FALSE)</f>
        <v>77488</v>
      </c>
      <c r="J271" s="69" t="str">
        <f>VLOOKUP($A271,SP_TaxPar_DB[],MATCH(J$2,SP_TaxPar_DB[#Headers],0),FALSE)</f>
        <v>FM 102</v>
      </c>
      <c r="K271" s="69" t="str">
        <f>VLOOKUP($A271,SP_TaxPar_DB[],MATCH(K$2,SP_TaxPar_DB[#Headers],0),FALSE)</f>
        <v>A20034 Abst .34 Tract 69 PT(South)  This tract is found in both phases &amp; is represented in PH2 as R068875</v>
      </c>
      <c r="L271" s="69">
        <f>VLOOKUP($A271,SP_TaxPar_DB[],MATCH(L$2,SP_TaxPar_DB[#Headers],0),FALSE)</f>
        <v>401.93099999999998</v>
      </c>
      <c r="M271" s="69" t="str">
        <f>VLOOKUP($A271,SP_TaxPar_DB[],MATCH(M$2,SP_TaxPar_DB[#Headers],0),FALSE)</f>
        <v>Rural</v>
      </c>
      <c r="N271" s="69" t="str">
        <f>VLOOKUP($A271,SP_TaxPar_DB[],MATCH(N$2,SP_TaxPar_DB[#Headers],0),FALSE)</f>
        <v>1063 / 230</v>
      </c>
      <c r="O271" s="71" t="str">
        <f>VLOOKUP($A271,SP_TaxPar_DB[],MATCH(O$2,SP_TaxPar_DB[#Headers],0),FALSE)</f>
        <v>% Rosemary Rust on tax card - 68875,68876</v>
      </c>
      <c r="P271" s="72"/>
      <c r="Q271" s="69"/>
      <c r="R271" s="73"/>
      <c r="S271" s="73"/>
      <c r="T271" s="69"/>
      <c r="U271" s="69"/>
      <c r="V271" s="69"/>
      <c r="W271" s="69"/>
      <c r="X271" s="69"/>
      <c r="Y271" s="69"/>
      <c r="Z271" s="69"/>
      <c r="AA271" s="69"/>
      <c r="AB271" s="74"/>
      <c r="AC271" s="73"/>
      <c r="AD271" s="73"/>
      <c r="AE271" s="74"/>
      <c r="AF271" s="68"/>
      <c r="AG271" s="68"/>
      <c r="AH271" s="74"/>
      <c r="AI271" s="68"/>
      <c r="AJ271" s="68"/>
      <c r="AK271" s="68"/>
      <c r="AL271" s="80"/>
      <c r="AM271" s="81"/>
      <c r="AN271" s="74"/>
      <c r="AO271" s="74"/>
      <c r="AP271" s="74"/>
      <c r="AQ271" s="74"/>
      <c r="AR271" s="74"/>
      <c r="AS271" s="74"/>
      <c r="AT271" s="74"/>
      <c r="AU271" s="74"/>
      <c r="AV271" s="74"/>
      <c r="AW271" s="84"/>
    </row>
    <row r="272" spans="1:49" ht="15.75" hidden="1" x14ac:dyDescent="0.2">
      <c r="A272" s="129" t="s">
        <v>535</v>
      </c>
      <c r="B272" s="68" t="str">
        <f>VLOOKUP($A272,SP_TaxPar_DB[],MATCH(B$2,SP_TaxPar_DB[#Headers],0),FALSE)</f>
        <v>PH1</v>
      </c>
      <c r="C272" s="67" t="str">
        <f>IF(VLOOKUP($A272,SP_TaxPar_DB[],MATCH(C$2,SP_TaxPar_DB[#Headers],0),FALSE)="",0,VLOOKUP($A272,SP_TaxPar_DB[],MATCH(C$2,SP_TaxPar_DB[#Headers],0),FALSE))</f>
        <v>100</v>
      </c>
      <c r="D272" s="67">
        <f>IF(VLOOKUP($A272,SP_TaxPar_DB[],MATCH(D$2,SP_TaxPar_DB[#Headers],0),FALSE)="",0,VLOOKUP($A272,SP_TaxPar_DB[],MATCH(D$2,SP_TaxPar_DB[#Headers],0),FALSE))</f>
        <v>0</v>
      </c>
      <c r="E272" s="69" t="str">
        <f>VLOOKUP($A272,SP_TaxPar_DB[],MATCH(E$2,SP_TaxPar_DB[#Headers],0),FALSE)</f>
        <v>Lloyd Rust Family Limited Partnership &amp; Rust TMLLC % Rosemary Rust</v>
      </c>
      <c r="F272" s="69" t="str">
        <f>VLOOKUP($A272,SP_TaxPar_DB[],MATCH(F$2,SP_TaxPar_DB[#Headers],0),FALSE)</f>
        <v>PO Box 1027</v>
      </c>
      <c r="G272" s="69" t="str">
        <f>VLOOKUP($A272,SP_TaxPar_DB[],MATCH(G$2,SP_TaxPar_DB[#Headers],0),FALSE)</f>
        <v>Wharton</v>
      </c>
      <c r="H272" s="69" t="str">
        <f>VLOOKUP($A272,SP_TaxPar_DB[],MATCH(H$2,SP_TaxPar_DB[#Headers],0),FALSE)</f>
        <v>TX</v>
      </c>
      <c r="I272" s="69" t="str">
        <f>VLOOKUP($A272,SP_TaxPar_DB[],MATCH(I$2,SP_TaxPar_DB[#Headers],0),FALSE)</f>
        <v>77488</v>
      </c>
      <c r="J272" s="69" t="str">
        <f>VLOOKUP($A272,SP_TaxPar_DB[],MATCH(J$2,SP_TaxPar_DB[#Headers],0),FALSE)</f>
        <v>FM 102</v>
      </c>
      <c r="K272" s="69" t="str">
        <f>VLOOKUP($A272,SP_TaxPar_DB[],MATCH(K$2,SP_TaxPar_DB[#Headers],0),FALSE)</f>
        <v>A20034 Abst .34 Tract 69 PT(South)  This tract is found in both phases &amp; is represented in PH2 as R068875</v>
      </c>
      <c r="L272" s="69">
        <f>VLOOKUP($A272,SP_TaxPar_DB[],MATCH(L$2,SP_TaxPar_DB[#Headers],0),FALSE)</f>
        <v>401.93099999999998</v>
      </c>
      <c r="M272" s="69" t="str">
        <f>VLOOKUP($A272,SP_TaxPar_DB[],MATCH(M$2,SP_TaxPar_DB[#Headers],0),FALSE)</f>
        <v>Rural</v>
      </c>
      <c r="N272" s="69" t="str">
        <f>VLOOKUP($A272,SP_TaxPar_DB[],MATCH(N$2,SP_TaxPar_DB[#Headers],0),FALSE)</f>
        <v>1063 / 230</v>
      </c>
      <c r="O272" s="71" t="str">
        <f>VLOOKUP($A272,SP_TaxPar_DB[],MATCH(O$2,SP_TaxPar_DB[#Headers],0),FALSE)</f>
        <v>% Rosemary Rust on tax card - 68875,68876</v>
      </c>
      <c r="P272" s="72"/>
      <c r="Q272" s="69"/>
      <c r="R272" s="73"/>
      <c r="S272" s="73"/>
      <c r="T272" s="69"/>
      <c r="U272" s="69"/>
      <c r="V272" s="69"/>
      <c r="W272" s="69"/>
      <c r="X272" s="69"/>
      <c r="Y272" s="69"/>
      <c r="Z272" s="69"/>
      <c r="AA272" s="69"/>
      <c r="AB272" s="74"/>
      <c r="AC272" s="73"/>
      <c r="AD272" s="73"/>
      <c r="AE272" s="74"/>
      <c r="AF272" s="68"/>
      <c r="AG272" s="68"/>
      <c r="AH272" s="74"/>
      <c r="AI272" s="68"/>
      <c r="AJ272" s="68"/>
      <c r="AK272" s="68"/>
      <c r="AL272" s="80"/>
      <c r="AM272" s="81"/>
      <c r="AN272" s="74"/>
      <c r="AO272" s="74"/>
      <c r="AP272" s="74"/>
      <c r="AQ272" s="74"/>
      <c r="AR272" s="74"/>
      <c r="AS272" s="74"/>
      <c r="AT272" s="74"/>
      <c r="AU272" s="74"/>
      <c r="AV272" s="74"/>
      <c r="AW272" s="84"/>
    </row>
    <row r="273" spans="1:49" ht="15.75" hidden="1" x14ac:dyDescent="0.2">
      <c r="A273" s="129" t="s">
        <v>540</v>
      </c>
      <c r="B273" s="68" t="str">
        <f>VLOOKUP($A273,SP_TaxPar_DB[],MATCH(B$2,SP_TaxPar_DB[#Headers],0),FALSE)</f>
        <v>PH1</v>
      </c>
      <c r="C273" s="67" t="str">
        <f>IF(VLOOKUP($A273,SP_TaxPar_DB[],MATCH(C$2,SP_TaxPar_DB[#Headers],0),FALSE)="",0,VLOOKUP($A273,SP_TaxPar_DB[],MATCH(C$2,SP_TaxPar_DB[#Headers],0),FALSE))</f>
        <v>100</v>
      </c>
      <c r="D273" s="67">
        <f>IF(VLOOKUP($A273,SP_TaxPar_DB[],MATCH(D$2,SP_TaxPar_DB[#Headers],0),FALSE)="",0,VLOOKUP($A273,SP_TaxPar_DB[],MATCH(D$2,SP_TaxPar_DB[#Headers],0),FALSE))</f>
        <v>0</v>
      </c>
      <c r="E273" s="69" t="str">
        <f>VLOOKUP($A273,SP_TaxPar_DB[],MATCH(E$2,SP_TaxPar_DB[#Headers],0),FALSE)</f>
        <v>Lloyd Rust Family Limited Partnership &amp; Rust TMLLC 5 Rosemary Rust</v>
      </c>
      <c r="F273" s="69" t="str">
        <f>VLOOKUP($A273,SP_TaxPar_DB[],MATCH(F$2,SP_TaxPar_DB[#Headers],0),FALSE)</f>
        <v>PO Box 1027</v>
      </c>
      <c r="G273" s="69" t="str">
        <f>VLOOKUP($A273,SP_TaxPar_DB[],MATCH(G$2,SP_TaxPar_DB[#Headers],0),FALSE)</f>
        <v>Wharton</v>
      </c>
      <c r="H273" s="69" t="str">
        <f>VLOOKUP($A273,SP_TaxPar_DB[],MATCH(H$2,SP_TaxPar_DB[#Headers],0),FALSE)</f>
        <v>TX</v>
      </c>
      <c r="I273" s="69" t="str">
        <f>VLOOKUP($A273,SP_TaxPar_DB[],MATCH(I$2,SP_TaxPar_DB[#Headers],0),FALSE)</f>
        <v>77488</v>
      </c>
      <c r="J273" s="69" t="str">
        <f>VLOOKUP($A273,SP_TaxPar_DB[],MATCH(J$2,SP_TaxPar_DB[#Headers],0),FALSE)</f>
        <v>FM 102</v>
      </c>
      <c r="K273" s="69" t="str">
        <f>VLOOKUP($A273,SP_TaxPar_DB[],MATCH(K$2,SP_TaxPar_DB[#Headers],0),FALSE)</f>
        <v>A20003 Abst .3 Tract 33 PT (South)</v>
      </c>
      <c r="L273" s="69">
        <f>VLOOKUP($A273,SP_TaxPar_DB[],MATCH(L$2,SP_TaxPar_DB[#Headers],0),FALSE)</f>
        <v>608.21199999999999</v>
      </c>
      <c r="M273" s="69" t="str">
        <f>VLOOKUP($A273,SP_TaxPar_DB[],MATCH(M$2,SP_TaxPar_DB[#Headers],0),FALSE)</f>
        <v>Rural</v>
      </c>
      <c r="N273" s="69">
        <f>VLOOKUP($A273,SP_TaxPar_DB[],MATCH(N$2,SP_TaxPar_DB[#Headers],0),FALSE)</f>
        <v>0</v>
      </c>
      <c r="O273" s="71" t="str">
        <f>VLOOKUP($A273,SP_TaxPar_DB[],MATCH(O$2,SP_TaxPar_DB[#Headers],0),FALSE)</f>
        <v>% Rosemary Rust on tax card</v>
      </c>
      <c r="P273" s="72"/>
      <c r="Q273" s="69"/>
      <c r="R273" s="73"/>
      <c r="S273" s="73"/>
      <c r="T273" s="69"/>
      <c r="U273" s="69"/>
      <c r="V273" s="69"/>
      <c r="W273" s="69"/>
      <c r="X273" s="69"/>
      <c r="Y273" s="69"/>
      <c r="Z273" s="69"/>
      <c r="AA273" s="69"/>
      <c r="AB273" s="74"/>
      <c r="AC273" s="73"/>
      <c r="AD273" s="73"/>
      <c r="AE273" s="74"/>
      <c r="AF273" s="68"/>
      <c r="AG273" s="68"/>
      <c r="AH273" s="74"/>
      <c r="AI273" s="68"/>
      <c r="AJ273" s="68"/>
      <c r="AK273" s="68"/>
      <c r="AL273" s="80"/>
      <c r="AM273" s="81"/>
      <c r="AN273" s="74"/>
      <c r="AO273" s="74"/>
      <c r="AP273" s="74"/>
      <c r="AQ273" s="74"/>
      <c r="AR273" s="74"/>
      <c r="AS273" s="74"/>
      <c r="AT273" s="74"/>
      <c r="AU273" s="74"/>
      <c r="AV273" s="74"/>
      <c r="AW273" s="84"/>
    </row>
    <row r="274" spans="1:49" ht="15.75" hidden="1" x14ac:dyDescent="0.2">
      <c r="A274" s="129" t="s">
        <v>2628</v>
      </c>
      <c r="B274" s="68" t="str">
        <f>VLOOKUP($A274,SP_TaxPar_DB[],MATCH(B$2,SP_TaxPar_DB[#Headers],0),FALSE)</f>
        <v>PH2</v>
      </c>
      <c r="C274" s="67" t="str">
        <f>IF(VLOOKUP($A274,SP_TaxPar_DB[],MATCH(C$2,SP_TaxPar_DB[#Headers],0),FALSE)="",0,VLOOKUP($A274,SP_TaxPar_DB[],MATCH(C$2,SP_TaxPar_DB[#Headers],0),FALSE))</f>
        <v>T253</v>
      </c>
      <c r="D274" s="67">
        <f>IF(VLOOKUP($A274,SP_TaxPar_DB[],MATCH(D$2,SP_TaxPar_DB[#Headers],0),FALSE)="",0,VLOOKUP($A274,SP_TaxPar_DB[],MATCH(D$2,SP_TaxPar_DB[#Headers],0),FALSE))</f>
        <v>0</v>
      </c>
      <c r="E274" s="69" t="str">
        <f>VLOOKUP($A274,SP_TaxPar_DB[],MATCH(E$2,SP_TaxPar_DB[#Headers],0),FALSE)</f>
        <v>HAWES BARBARA LOUISE TRUST DATED 8-17-81</v>
      </c>
      <c r="F274" s="69" t="str">
        <f>VLOOKUP($A274,SP_TaxPar_DB[],MATCH(F$2,SP_TaxPar_DB[#Headers],0),FALSE)</f>
        <v>PO BOX 707</v>
      </c>
      <c r="G274" s="69" t="str">
        <f>VLOOKUP($A274,SP_TaxPar_DB[],MATCH(G$2,SP_TaxPar_DB[#Headers],0),FALSE)</f>
        <v>WHARTON</v>
      </c>
      <c r="H274" s="69" t="str">
        <f>VLOOKUP($A274,SP_TaxPar_DB[],MATCH(H$2,SP_TaxPar_DB[#Headers],0),FALSE)</f>
        <v>TX</v>
      </c>
      <c r="I274" s="69" t="str">
        <f>VLOOKUP($A274,SP_TaxPar_DB[],MATCH(I$2,SP_TaxPar_DB[#Headers],0),FALSE)</f>
        <v>77488</v>
      </c>
      <c r="J274" s="69" t="str">
        <f>VLOOKUP($A274,SP_TaxPar_DB[],MATCH(J$2,SP_TaxPar_DB[#Headers],0),FALSE)</f>
        <v>0  N FULTON</v>
      </c>
      <c r="K274" s="69" t="str">
        <f>VLOOKUP($A274,SP_TaxPar_DB[],MATCH(K$2,SP_TaxPar_DB[#Headers],0),FALSE)</f>
        <v>A20038 ABST.38 TRACT 55 PT.(WEST) AG PART NEXT TO LIVESTOCK AUCTION Acres:26.7060</v>
      </c>
      <c r="L274" s="69">
        <f>VLOOKUP($A274,SP_TaxPar_DB[],MATCH(L$2,SP_TaxPar_DB[#Headers],0),FALSE)</f>
        <v>0</v>
      </c>
      <c r="M274" s="69">
        <f>VLOOKUP($A274,SP_TaxPar_DB[],MATCH(M$2,SP_TaxPar_DB[#Headers],0),FALSE)</f>
        <v>0</v>
      </c>
      <c r="N274" s="69">
        <f>VLOOKUP($A274,SP_TaxPar_DB[],MATCH(N$2,SP_TaxPar_DB[#Headers],0),FALSE)</f>
        <v>0</v>
      </c>
      <c r="O274" s="71">
        <f>VLOOKUP($A274,SP_TaxPar_DB[],MATCH(O$2,SP_TaxPar_DB[#Headers],0),FALSE)</f>
        <v>0</v>
      </c>
      <c r="P274" s="72"/>
      <c r="Q274" s="69"/>
      <c r="R274" s="73"/>
      <c r="S274" s="73"/>
      <c r="T274" s="69"/>
      <c r="U274" s="69"/>
      <c r="V274" s="69"/>
      <c r="W274" s="69"/>
      <c r="X274" s="69"/>
      <c r="Y274" s="69"/>
      <c r="Z274" s="69"/>
      <c r="AA274" s="69"/>
      <c r="AB274" s="74"/>
      <c r="AC274" s="73"/>
      <c r="AD274" s="73"/>
      <c r="AE274" s="74"/>
      <c r="AF274" s="68"/>
      <c r="AG274" s="68"/>
      <c r="AH274" s="74"/>
      <c r="AI274" s="68"/>
      <c r="AJ274" s="68"/>
      <c r="AK274" s="68"/>
      <c r="AL274" s="80"/>
      <c r="AM274" s="81"/>
      <c r="AN274" s="74"/>
      <c r="AO274" s="74"/>
      <c r="AP274" s="74"/>
      <c r="AQ274" s="74"/>
      <c r="AR274" s="74"/>
      <c r="AS274" s="74"/>
      <c r="AT274" s="74"/>
      <c r="AU274" s="74"/>
      <c r="AV274" s="74"/>
      <c r="AW274" s="84"/>
    </row>
    <row r="275" spans="1:49" ht="15.75" hidden="1" x14ac:dyDescent="0.2">
      <c r="A275" s="129" t="s">
        <v>542</v>
      </c>
      <c r="B275" s="68" t="str">
        <f>VLOOKUP($A275,SP_TaxPar_DB[],MATCH(B$2,SP_TaxPar_DB[#Headers],0),FALSE)</f>
        <v>UNK</v>
      </c>
      <c r="C275" s="67">
        <f>IF(VLOOKUP($A275,SP_TaxPar_DB[],MATCH(C$2,SP_TaxPar_DB[#Headers],0),FALSE)="",0,VLOOKUP($A275,SP_TaxPar_DB[],MATCH(C$2,SP_TaxPar_DB[#Headers],0),FALSE))</f>
        <v>0</v>
      </c>
      <c r="D275" s="67">
        <f>IF(VLOOKUP($A275,SP_TaxPar_DB[],MATCH(D$2,SP_TaxPar_DB[#Headers],0),FALSE)="",0,VLOOKUP($A275,SP_TaxPar_DB[],MATCH(D$2,SP_TaxPar_DB[#Headers],0),FALSE))</f>
        <v>0</v>
      </c>
      <c r="E275" s="69" t="str">
        <f>VLOOKUP($A275,SP_TaxPar_DB[],MATCH(E$2,SP_TaxPar_DB[#Headers],0),FALSE)</f>
        <v>LARRY RAY TAYLOR</v>
      </c>
      <c r="F275" s="69" t="str">
        <f>VLOOKUP($A275,SP_TaxPar_DB[],MATCH(F$2,SP_TaxPar_DB[#Headers],0),FALSE)</f>
        <v>PO BOX 745</v>
      </c>
      <c r="G275" s="69" t="str">
        <f>VLOOKUP($A275,SP_TaxPar_DB[],MATCH(G$2,SP_TaxPar_DB[#Headers],0),FALSE)</f>
        <v>Wharton</v>
      </c>
      <c r="H275" s="69" t="str">
        <f>VLOOKUP($A275,SP_TaxPar_DB[],MATCH(H$2,SP_TaxPar_DB[#Headers],0),FALSE)</f>
        <v>TX</v>
      </c>
      <c r="I275" s="69" t="str">
        <f>VLOOKUP($A275,SP_TaxPar_DB[],MATCH(I$2,SP_TaxPar_DB[#Headers],0),FALSE)</f>
        <v>77488</v>
      </c>
      <c r="J275" s="69" t="str">
        <f>VLOOKUP($A275,SP_TaxPar_DB[],MATCH(J$2,SP_TaxPar_DB[#Headers],0),FALSE)</f>
        <v>310 CR 241</v>
      </c>
      <c r="K275" s="69" t="str">
        <f>VLOOKUP($A275,SP_TaxPar_DB[],MATCH(K$2,SP_TaxPar_DB[#Headers],0),FALSE)</f>
        <v>A20003 ABST.3 TRACT 44 LOT 4A,4C Acres:5.9900</v>
      </c>
      <c r="L275" s="69">
        <f>VLOOKUP($A275,SP_TaxPar_DB[],MATCH(L$2,SP_TaxPar_DB[#Headers],0),FALSE)</f>
        <v>0</v>
      </c>
      <c r="M275" s="69">
        <f>VLOOKUP($A275,SP_TaxPar_DB[],MATCH(M$2,SP_TaxPar_DB[#Headers],0),FALSE)</f>
        <v>0</v>
      </c>
      <c r="N275" s="69">
        <f>VLOOKUP($A275,SP_TaxPar_DB[],MATCH(N$2,SP_TaxPar_DB[#Headers],0),FALSE)</f>
        <v>0</v>
      </c>
      <c r="O275" s="71" t="str">
        <f>VLOOKUP($A275,SP_TaxPar_DB[],MATCH(O$2,SP_TaxPar_DB[#Headers],0),FALSE)</f>
        <v>08/20/2019 ROE Packet mailed; 8/14/19 Need to mail package, phone numbers of record are disconnected.</v>
      </c>
      <c r="P275" s="72"/>
      <c r="Q275" s="69"/>
      <c r="R275" s="73"/>
      <c r="S275" s="73"/>
      <c r="T275" s="69"/>
      <c r="U275" s="69"/>
      <c r="V275" s="69"/>
      <c r="W275" s="69"/>
      <c r="X275" s="69"/>
      <c r="Y275" s="69"/>
      <c r="Z275" s="69"/>
      <c r="AA275" s="69"/>
      <c r="AB275" s="74"/>
      <c r="AC275" s="73"/>
      <c r="AD275" s="73"/>
      <c r="AE275" s="74"/>
      <c r="AF275" s="68"/>
      <c r="AG275" s="68"/>
      <c r="AH275" s="74"/>
      <c r="AI275" s="68"/>
      <c r="AJ275" s="68"/>
      <c r="AK275" s="68"/>
      <c r="AL275" s="80"/>
      <c r="AM275" s="81"/>
      <c r="AN275" s="74"/>
      <c r="AO275" s="74"/>
      <c r="AP275" s="74"/>
      <c r="AQ275" s="74"/>
      <c r="AR275" s="74"/>
      <c r="AS275" s="74"/>
      <c r="AT275" s="74"/>
      <c r="AU275" s="74"/>
      <c r="AV275" s="74"/>
      <c r="AW275" s="84"/>
    </row>
    <row r="276" spans="1:49" ht="15.75" hidden="1" x14ac:dyDescent="0.2">
      <c r="A276" s="129" t="s">
        <v>547</v>
      </c>
      <c r="B276" s="68" t="str">
        <f>VLOOKUP($A276,SP_TaxPar_DB[],MATCH(B$2,SP_TaxPar_DB[#Headers],0),FALSE)</f>
        <v>PH2</v>
      </c>
      <c r="C276" s="67" t="str">
        <f>IF(VLOOKUP($A276,SP_TaxPar_DB[],MATCH(C$2,SP_TaxPar_DB[#Headers],0),FALSE)="",0,VLOOKUP($A276,SP_TaxPar_DB[],MATCH(C$2,SP_TaxPar_DB[#Headers],0),FALSE))</f>
        <v>T254</v>
      </c>
      <c r="D276" s="67">
        <f>IF(VLOOKUP($A276,SP_TaxPar_DB[],MATCH(D$2,SP_TaxPar_DB[#Headers],0),FALSE)="",0,VLOOKUP($A276,SP_TaxPar_DB[],MATCH(D$2,SP_TaxPar_DB[#Headers],0),FALSE))</f>
        <v>0</v>
      </c>
      <c r="E276" s="69" t="str">
        <f>VLOOKUP($A276,SP_TaxPar_DB[],MATCH(E$2,SP_TaxPar_DB[#Headers],0),FALSE)</f>
        <v>LISA A PAUCIELLO</v>
      </c>
      <c r="F276" s="69" t="str">
        <f>VLOOKUP($A276,SP_TaxPar_DB[],MATCH(F$2,SP_TaxPar_DB[#Headers],0),FALSE)</f>
        <v>715 CR 241 RD</v>
      </c>
      <c r="G276" s="69" t="str">
        <f>VLOOKUP($A276,SP_TaxPar_DB[],MATCH(G$2,SP_TaxPar_DB[#Headers],0),FALSE)</f>
        <v>Wharton</v>
      </c>
      <c r="H276" s="69" t="str">
        <f>VLOOKUP($A276,SP_TaxPar_DB[],MATCH(H$2,SP_TaxPar_DB[#Headers],0),FALSE)</f>
        <v>TX</v>
      </c>
      <c r="I276" s="69" t="str">
        <f>VLOOKUP($A276,SP_TaxPar_DB[],MATCH(I$2,SP_TaxPar_DB[#Headers],0),FALSE)</f>
        <v>77488</v>
      </c>
      <c r="J276" s="69" t="str">
        <f>VLOOKUP($A276,SP_TaxPar_DB[],MATCH(J$2,SP_TaxPar_DB[#Headers],0),FALSE)</f>
        <v>715 CR 241</v>
      </c>
      <c r="K276" s="69" t="str">
        <f>VLOOKUP($A276,SP_TaxPar_DB[],MATCH(K$2,SP_TaxPar_DB[#Headers],0),FALSE)</f>
        <v>A20003 ABST.3 TRACT 47,47B Acres:9.0000</v>
      </c>
      <c r="L276" s="69">
        <f>VLOOKUP($A276,SP_TaxPar_DB[],MATCH(L$2,SP_TaxPar_DB[#Headers],0),FALSE)</f>
        <v>0</v>
      </c>
      <c r="M276" s="69">
        <f>VLOOKUP($A276,SP_TaxPar_DB[],MATCH(M$2,SP_TaxPar_DB[#Headers],0),FALSE)</f>
        <v>0</v>
      </c>
      <c r="N276" s="69">
        <f>VLOOKUP($A276,SP_TaxPar_DB[],MATCH(N$2,SP_TaxPar_DB[#Headers],0),FALSE)</f>
        <v>0</v>
      </c>
      <c r="O276" s="71" t="str">
        <f>VLOOKUP($A276,SP_TaxPar_DB[],MATCH(O$2,SP_TaxPar_DB[#Headers],0),FALSE)</f>
        <v>08/20/2019 ROE Packet mailed;</v>
      </c>
      <c r="P276" s="72"/>
      <c r="Q276" s="69"/>
      <c r="R276" s="73"/>
      <c r="S276" s="73"/>
      <c r="T276" s="69"/>
      <c r="U276" s="69"/>
      <c r="V276" s="69"/>
      <c r="W276" s="69"/>
      <c r="X276" s="69"/>
      <c r="Y276" s="69"/>
      <c r="Z276" s="69"/>
      <c r="AA276" s="69"/>
      <c r="AB276" s="74"/>
      <c r="AC276" s="73"/>
      <c r="AD276" s="73"/>
      <c r="AE276" s="74"/>
      <c r="AF276" s="68"/>
      <c r="AG276" s="68"/>
      <c r="AH276" s="74"/>
      <c r="AI276" s="68"/>
      <c r="AJ276" s="68"/>
      <c r="AK276" s="68"/>
      <c r="AL276" s="80"/>
      <c r="AM276" s="81"/>
      <c r="AN276" s="74"/>
      <c r="AO276" s="74"/>
      <c r="AP276" s="74"/>
      <c r="AQ276" s="74"/>
      <c r="AR276" s="74"/>
      <c r="AS276" s="74"/>
      <c r="AT276" s="74"/>
      <c r="AU276" s="74"/>
      <c r="AV276" s="74"/>
      <c r="AW276" s="84"/>
    </row>
    <row r="277" spans="1:49" ht="15.75" hidden="1" x14ac:dyDescent="0.2">
      <c r="A277" s="129" t="s">
        <v>552</v>
      </c>
      <c r="B277" s="68" t="str">
        <f>VLOOKUP($A277,SP_TaxPar_DB[],MATCH(B$2,SP_TaxPar_DB[#Headers],0),FALSE)</f>
        <v>PH2</v>
      </c>
      <c r="C277" s="67" t="str">
        <f>IF(VLOOKUP($A277,SP_TaxPar_DB[],MATCH(C$2,SP_TaxPar_DB[#Headers],0),FALSE)="",0,VLOOKUP($A277,SP_TaxPar_DB[],MATCH(C$2,SP_TaxPar_DB[#Headers],0),FALSE))</f>
        <v>T280</v>
      </c>
      <c r="D277" s="67">
        <f>IF(VLOOKUP($A277,SP_TaxPar_DB[],MATCH(D$2,SP_TaxPar_DB[#Headers],0),FALSE)="",0,VLOOKUP($A277,SP_TaxPar_DB[],MATCH(D$2,SP_TaxPar_DB[#Headers],0),FALSE))</f>
        <v>0</v>
      </c>
      <c r="E277" s="69" t="str">
        <f>VLOOKUP($A277,SP_TaxPar_DB[],MATCH(E$2,SP_TaxPar_DB[#Headers],0),FALSE)</f>
        <v>MATTAX FAMILY TRUST, A TEST TRST UNDER THE WILL OF CALVIN C MATTAX, DCSD, DAVID C MATTAX TRUSTEE</v>
      </c>
      <c r="F277" s="69" t="str">
        <f>VLOOKUP($A277,SP_TaxPar_DB[],MATCH(F$2,SP_TaxPar_DB[#Headers],0),FALSE)</f>
        <v>1659 2ND ST</v>
      </c>
      <c r="G277" s="69" t="str">
        <f>VLOOKUP($A277,SP_TaxPar_DB[],MATCH(G$2,SP_TaxPar_DB[#Headers],0),FALSE)</f>
        <v>Manhattan Beach</v>
      </c>
      <c r="H277" s="69" t="str">
        <f>VLOOKUP($A277,SP_TaxPar_DB[],MATCH(H$2,SP_TaxPar_DB[#Headers],0),FALSE)</f>
        <v>CA</v>
      </c>
      <c r="I277" s="69" t="str">
        <f>VLOOKUP($A277,SP_TaxPar_DB[],MATCH(I$2,SP_TaxPar_DB[#Headers],0),FALSE)</f>
        <v>90266</v>
      </c>
      <c r="J277" s="69" t="str">
        <f>VLOOKUP($A277,SP_TaxPar_DB[],MATCH(J$2,SP_TaxPar_DB[#Headers],0),FALSE)</f>
        <v>CR 241</v>
      </c>
      <c r="K277" s="69" t="str">
        <f>VLOOKUP($A277,SP_TaxPar_DB[],MATCH(K$2,SP_TaxPar_DB[#Headers],0),FALSE)</f>
        <v>A20003 ABST.3 TRACT 46,47A Acres:139.5990</v>
      </c>
      <c r="L277" s="69">
        <f>VLOOKUP($A277,SP_TaxPar_DB[],MATCH(L$2,SP_TaxPar_DB[#Headers],0),FALSE)</f>
        <v>0</v>
      </c>
      <c r="M277" s="69">
        <f>VLOOKUP($A277,SP_TaxPar_DB[],MATCH(M$2,SP_TaxPar_DB[#Headers],0),FALSE)</f>
        <v>0</v>
      </c>
      <c r="N277" s="69">
        <f>VLOOKUP($A277,SP_TaxPar_DB[],MATCH(N$2,SP_TaxPar_DB[#Headers],0),FALSE)</f>
        <v>0</v>
      </c>
      <c r="O277" s="71" t="str">
        <f>VLOOKUP($A277,SP_TaxPar_DB[],MATCH(O$2,SP_TaxPar_DB[#Headers],0),FALSE)</f>
        <v>08/20/2019 ROE Packet mailed;</v>
      </c>
      <c r="P277" s="72"/>
      <c r="Q277" s="69"/>
      <c r="R277" s="73"/>
      <c r="S277" s="73"/>
      <c r="T277" s="69"/>
      <c r="U277" s="69"/>
      <c r="V277" s="69"/>
      <c r="W277" s="69"/>
      <c r="X277" s="69"/>
      <c r="Y277" s="69"/>
      <c r="Z277" s="69"/>
      <c r="AA277" s="69"/>
      <c r="AB277" s="74"/>
      <c r="AC277" s="73"/>
      <c r="AD277" s="73"/>
      <c r="AE277" s="74"/>
      <c r="AF277" s="68"/>
      <c r="AG277" s="68"/>
      <c r="AH277" s="74"/>
      <c r="AI277" s="68"/>
      <c r="AJ277" s="68"/>
      <c r="AK277" s="68"/>
      <c r="AL277" s="80"/>
      <c r="AM277" s="81"/>
      <c r="AN277" s="74"/>
      <c r="AO277" s="74"/>
      <c r="AP277" s="74"/>
      <c r="AQ277" s="74"/>
      <c r="AR277" s="74"/>
      <c r="AS277" s="74"/>
      <c r="AT277" s="74"/>
      <c r="AU277" s="74"/>
      <c r="AV277" s="74"/>
      <c r="AW277" s="84"/>
    </row>
    <row r="278" spans="1:49" ht="15.75" hidden="1" x14ac:dyDescent="0.2">
      <c r="A278" s="129" t="s">
        <v>558</v>
      </c>
      <c r="B278" s="68" t="str">
        <f>VLOOKUP($A278,SP_TaxPar_DB[],MATCH(B$2,SP_TaxPar_DB[#Headers],0),FALSE)</f>
        <v>PH2</v>
      </c>
      <c r="C278" s="67" t="str">
        <f>IF(VLOOKUP($A278,SP_TaxPar_DB[],MATCH(C$2,SP_TaxPar_DB[#Headers],0),FALSE)="",0,VLOOKUP($A278,SP_TaxPar_DB[],MATCH(C$2,SP_TaxPar_DB[#Headers],0),FALSE))</f>
        <v>T256</v>
      </c>
      <c r="D278" s="67">
        <f>IF(VLOOKUP($A278,SP_TaxPar_DB[],MATCH(D$2,SP_TaxPar_DB[#Headers],0),FALSE)="",0,VLOOKUP($A278,SP_TaxPar_DB[],MATCH(D$2,SP_TaxPar_DB[#Headers],0),FALSE))</f>
        <v>0</v>
      </c>
      <c r="E278" s="69" t="str">
        <f>VLOOKUP($A278,SP_TaxPar_DB[],MATCH(E$2,SP_TaxPar_DB[#Headers],0),FALSE)</f>
        <v>DAVID HUDLOW</v>
      </c>
      <c r="F278" s="69" t="str">
        <f>VLOOKUP($A278,SP_TaxPar_DB[],MATCH(F$2,SP_TaxPar_DB[#Headers],0),FALSE)</f>
        <v>677 CR 241</v>
      </c>
      <c r="G278" s="69" t="str">
        <f>VLOOKUP($A278,SP_TaxPar_DB[],MATCH(G$2,SP_TaxPar_DB[#Headers],0),FALSE)</f>
        <v>Wharton</v>
      </c>
      <c r="H278" s="69" t="str">
        <f>VLOOKUP($A278,SP_TaxPar_DB[],MATCH(H$2,SP_TaxPar_DB[#Headers],0),FALSE)</f>
        <v>TX</v>
      </c>
      <c r="I278" s="69" t="str">
        <f>VLOOKUP($A278,SP_TaxPar_DB[],MATCH(I$2,SP_TaxPar_DB[#Headers],0),FALSE)</f>
        <v>77488</v>
      </c>
      <c r="J278" s="69" t="str">
        <f>VLOOKUP($A278,SP_TaxPar_DB[],MATCH(J$2,SP_TaxPar_DB[#Headers],0),FALSE)</f>
        <v>677 CR 241</v>
      </c>
      <c r="K278" s="69" t="str">
        <f>VLOOKUP($A278,SP_TaxPar_DB[],MATCH(K$2,SP_TaxPar_DB[#Headers],0),FALSE)</f>
        <v>A20003 ABST.3 TRACT 47C Acres:1.0000</v>
      </c>
      <c r="L278" s="69">
        <f>VLOOKUP($A278,SP_TaxPar_DB[],MATCH(L$2,SP_TaxPar_DB[#Headers],0),FALSE)</f>
        <v>0</v>
      </c>
      <c r="M278" s="69">
        <f>VLOOKUP($A278,SP_TaxPar_DB[],MATCH(M$2,SP_TaxPar_DB[#Headers],0),FALSE)</f>
        <v>0</v>
      </c>
      <c r="N278" s="69">
        <f>VLOOKUP($A278,SP_TaxPar_DB[],MATCH(N$2,SP_TaxPar_DB[#Headers],0),FALSE)</f>
        <v>0</v>
      </c>
      <c r="O278" s="71" t="str">
        <f>VLOOKUP($A278,SP_TaxPar_DB[],MATCH(O$2,SP_TaxPar_DB[#Headers],0),FALSE)</f>
        <v>08/20/2019 ROE Packet mailed; 8/15/19 Left voicemail messages, recommend mailing out ROE package.</v>
      </c>
      <c r="P278" s="72"/>
      <c r="Q278" s="69"/>
      <c r="R278" s="73"/>
      <c r="S278" s="73"/>
      <c r="T278" s="69"/>
      <c r="U278" s="69"/>
      <c r="V278" s="69"/>
      <c r="W278" s="69"/>
      <c r="X278" s="69"/>
      <c r="Y278" s="69"/>
      <c r="Z278" s="69"/>
      <c r="AA278" s="69"/>
      <c r="AB278" s="74"/>
      <c r="AC278" s="73"/>
      <c r="AD278" s="73"/>
      <c r="AE278" s="74"/>
      <c r="AF278" s="68"/>
      <c r="AG278" s="68"/>
      <c r="AH278" s="74"/>
      <c r="AI278" s="68"/>
      <c r="AJ278" s="68"/>
      <c r="AK278" s="68"/>
      <c r="AL278" s="80"/>
      <c r="AM278" s="81"/>
      <c r="AN278" s="74"/>
      <c r="AO278" s="74"/>
      <c r="AP278" s="74"/>
      <c r="AQ278" s="74"/>
      <c r="AR278" s="74"/>
      <c r="AS278" s="74"/>
      <c r="AT278" s="74"/>
      <c r="AU278" s="74"/>
      <c r="AV278" s="74"/>
      <c r="AW278" s="84"/>
    </row>
    <row r="279" spans="1:49" ht="15.75" hidden="1" x14ac:dyDescent="0.2">
      <c r="A279" s="129" t="s">
        <v>563</v>
      </c>
      <c r="B279" s="68" t="str">
        <f>VLOOKUP($A279,SP_TaxPar_DB[],MATCH(B$2,SP_TaxPar_DB[#Headers],0),FALSE)</f>
        <v>UNK</v>
      </c>
      <c r="C279" s="67">
        <f>IF(VLOOKUP($A279,SP_TaxPar_DB[],MATCH(C$2,SP_TaxPar_DB[#Headers],0),FALSE)="",0,VLOOKUP($A279,SP_TaxPar_DB[],MATCH(C$2,SP_TaxPar_DB[#Headers],0),FALSE))</f>
        <v>0</v>
      </c>
      <c r="D279" s="67">
        <f>IF(VLOOKUP($A279,SP_TaxPar_DB[],MATCH(D$2,SP_TaxPar_DB[#Headers],0),FALSE)="",0,VLOOKUP($A279,SP_TaxPar_DB[],MATCH(D$2,SP_TaxPar_DB[#Headers],0),FALSE))</f>
        <v>0</v>
      </c>
      <c r="E279" s="69" t="str">
        <f>VLOOKUP($A279,SP_TaxPar_DB[],MATCH(E$2,SP_TaxPar_DB[#Headers],0),FALSE)</f>
        <v>JASON GORDON</v>
      </c>
      <c r="F279" s="69" t="str">
        <f>VLOOKUP($A279,SP_TaxPar_DB[],MATCH(F$2,SP_TaxPar_DB[#Headers],0),FALSE)</f>
        <v>250 CR 241</v>
      </c>
      <c r="G279" s="69" t="str">
        <f>VLOOKUP($A279,SP_TaxPar_DB[],MATCH(G$2,SP_TaxPar_DB[#Headers],0),FALSE)</f>
        <v>Wharton</v>
      </c>
      <c r="H279" s="69" t="str">
        <f>VLOOKUP($A279,SP_TaxPar_DB[],MATCH(H$2,SP_TaxPar_DB[#Headers],0),FALSE)</f>
        <v>TX</v>
      </c>
      <c r="I279" s="69" t="str">
        <f>VLOOKUP($A279,SP_TaxPar_DB[],MATCH(I$2,SP_TaxPar_DB[#Headers],0),FALSE)</f>
        <v>77488-9820</v>
      </c>
      <c r="J279" s="69" t="str">
        <f>VLOOKUP($A279,SP_TaxPar_DB[],MATCH(J$2,SP_TaxPar_DB[#Headers],0),FALSE)</f>
        <v>250 CR 241</v>
      </c>
      <c r="K279" s="69" t="str">
        <f>VLOOKUP($A279,SP_TaxPar_DB[],MATCH(K$2,SP_TaxPar_DB[#Headers],0),FALSE)</f>
        <v>A20003 ABST.3 TRACT 44 LOT NORTH 1/2 OF 5 Acres:4.4750</v>
      </c>
      <c r="L279" s="69">
        <f>VLOOKUP($A279,SP_TaxPar_DB[],MATCH(L$2,SP_TaxPar_DB[#Headers],0),FALSE)</f>
        <v>0</v>
      </c>
      <c r="M279" s="69">
        <f>VLOOKUP($A279,SP_TaxPar_DB[],MATCH(M$2,SP_TaxPar_DB[#Headers],0),FALSE)</f>
        <v>0</v>
      </c>
      <c r="N279" s="69">
        <f>VLOOKUP($A279,SP_TaxPar_DB[],MATCH(N$2,SP_TaxPar_DB[#Headers],0),FALSE)</f>
        <v>0</v>
      </c>
      <c r="O279" s="71" t="str">
        <f>VLOOKUP($A279,SP_TaxPar_DB[],MATCH(O$2,SP_TaxPar_DB[#Headers],0),FALSE)</f>
        <v>08/20/2019 ROE Packet mailed; 8/14/19 Mr. Gordon requested all mail be sent to the property address.  Mr. Gordon does not own an email address, requested ROE be sent via mail.</v>
      </c>
      <c r="P279" s="72"/>
      <c r="Q279" s="69"/>
      <c r="R279" s="73"/>
      <c r="S279" s="73"/>
      <c r="T279" s="69"/>
      <c r="U279" s="69"/>
      <c r="V279" s="69"/>
      <c r="W279" s="69"/>
      <c r="X279" s="69"/>
      <c r="Y279" s="69"/>
      <c r="Z279" s="69"/>
      <c r="AA279" s="69"/>
      <c r="AB279" s="74"/>
      <c r="AC279" s="73"/>
      <c r="AD279" s="73"/>
      <c r="AE279" s="74"/>
      <c r="AF279" s="68"/>
      <c r="AG279" s="68"/>
      <c r="AH279" s="74"/>
      <c r="AI279" s="68"/>
      <c r="AJ279" s="68"/>
      <c r="AK279" s="68"/>
      <c r="AL279" s="80"/>
      <c r="AM279" s="81"/>
      <c r="AN279" s="74"/>
      <c r="AO279" s="74"/>
      <c r="AP279" s="74"/>
      <c r="AQ279" s="74"/>
      <c r="AR279" s="74"/>
      <c r="AS279" s="74"/>
      <c r="AT279" s="74"/>
      <c r="AU279" s="74"/>
      <c r="AV279" s="74"/>
      <c r="AW279" s="84"/>
    </row>
    <row r="280" spans="1:49" ht="15.75" hidden="1" x14ac:dyDescent="0.2">
      <c r="A280" s="129" t="s">
        <v>569</v>
      </c>
      <c r="B280" s="68" t="str">
        <f>VLOOKUP($A280,SP_TaxPar_DB[],MATCH(B$2,SP_TaxPar_DB[#Headers],0),FALSE)</f>
        <v>UNK</v>
      </c>
      <c r="C280" s="67">
        <f>IF(VLOOKUP($A280,SP_TaxPar_DB[],MATCH(C$2,SP_TaxPar_DB[#Headers],0),FALSE)="",0,VLOOKUP($A280,SP_TaxPar_DB[],MATCH(C$2,SP_TaxPar_DB[#Headers],0),FALSE))</f>
        <v>0</v>
      </c>
      <c r="D280" s="67">
        <f>IF(VLOOKUP($A280,SP_TaxPar_DB[],MATCH(D$2,SP_TaxPar_DB[#Headers],0),FALSE)="",0,VLOOKUP($A280,SP_TaxPar_DB[],MATCH(D$2,SP_TaxPar_DB[#Headers],0),FALSE))</f>
        <v>0</v>
      </c>
      <c r="E280" s="69" t="str">
        <f>VLOOKUP($A280,SP_TaxPar_DB[],MATCH(E$2,SP_TaxPar_DB[#Headers],0),FALSE)</f>
        <v>RICHARD A &amp; JOSIE F GARZA</v>
      </c>
      <c r="F280" s="69" t="str">
        <f>VLOOKUP($A280,SP_TaxPar_DB[],MATCH(F$2,SP_TaxPar_DB[#Headers],0),FALSE)</f>
        <v>4523 FM 102 RD</v>
      </c>
      <c r="G280" s="69" t="str">
        <f>VLOOKUP($A280,SP_TaxPar_DB[],MATCH(G$2,SP_TaxPar_DB[#Headers],0),FALSE)</f>
        <v>Wharton</v>
      </c>
      <c r="H280" s="69" t="str">
        <f>VLOOKUP($A280,SP_TaxPar_DB[],MATCH(H$2,SP_TaxPar_DB[#Headers],0),FALSE)</f>
        <v>TX</v>
      </c>
      <c r="I280" s="69" t="str">
        <f>VLOOKUP($A280,SP_TaxPar_DB[],MATCH(I$2,SP_TaxPar_DB[#Headers],0),FALSE)</f>
        <v>77488</v>
      </c>
      <c r="J280" s="69" t="str">
        <f>VLOOKUP($A280,SP_TaxPar_DB[],MATCH(J$2,SP_TaxPar_DB[#Headers],0),FALSE)</f>
        <v>4523 FM 102</v>
      </c>
      <c r="K280" s="69" t="str">
        <f>VLOOKUP($A280,SP_TaxPar_DB[],MATCH(K$2,SP_TaxPar_DB[#Headers],0),FALSE)</f>
        <v>A20003 ABST.3 TRACT 44 LOT 7 Acres:9.8710</v>
      </c>
      <c r="L280" s="69">
        <f>VLOOKUP($A280,SP_TaxPar_DB[],MATCH(L$2,SP_TaxPar_DB[#Headers],0),FALSE)</f>
        <v>0</v>
      </c>
      <c r="M280" s="69">
        <f>VLOOKUP($A280,SP_TaxPar_DB[],MATCH(M$2,SP_TaxPar_DB[#Headers],0),FALSE)</f>
        <v>0</v>
      </c>
      <c r="N280" s="69">
        <f>VLOOKUP($A280,SP_TaxPar_DB[],MATCH(N$2,SP_TaxPar_DB[#Headers],0),FALSE)</f>
        <v>0</v>
      </c>
      <c r="O280" s="71" t="str">
        <f>VLOOKUP($A280,SP_TaxPar_DB[],MATCH(O$2,SP_TaxPar_DB[#Headers],0),FALSE)</f>
        <v>08/20/2019 ROE Packet mailed; 8/12/19 Unable to leave message on answering machine.  Recommend mailing out ROE.</v>
      </c>
      <c r="P280" s="72"/>
      <c r="Q280" s="69"/>
      <c r="R280" s="73"/>
      <c r="S280" s="73"/>
      <c r="T280" s="69"/>
      <c r="U280" s="69"/>
      <c r="V280" s="69"/>
      <c r="W280" s="69"/>
      <c r="X280" s="69"/>
      <c r="Y280" s="69"/>
      <c r="Z280" s="69"/>
      <c r="AA280" s="69"/>
      <c r="AB280" s="74"/>
      <c r="AC280" s="73"/>
      <c r="AD280" s="73"/>
      <c r="AE280" s="74"/>
      <c r="AF280" s="68"/>
      <c r="AG280" s="68"/>
      <c r="AH280" s="74"/>
      <c r="AI280" s="68"/>
      <c r="AJ280" s="68"/>
      <c r="AK280" s="68"/>
      <c r="AL280" s="80"/>
      <c r="AM280" s="81"/>
      <c r="AN280" s="74"/>
      <c r="AO280" s="74"/>
      <c r="AP280" s="74"/>
      <c r="AQ280" s="74"/>
      <c r="AR280" s="74"/>
      <c r="AS280" s="74"/>
      <c r="AT280" s="74"/>
      <c r="AU280" s="74"/>
      <c r="AV280" s="74"/>
      <c r="AW280" s="84"/>
    </row>
    <row r="281" spans="1:49" ht="15.75" hidden="1" x14ac:dyDescent="0.2">
      <c r="A281" s="129" t="s">
        <v>575</v>
      </c>
      <c r="B281" s="68" t="str">
        <f>VLOOKUP($A281,SP_TaxPar_DB[],MATCH(B$2,SP_TaxPar_DB[#Headers],0),FALSE)</f>
        <v>PH1</v>
      </c>
      <c r="C281" s="67" t="str">
        <f>IF(VLOOKUP($A281,SP_TaxPar_DB[],MATCH(C$2,SP_TaxPar_DB[#Headers],0),FALSE)="",0,VLOOKUP($A281,SP_TaxPar_DB[],MATCH(C$2,SP_TaxPar_DB[#Headers],0),FALSE))</f>
        <v>317</v>
      </c>
      <c r="D281" s="67">
        <f>IF(VLOOKUP($A281,SP_TaxPar_DB[],MATCH(D$2,SP_TaxPar_DB[#Headers],0),FALSE)="",0,VLOOKUP($A281,SP_TaxPar_DB[],MATCH(D$2,SP_TaxPar_DB[#Headers],0),FALSE))</f>
        <v>0</v>
      </c>
      <c r="E281" s="69" t="str">
        <f>VLOOKUP($A281,SP_TaxPar_DB[],MATCH(E$2,SP_TaxPar_DB[#Headers],0),FALSE)</f>
        <v>Leovigildo Panes, et ux Prospera and Primo Panis,et ux Erlinda</v>
      </c>
      <c r="F281" s="69" t="str">
        <f>VLOOKUP($A281,SP_TaxPar_DB[],MATCH(F$2,SP_TaxPar_DB[#Headers],0),FALSE)</f>
        <v>12809 Tyler Ct</v>
      </c>
      <c r="G281" s="69" t="str">
        <f>VLOOKUP($A281,SP_TaxPar_DB[],MATCH(G$2,SP_TaxPar_DB[#Headers],0),FALSE)</f>
        <v>Stafford</v>
      </c>
      <c r="H281" s="69" t="str">
        <f>VLOOKUP($A281,SP_TaxPar_DB[],MATCH(H$2,SP_TaxPar_DB[#Headers],0),FALSE)</f>
        <v>TX</v>
      </c>
      <c r="I281" s="69" t="str">
        <f>VLOOKUP($A281,SP_TaxPar_DB[],MATCH(I$2,SP_TaxPar_DB[#Headers],0),FALSE)</f>
        <v>77477</v>
      </c>
      <c r="J281" s="69" t="str">
        <f>VLOOKUP($A281,SP_TaxPar_DB[],MATCH(J$2,SP_TaxPar_DB[#Headers],0),FALSE)</f>
        <v>505 Colorado</v>
      </c>
      <c r="K281" s="69" t="str">
        <f>VLOOKUP($A281,SP_TaxPar_DB[],MATCH(K$2,SP_TaxPar_DB[#Headers],0),FALSE)</f>
        <v>Wharton Block 60 Lot 3, 3A</v>
      </c>
      <c r="L281" s="69">
        <f>VLOOKUP($A281,SP_TaxPar_DB[],MATCH(L$2,SP_TaxPar_DB[#Headers],0),FALSE)</f>
        <v>1.0824</v>
      </c>
      <c r="M281" s="69" t="str">
        <f>VLOOKUP($A281,SP_TaxPar_DB[],MATCH(M$2,SP_TaxPar_DB[#Headers],0),FALSE)</f>
        <v>Residential</v>
      </c>
      <c r="N281" s="69">
        <f>VLOOKUP($A281,SP_TaxPar_DB[],MATCH(N$2,SP_TaxPar_DB[#Headers],0),FALSE)</f>
        <v>0</v>
      </c>
      <c r="O281" s="71" t="str">
        <f>VLOOKUP($A281,SP_TaxPar_DB[],MATCH(O$2,SP_TaxPar_DB[#Headers],0),FALSE)</f>
        <v>80% Ownership</v>
      </c>
      <c r="P281" s="72"/>
      <c r="Q281" s="69"/>
      <c r="R281" s="73"/>
      <c r="S281" s="73"/>
      <c r="T281" s="69"/>
      <c r="U281" s="69"/>
      <c r="V281" s="69"/>
      <c r="W281" s="69"/>
      <c r="X281" s="69"/>
      <c r="Y281" s="69"/>
      <c r="Z281" s="69"/>
      <c r="AA281" s="69"/>
      <c r="AB281" s="74"/>
      <c r="AC281" s="73"/>
      <c r="AD281" s="73"/>
      <c r="AE281" s="74"/>
      <c r="AF281" s="68"/>
      <c r="AG281" s="68"/>
      <c r="AH281" s="74"/>
      <c r="AI281" s="68"/>
      <c r="AJ281" s="68"/>
      <c r="AK281" s="68"/>
      <c r="AL281" s="80"/>
      <c r="AM281" s="81"/>
      <c r="AN281" s="74"/>
      <c r="AO281" s="74"/>
      <c r="AP281" s="74"/>
      <c r="AQ281" s="74"/>
      <c r="AR281" s="74"/>
      <c r="AS281" s="74"/>
      <c r="AT281" s="74"/>
      <c r="AU281" s="74"/>
      <c r="AV281" s="74"/>
      <c r="AW281" s="84"/>
    </row>
    <row r="282" spans="1:49" ht="15.75" hidden="1" x14ac:dyDescent="0.2">
      <c r="A282" s="129" t="s">
        <v>2631</v>
      </c>
      <c r="B282" s="68" t="str">
        <f>VLOOKUP($A282,SP_TaxPar_DB[],MATCH(B$2,SP_TaxPar_DB[#Headers],0),FALSE)</f>
        <v>ENV</v>
      </c>
      <c r="C282" s="67">
        <f>IF(VLOOKUP($A282,SP_TaxPar_DB[],MATCH(C$2,SP_TaxPar_DB[#Headers],0),FALSE)="",0,VLOOKUP($A282,SP_TaxPar_DB[],MATCH(C$2,SP_TaxPar_DB[#Headers],0),FALSE))</f>
        <v>0</v>
      </c>
      <c r="D282" s="67" t="str">
        <f>IF(VLOOKUP($A282,SP_TaxPar_DB[],MATCH(D$2,SP_TaxPar_DB[#Headers],0),FALSE)="",0,VLOOKUP($A282,SP_TaxPar_DB[],MATCH(D$2,SP_TaxPar_DB[#Headers],0),FALSE))</f>
        <v>258</v>
      </c>
      <c r="E282" s="69" t="str">
        <f>VLOOKUP($A282,SP_TaxPar_DB[],MATCH(E$2,SP_TaxPar_DB[#Headers],0),FALSE)</f>
        <v>ESCOBAR PABLO &amp; JOSEPHINA</v>
      </c>
      <c r="F282" s="69" t="str">
        <f>VLOOKUP($A282,SP_TaxPar_DB[],MATCH(F$2,SP_TaxPar_DB[#Headers],0),FALSE)</f>
        <v>520 COLLINS</v>
      </c>
      <c r="G282" s="69" t="str">
        <f>VLOOKUP($A282,SP_TaxPar_DB[],MATCH(G$2,SP_TaxPar_DB[#Headers],0),FALSE)</f>
        <v>WHARTON</v>
      </c>
      <c r="H282" s="69" t="str">
        <f>VLOOKUP($A282,SP_TaxPar_DB[],MATCH(H$2,SP_TaxPar_DB[#Headers],0),FALSE)</f>
        <v>TX</v>
      </c>
      <c r="I282" s="69" t="str">
        <f>VLOOKUP($A282,SP_TaxPar_DB[],MATCH(I$2,SP_TaxPar_DB[#Headers],0),FALSE)</f>
        <v>77488</v>
      </c>
      <c r="J282" s="69" t="str">
        <f>VLOOKUP($A282,SP_TaxPar_DB[],MATCH(J$2,SP_TaxPar_DB[#Headers],0),FALSE)</f>
        <v>520 COLLINS</v>
      </c>
      <c r="K282" s="69" t="str">
        <f>VLOOKUP($A282,SP_TaxPar_DB[],MATCH(K$2,SP_TaxPar_DB[#Headers],0),FALSE)</f>
        <v>MT.CARMEL BLOCK 2 LOT 19,20 Acres:0.0917</v>
      </c>
      <c r="L282" s="69">
        <f>VLOOKUP($A282,SP_TaxPar_DB[],MATCH(L$2,SP_TaxPar_DB[#Headers],0),FALSE)</f>
        <v>0</v>
      </c>
      <c r="M282" s="69">
        <f>VLOOKUP($A282,SP_TaxPar_DB[],MATCH(M$2,SP_TaxPar_DB[#Headers],0),FALSE)</f>
        <v>0</v>
      </c>
      <c r="N282" s="69">
        <f>VLOOKUP($A282,SP_TaxPar_DB[],MATCH(N$2,SP_TaxPar_DB[#Headers],0),FALSE)</f>
        <v>0</v>
      </c>
      <c r="O282" s="71">
        <f>VLOOKUP($A282,SP_TaxPar_DB[],MATCH(O$2,SP_TaxPar_DB[#Headers],0),FALSE)</f>
        <v>0</v>
      </c>
      <c r="P282" s="72"/>
      <c r="Q282" s="69"/>
      <c r="R282" s="73"/>
      <c r="S282" s="73"/>
      <c r="T282" s="69"/>
      <c r="U282" s="69"/>
      <c r="V282" s="69"/>
      <c r="W282" s="69"/>
      <c r="X282" s="69"/>
      <c r="Y282" s="69"/>
      <c r="Z282" s="69"/>
      <c r="AA282" s="69"/>
      <c r="AB282" s="74"/>
      <c r="AC282" s="73"/>
      <c r="AD282" s="73"/>
      <c r="AE282" s="74"/>
      <c r="AF282" s="68"/>
      <c r="AG282" s="68"/>
      <c r="AH282" s="74"/>
      <c r="AI282" s="68"/>
      <c r="AJ282" s="68"/>
      <c r="AK282" s="68"/>
      <c r="AL282" s="80"/>
      <c r="AM282" s="81"/>
      <c r="AN282" s="74"/>
      <c r="AO282" s="74"/>
      <c r="AP282" s="74"/>
      <c r="AQ282" s="74"/>
      <c r="AR282" s="74"/>
      <c r="AS282" s="74"/>
      <c r="AT282" s="74"/>
      <c r="AU282" s="74"/>
      <c r="AV282" s="74"/>
      <c r="AW282" s="84"/>
    </row>
    <row r="283" spans="1:49" ht="15.75" hidden="1" x14ac:dyDescent="0.2">
      <c r="A283" s="129" t="s">
        <v>2635</v>
      </c>
      <c r="B283" s="68" t="str">
        <f>VLOOKUP($A283,SP_TaxPar_DB[],MATCH(B$2,SP_TaxPar_DB[#Headers],0),FALSE)</f>
        <v>PH2</v>
      </c>
      <c r="C283" s="67" t="str">
        <f>IF(VLOOKUP($A283,SP_TaxPar_DB[],MATCH(C$2,SP_TaxPar_DB[#Headers],0),FALSE)="",0,VLOOKUP($A283,SP_TaxPar_DB[],MATCH(C$2,SP_TaxPar_DB[#Headers],0),FALSE))</f>
        <v>T259</v>
      </c>
      <c r="D283" s="67">
        <f>IF(VLOOKUP($A283,SP_TaxPar_DB[],MATCH(D$2,SP_TaxPar_DB[#Headers],0),FALSE)="",0,VLOOKUP($A283,SP_TaxPar_DB[],MATCH(D$2,SP_TaxPar_DB[#Headers],0),FALSE))</f>
        <v>0</v>
      </c>
      <c r="E283" s="69" t="str">
        <f>VLOOKUP($A283,SP_TaxPar_DB[],MATCH(E$2,SP_TaxPar_DB[#Headers],0),FALSE)</f>
        <v>SORRELLA SWITCH LLC</v>
      </c>
      <c r="F283" s="69" t="str">
        <f>VLOOKUP($A283,SP_TaxPar_DB[],MATCH(F$2,SP_TaxPar_DB[#Headers],0),FALSE)</f>
        <v>3601 LAUREN DR</v>
      </c>
      <c r="G283" s="69" t="str">
        <f>VLOOKUP($A283,SP_TaxPar_DB[],MATCH(G$2,SP_TaxPar_DB[#Headers],0),FALSE)</f>
        <v>MCKINNEY</v>
      </c>
      <c r="H283" s="69" t="str">
        <f>VLOOKUP($A283,SP_TaxPar_DB[],MATCH(H$2,SP_TaxPar_DB[#Headers],0),FALSE)</f>
        <v>TX</v>
      </c>
      <c r="I283" s="69" t="str">
        <f>VLOOKUP($A283,SP_TaxPar_DB[],MATCH(I$2,SP_TaxPar_DB[#Headers],0),FALSE)</f>
        <v>75070</v>
      </c>
      <c r="J283" s="69" t="str">
        <f>VLOOKUP($A283,SP_TaxPar_DB[],MATCH(J$2,SP_TaxPar_DB[#Headers],0),FALSE)</f>
        <v>4814 FM 102</v>
      </c>
      <c r="K283" s="69" t="str">
        <f>VLOOKUP($A283,SP_TaxPar_DB[],MATCH(K$2,SP_TaxPar_DB[#Headers],0),FALSE)</f>
        <v>A20003 ABST.3 TRACT 50D,51B-3 Acres:38.0000</v>
      </c>
      <c r="L283" s="69">
        <f>VLOOKUP($A283,SP_TaxPar_DB[],MATCH(L$2,SP_TaxPar_DB[#Headers],0),FALSE)</f>
        <v>0</v>
      </c>
      <c r="M283" s="69">
        <f>VLOOKUP($A283,SP_TaxPar_DB[],MATCH(M$2,SP_TaxPar_DB[#Headers],0),FALSE)</f>
        <v>0</v>
      </c>
      <c r="N283" s="69">
        <f>VLOOKUP($A283,SP_TaxPar_DB[],MATCH(N$2,SP_TaxPar_DB[#Headers],0),FALSE)</f>
        <v>0</v>
      </c>
      <c r="O283" s="71">
        <f>VLOOKUP($A283,SP_TaxPar_DB[],MATCH(O$2,SP_TaxPar_DB[#Headers],0),FALSE)</f>
        <v>0</v>
      </c>
      <c r="P283" s="72"/>
      <c r="Q283" s="69"/>
      <c r="R283" s="73"/>
      <c r="S283" s="73"/>
      <c r="T283" s="69"/>
      <c r="U283" s="69"/>
      <c r="V283" s="69"/>
      <c r="W283" s="69"/>
      <c r="X283" s="69"/>
      <c r="Y283" s="69"/>
      <c r="Z283" s="69"/>
      <c r="AA283" s="69"/>
      <c r="AB283" s="74"/>
      <c r="AC283" s="73"/>
      <c r="AD283" s="73"/>
      <c r="AE283" s="74"/>
      <c r="AF283" s="68"/>
      <c r="AG283" s="68"/>
      <c r="AH283" s="74"/>
      <c r="AI283" s="68"/>
      <c r="AJ283" s="68"/>
      <c r="AK283" s="68"/>
      <c r="AL283" s="80"/>
      <c r="AM283" s="81"/>
      <c r="AN283" s="74"/>
      <c r="AO283" s="74"/>
      <c r="AP283" s="74"/>
      <c r="AQ283" s="74"/>
      <c r="AR283" s="74"/>
      <c r="AS283" s="74"/>
      <c r="AT283" s="74"/>
      <c r="AU283" s="74"/>
      <c r="AV283" s="74"/>
      <c r="AW283" s="84"/>
    </row>
    <row r="284" spans="1:49" ht="15.75" hidden="1" x14ac:dyDescent="0.2">
      <c r="A284" s="129" t="s">
        <v>577</v>
      </c>
      <c r="B284" s="68" t="str">
        <f>VLOOKUP($A284,SP_TaxPar_DB[],MATCH(B$2,SP_TaxPar_DB[#Headers],0),FALSE)</f>
        <v>PH2</v>
      </c>
      <c r="C284" s="67" t="str">
        <f>IF(VLOOKUP($A284,SP_TaxPar_DB[],MATCH(C$2,SP_TaxPar_DB[#Headers],0),FALSE)="",0,VLOOKUP($A284,SP_TaxPar_DB[],MATCH(C$2,SP_TaxPar_DB[#Headers],0),FALSE))</f>
        <v>T281</v>
      </c>
      <c r="D284" s="67">
        <f>IF(VLOOKUP($A284,SP_TaxPar_DB[],MATCH(D$2,SP_TaxPar_DB[#Headers],0),FALSE)="",0,VLOOKUP($A284,SP_TaxPar_DB[],MATCH(D$2,SP_TaxPar_DB[#Headers],0),FALSE))</f>
        <v>0</v>
      </c>
      <c r="E284" s="69" t="str">
        <f>VLOOKUP($A284,SP_TaxPar_DB[],MATCH(E$2,SP_TaxPar_DB[#Headers],0),FALSE)</f>
        <v>FRANK D SORREL TRUST</v>
      </c>
      <c r="F284" s="69" t="str">
        <f>VLOOKUP($A284,SP_TaxPar_DB[],MATCH(F$2,SP_TaxPar_DB[#Headers],0),FALSE)</f>
        <v>PO BOX 1066</v>
      </c>
      <c r="G284" s="69" t="str">
        <f>VLOOKUP($A284,SP_TaxPar_DB[],MATCH(G$2,SP_TaxPar_DB[#Headers],0),FALSE)</f>
        <v>Wharton</v>
      </c>
      <c r="H284" s="69" t="str">
        <f>VLOOKUP($A284,SP_TaxPar_DB[],MATCH(H$2,SP_TaxPar_DB[#Headers],0),FALSE)</f>
        <v>TX</v>
      </c>
      <c r="I284" s="69" t="str">
        <f>VLOOKUP($A284,SP_TaxPar_DB[],MATCH(I$2,SP_TaxPar_DB[#Headers],0),FALSE)</f>
        <v>77488</v>
      </c>
      <c r="J284" s="69" t="str">
        <f>VLOOKUP($A284,SP_TaxPar_DB[],MATCH(J$2,SP_TaxPar_DB[#Headers],0),FALSE)</f>
        <v>3420 FM 102</v>
      </c>
      <c r="K284" s="69" t="str">
        <f>VLOOKUP($A284,SP_TaxPar_DB[],MATCH(K$2,SP_TaxPar_DB[#Headers],0),FALSE)</f>
        <v>A20003 ABST.3 TRACT PT 34B,34B RR SOUTHSIDE FM102 Acres:415.0000</v>
      </c>
      <c r="L284" s="69">
        <f>VLOOKUP($A284,SP_TaxPar_DB[],MATCH(L$2,SP_TaxPar_DB[#Headers],0),FALSE)</f>
        <v>0</v>
      </c>
      <c r="M284" s="69">
        <f>VLOOKUP($A284,SP_TaxPar_DB[],MATCH(M$2,SP_TaxPar_DB[#Headers],0),FALSE)</f>
        <v>0</v>
      </c>
      <c r="N284" s="69">
        <f>VLOOKUP($A284,SP_TaxPar_DB[],MATCH(N$2,SP_TaxPar_DB[#Headers],0),FALSE)</f>
        <v>0</v>
      </c>
      <c r="O284" s="71" t="str">
        <f>VLOOKUP($A284,SP_TaxPar_DB[],MATCH(O$2,SP_TaxPar_DB[#Headers],0),FALSE)</f>
        <v>08/20/2019 ROE Packet mailed; 8/12/19 Unable to leave a voicemail message on phone number of record. Recommend ROE be mailed.</v>
      </c>
      <c r="P284" s="72"/>
      <c r="Q284" s="69"/>
      <c r="R284" s="73"/>
      <c r="S284" s="73"/>
      <c r="T284" s="69"/>
      <c r="U284" s="69"/>
      <c r="V284" s="69"/>
      <c r="W284" s="69"/>
      <c r="X284" s="69"/>
      <c r="Y284" s="69"/>
      <c r="Z284" s="69"/>
      <c r="AA284" s="69"/>
      <c r="AB284" s="74"/>
      <c r="AC284" s="73"/>
      <c r="AD284" s="73"/>
      <c r="AE284" s="74"/>
      <c r="AF284" s="68"/>
      <c r="AG284" s="68"/>
      <c r="AH284" s="74"/>
      <c r="AI284" s="68"/>
      <c r="AJ284" s="68"/>
      <c r="AK284" s="68"/>
      <c r="AL284" s="80"/>
      <c r="AM284" s="81"/>
      <c r="AN284" s="74"/>
      <c r="AO284" s="74"/>
      <c r="AP284" s="74"/>
      <c r="AQ284" s="74"/>
      <c r="AR284" s="74"/>
      <c r="AS284" s="74"/>
      <c r="AT284" s="74"/>
      <c r="AU284" s="74"/>
      <c r="AV284" s="74"/>
      <c r="AW284" s="84"/>
    </row>
    <row r="285" spans="1:49" ht="15.75" hidden="1" x14ac:dyDescent="0.2">
      <c r="A285" s="129" t="s">
        <v>2638</v>
      </c>
      <c r="B285" s="68" t="str">
        <f>VLOOKUP($A285,SP_TaxPar_DB[],MATCH(B$2,SP_TaxPar_DB[#Headers],0),FALSE)</f>
        <v>PH2</v>
      </c>
      <c r="C285" s="67" t="str">
        <f>IF(VLOOKUP($A285,SP_TaxPar_DB[],MATCH(C$2,SP_TaxPar_DB[#Headers],0),FALSE)="",0,VLOOKUP($A285,SP_TaxPar_DB[],MATCH(C$2,SP_TaxPar_DB[#Headers],0),FALSE))</f>
        <v>T261</v>
      </c>
      <c r="D285" s="67">
        <f>IF(VLOOKUP($A285,SP_TaxPar_DB[],MATCH(D$2,SP_TaxPar_DB[#Headers],0),FALSE)="",0,VLOOKUP($A285,SP_TaxPar_DB[],MATCH(D$2,SP_TaxPar_DB[#Headers],0),FALSE))</f>
        <v>0</v>
      </c>
      <c r="E285" s="69" t="str">
        <f>VLOOKUP($A285,SP_TaxPar_DB[],MATCH(E$2,SP_TaxPar_DB[#Headers],0),FALSE)</f>
        <v>KOCIAN ADAM &amp; KERRY JO</v>
      </c>
      <c r="F285" s="69" t="str">
        <f>VLOOKUP($A285,SP_TaxPar_DB[],MATCH(F$2,SP_TaxPar_DB[#Headers],0),FALSE)</f>
        <v>439 CR 150 RD</v>
      </c>
      <c r="G285" s="69" t="str">
        <f>VLOOKUP($A285,SP_TaxPar_DB[],MATCH(G$2,SP_TaxPar_DB[#Headers],0),FALSE)</f>
        <v>WHARTON</v>
      </c>
      <c r="H285" s="69" t="str">
        <f>VLOOKUP($A285,SP_TaxPar_DB[],MATCH(H$2,SP_TaxPar_DB[#Headers],0),FALSE)</f>
        <v>TX</v>
      </c>
      <c r="I285" s="69" t="str">
        <f>VLOOKUP($A285,SP_TaxPar_DB[],MATCH(I$2,SP_TaxPar_DB[#Headers],0),FALSE)</f>
        <v>77488</v>
      </c>
      <c r="J285" s="69" t="str">
        <f>VLOOKUP($A285,SP_TaxPar_DB[],MATCH(J$2,SP_TaxPar_DB[#Headers],0),FALSE)</f>
        <v>439 CR 150</v>
      </c>
      <c r="K285" s="69" t="str">
        <f>VLOOKUP($A285,SP_TaxPar_DB[],MATCH(K$2,SP_TaxPar_DB[#Headers],0),FALSE)</f>
        <v>A20001 ABST.1 TRACT 4A-1 Acres:12.0193</v>
      </c>
      <c r="L285" s="69">
        <f>VLOOKUP($A285,SP_TaxPar_DB[],MATCH(L$2,SP_TaxPar_DB[#Headers],0),FALSE)</f>
        <v>0</v>
      </c>
      <c r="M285" s="69">
        <f>VLOOKUP($A285,SP_TaxPar_DB[],MATCH(M$2,SP_TaxPar_DB[#Headers],0),FALSE)</f>
        <v>0</v>
      </c>
      <c r="N285" s="69">
        <f>VLOOKUP($A285,SP_TaxPar_DB[],MATCH(N$2,SP_TaxPar_DB[#Headers],0),FALSE)</f>
        <v>0</v>
      </c>
      <c r="O285" s="71">
        <f>VLOOKUP($A285,SP_TaxPar_DB[],MATCH(O$2,SP_TaxPar_DB[#Headers],0),FALSE)</f>
        <v>0</v>
      </c>
      <c r="P285" s="72"/>
      <c r="Q285" s="69"/>
      <c r="R285" s="73"/>
      <c r="S285" s="73"/>
      <c r="T285" s="69"/>
      <c r="U285" s="69"/>
      <c r="V285" s="69"/>
      <c r="W285" s="69"/>
      <c r="X285" s="69"/>
      <c r="Y285" s="69"/>
      <c r="Z285" s="69"/>
      <c r="AA285" s="69"/>
      <c r="AB285" s="74"/>
      <c r="AC285" s="73"/>
      <c r="AD285" s="73"/>
      <c r="AE285" s="74"/>
      <c r="AF285" s="68"/>
      <c r="AG285" s="68"/>
      <c r="AH285" s="74"/>
      <c r="AI285" s="68"/>
      <c r="AJ285" s="68"/>
      <c r="AK285" s="68"/>
      <c r="AL285" s="80"/>
      <c r="AM285" s="81"/>
      <c r="AN285" s="74"/>
      <c r="AO285" s="74"/>
      <c r="AP285" s="74"/>
      <c r="AQ285" s="74"/>
      <c r="AR285" s="74"/>
      <c r="AS285" s="74"/>
      <c r="AT285" s="74"/>
      <c r="AU285" s="74"/>
      <c r="AV285" s="74"/>
      <c r="AW285" s="84"/>
    </row>
    <row r="286" spans="1:49" ht="15.75" hidden="1" x14ac:dyDescent="0.2">
      <c r="A286" s="129" t="s">
        <v>1285</v>
      </c>
      <c r="B286" s="68" t="str">
        <f>VLOOKUP($A286,SP_TaxPar_DB[],MATCH(B$2,SP_TaxPar_DB[#Headers],0),FALSE)</f>
        <v>PH1</v>
      </c>
      <c r="C286" s="67" t="str">
        <f>IF(VLOOKUP($A286,SP_TaxPar_DB[],MATCH(C$2,SP_TaxPar_DB[#Headers],0),FALSE)="",0,VLOOKUP($A286,SP_TaxPar_DB[],MATCH(C$2,SP_TaxPar_DB[#Headers],0),FALSE))</f>
        <v>204</v>
      </c>
      <c r="D286" s="67">
        <f>IF(VLOOKUP($A286,SP_TaxPar_DB[],MATCH(D$2,SP_TaxPar_DB[#Headers],0),FALSE)="",0,VLOOKUP($A286,SP_TaxPar_DB[],MATCH(D$2,SP_TaxPar_DB[#Headers],0),FALSE))</f>
        <v>0</v>
      </c>
      <c r="E286" s="69" t="str">
        <f>VLOOKUP($A286,SP_TaxPar_DB[],MATCH(E$2,SP_TaxPar_DB[#Headers],0),FALSE)</f>
        <v>Unknown1</v>
      </c>
      <c r="F286" s="69">
        <f>VLOOKUP($A286,SP_TaxPar_DB[],MATCH(F$2,SP_TaxPar_DB[#Headers],0),FALSE)</f>
        <v>0</v>
      </c>
      <c r="G286" s="69">
        <f>VLOOKUP($A286,SP_TaxPar_DB[],MATCH(G$2,SP_TaxPar_DB[#Headers],0),FALSE)</f>
        <v>0</v>
      </c>
      <c r="H286" s="69">
        <f>VLOOKUP($A286,SP_TaxPar_DB[],MATCH(H$2,SP_TaxPar_DB[#Headers],0),FALSE)</f>
        <v>0</v>
      </c>
      <c r="I286" s="69">
        <f>VLOOKUP($A286,SP_TaxPar_DB[],MATCH(I$2,SP_TaxPar_DB[#Headers],0),FALSE)</f>
        <v>0</v>
      </c>
      <c r="J286" s="69">
        <f>VLOOKUP($A286,SP_TaxPar_DB[],MATCH(J$2,SP_TaxPar_DB[#Headers],0),FALSE)</f>
        <v>0</v>
      </c>
      <c r="K286" s="69" t="str">
        <f>VLOOKUP($A286,SP_TaxPar_DB[],MATCH(K$2,SP_TaxPar_DB[#Headers],0),FALSE)</f>
        <v>Colorado River Bank</v>
      </c>
      <c r="L286" s="69">
        <f>VLOOKUP($A286,SP_TaxPar_DB[],MATCH(L$2,SP_TaxPar_DB[#Headers],0),FALSE)</f>
        <v>0</v>
      </c>
      <c r="M286" s="69">
        <f>VLOOKUP($A286,SP_TaxPar_DB[],MATCH(M$2,SP_TaxPar_DB[#Headers],0),FALSE)</f>
        <v>0</v>
      </c>
      <c r="N286" s="69">
        <f>VLOOKUP($A286,SP_TaxPar_DB[],MATCH(N$2,SP_TaxPar_DB[#Headers],0),FALSE)</f>
        <v>0</v>
      </c>
      <c r="O286" s="71">
        <f>VLOOKUP($A286,SP_TaxPar_DB[],MATCH(O$2,SP_TaxPar_DB[#Headers],0),FALSE)</f>
        <v>0</v>
      </c>
      <c r="P286" s="72"/>
      <c r="Q286" s="69"/>
      <c r="R286" s="73"/>
      <c r="S286" s="73"/>
      <c r="T286" s="69"/>
      <c r="U286" s="69"/>
      <c r="V286" s="69"/>
      <c r="W286" s="69"/>
      <c r="X286" s="69"/>
      <c r="Y286" s="69"/>
      <c r="Z286" s="69"/>
      <c r="AA286" s="69"/>
      <c r="AB286" s="74"/>
      <c r="AC286" s="73"/>
      <c r="AD286" s="73"/>
      <c r="AE286" s="74"/>
      <c r="AF286" s="68"/>
      <c r="AG286" s="68"/>
      <c r="AH286" s="74"/>
      <c r="AI286" s="68"/>
      <c r="AJ286" s="68"/>
      <c r="AK286" s="68"/>
      <c r="AL286" s="80"/>
      <c r="AM286" s="81"/>
      <c r="AN286" s="74"/>
      <c r="AO286" s="74"/>
      <c r="AP286" s="74"/>
      <c r="AQ286" s="74"/>
      <c r="AR286" s="74"/>
      <c r="AS286" s="74"/>
      <c r="AT286" s="74"/>
      <c r="AU286" s="74"/>
      <c r="AV286" s="74"/>
      <c r="AW286" s="84"/>
    </row>
    <row r="287" spans="1:49" ht="15.75" hidden="1" x14ac:dyDescent="0.2">
      <c r="A287" s="129" t="s">
        <v>1289</v>
      </c>
      <c r="B287" s="68" t="str">
        <f>VLOOKUP($A287,SP_TaxPar_DB[],MATCH(B$2,SP_TaxPar_DB[#Headers],0),FALSE)</f>
        <v>PH1</v>
      </c>
      <c r="C287" s="67" t="str">
        <f>IF(VLOOKUP($A287,SP_TaxPar_DB[],MATCH(C$2,SP_TaxPar_DB[#Headers],0),FALSE)="",0,VLOOKUP($A287,SP_TaxPar_DB[],MATCH(C$2,SP_TaxPar_DB[#Headers],0),FALSE))</f>
        <v>206</v>
      </c>
      <c r="D287" s="67">
        <f>IF(VLOOKUP($A287,SP_TaxPar_DB[],MATCH(D$2,SP_TaxPar_DB[#Headers],0),FALSE)="",0,VLOOKUP($A287,SP_TaxPar_DB[],MATCH(D$2,SP_TaxPar_DB[#Headers],0),FALSE))</f>
        <v>0</v>
      </c>
      <c r="E287" s="69" t="str">
        <f>VLOOKUP($A287,SP_TaxPar_DB[],MATCH(E$2,SP_TaxPar_DB[#Headers],0),FALSE)</f>
        <v>City of Wharton</v>
      </c>
      <c r="F287" s="69" t="str">
        <f>VLOOKUP($A287,SP_TaxPar_DB[],MATCH(F$2,SP_TaxPar_DB[#Headers],0),FALSE)</f>
        <v>120 E Caney</v>
      </c>
      <c r="G287" s="69" t="str">
        <f>VLOOKUP($A287,SP_TaxPar_DB[],MATCH(G$2,SP_TaxPar_DB[#Headers],0),FALSE)</f>
        <v>Wharton</v>
      </c>
      <c r="H287" s="69" t="str">
        <f>VLOOKUP($A287,SP_TaxPar_DB[],MATCH(H$2,SP_TaxPar_DB[#Headers],0),FALSE)</f>
        <v>Texas</v>
      </c>
      <c r="I287" s="69">
        <f>VLOOKUP($A287,SP_TaxPar_DB[],MATCH(I$2,SP_TaxPar_DB[#Headers],0),FALSE)</f>
        <v>0</v>
      </c>
      <c r="J287" s="69">
        <f>VLOOKUP($A287,SP_TaxPar_DB[],MATCH(J$2,SP_TaxPar_DB[#Headers],0),FALSE)</f>
        <v>0</v>
      </c>
      <c r="K287" s="69" t="str">
        <f>VLOOKUP($A287,SP_TaxPar_DB[],MATCH(K$2,SP_TaxPar_DB[#Headers],0),FALSE)</f>
        <v>Azalea/Camellia Roadway</v>
      </c>
      <c r="L287" s="69">
        <f>VLOOKUP($A287,SP_TaxPar_DB[],MATCH(L$2,SP_TaxPar_DB[#Headers],0),FALSE)</f>
        <v>0</v>
      </c>
      <c r="M287" s="69">
        <f>VLOOKUP($A287,SP_TaxPar_DB[],MATCH(M$2,SP_TaxPar_DB[#Headers],0),FALSE)</f>
        <v>0</v>
      </c>
      <c r="N287" s="69">
        <f>VLOOKUP($A287,SP_TaxPar_DB[],MATCH(N$2,SP_TaxPar_DB[#Headers],0),FALSE)</f>
        <v>0</v>
      </c>
      <c r="O287" s="71">
        <f>VLOOKUP($A287,SP_TaxPar_DB[],MATCH(O$2,SP_TaxPar_DB[#Headers],0),FALSE)</f>
        <v>0</v>
      </c>
      <c r="P287" s="72"/>
      <c r="Q287" s="69"/>
      <c r="R287" s="73"/>
      <c r="S287" s="73"/>
      <c r="T287" s="69"/>
      <c r="U287" s="69"/>
      <c r="V287" s="69"/>
      <c r="W287" s="69"/>
      <c r="X287" s="69"/>
      <c r="Y287" s="69"/>
      <c r="Z287" s="69"/>
      <c r="AA287" s="69"/>
      <c r="AB287" s="74"/>
      <c r="AC287" s="73"/>
      <c r="AD287" s="73"/>
      <c r="AE287" s="74"/>
      <c r="AF287" s="68"/>
      <c r="AG287" s="68"/>
      <c r="AH287" s="74"/>
      <c r="AI287" s="68"/>
      <c r="AJ287" s="68"/>
      <c r="AK287" s="68"/>
      <c r="AL287" s="80"/>
      <c r="AM287" s="81"/>
      <c r="AN287" s="74"/>
      <c r="AO287" s="74"/>
      <c r="AP287" s="74"/>
      <c r="AQ287" s="74"/>
      <c r="AR287" s="74"/>
      <c r="AS287" s="74"/>
      <c r="AT287" s="74"/>
      <c r="AU287" s="74"/>
      <c r="AV287" s="74"/>
      <c r="AW287" s="84"/>
    </row>
    <row r="288" spans="1:49" ht="15.75" hidden="1" x14ac:dyDescent="0.2">
      <c r="A288" s="129" t="s">
        <v>1283</v>
      </c>
      <c r="B288" s="68" t="str">
        <f>VLOOKUP($A288,SP_TaxPar_DB[],MATCH(B$2,SP_TaxPar_DB[#Headers],0),FALSE)</f>
        <v>PH1</v>
      </c>
      <c r="C288" s="67" t="str">
        <f>IF(VLOOKUP($A288,SP_TaxPar_DB[],MATCH(C$2,SP_TaxPar_DB[#Headers],0),FALSE)="",0,VLOOKUP($A288,SP_TaxPar_DB[],MATCH(C$2,SP_TaxPar_DB[#Headers],0),FALSE))</f>
        <v>209</v>
      </c>
      <c r="D288" s="67">
        <f>IF(VLOOKUP($A288,SP_TaxPar_DB[],MATCH(D$2,SP_TaxPar_DB[#Headers],0),FALSE)="",0,VLOOKUP($A288,SP_TaxPar_DB[],MATCH(D$2,SP_TaxPar_DB[#Headers],0),FALSE))</f>
        <v>0</v>
      </c>
      <c r="E288" s="69" t="str">
        <f>VLOOKUP($A288,SP_TaxPar_DB[],MATCH(E$2,SP_TaxPar_DB[#Headers],0),FALSE)</f>
        <v>City of Wharton</v>
      </c>
      <c r="F288" s="69" t="str">
        <f>VLOOKUP($A288,SP_TaxPar_DB[],MATCH(F$2,SP_TaxPar_DB[#Headers],0),FALSE)</f>
        <v>120 E Caney</v>
      </c>
      <c r="G288" s="69" t="str">
        <f>VLOOKUP($A288,SP_TaxPar_DB[],MATCH(G$2,SP_TaxPar_DB[#Headers],0),FALSE)</f>
        <v>Wharton</v>
      </c>
      <c r="H288" s="69" t="str">
        <f>VLOOKUP($A288,SP_TaxPar_DB[],MATCH(H$2,SP_TaxPar_DB[#Headers],0),FALSE)</f>
        <v>TX</v>
      </c>
      <c r="I288" s="69" t="str">
        <f>VLOOKUP($A288,SP_TaxPar_DB[],MATCH(I$2,SP_TaxPar_DB[#Headers],0),FALSE)</f>
        <v>77488</v>
      </c>
      <c r="J288" s="69">
        <f>VLOOKUP($A288,SP_TaxPar_DB[],MATCH(J$2,SP_TaxPar_DB[#Headers],0),FALSE)</f>
        <v>0</v>
      </c>
      <c r="K288" s="69" t="str">
        <f>VLOOKUP($A288,SP_TaxPar_DB[],MATCH(K$2,SP_TaxPar_DB[#Headers],0),FALSE)</f>
        <v>Camellia Ave</v>
      </c>
      <c r="L288" s="69">
        <f>VLOOKUP($A288,SP_TaxPar_DB[],MATCH(L$2,SP_TaxPar_DB[#Headers],0),FALSE)</f>
        <v>0</v>
      </c>
      <c r="M288" s="69">
        <f>VLOOKUP($A288,SP_TaxPar_DB[],MATCH(M$2,SP_TaxPar_DB[#Headers],0),FALSE)</f>
        <v>0</v>
      </c>
      <c r="N288" s="69">
        <f>VLOOKUP($A288,SP_TaxPar_DB[],MATCH(N$2,SP_TaxPar_DB[#Headers],0),FALSE)</f>
        <v>0</v>
      </c>
      <c r="O288" s="71">
        <f>VLOOKUP($A288,SP_TaxPar_DB[],MATCH(O$2,SP_TaxPar_DB[#Headers],0),FALSE)</f>
        <v>0</v>
      </c>
      <c r="P288" s="72"/>
      <c r="Q288" s="69"/>
      <c r="R288" s="73"/>
      <c r="S288" s="73"/>
      <c r="T288" s="69"/>
      <c r="U288" s="69"/>
      <c r="V288" s="69"/>
      <c r="W288" s="69"/>
      <c r="X288" s="69"/>
      <c r="Y288" s="69"/>
      <c r="Z288" s="69"/>
      <c r="AA288" s="69"/>
      <c r="AB288" s="74"/>
      <c r="AC288" s="73"/>
      <c r="AD288" s="73"/>
      <c r="AE288" s="74"/>
      <c r="AF288" s="68"/>
      <c r="AG288" s="68"/>
      <c r="AH288" s="74"/>
      <c r="AI288" s="68"/>
      <c r="AJ288" s="68"/>
      <c r="AK288" s="68"/>
      <c r="AL288" s="80"/>
      <c r="AM288" s="81"/>
      <c r="AN288" s="74"/>
      <c r="AO288" s="74"/>
      <c r="AP288" s="74"/>
      <c r="AQ288" s="74"/>
      <c r="AR288" s="74"/>
      <c r="AS288" s="74"/>
      <c r="AT288" s="74"/>
      <c r="AU288" s="74"/>
      <c r="AV288" s="74"/>
      <c r="AW288" s="84"/>
    </row>
    <row r="289" spans="1:49" ht="15.75" hidden="1" x14ac:dyDescent="0.2">
      <c r="A289" s="129" t="s">
        <v>1291</v>
      </c>
      <c r="B289" s="68" t="str">
        <f>VLOOKUP($A289,SP_TaxPar_DB[],MATCH(B$2,SP_TaxPar_DB[#Headers],0),FALSE)</f>
        <v>PH1</v>
      </c>
      <c r="C289" s="67" t="str">
        <f>IF(VLOOKUP($A289,SP_TaxPar_DB[],MATCH(C$2,SP_TaxPar_DB[#Headers],0),FALSE)="",0,VLOOKUP($A289,SP_TaxPar_DB[],MATCH(C$2,SP_TaxPar_DB[#Headers],0),FALSE))</f>
        <v>306</v>
      </c>
      <c r="D289" s="67">
        <f>IF(VLOOKUP($A289,SP_TaxPar_DB[],MATCH(D$2,SP_TaxPar_DB[#Headers],0),FALSE)="",0,VLOOKUP($A289,SP_TaxPar_DB[],MATCH(D$2,SP_TaxPar_DB[#Headers],0),FALSE))</f>
        <v>0</v>
      </c>
      <c r="E289" s="69" t="str">
        <f>VLOOKUP($A289,SP_TaxPar_DB[],MATCH(E$2,SP_TaxPar_DB[#Headers],0),FALSE)</f>
        <v>City of Wharton</v>
      </c>
      <c r="F289" s="69" t="str">
        <f>VLOOKUP($A289,SP_TaxPar_DB[],MATCH(F$2,SP_TaxPar_DB[#Headers],0),FALSE)</f>
        <v>120 E Caney</v>
      </c>
      <c r="G289" s="69" t="str">
        <f>VLOOKUP($A289,SP_TaxPar_DB[],MATCH(G$2,SP_TaxPar_DB[#Headers],0),FALSE)</f>
        <v>Wharton</v>
      </c>
      <c r="H289" s="69" t="str">
        <f>VLOOKUP($A289,SP_TaxPar_DB[],MATCH(H$2,SP_TaxPar_DB[#Headers],0),FALSE)</f>
        <v>TX</v>
      </c>
      <c r="I289" s="69">
        <f>VLOOKUP($A289,SP_TaxPar_DB[],MATCH(I$2,SP_TaxPar_DB[#Headers],0),FALSE)</f>
        <v>0</v>
      </c>
      <c r="J289" s="69" t="str">
        <f>VLOOKUP($A289,SP_TaxPar_DB[],MATCH(J$2,SP_TaxPar_DB[#Headers],0),FALSE)</f>
        <v>0 Sunset St</v>
      </c>
      <c r="K289" s="69" t="str">
        <f>VLOOKUP($A289,SP_TaxPar_DB[],MATCH(K$2,SP_TaxPar_DB[#Headers],0),FALSE)</f>
        <v>Sunset St</v>
      </c>
      <c r="L289" s="69">
        <f>VLOOKUP($A289,SP_TaxPar_DB[],MATCH(L$2,SP_TaxPar_DB[#Headers],0),FALSE)</f>
        <v>0</v>
      </c>
      <c r="M289" s="69">
        <f>VLOOKUP($A289,SP_TaxPar_DB[],MATCH(M$2,SP_TaxPar_DB[#Headers],0),FALSE)</f>
        <v>0</v>
      </c>
      <c r="N289" s="69">
        <f>VLOOKUP($A289,SP_TaxPar_DB[],MATCH(N$2,SP_TaxPar_DB[#Headers],0),FALSE)</f>
        <v>0</v>
      </c>
      <c r="O289" s="71">
        <f>VLOOKUP($A289,SP_TaxPar_DB[],MATCH(O$2,SP_TaxPar_DB[#Headers],0),FALSE)</f>
        <v>0</v>
      </c>
      <c r="P289" s="72"/>
      <c r="Q289" s="69"/>
      <c r="R289" s="73"/>
      <c r="S289" s="73"/>
      <c r="T289" s="69"/>
      <c r="U289" s="69"/>
      <c r="V289" s="69"/>
      <c r="W289" s="69"/>
      <c r="X289" s="69"/>
      <c r="Y289" s="69"/>
      <c r="Z289" s="69"/>
      <c r="AA289" s="69"/>
      <c r="AB289" s="74"/>
      <c r="AC289" s="73"/>
      <c r="AD289" s="73"/>
      <c r="AE289" s="74"/>
      <c r="AF289" s="68"/>
      <c r="AG289" s="68"/>
      <c r="AH289" s="74"/>
      <c r="AI289" s="68"/>
      <c r="AJ289" s="68"/>
      <c r="AK289" s="68"/>
      <c r="AL289" s="80"/>
      <c r="AM289" s="81"/>
      <c r="AN289" s="74"/>
      <c r="AO289" s="74"/>
      <c r="AP289" s="74"/>
      <c r="AQ289" s="74"/>
      <c r="AR289" s="74"/>
      <c r="AS289" s="74"/>
      <c r="AT289" s="74"/>
      <c r="AU289" s="74"/>
      <c r="AV289" s="74"/>
      <c r="AW289" s="84"/>
    </row>
    <row r="290" spans="1:49" ht="15.75" hidden="1" x14ac:dyDescent="0.2">
      <c r="A290" s="129" t="s">
        <v>1292</v>
      </c>
      <c r="B290" s="68" t="str">
        <f>VLOOKUP($A290,SP_TaxPar_DB[],MATCH(B$2,SP_TaxPar_DB[#Headers],0),FALSE)</f>
        <v>PH1</v>
      </c>
      <c r="C290" s="67" t="str">
        <f>IF(VLOOKUP($A290,SP_TaxPar_DB[],MATCH(C$2,SP_TaxPar_DB[#Headers],0),FALSE)="",0,VLOOKUP($A290,SP_TaxPar_DB[],MATCH(C$2,SP_TaxPar_DB[#Headers],0),FALSE))</f>
        <v>321</v>
      </c>
      <c r="D290" s="67">
        <f>IF(VLOOKUP($A290,SP_TaxPar_DB[],MATCH(D$2,SP_TaxPar_DB[#Headers],0),FALSE)="",0,VLOOKUP($A290,SP_TaxPar_DB[],MATCH(D$2,SP_TaxPar_DB[#Headers],0),FALSE))</f>
        <v>0</v>
      </c>
      <c r="E290" s="69" t="str">
        <f>VLOOKUP($A290,SP_TaxPar_DB[],MATCH(E$2,SP_TaxPar_DB[#Headers],0),FALSE)</f>
        <v>City of Wharton</v>
      </c>
      <c r="F290" s="69" t="str">
        <f>VLOOKUP($A290,SP_TaxPar_DB[],MATCH(F$2,SP_TaxPar_DB[#Headers],0),FALSE)</f>
        <v>120 E Caney</v>
      </c>
      <c r="G290" s="69" t="str">
        <f>VLOOKUP($A290,SP_TaxPar_DB[],MATCH(G$2,SP_TaxPar_DB[#Headers],0),FALSE)</f>
        <v>Wharton</v>
      </c>
      <c r="H290" s="69" t="str">
        <f>VLOOKUP($A290,SP_TaxPar_DB[],MATCH(H$2,SP_TaxPar_DB[#Headers],0),FALSE)</f>
        <v>TX</v>
      </c>
      <c r="I290" s="69">
        <f>VLOOKUP($A290,SP_TaxPar_DB[],MATCH(I$2,SP_TaxPar_DB[#Headers],0),FALSE)</f>
        <v>0</v>
      </c>
      <c r="J290" s="69" t="str">
        <f>VLOOKUP($A290,SP_TaxPar_DB[],MATCH(J$2,SP_TaxPar_DB[#Headers],0),FALSE)</f>
        <v>417 Colorado</v>
      </c>
      <c r="K290" s="69" t="str">
        <f>VLOOKUP($A290,SP_TaxPar_DB[],MATCH(K$2,SP_TaxPar_DB[#Headers],0),FALSE)</f>
        <v>S Richmond Rd</v>
      </c>
      <c r="L290" s="69">
        <f>VLOOKUP($A290,SP_TaxPar_DB[],MATCH(L$2,SP_TaxPar_DB[#Headers],0),FALSE)</f>
        <v>0</v>
      </c>
      <c r="M290" s="69">
        <f>VLOOKUP($A290,SP_TaxPar_DB[],MATCH(M$2,SP_TaxPar_DB[#Headers],0),FALSE)</f>
        <v>0</v>
      </c>
      <c r="N290" s="69">
        <f>VLOOKUP($A290,SP_TaxPar_DB[],MATCH(N$2,SP_TaxPar_DB[#Headers],0),FALSE)</f>
        <v>0</v>
      </c>
      <c r="O290" s="71">
        <f>VLOOKUP($A290,SP_TaxPar_DB[],MATCH(O$2,SP_TaxPar_DB[#Headers],0),FALSE)</f>
        <v>0</v>
      </c>
      <c r="P290" s="72"/>
      <c r="Q290" s="69"/>
      <c r="R290" s="73"/>
      <c r="S290" s="73"/>
      <c r="T290" s="69"/>
      <c r="U290" s="69"/>
      <c r="V290" s="69"/>
      <c r="W290" s="69"/>
      <c r="X290" s="69"/>
      <c r="Y290" s="69"/>
      <c r="Z290" s="69"/>
      <c r="AA290" s="69"/>
      <c r="AB290" s="74"/>
      <c r="AC290" s="73"/>
      <c r="AD290" s="73"/>
      <c r="AE290" s="74"/>
      <c r="AF290" s="68"/>
      <c r="AG290" s="68"/>
      <c r="AH290" s="74"/>
      <c r="AI290" s="68"/>
      <c r="AJ290" s="68"/>
      <c r="AK290" s="68"/>
      <c r="AL290" s="80"/>
      <c r="AM290" s="81"/>
      <c r="AN290" s="74"/>
      <c r="AO290" s="74"/>
      <c r="AP290" s="74"/>
      <c r="AQ290" s="74"/>
      <c r="AR290" s="74"/>
      <c r="AS290" s="74"/>
      <c r="AT290" s="74"/>
      <c r="AU290" s="74"/>
      <c r="AV290" s="74"/>
      <c r="AW290" s="84"/>
    </row>
    <row r="291" spans="1:49" x14ac:dyDescent="0.2">
      <c r="A291" s="247"/>
    </row>
    <row r="292" spans="1:49" x14ac:dyDescent="0.2">
      <c r="A292" s="211"/>
    </row>
    <row r="293" spans="1:49" x14ac:dyDescent="0.2">
      <c r="A293" s="211"/>
    </row>
    <row r="294" spans="1:49" x14ac:dyDescent="0.2">
      <c r="A294" s="211"/>
    </row>
    <row r="295" spans="1:49" x14ac:dyDescent="0.2">
      <c r="A295" s="211"/>
    </row>
    <row r="296" spans="1:49" x14ac:dyDescent="0.2">
      <c r="A296" s="211"/>
    </row>
    <row r="297" spans="1:49" x14ac:dyDescent="0.2">
      <c r="A297" s="211"/>
    </row>
    <row r="298" spans="1:49" x14ac:dyDescent="0.2">
      <c r="A298" s="211"/>
    </row>
    <row r="299" spans="1:49" x14ac:dyDescent="0.2">
      <c r="A299" s="211"/>
    </row>
    <row r="300" spans="1:49" x14ac:dyDescent="0.2">
      <c r="A300" s="211"/>
    </row>
    <row r="301" spans="1:49" x14ac:dyDescent="0.2">
      <c r="A301" s="211"/>
    </row>
    <row r="302" spans="1:49" x14ac:dyDescent="0.2">
      <c r="A302" s="211"/>
    </row>
    <row r="303" spans="1:49" x14ac:dyDescent="0.2">
      <c r="A303" s="211"/>
    </row>
    <row r="304" spans="1:49" x14ac:dyDescent="0.2">
      <c r="A304" s="211"/>
    </row>
    <row r="305" spans="1:1" x14ac:dyDescent="0.2">
      <c r="A305" s="211"/>
    </row>
    <row r="306" spans="1:1" x14ac:dyDescent="0.2">
      <c r="A306" s="211"/>
    </row>
    <row r="307" spans="1:1" x14ac:dyDescent="0.2">
      <c r="A307" s="211"/>
    </row>
    <row r="308" spans="1:1" x14ac:dyDescent="0.2">
      <c r="A308" s="211"/>
    </row>
    <row r="309" spans="1:1" x14ac:dyDescent="0.2">
      <c r="A309" s="211"/>
    </row>
    <row r="310" spans="1:1" x14ac:dyDescent="0.2">
      <c r="A310" s="211"/>
    </row>
  </sheetData>
  <autoFilter ref="A5:AW290">
    <filterColumn colId="0">
      <filters>
        <filter val="R023656"/>
      </filters>
    </filterColumn>
  </autoFilter>
  <pageMargins left="0.7" right="0.7" top="0.75" bottom="0.75" header="0.3" footer="0.3"/>
  <pageSetup orientation="portrait" horizontalDpi="1200" verticalDpi="1200"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7" tint="-0.249977111117893"/>
  </sheetPr>
  <dimension ref="A1:U442"/>
  <sheetViews>
    <sheetView topLeftCell="C1" workbookViewId="0">
      <pane ySplit="1" topLeftCell="A2" activePane="bottomLeft" state="frozen"/>
      <selection activeCell="AW132" sqref="AW132"/>
      <selection pane="bottomLeft" activeCell="AW132" sqref="AW132"/>
    </sheetView>
  </sheetViews>
  <sheetFormatPr defaultRowHeight="12.75" outlineLevelCol="1" x14ac:dyDescent="0.2"/>
  <cols>
    <col min="1" max="1" width="21.42578125" hidden="1" customWidth="1" outlineLevel="1"/>
    <col min="2" max="2" width="39" customWidth="1" collapsed="1"/>
    <col min="3" max="3" width="14.42578125" customWidth="1"/>
    <col min="4" max="4" width="15" customWidth="1"/>
    <col min="5" max="5" width="17.5703125" hidden="1" customWidth="1" outlineLevel="1"/>
    <col min="6" max="6" width="25" hidden="1" customWidth="1" outlineLevel="1"/>
    <col min="7" max="7" width="32.85546875" customWidth="1" collapsed="1"/>
    <col min="8" max="8" width="10.5703125" customWidth="1"/>
    <col min="9" max="9" width="8.42578125" customWidth="1"/>
    <col min="10" max="10" width="8.85546875" customWidth="1"/>
    <col min="11" max="11" width="10.42578125" hidden="1" customWidth="1" outlineLevel="1"/>
    <col min="12" max="12" width="20.42578125" customWidth="1" collapsed="1"/>
    <col min="13" max="13" width="23" hidden="1" customWidth="1" outlineLevel="1"/>
    <col min="14" max="14" width="14.42578125" bestFit="1" customWidth="1" collapsed="1"/>
    <col min="15" max="15" width="23" hidden="1" customWidth="1" outlineLevel="1"/>
    <col min="16" max="16" width="15.42578125" bestFit="1" customWidth="1" collapsed="1"/>
    <col min="17" max="17" width="8.42578125" customWidth="1"/>
    <col min="18" max="18" width="21" hidden="1" customWidth="1" outlineLevel="1"/>
    <col min="19" max="19" width="5.140625" bestFit="1" customWidth="1" collapsed="1"/>
    <col min="20" max="20" width="5.85546875" hidden="1" customWidth="1" outlineLevel="1"/>
    <col min="21" max="21" width="23" customWidth="1" collapsed="1"/>
  </cols>
  <sheetData>
    <row r="1" spans="1:21" ht="32.25" customHeight="1" x14ac:dyDescent="0.2">
      <c r="A1" s="58" t="s">
        <v>4203</v>
      </c>
      <c r="B1" s="10" t="s">
        <v>590</v>
      </c>
      <c r="C1" s="2" t="s">
        <v>2689</v>
      </c>
      <c r="D1" s="2" t="s">
        <v>6</v>
      </c>
      <c r="E1" s="2" t="s">
        <v>856</v>
      </c>
      <c r="F1" s="2" t="s">
        <v>857</v>
      </c>
      <c r="G1" s="2" t="s">
        <v>584</v>
      </c>
      <c r="H1" s="2" t="s">
        <v>585</v>
      </c>
      <c r="I1" s="2" t="s">
        <v>1734</v>
      </c>
      <c r="J1" s="2" t="s">
        <v>1735</v>
      </c>
      <c r="K1" s="2" t="s">
        <v>586</v>
      </c>
      <c r="L1" s="2" t="s">
        <v>587</v>
      </c>
      <c r="M1" s="2" t="s">
        <v>18</v>
      </c>
      <c r="N1" s="2" t="s">
        <v>19</v>
      </c>
      <c r="O1" s="2" t="s">
        <v>17</v>
      </c>
      <c r="P1" s="2" t="s">
        <v>20</v>
      </c>
      <c r="Q1" s="2" t="s">
        <v>589</v>
      </c>
      <c r="R1" s="2" t="s">
        <v>583</v>
      </c>
      <c r="S1" s="2" t="s">
        <v>588</v>
      </c>
      <c r="T1" s="2" t="s">
        <v>3511</v>
      </c>
      <c r="U1" s="2" t="s">
        <v>21</v>
      </c>
    </row>
    <row r="2" spans="1:21" ht="15" x14ac:dyDescent="0.2">
      <c r="A2" s="165" t="str">
        <f>CONCATENATE(SP_ENV_Lib[[#This Row],[Environmental Tract No.]],"_",SP_ENV_Lib[[#This Row],[ACQ Document Type]])</f>
        <v>001_CONTACT Negotiator Report</v>
      </c>
      <c r="B2" s="14" t="s">
        <v>3581</v>
      </c>
      <c r="C2" s="169" t="s">
        <v>2721</v>
      </c>
      <c r="D2" s="12" t="s">
        <v>1807</v>
      </c>
      <c r="E2" s="166" t="s">
        <v>865</v>
      </c>
      <c r="F2" s="8" t="s">
        <v>1068</v>
      </c>
      <c r="G2" s="8" t="s">
        <v>1067</v>
      </c>
      <c r="H2" s="52" t="s">
        <v>592</v>
      </c>
      <c r="I2" s="57"/>
      <c r="J2" s="57"/>
      <c r="K2" s="167"/>
      <c r="L2" s="8"/>
      <c r="M2" s="8" t="s">
        <v>1743</v>
      </c>
      <c r="N2" s="26">
        <v>43885.455648148149</v>
      </c>
      <c r="O2" s="8" t="s">
        <v>23</v>
      </c>
      <c r="P2" s="26">
        <v>43877.453969907408</v>
      </c>
      <c r="Q2" s="65">
        <v>149006</v>
      </c>
      <c r="R2" s="14" t="s">
        <v>3894</v>
      </c>
      <c r="S2" s="168">
        <v>1105</v>
      </c>
      <c r="T2" s="52" t="s">
        <v>3512</v>
      </c>
      <c r="U2" s="8" t="s">
        <v>3564</v>
      </c>
    </row>
    <row r="3" spans="1:21" ht="15" hidden="1" x14ac:dyDescent="0.2">
      <c r="A3" s="170" t="str">
        <f>CONCATENATE(SP_ENV_Lib[[#This Row],[Environmental Tract No.]],"_",SP_ENV_Lib[[#This Row],[ACQ Document Type]])</f>
        <v>001_ENVIRONMENTAL Right-of-Entry Executed</v>
      </c>
      <c r="B3" s="14" t="s">
        <v>4208</v>
      </c>
      <c r="C3" s="169" t="s">
        <v>2721</v>
      </c>
      <c r="D3" s="12" t="s">
        <v>1807</v>
      </c>
      <c r="E3" s="166" t="s">
        <v>2682</v>
      </c>
      <c r="F3" s="8" t="s">
        <v>2683</v>
      </c>
      <c r="G3" s="8" t="s">
        <v>2681</v>
      </c>
      <c r="H3" s="52" t="s">
        <v>592</v>
      </c>
      <c r="I3" s="57">
        <v>43851</v>
      </c>
      <c r="J3" s="57"/>
      <c r="K3" s="167"/>
      <c r="L3" s="8"/>
      <c r="M3" s="8" t="s">
        <v>4206</v>
      </c>
      <c r="N3" s="26">
        <v>43979.367534722223</v>
      </c>
      <c r="O3" s="8" t="s">
        <v>4205</v>
      </c>
      <c r="P3" s="26">
        <v>43892.777326388888</v>
      </c>
      <c r="Q3" s="65">
        <v>547166</v>
      </c>
      <c r="R3" s="14" t="s">
        <v>4267</v>
      </c>
      <c r="S3" s="168">
        <v>1166</v>
      </c>
      <c r="T3" s="52" t="s">
        <v>3512</v>
      </c>
      <c r="U3" s="8" t="s">
        <v>3564</v>
      </c>
    </row>
    <row r="4" spans="1:21" ht="15" hidden="1" x14ac:dyDescent="0.2">
      <c r="A4" s="170" t="str">
        <f>CONCATENATE(SP_ENV_Lib[[#This Row],[Environmental Tract No.]],"_",SP_ENV_Lib[[#This Row],[ACQ Document Type]])</f>
        <v>001_ENVIRONMENTAL Right-of-Entry Package</v>
      </c>
      <c r="B4" s="14" t="s">
        <v>3582</v>
      </c>
      <c r="C4" s="169" t="s">
        <v>2721</v>
      </c>
      <c r="D4" s="12" t="s">
        <v>1807</v>
      </c>
      <c r="E4" s="166" t="s">
        <v>2682</v>
      </c>
      <c r="F4" s="8" t="s">
        <v>2687</v>
      </c>
      <c r="G4" s="8" t="s">
        <v>2686</v>
      </c>
      <c r="H4" s="52" t="s">
        <v>592</v>
      </c>
      <c r="I4" s="57">
        <v>43840</v>
      </c>
      <c r="J4" s="57">
        <v>43845</v>
      </c>
      <c r="K4" s="167"/>
      <c r="L4" s="8"/>
      <c r="M4" s="8" t="s">
        <v>4206</v>
      </c>
      <c r="N4" s="26">
        <v>43874.49796296296</v>
      </c>
      <c r="O4" s="8" t="s">
        <v>4205</v>
      </c>
      <c r="P4" s="26">
        <v>43868.523738425924</v>
      </c>
      <c r="Q4" s="65">
        <v>950150</v>
      </c>
      <c r="R4" s="14" t="s">
        <v>3895</v>
      </c>
      <c r="S4" s="168">
        <v>727</v>
      </c>
      <c r="T4" s="52" t="s">
        <v>3512</v>
      </c>
      <c r="U4" s="8" t="s">
        <v>3564</v>
      </c>
    </row>
    <row r="5" spans="1:21" ht="15" x14ac:dyDescent="0.2">
      <c r="A5" s="170" t="str">
        <f>CONCATENATE(SP_ENV_Lib[[#This Row],[Environmental Tract No.]],"_",SP_ENV_Lib[[#This Row],[ACQ Document Type]])</f>
        <v>001_TITLE Tax Card</v>
      </c>
      <c r="B5" s="14" t="s">
        <v>3583</v>
      </c>
      <c r="C5" s="169" t="s">
        <v>2721</v>
      </c>
      <c r="D5" s="12" t="s">
        <v>1807</v>
      </c>
      <c r="E5" s="166" t="s">
        <v>861</v>
      </c>
      <c r="F5" s="8" t="s">
        <v>1150</v>
      </c>
      <c r="G5" s="8" t="s">
        <v>1149</v>
      </c>
      <c r="H5" s="52" t="s">
        <v>592</v>
      </c>
      <c r="I5" s="57"/>
      <c r="J5" s="57"/>
      <c r="K5" s="167"/>
      <c r="L5" s="8"/>
      <c r="M5" s="8" t="s">
        <v>4205</v>
      </c>
      <c r="N5" s="26">
        <v>43910.604166666664</v>
      </c>
      <c r="O5" s="8" t="s">
        <v>4206</v>
      </c>
      <c r="P5" s="26">
        <v>43871.482777777775</v>
      </c>
      <c r="Q5" s="65">
        <v>704272</v>
      </c>
      <c r="R5" s="14" t="s">
        <v>3896</v>
      </c>
      <c r="S5" s="168">
        <v>774</v>
      </c>
      <c r="T5" s="52" t="s">
        <v>3512</v>
      </c>
      <c r="U5" s="8" t="s">
        <v>3564</v>
      </c>
    </row>
    <row r="6" spans="1:21" ht="15" x14ac:dyDescent="0.2">
      <c r="A6" s="170" t="str">
        <f>CONCATENATE(SP_ENV_Lib[[#This Row],[Environmental Tract No.]],"_",SP_ENV_Lib[[#This Row],[ACQ Document Type]])</f>
        <v>002_CONTACT Negotiator Report</v>
      </c>
      <c r="B6" s="14" t="s">
        <v>3584</v>
      </c>
      <c r="C6" s="169" t="s">
        <v>2724</v>
      </c>
      <c r="D6" s="12" t="s">
        <v>1810</v>
      </c>
      <c r="E6" s="166" t="s">
        <v>865</v>
      </c>
      <c r="F6" s="8" t="s">
        <v>1068</v>
      </c>
      <c r="G6" s="8" t="s">
        <v>1067</v>
      </c>
      <c r="H6" s="52" t="s">
        <v>592</v>
      </c>
      <c r="I6" s="57"/>
      <c r="J6" s="57"/>
      <c r="K6" s="167"/>
      <c r="L6" s="8"/>
      <c r="M6" s="8" t="s">
        <v>1743</v>
      </c>
      <c r="N6" s="26">
        <v>43938.704571759263</v>
      </c>
      <c r="O6" s="8" t="s">
        <v>23</v>
      </c>
      <c r="P6" s="26">
        <v>43877.454016203701</v>
      </c>
      <c r="Q6" s="65">
        <v>139246</v>
      </c>
      <c r="R6" s="14" t="s">
        <v>3897</v>
      </c>
      <c r="S6" s="168">
        <v>1106</v>
      </c>
      <c r="T6" s="52" t="s">
        <v>3512</v>
      </c>
      <c r="U6" s="8" t="s">
        <v>3564</v>
      </c>
    </row>
    <row r="7" spans="1:21" ht="15" x14ac:dyDescent="0.2">
      <c r="A7" s="170" t="str">
        <f>CONCATENATE(SP_ENV_Lib[[#This Row],[Environmental Tract No.]],"_",SP_ENV_Lib[[#This Row],[ACQ Document Type]])</f>
        <v>002_ENVIRONMENTAL Right-of-Entry Executed</v>
      </c>
      <c r="B7" s="14" t="s">
        <v>5036</v>
      </c>
      <c r="C7" s="169" t="s">
        <v>2724</v>
      </c>
      <c r="D7" s="12" t="s">
        <v>1810</v>
      </c>
      <c r="E7" s="166" t="s">
        <v>2682</v>
      </c>
      <c r="F7" s="8" t="s">
        <v>2683</v>
      </c>
      <c r="G7" s="8" t="s">
        <v>2681</v>
      </c>
      <c r="H7" s="52" t="s">
        <v>592</v>
      </c>
      <c r="I7" s="57">
        <v>43923</v>
      </c>
      <c r="J7" s="57"/>
      <c r="K7" s="167"/>
      <c r="L7" s="8"/>
      <c r="M7" s="8" t="s">
        <v>4205</v>
      </c>
      <c r="N7" s="26">
        <v>43955.604895833334</v>
      </c>
      <c r="O7" s="8" t="s">
        <v>4205</v>
      </c>
      <c r="P7" s="26">
        <v>43955.604039351849</v>
      </c>
      <c r="Q7" s="65">
        <v>2908507</v>
      </c>
      <c r="R7" s="14" t="s">
        <v>5038</v>
      </c>
      <c r="S7" s="168">
        <v>1340</v>
      </c>
      <c r="T7" s="52" t="s">
        <v>3512</v>
      </c>
      <c r="U7" s="8" t="s">
        <v>3564</v>
      </c>
    </row>
    <row r="8" spans="1:21" ht="15" hidden="1" x14ac:dyDescent="0.2">
      <c r="A8" s="170" t="str">
        <f>CONCATENATE(SP_ENV_Lib[[#This Row],[Environmental Tract No.]],"_",SP_ENV_Lib[[#This Row],[ACQ Document Type]])</f>
        <v>002_ENVIRONMENTAL Right-of-Entry Package</v>
      </c>
      <c r="B8" s="14" t="s">
        <v>4350</v>
      </c>
      <c r="C8" s="169" t="s">
        <v>2724</v>
      </c>
      <c r="D8" s="12" t="s">
        <v>1810</v>
      </c>
      <c r="E8" s="166" t="s">
        <v>2682</v>
      </c>
      <c r="F8" s="8" t="s">
        <v>2687</v>
      </c>
      <c r="G8" s="8" t="s">
        <v>2686</v>
      </c>
      <c r="H8" s="52" t="s">
        <v>592</v>
      </c>
      <c r="I8" s="57">
        <v>43840</v>
      </c>
      <c r="J8" s="57">
        <v>43853</v>
      </c>
      <c r="K8" s="167"/>
      <c r="L8" s="8" t="s">
        <v>4346</v>
      </c>
      <c r="M8" s="8" t="s">
        <v>4206</v>
      </c>
      <c r="N8" s="26">
        <v>43896.513344907406</v>
      </c>
      <c r="O8" s="8" t="s">
        <v>4206</v>
      </c>
      <c r="P8" s="26">
        <v>43896.508993055555</v>
      </c>
      <c r="Q8" s="65">
        <v>1108961</v>
      </c>
      <c r="R8" s="14" t="s">
        <v>4394</v>
      </c>
      <c r="S8" s="168">
        <v>1268</v>
      </c>
      <c r="T8" s="52" t="s">
        <v>3512</v>
      </c>
      <c r="U8" s="8" t="s">
        <v>3564</v>
      </c>
    </row>
    <row r="9" spans="1:21" ht="15" x14ac:dyDescent="0.2">
      <c r="A9" s="170" t="str">
        <f>CONCATENATE(SP_ENV_Lib[[#This Row],[Environmental Tract No.]],"_",SP_ENV_Lib[[#This Row],[ACQ Document Type]])</f>
        <v>002_TITLE Tax Card</v>
      </c>
      <c r="B9" s="14" t="s">
        <v>3585</v>
      </c>
      <c r="C9" s="169" t="s">
        <v>2724</v>
      </c>
      <c r="D9" s="12" t="s">
        <v>1810</v>
      </c>
      <c r="E9" s="166" t="s">
        <v>861</v>
      </c>
      <c r="F9" s="8" t="s">
        <v>1150</v>
      </c>
      <c r="G9" s="8" t="s">
        <v>1149</v>
      </c>
      <c r="H9" s="52" t="s">
        <v>592</v>
      </c>
      <c r="I9" s="57"/>
      <c r="J9" s="57"/>
      <c r="K9" s="167"/>
      <c r="L9" s="8"/>
      <c r="M9" s="8" t="s">
        <v>4206</v>
      </c>
      <c r="N9" s="26">
        <v>43872.416701388887</v>
      </c>
      <c r="O9" s="8" t="s">
        <v>4206</v>
      </c>
      <c r="P9" s="26">
        <v>43871.482557870368</v>
      </c>
      <c r="Q9" s="65">
        <v>718415</v>
      </c>
      <c r="R9" s="14" t="s">
        <v>3898</v>
      </c>
      <c r="S9" s="168">
        <v>757</v>
      </c>
      <c r="T9" s="52" t="s">
        <v>3512</v>
      </c>
      <c r="U9" s="8" t="s">
        <v>3564</v>
      </c>
    </row>
    <row r="10" spans="1:21" ht="15" x14ac:dyDescent="0.2">
      <c r="A10" s="170" t="str">
        <f>CONCATENATE(SP_ENV_Lib[[#This Row],[Environmental Tract No.]],"_",SP_ENV_Lib[[#This Row],[ACQ Document Type]])</f>
        <v>003_CONTACT Negotiator Report</v>
      </c>
      <c r="B10" s="14" t="s">
        <v>3586</v>
      </c>
      <c r="C10" s="169" t="s">
        <v>2726</v>
      </c>
      <c r="D10" s="12" t="s">
        <v>1815</v>
      </c>
      <c r="E10" s="166" t="s">
        <v>865</v>
      </c>
      <c r="F10" s="8" t="s">
        <v>1068</v>
      </c>
      <c r="G10" s="8" t="s">
        <v>1067</v>
      </c>
      <c r="H10" s="52" t="s">
        <v>592</v>
      </c>
      <c r="I10" s="57"/>
      <c r="J10" s="57"/>
      <c r="K10" s="167"/>
      <c r="L10" s="8"/>
      <c r="M10" s="8" t="s">
        <v>1743</v>
      </c>
      <c r="N10" s="26">
        <v>43920.526296296295</v>
      </c>
      <c r="O10" s="8" t="s">
        <v>23</v>
      </c>
      <c r="P10" s="26">
        <v>43877.454050925924</v>
      </c>
      <c r="Q10" s="65">
        <v>257193</v>
      </c>
      <c r="R10" s="14" t="s">
        <v>3899</v>
      </c>
      <c r="S10" s="168">
        <v>1107</v>
      </c>
      <c r="T10" s="52" t="s">
        <v>3512</v>
      </c>
      <c r="U10" s="8" t="s">
        <v>3564</v>
      </c>
    </row>
    <row r="11" spans="1:21" ht="15" x14ac:dyDescent="0.2">
      <c r="A11" s="170" t="str">
        <f>CONCATENATE(SP_ENV_Lib[[#This Row],[Environmental Tract No.]],"_",SP_ENV_Lib[[#This Row],[ACQ Document Type]])</f>
        <v>003_CONTACT Negotiator Report</v>
      </c>
      <c r="B11" s="14" t="s">
        <v>4894</v>
      </c>
      <c r="C11" s="169" t="s">
        <v>2726</v>
      </c>
      <c r="D11" s="12" t="s">
        <v>1815</v>
      </c>
      <c r="E11" s="166" t="s">
        <v>865</v>
      </c>
      <c r="F11" s="8" t="s">
        <v>1068</v>
      </c>
      <c r="G11" s="8" t="s">
        <v>1067</v>
      </c>
      <c r="H11" s="52" t="s">
        <v>592</v>
      </c>
      <c r="I11" s="57"/>
      <c r="J11" s="57"/>
      <c r="K11" s="167"/>
      <c r="L11" s="8"/>
      <c r="M11" s="8" t="s">
        <v>1743</v>
      </c>
      <c r="N11" s="26">
        <v>43952.480231481481</v>
      </c>
      <c r="O11" s="8" t="s">
        <v>1743</v>
      </c>
      <c r="P11" s="26">
        <v>43937.515960648147</v>
      </c>
      <c r="Q11" s="65">
        <v>259903</v>
      </c>
      <c r="R11" s="14" t="s">
        <v>4895</v>
      </c>
      <c r="S11" s="168">
        <v>1337</v>
      </c>
      <c r="T11" s="52" t="s">
        <v>3512</v>
      </c>
      <c r="U11" s="8" t="s">
        <v>3564</v>
      </c>
    </row>
    <row r="12" spans="1:21" ht="15" hidden="1" x14ac:dyDescent="0.2">
      <c r="A12" s="170" t="str">
        <f>CONCATENATE(SP_ENV_Lib[[#This Row],[Environmental Tract No.]],"_",SP_ENV_Lib[[#This Row],[ACQ Document Type]])</f>
        <v>003_ENVIRONMENTAL Right-of-Entry Executed</v>
      </c>
      <c r="B12" s="14" t="s">
        <v>5046</v>
      </c>
      <c r="C12" s="169" t="s">
        <v>2726</v>
      </c>
      <c r="D12" s="12" t="s">
        <v>1815</v>
      </c>
      <c r="E12" s="166" t="s">
        <v>2682</v>
      </c>
      <c r="F12" s="8" t="s">
        <v>2683</v>
      </c>
      <c r="G12" s="8" t="s">
        <v>2681</v>
      </c>
      <c r="H12" s="52" t="s">
        <v>592</v>
      </c>
      <c r="I12" s="57">
        <v>43956</v>
      </c>
      <c r="J12" s="57"/>
      <c r="K12" s="167"/>
      <c r="L12" s="8"/>
      <c r="M12" s="8" t="s">
        <v>4205</v>
      </c>
      <c r="N12" s="26">
        <v>43956.732719907406</v>
      </c>
      <c r="O12" s="8" t="s">
        <v>4205</v>
      </c>
      <c r="P12" s="26">
        <v>43956.732430555552</v>
      </c>
      <c r="Q12" s="65">
        <v>1751541</v>
      </c>
      <c r="R12" s="14" t="s">
        <v>5048</v>
      </c>
      <c r="S12" s="168">
        <v>1350</v>
      </c>
      <c r="T12" s="52" t="s">
        <v>3512</v>
      </c>
      <c r="U12" s="8" t="s">
        <v>3564</v>
      </c>
    </row>
    <row r="13" spans="1:21" ht="15" hidden="1" x14ac:dyDescent="0.2">
      <c r="A13" s="170" t="str">
        <f>CONCATENATE(SP_ENV_Lib[[#This Row],[Environmental Tract No.]],"_",SP_ENV_Lib[[#This Row],[ACQ Document Type]])</f>
        <v>003_ENVIRONMENTAL Right-of-Entry Package</v>
      </c>
      <c r="B13" s="14" t="s">
        <v>4351</v>
      </c>
      <c r="C13" s="169" t="s">
        <v>2726</v>
      </c>
      <c r="D13" s="12" t="s">
        <v>1815</v>
      </c>
      <c r="E13" s="166" t="s">
        <v>2682</v>
      </c>
      <c r="F13" s="8" t="s">
        <v>2687</v>
      </c>
      <c r="G13" s="8" t="s">
        <v>2686</v>
      </c>
      <c r="H13" s="52" t="s">
        <v>592</v>
      </c>
      <c r="I13" s="57">
        <v>43840</v>
      </c>
      <c r="J13" s="57">
        <v>43850</v>
      </c>
      <c r="K13" s="167"/>
      <c r="L13" s="8" t="s">
        <v>4346</v>
      </c>
      <c r="M13" s="8" t="s">
        <v>4206</v>
      </c>
      <c r="N13" s="26">
        <v>43896.516157407408</v>
      </c>
      <c r="O13" s="8" t="s">
        <v>4206</v>
      </c>
      <c r="P13" s="26">
        <v>43896.509004629632</v>
      </c>
      <c r="Q13" s="65">
        <v>1023903</v>
      </c>
      <c r="R13" s="14" t="s">
        <v>4395</v>
      </c>
      <c r="S13" s="168">
        <v>1269</v>
      </c>
      <c r="T13" s="52" t="s">
        <v>3512</v>
      </c>
      <c r="U13" s="8" t="s">
        <v>3564</v>
      </c>
    </row>
    <row r="14" spans="1:21" ht="15" x14ac:dyDescent="0.2">
      <c r="A14" s="170" t="str">
        <f>CONCATENATE(SP_ENV_Lib[[#This Row],[Environmental Tract No.]],"_",SP_ENV_Lib[[#This Row],[ACQ Document Type]])</f>
        <v>003_TITLE Tax Card</v>
      </c>
      <c r="B14" s="14" t="s">
        <v>3587</v>
      </c>
      <c r="C14" s="169" t="s">
        <v>2726</v>
      </c>
      <c r="D14" s="12" t="s">
        <v>1815</v>
      </c>
      <c r="E14" s="166" t="s">
        <v>861</v>
      </c>
      <c r="F14" s="8" t="s">
        <v>1150</v>
      </c>
      <c r="G14" s="8" t="s">
        <v>1149</v>
      </c>
      <c r="H14" s="52" t="s">
        <v>592</v>
      </c>
      <c r="I14" s="57"/>
      <c r="J14" s="57"/>
      <c r="K14" s="167"/>
      <c r="L14" s="8"/>
      <c r="M14" s="8" t="s">
        <v>4206</v>
      </c>
      <c r="N14" s="26">
        <v>43872.416967592595</v>
      </c>
      <c r="O14" s="8" t="s">
        <v>4206</v>
      </c>
      <c r="P14" s="26">
        <v>43871.482581018521</v>
      </c>
      <c r="Q14" s="65">
        <v>712043</v>
      </c>
      <c r="R14" s="14" t="s">
        <v>3900</v>
      </c>
      <c r="S14" s="168">
        <v>758</v>
      </c>
      <c r="T14" s="52" t="s">
        <v>3512</v>
      </c>
      <c r="U14" s="8" t="s">
        <v>3564</v>
      </c>
    </row>
    <row r="15" spans="1:21" ht="15" x14ac:dyDescent="0.2">
      <c r="A15" s="170" t="str">
        <f>CONCATENATE(SP_ENV_Lib[[#This Row],[Environmental Tract No.]],"_",SP_ENV_Lib[[#This Row],[ACQ Document Type]])</f>
        <v>004_CONTACT Negotiator Report</v>
      </c>
      <c r="B15" s="14" t="s">
        <v>3588</v>
      </c>
      <c r="C15" s="169" t="s">
        <v>2729</v>
      </c>
      <c r="D15" s="12" t="s">
        <v>1818</v>
      </c>
      <c r="E15" s="166" t="s">
        <v>865</v>
      </c>
      <c r="F15" s="8" t="s">
        <v>1068</v>
      </c>
      <c r="G15" s="8" t="s">
        <v>1067</v>
      </c>
      <c r="H15" s="52" t="s">
        <v>592</v>
      </c>
      <c r="I15" s="57"/>
      <c r="J15" s="57"/>
      <c r="K15" s="167"/>
      <c r="L15" s="8"/>
      <c r="M15" s="8" t="s">
        <v>1743</v>
      </c>
      <c r="N15" s="26">
        <v>43885.456759259258</v>
      </c>
      <c r="O15" s="8" t="s">
        <v>23</v>
      </c>
      <c r="P15" s="26">
        <v>43877.454074074078</v>
      </c>
      <c r="Q15" s="65">
        <v>146924</v>
      </c>
      <c r="R15" s="14" t="s">
        <v>3901</v>
      </c>
      <c r="S15" s="168">
        <v>1108</v>
      </c>
      <c r="T15" s="52" t="s">
        <v>3512</v>
      </c>
      <c r="U15" s="8" t="s">
        <v>3564</v>
      </c>
    </row>
    <row r="16" spans="1:21" ht="15" hidden="1" x14ac:dyDescent="0.2">
      <c r="A16" s="170" t="str">
        <f>CONCATENATE(SP_ENV_Lib[[#This Row],[Environmental Tract No.]],"_",SP_ENV_Lib[[#This Row],[ACQ Document Type]])</f>
        <v>004_ENVIRONMENTAL Right-of-Entry Package</v>
      </c>
      <c r="B16" s="14" t="s">
        <v>3589</v>
      </c>
      <c r="C16" s="169" t="s">
        <v>2729</v>
      </c>
      <c r="D16" s="12" t="s">
        <v>1818</v>
      </c>
      <c r="E16" s="166" t="s">
        <v>2682</v>
      </c>
      <c r="F16" s="8" t="s">
        <v>2687</v>
      </c>
      <c r="G16" s="8" t="s">
        <v>2686</v>
      </c>
      <c r="H16" s="52" t="s">
        <v>592</v>
      </c>
      <c r="I16" s="57">
        <v>43840</v>
      </c>
      <c r="J16" s="57"/>
      <c r="K16" s="167"/>
      <c r="L16" s="8" t="s">
        <v>3565</v>
      </c>
      <c r="M16" s="8" t="s">
        <v>4206</v>
      </c>
      <c r="N16" s="26">
        <v>43874.546469907407</v>
      </c>
      <c r="O16" s="8" t="s">
        <v>4205</v>
      </c>
      <c r="P16" s="26">
        <v>43868.53392361111</v>
      </c>
      <c r="Q16" s="65">
        <v>922776</v>
      </c>
      <c r="R16" s="14" t="s">
        <v>3902</v>
      </c>
      <c r="S16" s="168">
        <v>730</v>
      </c>
      <c r="T16" s="52" t="s">
        <v>3512</v>
      </c>
      <c r="U16" s="8" t="s">
        <v>3564</v>
      </c>
    </row>
    <row r="17" spans="1:21" ht="15" x14ac:dyDescent="0.2">
      <c r="A17" s="170" t="str">
        <f>CONCATENATE(SP_ENV_Lib[[#This Row],[Environmental Tract No.]],"_",SP_ENV_Lib[[#This Row],[ACQ Document Type]])</f>
        <v>004_TITLE Tax Card</v>
      </c>
      <c r="B17" s="14" t="s">
        <v>3590</v>
      </c>
      <c r="C17" s="169" t="s">
        <v>2729</v>
      </c>
      <c r="D17" s="12" t="s">
        <v>1818</v>
      </c>
      <c r="E17" s="166" t="s">
        <v>861</v>
      </c>
      <c r="F17" s="8" t="s">
        <v>1150</v>
      </c>
      <c r="G17" s="8" t="s">
        <v>1149</v>
      </c>
      <c r="H17" s="52" t="s">
        <v>592</v>
      </c>
      <c r="I17" s="57"/>
      <c r="J17" s="57"/>
      <c r="K17" s="167"/>
      <c r="L17" s="8"/>
      <c r="M17" s="8" t="s">
        <v>4206</v>
      </c>
      <c r="N17" s="26">
        <v>43872.417222222219</v>
      </c>
      <c r="O17" s="8" t="s">
        <v>4206</v>
      </c>
      <c r="P17" s="26">
        <v>43871.482592592591</v>
      </c>
      <c r="Q17" s="65">
        <v>681197</v>
      </c>
      <c r="R17" s="14" t="s">
        <v>3903</v>
      </c>
      <c r="S17" s="168">
        <v>759</v>
      </c>
      <c r="T17" s="52" t="s">
        <v>3512</v>
      </c>
      <c r="U17" s="8" t="s">
        <v>3564</v>
      </c>
    </row>
    <row r="18" spans="1:21" ht="15" x14ac:dyDescent="0.2">
      <c r="A18" s="170" t="str">
        <f>CONCATENATE(SP_ENV_Lib[[#This Row],[Environmental Tract No.]],"_",SP_ENV_Lib[[#This Row],[ACQ Document Type]])</f>
        <v>005_CONTACT Negotiator Report</v>
      </c>
      <c r="B18" s="14" t="s">
        <v>3576</v>
      </c>
      <c r="C18" s="169" t="s">
        <v>2691</v>
      </c>
      <c r="D18" s="12" t="s">
        <v>2690</v>
      </c>
      <c r="E18" s="166" t="s">
        <v>865</v>
      </c>
      <c r="F18" s="8" t="s">
        <v>1068</v>
      </c>
      <c r="G18" s="8" t="s">
        <v>1067</v>
      </c>
      <c r="H18" s="52" t="s">
        <v>592</v>
      </c>
      <c r="I18" s="57"/>
      <c r="J18" s="57"/>
      <c r="K18" s="167"/>
      <c r="L18" s="8"/>
      <c r="M18" s="8" t="s">
        <v>4206</v>
      </c>
      <c r="N18" s="26">
        <v>43894.485543981478</v>
      </c>
      <c r="O18" s="8" t="s">
        <v>23</v>
      </c>
      <c r="P18" s="26">
        <v>43877.454085648147</v>
      </c>
      <c r="Q18" s="65">
        <v>158431</v>
      </c>
      <c r="R18" s="14" t="s">
        <v>3889</v>
      </c>
      <c r="S18" s="168">
        <v>1109</v>
      </c>
      <c r="T18" s="52" t="s">
        <v>3512</v>
      </c>
      <c r="U18" s="8" t="s">
        <v>3564</v>
      </c>
    </row>
    <row r="19" spans="1:21" ht="15" hidden="1" x14ac:dyDescent="0.2">
      <c r="A19" s="170" t="str">
        <f>CONCATENATE(SP_ENV_Lib[[#This Row],[Environmental Tract No.]],"_",SP_ENV_Lib[[#This Row],[ACQ Document Type]])</f>
        <v>005_ENVIRONMENTAL Right-of-Entry Executed</v>
      </c>
      <c r="B19" s="14" t="s">
        <v>4352</v>
      </c>
      <c r="C19" s="169" t="s">
        <v>2691</v>
      </c>
      <c r="D19" s="12" t="s">
        <v>2690</v>
      </c>
      <c r="E19" s="166" t="s">
        <v>2682</v>
      </c>
      <c r="F19" s="8" t="s">
        <v>2683</v>
      </c>
      <c r="G19" s="8" t="s">
        <v>2681</v>
      </c>
      <c r="H19" s="52" t="s">
        <v>592</v>
      </c>
      <c r="I19" s="57">
        <v>43895</v>
      </c>
      <c r="J19" s="57"/>
      <c r="K19" s="167"/>
      <c r="L19" s="8"/>
      <c r="M19" s="8" t="s">
        <v>4205</v>
      </c>
      <c r="N19" s="26">
        <v>43903.851898148147</v>
      </c>
      <c r="O19" s="8" t="s">
        <v>4205</v>
      </c>
      <c r="P19" s="26">
        <v>43903.851018518515</v>
      </c>
      <c r="Q19" s="65">
        <v>1660938</v>
      </c>
      <c r="R19" s="14" t="s">
        <v>4396</v>
      </c>
      <c r="S19" s="168">
        <v>1291</v>
      </c>
      <c r="T19" s="52" t="s">
        <v>3512</v>
      </c>
      <c r="U19" s="8" t="s">
        <v>3564</v>
      </c>
    </row>
    <row r="20" spans="1:21" ht="15" hidden="1" x14ac:dyDescent="0.2">
      <c r="A20" s="170" t="str">
        <f>CONCATENATE(SP_ENV_Lib[[#This Row],[Environmental Tract No.]],"_",SP_ENV_Lib[[#This Row],[ACQ Document Type]])</f>
        <v>005_ENVIRONMENTAL Right-of-Entry Package</v>
      </c>
      <c r="B20" s="14" t="s">
        <v>3591</v>
      </c>
      <c r="C20" s="169" t="s">
        <v>2691</v>
      </c>
      <c r="D20" s="12" t="s">
        <v>2690</v>
      </c>
      <c r="E20" s="166" t="s">
        <v>2682</v>
      </c>
      <c r="F20" s="8" t="s">
        <v>2687</v>
      </c>
      <c r="G20" s="8" t="s">
        <v>2686</v>
      </c>
      <c r="H20" s="52" t="s">
        <v>592</v>
      </c>
      <c r="I20" s="57">
        <v>43840</v>
      </c>
      <c r="J20" s="57">
        <v>43843</v>
      </c>
      <c r="K20" s="167"/>
      <c r="L20" s="8"/>
      <c r="M20" s="8" t="s">
        <v>4206</v>
      </c>
      <c r="N20" s="26">
        <v>43873.530601851853</v>
      </c>
      <c r="O20" s="8" t="s">
        <v>4206</v>
      </c>
      <c r="P20" s="26">
        <v>43873.521944444445</v>
      </c>
      <c r="Q20" s="65">
        <v>994139</v>
      </c>
      <c r="R20" s="14" t="s">
        <v>3904</v>
      </c>
      <c r="S20" s="168">
        <v>984</v>
      </c>
      <c r="T20" s="52" t="s">
        <v>3512</v>
      </c>
      <c r="U20" s="8" t="s">
        <v>3564</v>
      </c>
    </row>
    <row r="21" spans="1:21" ht="15" x14ac:dyDescent="0.2">
      <c r="A21" s="170" t="str">
        <f>CONCATENATE(SP_ENV_Lib[[#This Row],[Environmental Tract No.]],"_",SP_ENV_Lib[[#This Row],[ACQ Document Type]])</f>
        <v>005_TITLE Tax Card</v>
      </c>
      <c r="B21" s="14" t="s">
        <v>3592</v>
      </c>
      <c r="C21" s="169" t="s">
        <v>2691</v>
      </c>
      <c r="D21" s="12" t="s">
        <v>2690</v>
      </c>
      <c r="E21" s="166" t="s">
        <v>861</v>
      </c>
      <c r="F21" s="8" t="s">
        <v>1150</v>
      </c>
      <c r="G21" s="8" t="s">
        <v>1149</v>
      </c>
      <c r="H21" s="52" t="s">
        <v>592</v>
      </c>
      <c r="I21" s="57"/>
      <c r="J21" s="57"/>
      <c r="K21" s="167"/>
      <c r="L21" s="8"/>
      <c r="M21" s="8" t="s">
        <v>4206</v>
      </c>
      <c r="N21" s="26">
        <v>43872.417337962965</v>
      </c>
      <c r="O21" s="8" t="s">
        <v>4206</v>
      </c>
      <c r="P21" s="26">
        <v>43871.482604166667</v>
      </c>
      <c r="Q21" s="65">
        <v>751457</v>
      </c>
      <c r="R21" s="14" t="s">
        <v>3905</v>
      </c>
      <c r="S21" s="168">
        <v>760</v>
      </c>
      <c r="T21" s="52" t="s">
        <v>3512</v>
      </c>
      <c r="U21" s="8" t="s">
        <v>3564</v>
      </c>
    </row>
    <row r="22" spans="1:21" ht="15" x14ac:dyDescent="0.2">
      <c r="A22" s="170" t="str">
        <f>CONCATENATE(SP_ENV_Lib[[#This Row],[Environmental Tract No.]],"_",SP_ENV_Lib[[#This Row],[ACQ Document Type]])</f>
        <v>006_CONTACT Negotiator Report</v>
      </c>
      <c r="B22" s="14" t="s">
        <v>3577</v>
      </c>
      <c r="C22" s="169" t="s">
        <v>2705</v>
      </c>
      <c r="D22" s="12" t="s">
        <v>2735</v>
      </c>
      <c r="E22" s="166" t="s">
        <v>865</v>
      </c>
      <c r="F22" s="8" t="s">
        <v>1068</v>
      </c>
      <c r="G22" s="8" t="s">
        <v>1067</v>
      </c>
      <c r="H22" s="52" t="s">
        <v>592</v>
      </c>
      <c r="I22" s="57"/>
      <c r="J22" s="57"/>
      <c r="K22" s="167"/>
      <c r="L22" s="8"/>
      <c r="M22" s="8" t="s">
        <v>4206</v>
      </c>
      <c r="N22" s="26">
        <v>43894.485694444447</v>
      </c>
      <c r="O22" s="8" t="s">
        <v>23</v>
      </c>
      <c r="P22" s="26">
        <v>43877.454097222224</v>
      </c>
      <c r="Q22" s="65">
        <v>152629</v>
      </c>
      <c r="R22" s="14" t="s">
        <v>3890</v>
      </c>
      <c r="S22" s="168">
        <v>1110</v>
      </c>
      <c r="T22" s="52" t="s">
        <v>3512</v>
      </c>
      <c r="U22" s="8" t="s">
        <v>3564</v>
      </c>
    </row>
    <row r="23" spans="1:21" ht="15" hidden="1" x14ac:dyDescent="0.2">
      <c r="A23" s="170" t="str">
        <f>CONCATENATE(SP_ENV_Lib[[#This Row],[Environmental Tract No.]],"_",SP_ENV_Lib[[#This Row],[ACQ Document Type]])</f>
        <v>006_ENVIRONMENTAL Right-of-Entry Executed</v>
      </c>
      <c r="B23" s="14" t="s">
        <v>4209</v>
      </c>
      <c r="C23" s="169" t="s">
        <v>2705</v>
      </c>
      <c r="D23" s="12" t="s">
        <v>2735</v>
      </c>
      <c r="E23" s="166" t="s">
        <v>2682</v>
      </c>
      <c r="F23" s="8" t="s">
        <v>2683</v>
      </c>
      <c r="G23" s="8" t="s">
        <v>2681</v>
      </c>
      <c r="H23" s="52" t="s">
        <v>592</v>
      </c>
      <c r="I23" s="57">
        <v>43871</v>
      </c>
      <c r="J23" s="57"/>
      <c r="K23" s="167"/>
      <c r="L23" s="8"/>
      <c r="M23" s="8" t="s">
        <v>4205</v>
      </c>
      <c r="N23" s="26">
        <v>43892.780474537038</v>
      </c>
      <c r="O23" s="8" t="s">
        <v>4205</v>
      </c>
      <c r="P23" s="26">
        <v>43892.778738425928</v>
      </c>
      <c r="Q23" s="65">
        <v>1684182</v>
      </c>
      <c r="R23" s="14" t="s">
        <v>4268</v>
      </c>
      <c r="S23" s="168">
        <v>1167</v>
      </c>
      <c r="T23" s="52" t="s">
        <v>3512</v>
      </c>
      <c r="U23" s="8" t="s">
        <v>3564</v>
      </c>
    </row>
    <row r="24" spans="1:21" ht="15" hidden="1" x14ac:dyDescent="0.2">
      <c r="A24" s="170" t="str">
        <f>CONCATENATE(SP_ENV_Lib[[#This Row],[Environmental Tract No.]],"_",SP_ENV_Lib[[#This Row],[ACQ Document Type]])</f>
        <v>006_ENVIRONMENTAL Right-of-Entry Package</v>
      </c>
      <c r="B24" s="14" t="s">
        <v>3593</v>
      </c>
      <c r="C24" s="169" t="s">
        <v>2705</v>
      </c>
      <c r="D24" s="12" t="s">
        <v>2735</v>
      </c>
      <c r="E24" s="166" t="s">
        <v>2682</v>
      </c>
      <c r="F24" s="8" t="s">
        <v>2687</v>
      </c>
      <c r="G24" s="8" t="s">
        <v>2686</v>
      </c>
      <c r="H24" s="52" t="s">
        <v>592</v>
      </c>
      <c r="I24" s="57">
        <v>43840</v>
      </c>
      <c r="J24" s="57">
        <v>43843</v>
      </c>
      <c r="K24" s="167"/>
      <c r="L24" s="8"/>
      <c r="M24" s="8" t="s">
        <v>4206</v>
      </c>
      <c r="N24" s="26">
        <v>43872.41746527778</v>
      </c>
      <c r="O24" s="8" t="s">
        <v>4207</v>
      </c>
      <c r="P24" s="26">
        <v>43852.409849537034</v>
      </c>
      <c r="Q24" s="65">
        <v>994274</v>
      </c>
      <c r="R24" s="14" t="s">
        <v>3906</v>
      </c>
      <c r="S24" s="168">
        <v>719</v>
      </c>
      <c r="T24" s="52" t="s">
        <v>3512</v>
      </c>
      <c r="U24" s="8" t="s">
        <v>3564</v>
      </c>
    </row>
    <row r="25" spans="1:21" ht="15" x14ac:dyDescent="0.2">
      <c r="A25" s="170" t="str">
        <f>CONCATENATE(SP_ENV_Lib[[#This Row],[Environmental Tract No.]],"_",SP_ENV_Lib[[#This Row],[ACQ Document Type]])</f>
        <v>006_TITLE Tax Card</v>
      </c>
      <c r="B25" s="14" t="s">
        <v>3594</v>
      </c>
      <c r="C25" s="169" t="s">
        <v>2705</v>
      </c>
      <c r="D25" s="12" t="s">
        <v>2735</v>
      </c>
      <c r="E25" s="166" t="s">
        <v>861</v>
      </c>
      <c r="F25" s="8" t="s">
        <v>1150</v>
      </c>
      <c r="G25" s="8" t="s">
        <v>1149</v>
      </c>
      <c r="H25" s="52" t="s">
        <v>592</v>
      </c>
      <c r="I25" s="57"/>
      <c r="J25" s="57"/>
      <c r="K25" s="167"/>
      <c r="L25" s="8"/>
      <c r="M25" s="8" t="s">
        <v>4206</v>
      </c>
      <c r="N25" s="26">
        <v>43872.418009259258</v>
      </c>
      <c r="O25" s="8" t="s">
        <v>4206</v>
      </c>
      <c r="P25" s="26">
        <v>43871.482615740744</v>
      </c>
      <c r="Q25" s="65">
        <v>743984</v>
      </c>
      <c r="R25" s="14" t="s">
        <v>3907</v>
      </c>
      <c r="S25" s="168">
        <v>761</v>
      </c>
      <c r="T25" s="52" t="s">
        <v>3512</v>
      </c>
      <c r="U25" s="8" t="s">
        <v>3564</v>
      </c>
    </row>
    <row r="26" spans="1:21" ht="15" x14ac:dyDescent="0.2">
      <c r="A26" s="170" t="str">
        <f>CONCATENATE(SP_ENV_Lib[[#This Row],[Environmental Tract No.]],"_",SP_ENV_Lib[[#This Row],[ACQ Document Type]])</f>
        <v>007_CONTACT Negotiator Report</v>
      </c>
      <c r="B26" s="14" t="s">
        <v>3578</v>
      </c>
      <c r="C26" s="169" t="s">
        <v>2706</v>
      </c>
      <c r="D26" s="12" t="s">
        <v>2739</v>
      </c>
      <c r="E26" s="166" t="s">
        <v>865</v>
      </c>
      <c r="F26" s="8" t="s">
        <v>1068</v>
      </c>
      <c r="G26" s="8" t="s">
        <v>1067</v>
      </c>
      <c r="H26" s="52" t="s">
        <v>592</v>
      </c>
      <c r="I26" s="57"/>
      <c r="J26" s="57"/>
      <c r="K26" s="167"/>
      <c r="L26" s="8"/>
      <c r="M26" s="8" t="s">
        <v>4206</v>
      </c>
      <c r="N26" s="26">
        <v>43894.485856481479</v>
      </c>
      <c r="O26" s="8" t="s">
        <v>23</v>
      </c>
      <c r="P26" s="26">
        <v>43877.45412037037</v>
      </c>
      <c r="Q26" s="65">
        <v>149690</v>
      </c>
      <c r="R26" s="14" t="s">
        <v>3891</v>
      </c>
      <c r="S26" s="168">
        <v>1111</v>
      </c>
      <c r="T26" s="52" t="s">
        <v>3512</v>
      </c>
      <c r="U26" s="8" t="s">
        <v>3564</v>
      </c>
    </row>
    <row r="27" spans="1:21" ht="15" hidden="1" x14ac:dyDescent="0.2">
      <c r="A27" s="170" t="str">
        <f>CONCATENATE(SP_ENV_Lib[[#This Row],[Environmental Tract No.]],"_",SP_ENV_Lib[[#This Row],[ACQ Document Type]])</f>
        <v>007_ENVIRONMENTAL Right-of-Entry Executed</v>
      </c>
      <c r="B27" s="14" t="s">
        <v>4210</v>
      </c>
      <c r="C27" s="169" t="s">
        <v>2706</v>
      </c>
      <c r="D27" s="12" t="s">
        <v>2739</v>
      </c>
      <c r="E27" s="166" t="s">
        <v>2682</v>
      </c>
      <c r="F27" s="8" t="s">
        <v>2683</v>
      </c>
      <c r="G27" s="8" t="s">
        <v>2681</v>
      </c>
      <c r="H27" s="52" t="s">
        <v>592</v>
      </c>
      <c r="I27" s="57">
        <v>43871</v>
      </c>
      <c r="J27" s="57"/>
      <c r="K27" s="167"/>
      <c r="L27" s="8"/>
      <c r="M27" s="8" t="s">
        <v>4205</v>
      </c>
      <c r="N27" s="26">
        <v>43892.780185185184</v>
      </c>
      <c r="O27" s="8" t="s">
        <v>4205</v>
      </c>
      <c r="P27" s="26">
        <v>43892.779722222222</v>
      </c>
      <c r="Q27" s="65">
        <v>1603473</v>
      </c>
      <c r="R27" s="14" t="s">
        <v>4269</v>
      </c>
      <c r="S27" s="168">
        <v>1168</v>
      </c>
      <c r="T27" s="52" t="s">
        <v>3512</v>
      </c>
      <c r="U27" s="8" t="s">
        <v>3564</v>
      </c>
    </row>
    <row r="28" spans="1:21" ht="15" hidden="1" x14ac:dyDescent="0.2">
      <c r="A28" s="170" t="str">
        <f>CONCATENATE(SP_ENV_Lib[[#This Row],[Environmental Tract No.]],"_",SP_ENV_Lib[[#This Row],[ACQ Document Type]])</f>
        <v>007_ENVIRONMENTAL Right-of-Entry Package</v>
      </c>
      <c r="B28" s="14" t="s">
        <v>3595</v>
      </c>
      <c r="C28" s="169" t="s">
        <v>2706</v>
      </c>
      <c r="D28" s="12" t="s">
        <v>2739</v>
      </c>
      <c r="E28" s="166" t="s">
        <v>2682</v>
      </c>
      <c r="F28" s="8" t="s">
        <v>2687</v>
      </c>
      <c r="G28" s="8" t="s">
        <v>2686</v>
      </c>
      <c r="H28" s="52" t="s">
        <v>592</v>
      </c>
      <c r="I28" s="57">
        <v>43840</v>
      </c>
      <c r="J28" s="57">
        <v>43843</v>
      </c>
      <c r="K28" s="167"/>
      <c r="L28" s="8"/>
      <c r="M28" s="8" t="s">
        <v>4206</v>
      </c>
      <c r="N28" s="26">
        <v>43872.418113425927</v>
      </c>
      <c r="O28" s="8" t="s">
        <v>4207</v>
      </c>
      <c r="P28" s="26">
        <v>43852.409861111111</v>
      </c>
      <c r="Q28" s="65">
        <v>998900</v>
      </c>
      <c r="R28" s="14" t="s">
        <v>3908</v>
      </c>
      <c r="S28" s="168">
        <v>720</v>
      </c>
      <c r="T28" s="52" t="s">
        <v>3512</v>
      </c>
      <c r="U28" s="8" t="s">
        <v>3564</v>
      </c>
    </row>
    <row r="29" spans="1:21" ht="15" x14ac:dyDescent="0.2">
      <c r="A29" s="170" t="str">
        <f>CONCATENATE(SP_ENV_Lib[[#This Row],[Environmental Tract No.]],"_",SP_ENV_Lib[[#This Row],[ACQ Document Type]])</f>
        <v>007_TITLE Tax Card</v>
      </c>
      <c r="B29" s="14" t="s">
        <v>3596</v>
      </c>
      <c r="C29" s="169" t="s">
        <v>2706</v>
      </c>
      <c r="D29" s="12" t="s">
        <v>2739</v>
      </c>
      <c r="E29" s="166" t="s">
        <v>861</v>
      </c>
      <c r="F29" s="8" t="s">
        <v>1150</v>
      </c>
      <c r="G29" s="8" t="s">
        <v>1149</v>
      </c>
      <c r="H29" s="52" t="s">
        <v>592</v>
      </c>
      <c r="I29" s="57"/>
      <c r="J29" s="57"/>
      <c r="K29" s="167"/>
      <c r="L29" s="8"/>
      <c r="M29" s="8" t="s">
        <v>4206</v>
      </c>
      <c r="N29" s="26">
        <v>43872.418240740742</v>
      </c>
      <c r="O29" s="8" t="s">
        <v>4206</v>
      </c>
      <c r="P29" s="26">
        <v>43871.482627314814</v>
      </c>
      <c r="Q29" s="65">
        <v>745734</v>
      </c>
      <c r="R29" s="14" t="s">
        <v>3909</v>
      </c>
      <c r="S29" s="168">
        <v>762</v>
      </c>
      <c r="T29" s="52" t="s">
        <v>3512</v>
      </c>
      <c r="U29" s="8" t="s">
        <v>3564</v>
      </c>
    </row>
    <row r="30" spans="1:21" ht="15" x14ac:dyDescent="0.2">
      <c r="A30" s="170" t="str">
        <f>CONCATENATE(SP_ENV_Lib[[#This Row],[Environmental Tract No.]],"_",SP_ENV_Lib[[#This Row],[ACQ Document Type]])</f>
        <v>008_CONTACT Negotiator Report</v>
      </c>
      <c r="B30" s="14" t="s">
        <v>3579</v>
      </c>
      <c r="C30" s="169" t="s">
        <v>2743</v>
      </c>
      <c r="D30" s="12" t="s">
        <v>2744</v>
      </c>
      <c r="E30" s="166" t="s">
        <v>865</v>
      </c>
      <c r="F30" s="8" t="s">
        <v>1068</v>
      </c>
      <c r="G30" s="8" t="s">
        <v>1067</v>
      </c>
      <c r="H30" s="52" t="s">
        <v>592</v>
      </c>
      <c r="I30" s="57"/>
      <c r="J30" s="57"/>
      <c r="K30" s="167"/>
      <c r="L30" s="8"/>
      <c r="M30" s="8" t="s">
        <v>4206</v>
      </c>
      <c r="N30" s="26">
        <v>43894.485972222225</v>
      </c>
      <c r="O30" s="8" t="s">
        <v>23</v>
      </c>
      <c r="P30" s="26">
        <v>43877.454131944447</v>
      </c>
      <c r="Q30" s="65">
        <v>143838</v>
      </c>
      <c r="R30" s="14" t="s">
        <v>3892</v>
      </c>
      <c r="S30" s="168">
        <v>1112</v>
      </c>
      <c r="T30" s="52" t="s">
        <v>3512</v>
      </c>
      <c r="U30" s="8" t="s">
        <v>3564</v>
      </c>
    </row>
    <row r="31" spans="1:21" ht="15" hidden="1" x14ac:dyDescent="0.2">
      <c r="A31" s="170" t="str">
        <f>CONCATENATE(SP_ENV_Lib[[#This Row],[Environmental Tract No.]],"_",SP_ENV_Lib[[#This Row],[ACQ Document Type]])</f>
        <v>008_ENVIRONMENTAL Right-of-Entry Executed</v>
      </c>
      <c r="B31" s="14" t="s">
        <v>4211</v>
      </c>
      <c r="C31" s="169" t="s">
        <v>2743</v>
      </c>
      <c r="D31" s="12" t="s">
        <v>2744</v>
      </c>
      <c r="E31" s="166" t="s">
        <v>2682</v>
      </c>
      <c r="F31" s="8" t="s">
        <v>2683</v>
      </c>
      <c r="G31" s="8" t="s">
        <v>2681</v>
      </c>
      <c r="H31" s="52" t="s">
        <v>592</v>
      </c>
      <c r="I31" s="57">
        <v>43851</v>
      </c>
      <c r="J31" s="57"/>
      <c r="K31" s="167"/>
      <c r="L31" s="8"/>
      <c r="M31" s="8" t="s">
        <v>4205</v>
      </c>
      <c r="N31" s="26">
        <v>43892.781307870369</v>
      </c>
      <c r="O31" s="8" t="s">
        <v>4205</v>
      </c>
      <c r="P31" s="26">
        <v>43892.780960648146</v>
      </c>
      <c r="Q31" s="65">
        <v>544344</v>
      </c>
      <c r="R31" s="14" t="s">
        <v>4270</v>
      </c>
      <c r="S31" s="168">
        <v>1169</v>
      </c>
      <c r="T31" s="52" t="s">
        <v>3512</v>
      </c>
      <c r="U31" s="8" t="s">
        <v>3564</v>
      </c>
    </row>
    <row r="32" spans="1:21" ht="15" x14ac:dyDescent="0.2">
      <c r="A32" s="170" t="str">
        <f>CONCATENATE(SP_ENV_Lib[[#This Row],[Environmental Tract No.]],"_",SP_ENV_Lib[[#This Row],[ACQ Document Type]])</f>
        <v>008_TITLE Tax Card</v>
      </c>
      <c r="B32" s="14" t="s">
        <v>3597</v>
      </c>
      <c r="C32" s="169" t="s">
        <v>2743</v>
      </c>
      <c r="D32" s="12" t="s">
        <v>2744</v>
      </c>
      <c r="E32" s="166" t="s">
        <v>861</v>
      </c>
      <c r="F32" s="8" t="s">
        <v>1150</v>
      </c>
      <c r="G32" s="8" t="s">
        <v>1149</v>
      </c>
      <c r="H32" s="52" t="s">
        <v>592</v>
      </c>
      <c r="I32" s="57"/>
      <c r="J32" s="57"/>
      <c r="K32" s="167"/>
      <c r="L32" s="8"/>
      <c r="M32" s="8" t="s">
        <v>4206</v>
      </c>
      <c r="N32" s="26">
        <v>43872.419328703705</v>
      </c>
      <c r="O32" s="8" t="s">
        <v>4206</v>
      </c>
      <c r="P32" s="26">
        <v>43871.482638888891</v>
      </c>
      <c r="Q32" s="65">
        <v>726089</v>
      </c>
      <c r="R32" s="14" t="s">
        <v>3910</v>
      </c>
      <c r="S32" s="168">
        <v>763</v>
      </c>
      <c r="T32" s="52" t="s">
        <v>3512</v>
      </c>
      <c r="U32" s="8" t="s">
        <v>3564</v>
      </c>
    </row>
    <row r="33" spans="1:21" ht="15" x14ac:dyDescent="0.2">
      <c r="A33" s="170" t="str">
        <f>CONCATENATE(SP_ENV_Lib[[#This Row],[Environmental Tract No.]],"_",SP_ENV_Lib[[#This Row],[ACQ Document Type]])</f>
        <v>010_CONTACT Negotiator Report</v>
      </c>
      <c r="B33" s="14" t="s">
        <v>3598</v>
      </c>
      <c r="C33" s="169" t="s">
        <v>2692</v>
      </c>
      <c r="D33" s="12" t="s">
        <v>3355</v>
      </c>
      <c r="E33" s="166" t="s">
        <v>865</v>
      </c>
      <c r="F33" s="8" t="s">
        <v>1068</v>
      </c>
      <c r="G33" s="8" t="s">
        <v>1067</v>
      </c>
      <c r="H33" s="52" t="s">
        <v>592</v>
      </c>
      <c r="I33" s="57"/>
      <c r="J33" s="57"/>
      <c r="K33" s="167"/>
      <c r="L33" s="8"/>
      <c r="M33" s="8" t="s">
        <v>1743</v>
      </c>
      <c r="N33" s="26">
        <v>43893.437777777777</v>
      </c>
      <c r="O33" s="8" t="s">
        <v>1743</v>
      </c>
      <c r="P33" s="26">
        <v>43879.453865740739</v>
      </c>
      <c r="Q33" s="65">
        <v>146713</v>
      </c>
      <c r="R33" s="14" t="s">
        <v>3911</v>
      </c>
      <c r="S33" s="168">
        <v>1114</v>
      </c>
      <c r="T33" s="52" t="s">
        <v>3512</v>
      </c>
      <c r="U33" s="8" t="s">
        <v>3564</v>
      </c>
    </row>
    <row r="34" spans="1:21" ht="15" hidden="1" x14ac:dyDescent="0.2">
      <c r="A34" s="170" t="str">
        <f>CONCATENATE(SP_ENV_Lib[[#This Row],[Environmental Tract No.]],"_",SP_ENV_Lib[[#This Row],[ACQ Document Type]])</f>
        <v>010_ENVIRONMENTAL Right-of-Entry Executed</v>
      </c>
      <c r="B34" s="14" t="s">
        <v>4353</v>
      </c>
      <c r="C34" s="169" t="s">
        <v>2692</v>
      </c>
      <c r="D34" s="12" t="s">
        <v>3355</v>
      </c>
      <c r="E34" s="166" t="s">
        <v>2682</v>
      </c>
      <c r="F34" s="8" t="s">
        <v>2683</v>
      </c>
      <c r="G34" s="8" t="s">
        <v>2681</v>
      </c>
      <c r="H34" s="52" t="s">
        <v>592</v>
      </c>
      <c r="I34" s="57">
        <v>43895</v>
      </c>
      <c r="J34" s="57"/>
      <c r="K34" s="167"/>
      <c r="L34" s="8"/>
      <c r="M34" s="8" t="s">
        <v>4205</v>
      </c>
      <c r="N34" s="26">
        <v>43903.853148148148</v>
      </c>
      <c r="O34" s="8" t="s">
        <v>4205</v>
      </c>
      <c r="P34" s="26">
        <v>43903.85261574074</v>
      </c>
      <c r="Q34" s="65">
        <v>1671671</v>
      </c>
      <c r="R34" s="14" t="s">
        <v>4397</v>
      </c>
      <c r="S34" s="168">
        <v>1292</v>
      </c>
      <c r="T34" s="52" t="s">
        <v>3512</v>
      </c>
      <c r="U34" s="8" t="s">
        <v>3564</v>
      </c>
    </row>
    <row r="35" spans="1:21" ht="15" hidden="1" x14ac:dyDescent="0.2">
      <c r="A35" s="170" t="str">
        <f>CONCATENATE(SP_ENV_Lib[[#This Row],[Environmental Tract No.]],"_",SP_ENV_Lib[[#This Row],[ACQ Document Type]])</f>
        <v>010_ENVIRONMENTAL Right-of-Entry Package</v>
      </c>
      <c r="B35" s="14" t="s">
        <v>3599</v>
      </c>
      <c r="C35" s="169" t="s">
        <v>2692</v>
      </c>
      <c r="D35" s="12" t="s">
        <v>3355</v>
      </c>
      <c r="E35" s="166" t="s">
        <v>2682</v>
      </c>
      <c r="F35" s="8" t="s">
        <v>2687</v>
      </c>
      <c r="G35" s="8" t="s">
        <v>2686</v>
      </c>
      <c r="H35" s="52" t="s">
        <v>592</v>
      </c>
      <c r="I35" s="57">
        <v>43840</v>
      </c>
      <c r="J35" s="57">
        <v>43843</v>
      </c>
      <c r="K35" s="167"/>
      <c r="L35" s="8"/>
      <c r="M35" s="8" t="s">
        <v>4206</v>
      </c>
      <c r="N35" s="26">
        <v>43873.531840277778</v>
      </c>
      <c r="O35" s="8" t="s">
        <v>4206</v>
      </c>
      <c r="P35" s="26">
        <v>43873.521990740737</v>
      </c>
      <c r="Q35" s="65">
        <v>986393</v>
      </c>
      <c r="R35" s="14" t="s">
        <v>3912</v>
      </c>
      <c r="S35" s="168">
        <v>985</v>
      </c>
      <c r="T35" s="52" t="s">
        <v>3512</v>
      </c>
      <c r="U35" s="8" t="s">
        <v>3564</v>
      </c>
    </row>
    <row r="36" spans="1:21" ht="15" x14ac:dyDescent="0.2">
      <c r="A36" s="170" t="str">
        <f>CONCATENATE(SP_ENV_Lib[[#This Row],[Environmental Tract No.]],"_",SP_ENV_Lib[[#This Row],[ACQ Document Type]])</f>
        <v>010_TITLE Tax Card</v>
      </c>
      <c r="B36" s="14" t="s">
        <v>3600</v>
      </c>
      <c r="C36" s="169" t="s">
        <v>2692</v>
      </c>
      <c r="D36" s="12" t="s">
        <v>3355</v>
      </c>
      <c r="E36" s="166" t="s">
        <v>861</v>
      </c>
      <c r="F36" s="8" t="s">
        <v>1150</v>
      </c>
      <c r="G36" s="8" t="s">
        <v>1149</v>
      </c>
      <c r="H36" s="52" t="s">
        <v>592</v>
      </c>
      <c r="I36" s="57"/>
      <c r="J36" s="57"/>
      <c r="K36" s="167"/>
      <c r="L36" s="8"/>
      <c r="M36" s="8" t="s">
        <v>4206</v>
      </c>
      <c r="N36" s="26">
        <v>43872.419421296298</v>
      </c>
      <c r="O36" s="8" t="s">
        <v>4206</v>
      </c>
      <c r="P36" s="26">
        <v>43871.48265046296</v>
      </c>
      <c r="Q36" s="65">
        <v>742808</v>
      </c>
      <c r="R36" s="14" t="s">
        <v>3913</v>
      </c>
      <c r="S36" s="168">
        <v>764</v>
      </c>
      <c r="T36" s="52" t="s">
        <v>3512</v>
      </c>
      <c r="U36" s="8" t="s">
        <v>3564</v>
      </c>
    </row>
    <row r="37" spans="1:21" ht="15" x14ac:dyDescent="0.2">
      <c r="A37" s="170" t="str">
        <f>CONCATENATE(SP_ENV_Lib[[#This Row],[Environmental Tract No.]],"_",SP_ENV_Lib[[#This Row],[ACQ Document Type]])</f>
        <v>011_CONTACT Negotiator Report</v>
      </c>
      <c r="B37" s="14" t="s">
        <v>3601</v>
      </c>
      <c r="C37" s="169" t="s">
        <v>2694</v>
      </c>
      <c r="D37" s="12" t="s">
        <v>2693</v>
      </c>
      <c r="E37" s="166" t="s">
        <v>865</v>
      </c>
      <c r="F37" s="8" t="s">
        <v>1068</v>
      </c>
      <c r="G37" s="8" t="s">
        <v>1067</v>
      </c>
      <c r="H37" s="52" t="s">
        <v>592</v>
      </c>
      <c r="I37" s="57"/>
      <c r="J37" s="57"/>
      <c r="K37" s="167"/>
      <c r="L37" s="8"/>
      <c r="M37" s="8" t="s">
        <v>23</v>
      </c>
      <c r="N37" s="26">
        <v>43879.735486111109</v>
      </c>
      <c r="O37" s="8" t="s">
        <v>1743</v>
      </c>
      <c r="P37" s="26">
        <v>43879.455474537041</v>
      </c>
      <c r="Q37" s="65">
        <v>160884</v>
      </c>
      <c r="R37" s="14" t="s">
        <v>3914</v>
      </c>
      <c r="S37" s="168">
        <v>1115</v>
      </c>
      <c r="T37" s="52" t="s">
        <v>3512</v>
      </c>
      <c r="U37" s="8" t="s">
        <v>3564</v>
      </c>
    </row>
    <row r="38" spans="1:21" ht="15" hidden="1" x14ac:dyDescent="0.2">
      <c r="A38" s="170" t="str">
        <f>CONCATENATE(SP_ENV_Lib[[#This Row],[Environmental Tract No.]],"_",SP_ENV_Lib[[#This Row],[ACQ Document Type]])</f>
        <v>011_ENVIRONMENTAL Right-of-Entry Executed</v>
      </c>
      <c r="B38" s="14" t="s">
        <v>4212</v>
      </c>
      <c r="C38" s="169" t="s">
        <v>2694</v>
      </c>
      <c r="D38" s="12" t="s">
        <v>2693</v>
      </c>
      <c r="E38" s="166" t="s">
        <v>2682</v>
      </c>
      <c r="F38" s="8" t="s">
        <v>2683</v>
      </c>
      <c r="G38" s="8" t="s">
        <v>2681</v>
      </c>
      <c r="H38" s="52" t="s">
        <v>592</v>
      </c>
      <c r="I38" s="57">
        <v>43871</v>
      </c>
      <c r="J38" s="57"/>
      <c r="K38" s="167"/>
      <c r="L38" s="8"/>
      <c r="M38" s="8" t="s">
        <v>4205</v>
      </c>
      <c r="N38" s="26">
        <v>43892.782581018517</v>
      </c>
      <c r="O38" s="8" t="s">
        <v>4205</v>
      </c>
      <c r="P38" s="26">
        <v>43892.782199074078</v>
      </c>
      <c r="Q38" s="65">
        <v>1769307</v>
      </c>
      <c r="R38" s="14" t="s">
        <v>4271</v>
      </c>
      <c r="S38" s="168">
        <v>1170</v>
      </c>
      <c r="T38" s="52" t="s">
        <v>3512</v>
      </c>
      <c r="U38" s="8" t="s">
        <v>3564</v>
      </c>
    </row>
    <row r="39" spans="1:21" ht="15" hidden="1" x14ac:dyDescent="0.2">
      <c r="A39" s="170" t="str">
        <f>CONCATENATE(SP_ENV_Lib[[#This Row],[Environmental Tract No.]],"_",SP_ENV_Lib[[#This Row],[ACQ Document Type]])</f>
        <v>011_ENVIRONMENTAL Right-of-Entry Package</v>
      </c>
      <c r="B39" s="14" t="s">
        <v>3602</v>
      </c>
      <c r="C39" s="169" t="s">
        <v>2694</v>
      </c>
      <c r="D39" s="12" t="s">
        <v>2693</v>
      </c>
      <c r="E39" s="166" t="s">
        <v>2682</v>
      </c>
      <c r="F39" s="8" t="s">
        <v>2687</v>
      </c>
      <c r="G39" s="8" t="s">
        <v>2686</v>
      </c>
      <c r="H39" s="52" t="s">
        <v>592</v>
      </c>
      <c r="I39" s="57">
        <v>43840</v>
      </c>
      <c r="J39" s="57">
        <v>43843</v>
      </c>
      <c r="K39" s="167"/>
      <c r="L39" s="8"/>
      <c r="M39" s="8" t="s">
        <v>4206</v>
      </c>
      <c r="N39" s="26">
        <v>43874.509826388887</v>
      </c>
      <c r="O39" s="8" t="s">
        <v>4206</v>
      </c>
      <c r="P39" s="26">
        <v>43873.522037037037</v>
      </c>
      <c r="Q39" s="65">
        <v>978416</v>
      </c>
      <c r="R39" s="14" t="s">
        <v>3915</v>
      </c>
      <c r="S39" s="168">
        <v>986</v>
      </c>
      <c r="T39" s="52" t="s">
        <v>3512</v>
      </c>
      <c r="U39" s="8" t="s">
        <v>3564</v>
      </c>
    </row>
    <row r="40" spans="1:21" ht="15" x14ac:dyDescent="0.2">
      <c r="A40" s="170" t="str">
        <f>CONCATENATE(SP_ENV_Lib[[#This Row],[Environmental Tract No.]],"_",SP_ENV_Lib[[#This Row],[ACQ Document Type]])</f>
        <v>011_TITLE Tax Card</v>
      </c>
      <c r="B40" s="14" t="s">
        <v>3603</v>
      </c>
      <c r="C40" s="169" t="s">
        <v>2694</v>
      </c>
      <c r="D40" s="12" t="s">
        <v>2693</v>
      </c>
      <c r="E40" s="166" t="s">
        <v>861</v>
      </c>
      <c r="F40" s="8" t="s">
        <v>1150</v>
      </c>
      <c r="G40" s="8" t="s">
        <v>1149</v>
      </c>
      <c r="H40" s="52" t="s">
        <v>592</v>
      </c>
      <c r="I40" s="57"/>
      <c r="J40" s="57"/>
      <c r="K40" s="167"/>
      <c r="L40" s="8"/>
      <c r="M40" s="8" t="s">
        <v>4206</v>
      </c>
      <c r="N40" s="26">
        <v>43872.419537037036</v>
      </c>
      <c r="O40" s="8" t="s">
        <v>4206</v>
      </c>
      <c r="P40" s="26">
        <v>43871.482662037037</v>
      </c>
      <c r="Q40" s="65">
        <v>734155</v>
      </c>
      <c r="R40" s="14" t="s">
        <v>3916</v>
      </c>
      <c r="S40" s="168">
        <v>765</v>
      </c>
      <c r="T40" s="52" t="s">
        <v>3512</v>
      </c>
      <c r="U40" s="8" t="s">
        <v>3564</v>
      </c>
    </row>
    <row r="41" spans="1:21" ht="15" x14ac:dyDescent="0.2">
      <c r="A41" s="170" t="str">
        <f>CONCATENATE(SP_ENV_Lib[[#This Row],[Environmental Tract No.]],"_",SP_ENV_Lib[[#This Row],[ACQ Document Type]])</f>
        <v>012_CONTACT Negotiator Report</v>
      </c>
      <c r="B41" s="14" t="s">
        <v>3604</v>
      </c>
      <c r="C41" s="169" t="s">
        <v>2696</v>
      </c>
      <c r="D41" s="12" t="s">
        <v>2695</v>
      </c>
      <c r="E41" s="166" t="s">
        <v>865</v>
      </c>
      <c r="F41" s="8" t="s">
        <v>1068</v>
      </c>
      <c r="G41" s="8" t="s">
        <v>1067</v>
      </c>
      <c r="H41" s="52" t="s">
        <v>592</v>
      </c>
      <c r="I41" s="57"/>
      <c r="J41" s="57"/>
      <c r="K41" s="167"/>
      <c r="L41" s="8"/>
      <c r="M41" s="8" t="s">
        <v>23</v>
      </c>
      <c r="N41" s="26">
        <v>43879.735509259262</v>
      </c>
      <c r="O41" s="8" t="s">
        <v>1743</v>
      </c>
      <c r="P41" s="26">
        <v>43879.474212962959</v>
      </c>
      <c r="Q41" s="65">
        <v>157834</v>
      </c>
      <c r="R41" s="14" t="s">
        <v>3917</v>
      </c>
      <c r="S41" s="168">
        <v>1116</v>
      </c>
      <c r="T41" s="52" t="s">
        <v>3512</v>
      </c>
      <c r="U41" s="8" t="s">
        <v>3564</v>
      </c>
    </row>
    <row r="42" spans="1:21" ht="15" hidden="1" x14ac:dyDescent="0.2">
      <c r="A42" s="170" t="str">
        <f>CONCATENATE(SP_ENV_Lib[[#This Row],[Environmental Tract No.]],"_",SP_ENV_Lib[[#This Row],[ACQ Document Type]])</f>
        <v>012_ENVIRONMENTAL Right-of-Entry Executed</v>
      </c>
      <c r="B42" s="14" t="s">
        <v>4213</v>
      </c>
      <c r="C42" s="169" t="s">
        <v>2696</v>
      </c>
      <c r="D42" s="12" t="s">
        <v>2695</v>
      </c>
      <c r="E42" s="166" t="s">
        <v>2682</v>
      </c>
      <c r="F42" s="8" t="s">
        <v>2683</v>
      </c>
      <c r="G42" s="8" t="s">
        <v>2681</v>
      </c>
      <c r="H42" s="52" t="s">
        <v>592</v>
      </c>
      <c r="I42" s="57">
        <v>43874</v>
      </c>
      <c r="J42" s="57"/>
      <c r="K42" s="167"/>
      <c r="L42" s="8"/>
      <c r="M42" s="8" t="s">
        <v>4205</v>
      </c>
      <c r="N42" s="26">
        <v>43892.783379629633</v>
      </c>
      <c r="O42" s="8" t="s">
        <v>4205</v>
      </c>
      <c r="P42" s="26">
        <v>43892.783078703702</v>
      </c>
      <c r="Q42" s="65">
        <v>1624870</v>
      </c>
      <c r="R42" s="14" t="s">
        <v>4272</v>
      </c>
      <c r="S42" s="168">
        <v>1171</v>
      </c>
      <c r="T42" s="52" t="s">
        <v>3512</v>
      </c>
      <c r="U42" s="8" t="s">
        <v>3564</v>
      </c>
    </row>
    <row r="43" spans="1:21" ht="15" hidden="1" x14ac:dyDescent="0.2">
      <c r="A43" s="170" t="str">
        <f>CONCATENATE(SP_ENV_Lib[[#This Row],[Environmental Tract No.]],"_",SP_ENV_Lib[[#This Row],[ACQ Document Type]])</f>
        <v>012_ENVIRONMENTAL Right-of-Entry Package</v>
      </c>
      <c r="B43" s="14" t="s">
        <v>3605</v>
      </c>
      <c r="C43" s="169" t="s">
        <v>2696</v>
      </c>
      <c r="D43" s="12" t="s">
        <v>2695</v>
      </c>
      <c r="E43" s="166" t="s">
        <v>2682</v>
      </c>
      <c r="F43" s="8" t="s">
        <v>2687</v>
      </c>
      <c r="G43" s="8" t="s">
        <v>2686</v>
      </c>
      <c r="H43" s="52" t="s">
        <v>592</v>
      </c>
      <c r="I43" s="57">
        <v>43840</v>
      </c>
      <c r="J43" s="57">
        <v>43843</v>
      </c>
      <c r="K43" s="167"/>
      <c r="L43" s="8"/>
      <c r="M43" s="8" t="s">
        <v>4206</v>
      </c>
      <c r="N43" s="26">
        <v>43874.511006944442</v>
      </c>
      <c r="O43" s="8" t="s">
        <v>4206</v>
      </c>
      <c r="P43" s="26">
        <v>43873.522060185183</v>
      </c>
      <c r="Q43" s="65">
        <v>983539</v>
      </c>
      <c r="R43" s="14" t="s">
        <v>3918</v>
      </c>
      <c r="S43" s="168">
        <v>987</v>
      </c>
      <c r="T43" s="52" t="s">
        <v>3512</v>
      </c>
      <c r="U43" s="8" t="s">
        <v>3564</v>
      </c>
    </row>
    <row r="44" spans="1:21" ht="15" x14ac:dyDescent="0.2">
      <c r="A44" s="170" t="str">
        <f>CONCATENATE(SP_ENV_Lib[[#This Row],[Environmental Tract No.]],"_",SP_ENV_Lib[[#This Row],[ACQ Document Type]])</f>
        <v>012_TITLE Tax Card</v>
      </c>
      <c r="B44" s="14" t="s">
        <v>3606</v>
      </c>
      <c r="C44" s="169" t="s">
        <v>2696</v>
      </c>
      <c r="D44" s="12" t="s">
        <v>2695</v>
      </c>
      <c r="E44" s="166" t="s">
        <v>861</v>
      </c>
      <c r="F44" s="8" t="s">
        <v>1150</v>
      </c>
      <c r="G44" s="8" t="s">
        <v>1149</v>
      </c>
      <c r="H44" s="52" t="s">
        <v>592</v>
      </c>
      <c r="I44" s="57"/>
      <c r="J44" s="57"/>
      <c r="K44" s="167"/>
      <c r="L44" s="8"/>
      <c r="M44" s="8" t="s">
        <v>4206</v>
      </c>
      <c r="N44" s="26">
        <v>43872.444895833331</v>
      </c>
      <c r="O44" s="8" t="s">
        <v>4206</v>
      </c>
      <c r="P44" s="26">
        <v>43871.482673611114</v>
      </c>
      <c r="Q44" s="65">
        <v>739444</v>
      </c>
      <c r="R44" s="14" t="s">
        <v>3919</v>
      </c>
      <c r="S44" s="168">
        <v>766</v>
      </c>
      <c r="T44" s="52" t="s">
        <v>3512</v>
      </c>
      <c r="U44" s="8" t="s">
        <v>3564</v>
      </c>
    </row>
    <row r="45" spans="1:21" ht="15" x14ac:dyDescent="0.2">
      <c r="A45" s="170" t="str">
        <f>CONCATENATE(SP_ENV_Lib[[#This Row],[Environmental Tract No.]],"_",SP_ENV_Lib[[#This Row],[ACQ Document Type]])</f>
        <v>013_CONTACT Negotiator Report</v>
      </c>
      <c r="B45" s="14" t="s">
        <v>3607</v>
      </c>
      <c r="C45" s="169" t="s">
        <v>2756</v>
      </c>
      <c r="D45" s="12" t="s">
        <v>2757</v>
      </c>
      <c r="E45" s="166" t="s">
        <v>865</v>
      </c>
      <c r="F45" s="8" t="s">
        <v>1068</v>
      </c>
      <c r="G45" s="8" t="s">
        <v>1067</v>
      </c>
      <c r="H45" s="52" t="s">
        <v>592</v>
      </c>
      <c r="I45" s="57"/>
      <c r="J45" s="57"/>
      <c r="K45" s="167"/>
      <c r="L45" s="8"/>
      <c r="M45" s="8" t="s">
        <v>23</v>
      </c>
      <c r="N45" s="26">
        <v>43879.735532407409</v>
      </c>
      <c r="O45" s="8" t="s">
        <v>1743</v>
      </c>
      <c r="P45" s="26">
        <v>43879.475856481484</v>
      </c>
      <c r="Q45" s="65">
        <v>88883</v>
      </c>
      <c r="R45" s="14" t="s">
        <v>3920</v>
      </c>
      <c r="S45" s="168">
        <v>1117</v>
      </c>
      <c r="T45" s="52" t="s">
        <v>3512</v>
      </c>
      <c r="U45" s="8" t="s">
        <v>3564</v>
      </c>
    </row>
    <row r="46" spans="1:21" ht="15" hidden="1" x14ac:dyDescent="0.2">
      <c r="A46" s="170" t="str">
        <f>CONCATENATE(SP_ENV_Lib[[#This Row],[Environmental Tract No.]],"_",SP_ENV_Lib[[#This Row],[ACQ Document Type]])</f>
        <v>013_ENVIRONMENTAL Right-of-Entry Executed</v>
      </c>
      <c r="B46" s="14" t="s">
        <v>4214</v>
      </c>
      <c r="C46" s="169" t="s">
        <v>2756</v>
      </c>
      <c r="D46" s="12" t="s">
        <v>2757</v>
      </c>
      <c r="E46" s="166" t="s">
        <v>2682</v>
      </c>
      <c r="F46" s="8" t="s">
        <v>2683</v>
      </c>
      <c r="G46" s="8" t="s">
        <v>2681</v>
      </c>
      <c r="H46" s="52" t="s">
        <v>592</v>
      </c>
      <c r="I46" s="57">
        <v>43874</v>
      </c>
      <c r="J46" s="57"/>
      <c r="K46" s="167"/>
      <c r="L46" s="8"/>
      <c r="M46" s="8" t="s">
        <v>4205</v>
      </c>
      <c r="N46" s="26">
        <v>43892.785578703704</v>
      </c>
      <c r="O46" s="8" t="s">
        <v>4205</v>
      </c>
      <c r="P46" s="26">
        <v>43892.785150462965</v>
      </c>
      <c r="Q46" s="65">
        <v>1641698</v>
      </c>
      <c r="R46" s="14" t="s">
        <v>4273</v>
      </c>
      <c r="S46" s="168">
        <v>1172</v>
      </c>
      <c r="T46" s="52" t="s">
        <v>3512</v>
      </c>
      <c r="U46" s="8" t="s">
        <v>3564</v>
      </c>
    </row>
    <row r="47" spans="1:21" ht="15" hidden="1" x14ac:dyDescent="0.2">
      <c r="A47" s="170" t="str">
        <f>CONCATENATE(SP_ENV_Lib[[#This Row],[Environmental Tract No.]],"_",SP_ENV_Lib[[#This Row],[ACQ Document Type]])</f>
        <v>013_ENVIRONMENTAL Right-of-Entry Package</v>
      </c>
      <c r="B47" s="14" t="s">
        <v>3608</v>
      </c>
      <c r="C47" s="169" t="s">
        <v>2756</v>
      </c>
      <c r="D47" s="12" t="s">
        <v>2757</v>
      </c>
      <c r="E47" s="166" t="s">
        <v>2682</v>
      </c>
      <c r="F47" s="8" t="s">
        <v>2687</v>
      </c>
      <c r="G47" s="8" t="s">
        <v>2686</v>
      </c>
      <c r="H47" s="52" t="s">
        <v>592</v>
      </c>
      <c r="I47" s="57">
        <v>43840</v>
      </c>
      <c r="J47" s="57">
        <v>43843</v>
      </c>
      <c r="K47" s="167"/>
      <c r="L47" s="8"/>
      <c r="M47" s="8" t="s">
        <v>4206</v>
      </c>
      <c r="N47" s="26">
        <v>43874.545937499999</v>
      </c>
      <c r="O47" s="8" t="s">
        <v>4206</v>
      </c>
      <c r="P47" s="26">
        <v>43873.522094907406</v>
      </c>
      <c r="Q47" s="65">
        <v>969678</v>
      </c>
      <c r="R47" s="14" t="s">
        <v>3921</v>
      </c>
      <c r="S47" s="168">
        <v>988</v>
      </c>
      <c r="T47" s="52" t="s">
        <v>3512</v>
      </c>
      <c r="U47" s="8" t="s">
        <v>3564</v>
      </c>
    </row>
    <row r="48" spans="1:21" ht="15" x14ac:dyDescent="0.2">
      <c r="A48" s="170" t="str">
        <f>CONCATENATE(SP_ENV_Lib[[#This Row],[Environmental Tract No.]],"_",SP_ENV_Lib[[#This Row],[ACQ Document Type]])</f>
        <v>013_TITLE Tax Card</v>
      </c>
      <c r="B48" s="14" t="s">
        <v>3609</v>
      </c>
      <c r="C48" s="169" t="s">
        <v>2756</v>
      </c>
      <c r="D48" s="12" t="s">
        <v>2757</v>
      </c>
      <c r="E48" s="166" t="s">
        <v>861</v>
      </c>
      <c r="F48" s="8" t="s">
        <v>1150</v>
      </c>
      <c r="G48" s="8" t="s">
        <v>1149</v>
      </c>
      <c r="H48" s="52" t="s">
        <v>592</v>
      </c>
      <c r="I48" s="57"/>
      <c r="J48" s="57"/>
      <c r="K48" s="167"/>
      <c r="L48" s="8"/>
      <c r="M48" s="8" t="s">
        <v>4206</v>
      </c>
      <c r="N48" s="26">
        <v>43872.444756944446</v>
      </c>
      <c r="O48" s="8" t="s">
        <v>4206</v>
      </c>
      <c r="P48" s="26">
        <v>43871.48269675926</v>
      </c>
      <c r="Q48" s="65">
        <v>727550</v>
      </c>
      <c r="R48" s="14" t="s">
        <v>3922</v>
      </c>
      <c r="S48" s="168">
        <v>767</v>
      </c>
      <c r="T48" s="52" t="s">
        <v>3512</v>
      </c>
      <c r="U48" s="8" t="s">
        <v>3564</v>
      </c>
    </row>
    <row r="49" spans="1:21" ht="15" x14ac:dyDescent="0.2">
      <c r="A49" s="170" t="str">
        <f>CONCATENATE(SP_ENV_Lib[[#This Row],[Environmental Tract No.]],"_",SP_ENV_Lib[[#This Row],[ACQ Document Type]])</f>
        <v>014_CONTACT Negotiator Report</v>
      </c>
      <c r="B49" s="14" t="s">
        <v>3610</v>
      </c>
      <c r="C49" s="169" t="s">
        <v>2761</v>
      </c>
      <c r="D49" s="12" t="s">
        <v>2762</v>
      </c>
      <c r="E49" s="166" t="s">
        <v>865</v>
      </c>
      <c r="F49" s="8" t="s">
        <v>1068</v>
      </c>
      <c r="G49" s="8" t="s">
        <v>1067</v>
      </c>
      <c r="H49" s="52" t="s">
        <v>592</v>
      </c>
      <c r="I49" s="57"/>
      <c r="J49" s="57"/>
      <c r="K49" s="167"/>
      <c r="L49" s="8"/>
      <c r="M49" s="8" t="s">
        <v>23</v>
      </c>
      <c r="N49" s="26">
        <v>43879.735532407409</v>
      </c>
      <c r="O49" s="8" t="s">
        <v>1743</v>
      </c>
      <c r="P49" s="26">
        <v>43879.4766087963</v>
      </c>
      <c r="Q49" s="65">
        <v>61613</v>
      </c>
      <c r="R49" s="14" t="s">
        <v>3923</v>
      </c>
      <c r="S49" s="168">
        <v>1118</v>
      </c>
      <c r="T49" s="52" t="s">
        <v>3512</v>
      </c>
      <c r="U49" s="8" t="s">
        <v>3564</v>
      </c>
    </row>
    <row r="50" spans="1:21" ht="15" hidden="1" x14ac:dyDescent="0.2">
      <c r="A50" s="170" t="str">
        <f>CONCATENATE(SP_ENV_Lib[[#This Row],[Environmental Tract No.]],"_",SP_ENV_Lib[[#This Row],[ACQ Document Type]])</f>
        <v>014_ENVIRONMENTAL Right-of-Entry Executed</v>
      </c>
      <c r="B50" s="14" t="s">
        <v>4215</v>
      </c>
      <c r="C50" s="169" t="s">
        <v>2761</v>
      </c>
      <c r="D50" s="12" t="s">
        <v>2762</v>
      </c>
      <c r="E50" s="166" t="s">
        <v>2682</v>
      </c>
      <c r="F50" s="8" t="s">
        <v>2683</v>
      </c>
      <c r="G50" s="8" t="s">
        <v>2681</v>
      </c>
      <c r="H50" s="52" t="s">
        <v>592</v>
      </c>
      <c r="I50" s="57">
        <v>43851</v>
      </c>
      <c r="J50" s="57"/>
      <c r="K50" s="167"/>
      <c r="L50" s="8"/>
      <c r="M50" s="8" t="s">
        <v>4205</v>
      </c>
      <c r="N50" s="26">
        <v>43892.786770833336</v>
      </c>
      <c r="O50" s="8" t="s">
        <v>4205</v>
      </c>
      <c r="P50" s="26">
        <v>43892.78638888889</v>
      </c>
      <c r="Q50" s="65">
        <v>2084839</v>
      </c>
      <c r="R50" s="14" t="s">
        <v>4274</v>
      </c>
      <c r="S50" s="168">
        <v>1173</v>
      </c>
      <c r="T50" s="52" t="s">
        <v>3512</v>
      </c>
      <c r="U50" s="8" t="s">
        <v>3564</v>
      </c>
    </row>
    <row r="51" spans="1:21" ht="15" hidden="1" x14ac:dyDescent="0.2">
      <c r="A51" s="170" t="str">
        <f>CONCATENATE(SP_ENV_Lib[[#This Row],[Environmental Tract No.]],"_",SP_ENV_Lib[[#This Row],[ACQ Document Type]])</f>
        <v>014_ENVIRONMENTAL Right-of-Entry Package</v>
      </c>
      <c r="B51" s="14" t="s">
        <v>3611</v>
      </c>
      <c r="C51" s="169" t="s">
        <v>2761</v>
      </c>
      <c r="D51" s="12" t="s">
        <v>2762</v>
      </c>
      <c r="E51" s="166" t="s">
        <v>2682</v>
      </c>
      <c r="F51" s="8" t="s">
        <v>2687</v>
      </c>
      <c r="G51" s="8" t="s">
        <v>2686</v>
      </c>
      <c r="H51" s="52" t="s">
        <v>592</v>
      </c>
      <c r="I51" s="57">
        <v>43840</v>
      </c>
      <c r="J51" s="57">
        <v>43845</v>
      </c>
      <c r="K51" s="167"/>
      <c r="L51" s="8"/>
      <c r="M51" s="8" t="s">
        <v>4206</v>
      </c>
      <c r="N51" s="26">
        <v>43874.545659722222</v>
      </c>
      <c r="O51" s="8" t="s">
        <v>4206</v>
      </c>
      <c r="P51" s="26">
        <v>43873.522129629629</v>
      </c>
      <c r="Q51" s="65">
        <v>965656</v>
      </c>
      <c r="R51" s="14" t="s">
        <v>3924</v>
      </c>
      <c r="S51" s="168">
        <v>989</v>
      </c>
      <c r="T51" s="52" t="s">
        <v>3512</v>
      </c>
      <c r="U51" s="8" t="s">
        <v>3564</v>
      </c>
    </row>
    <row r="52" spans="1:21" ht="15" x14ac:dyDescent="0.2">
      <c r="A52" s="170" t="str">
        <f>CONCATENATE(SP_ENV_Lib[[#This Row],[Environmental Tract No.]],"_",SP_ENV_Lib[[#This Row],[ACQ Document Type]])</f>
        <v>014_TITLE Tax Card</v>
      </c>
      <c r="B52" s="14" t="s">
        <v>3612</v>
      </c>
      <c r="C52" s="169" t="s">
        <v>2761</v>
      </c>
      <c r="D52" s="12" t="s">
        <v>2762</v>
      </c>
      <c r="E52" s="166" t="s">
        <v>861</v>
      </c>
      <c r="F52" s="8" t="s">
        <v>1150</v>
      </c>
      <c r="G52" s="8" t="s">
        <v>1149</v>
      </c>
      <c r="H52" s="52" t="s">
        <v>592</v>
      </c>
      <c r="I52" s="57"/>
      <c r="J52" s="57"/>
      <c r="K52" s="167"/>
      <c r="L52" s="8"/>
      <c r="M52" s="8" t="s">
        <v>4206</v>
      </c>
      <c r="N52" s="26">
        <v>43872.444606481484</v>
      </c>
      <c r="O52" s="8" t="s">
        <v>4206</v>
      </c>
      <c r="P52" s="26">
        <v>43871.482708333337</v>
      </c>
      <c r="Q52" s="65">
        <v>722379</v>
      </c>
      <c r="R52" s="14" t="s">
        <v>3925</v>
      </c>
      <c r="S52" s="168">
        <v>768</v>
      </c>
      <c r="T52" s="52" t="s">
        <v>3512</v>
      </c>
      <c r="U52" s="8" t="s">
        <v>3564</v>
      </c>
    </row>
    <row r="53" spans="1:21" ht="15" x14ac:dyDescent="0.2">
      <c r="A53" s="170" t="str">
        <f>CONCATENATE(SP_ENV_Lib[[#This Row],[Environmental Tract No.]],"_",SP_ENV_Lib[[#This Row],[ACQ Document Type]])</f>
        <v>015_CONTACT Negotiator Report</v>
      </c>
      <c r="B53" s="14" t="s">
        <v>3613</v>
      </c>
      <c r="C53" s="169" t="s">
        <v>2766</v>
      </c>
      <c r="D53" s="12" t="s">
        <v>3566</v>
      </c>
      <c r="E53" s="166" t="s">
        <v>865</v>
      </c>
      <c r="F53" s="8" t="s">
        <v>1068</v>
      </c>
      <c r="G53" s="8" t="s">
        <v>1067</v>
      </c>
      <c r="H53" s="52" t="s">
        <v>592</v>
      </c>
      <c r="I53" s="57"/>
      <c r="J53" s="57"/>
      <c r="K53" s="167"/>
      <c r="L53" s="8"/>
      <c r="M53" s="8" t="s">
        <v>1743</v>
      </c>
      <c r="N53" s="26">
        <v>43893.483217592591</v>
      </c>
      <c r="O53" s="8" t="s">
        <v>1743</v>
      </c>
      <c r="P53" s="26">
        <v>43879.477268518516</v>
      </c>
      <c r="Q53" s="65">
        <v>82709</v>
      </c>
      <c r="R53" s="14" t="s">
        <v>3926</v>
      </c>
      <c r="S53" s="168">
        <v>1119</v>
      </c>
      <c r="T53" s="52" t="s">
        <v>3512</v>
      </c>
      <c r="U53" s="8" t="s">
        <v>3564</v>
      </c>
    </row>
    <row r="54" spans="1:21" ht="15" x14ac:dyDescent="0.2">
      <c r="A54" s="170" t="str">
        <f>CONCATENATE(SP_ENV_Lib[[#This Row],[Environmental Tract No.]],"_",SP_ENV_Lib[[#This Row],[ACQ Document Type]])</f>
        <v>015_CONTACT Negotiator Report</v>
      </c>
      <c r="B54" s="14" t="s">
        <v>4935</v>
      </c>
      <c r="C54" s="169" t="s">
        <v>2766</v>
      </c>
      <c r="D54" s="12" t="s">
        <v>3566</v>
      </c>
      <c r="E54" s="166" t="s">
        <v>865</v>
      </c>
      <c r="F54" s="8" t="s">
        <v>1068</v>
      </c>
      <c r="G54" s="8" t="s">
        <v>1067</v>
      </c>
      <c r="H54" s="52" t="s">
        <v>592</v>
      </c>
      <c r="I54" s="57"/>
      <c r="J54" s="57"/>
      <c r="K54" s="167"/>
      <c r="L54" s="8"/>
      <c r="M54" s="8" t="s">
        <v>1743</v>
      </c>
      <c r="N54" s="26">
        <v>43941.433495370373</v>
      </c>
      <c r="O54" s="8" t="s">
        <v>1743</v>
      </c>
      <c r="P54" s="26">
        <v>43941.433495370373</v>
      </c>
      <c r="Q54" s="65">
        <v>91561</v>
      </c>
      <c r="R54" s="14" t="s">
        <v>4936</v>
      </c>
      <c r="S54" s="168">
        <v>1338</v>
      </c>
      <c r="T54" s="52" t="s">
        <v>3512</v>
      </c>
      <c r="U54" s="8" t="s">
        <v>3564</v>
      </c>
    </row>
    <row r="55" spans="1:21" ht="15" x14ac:dyDescent="0.2">
      <c r="A55" s="170" t="str">
        <f>CONCATENATE(SP_ENV_Lib[[#This Row],[Environmental Tract No.]],"_",SP_ENV_Lib[[#This Row],[ACQ Document Type]])</f>
        <v>015_ENVIRONMENTAL Right-of-Entry Executed</v>
      </c>
      <c r="B55" s="14" t="s">
        <v>5037</v>
      </c>
      <c r="C55" s="169" t="s">
        <v>2766</v>
      </c>
      <c r="D55" s="12" t="s">
        <v>3566</v>
      </c>
      <c r="E55" s="166" t="s">
        <v>2682</v>
      </c>
      <c r="F55" s="8" t="s">
        <v>2683</v>
      </c>
      <c r="G55" s="8" t="s">
        <v>2681</v>
      </c>
      <c r="H55" s="52" t="s">
        <v>592</v>
      </c>
      <c r="I55" s="57">
        <v>43935</v>
      </c>
      <c r="J55" s="57"/>
      <c r="K55" s="167"/>
      <c r="L55" s="8"/>
      <c r="M55" s="8" t="s">
        <v>4205</v>
      </c>
      <c r="N55" s="26">
        <v>43955.607893518521</v>
      </c>
      <c r="O55" s="8" t="s">
        <v>4205</v>
      </c>
      <c r="P55" s="26">
        <v>43955.605624999997</v>
      </c>
      <c r="Q55" s="65">
        <v>1913549</v>
      </c>
      <c r="R55" s="14" t="s">
        <v>5039</v>
      </c>
      <c r="S55" s="168">
        <v>1341</v>
      </c>
      <c r="T55" s="52" t="s">
        <v>3512</v>
      </c>
      <c r="U55" s="8" t="s">
        <v>3564</v>
      </c>
    </row>
    <row r="56" spans="1:21" ht="15" hidden="1" x14ac:dyDescent="0.2">
      <c r="A56" s="170" t="str">
        <f>CONCATENATE(SP_ENV_Lib[[#This Row],[Environmental Tract No.]],"_",SP_ENV_Lib[[#This Row],[ACQ Document Type]])</f>
        <v>015_ENVIRONMENTAL Right-of-Entry Package</v>
      </c>
      <c r="B56" s="14" t="s">
        <v>4354</v>
      </c>
      <c r="C56" s="169" t="s">
        <v>2766</v>
      </c>
      <c r="D56" s="12" t="s">
        <v>3566</v>
      </c>
      <c r="E56" s="166" t="s">
        <v>2682</v>
      </c>
      <c r="F56" s="8" t="s">
        <v>2687</v>
      </c>
      <c r="G56" s="8" t="s">
        <v>2686</v>
      </c>
      <c r="H56" s="52" t="s">
        <v>592</v>
      </c>
      <c r="I56" s="57">
        <v>43840</v>
      </c>
      <c r="J56" s="57">
        <v>43860</v>
      </c>
      <c r="K56" s="167"/>
      <c r="L56" s="8" t="s">
        <v>4346</v>
      </c>
      <c r="M56" s="8" t="s">
        <v>4206</v>
      </c>
      <c r="N56" s="26">
        <v>43896.519884259258</v>
      </c>
      <c r="O56" s="8" t="s">
        <v>4206</v>
      </c>
      <c r="P56" s="26">
        <v>43896.509027777778</v>
      </c>
      <c r="Q56" s="65">
        <v>1057248</v>
      </c>
      <c r="R56" s="14" t="s">
        <v>4398</v>
      </c>
      <c r="S56" s="168">
        <v>1270</v>
      </c>
      <c r="T56" s="52" t="s">
        <v>3512</v>
      </c>
      <c r="U56" s="8" t="s">
        <v>3564</v>
      </c>
    </row>
    <row r="57" spans="1:21" ht="15" x14ac:dyDescent="0.2">
      <c r="A57" s="170" t="str">
        <f>CONCATENATE(SP_ENV_Lib[[#This Row],[Environmental Tract No.]],"_",SP_ENV_Lib[[#This Row],[ACQ Document Type]])</f>
        <v>015_TITLE Tax Card</v>
      </c>
      <c r="B57" s="14" t="s">
        <v>3614</v>
      </c>
      <c r="C57" s="169" t="s">
        <v>2766</v>
      </c>
      <c r="D57" s="12" t="s">
        <v>3566</v>
      </c>
      <c r="E57" s="166" t="s">
        <v>861</v>
      </c>
      <c r="F57" s="8" t="s">
        <v>1150</v>
      </c>
      <c r="G57" s="8" t="s">
        <v>1149</v>
      </c>
      <c r="H57" s="52" t="s">
        <v>592</v>
      </c>
      <c r="I57" s="57"/>
      <c r="J57" s="57"/>
      <c r="K57" s="167"/>
      <c r="L57" s="8"/>
      <c r="M57" s="8" t="s">
        <v>4206</v>
      </c>
      <c r="N57" s="26">
        <v>43872.444444444445</v>
      </c>
      <c r="O57" s="8" t="s">
        <v>4206</v>
      </c>
      <c r="P57" s="26">
        <v>43871.482719907406</v>
      </c>
      <c r="Q57" s="65">
        <v>721219</v>
      </c>
      <c r="R57" s="14" t="s">
        <v>3927</v>
      </c>
      <c r="S57" s="168">
        <v>769</v>
      </c>
      <c r="T57" s="52" t="s">
        <v>3512</v>
      </c>
      <c r="U57" s="8" t="s">
        <v>3564</v>
      </c>
    </row>
    <row r="58" spans="1:21" ht="15" x14ac:dyDescent="0.2">
      <c r="A58" s="170" t="str">
        <f>CONCATENATE(SP_ENV_Lib[[#This Row],[Environmental Tract No.]],"_",SP_ENV_Lib[[#This Row],[ACQ Document Type]])</f>
        <v>016_CONTACT Negotiator Report</v>
      </c>
      <c r="B58" s="14" t="s">
        <v>3615</v>
      </c>
      <c r="C58" s="169" t="s">
        <v>2771</v>
      </c>
      <c r="D58" s="12" t="s">
        <v>2767</v>
      </c>
      <c r="E58" s="166" t="s">
        <v>865</v>
      </c>
      <c r="F58" s="8" t="s">
        <v>1068</v>
      </c>
      <c r="G58" s="8" t="s">
        <v>1067</v>
      </c>
      <c r="H58" s="52" t="s">
        <v>592</v>
      </c>
      <c r="I58" s="57"/>
      <c r="J58" s="57"/>
      <c r="K58" s="167"/>
      <c r="L58" s="8"/>
      <c r="M58" s="8" t="s">
        <v>1743</v>
      </c>
      <c r="N58" s="26">
        <v>43885.460416666669</v>
      </c>
      <c r="O58" s="8" t="s">
        <v>1743</v>
      </c>
      <c r="P58" s="26">
        <v>43879.477951388886</v>
      </c>
      <c r="Q58" s="65">
        <v>60186</v>
      </c>
      <c r="R58" s="14" t="s">
        <v>3928</v>
      </c>
      <c r="S58" s="168">
        <v>1120</v>
      </c>
      <c r="T58" s="52" t="s">
        <v>3512</v>
      </c>
      <c r="U58" s="8" t="s">
        <v>3564</v>
      </c>
    </row>
    <row r="59" spans="1:21" ht="15" hidden="1" x14ac:dyDescent="0.2">
      <c r="A59" s="170" t="str">
        <f>CONCATENATE(SP_ENV_Lib[[#This Row],[Environmental Tract No.]],"_",SP_ENV_Lib[[#This Row],[ACQ Document Type]])</f>
        <v>016_ENVIRONMENTAL Right-of-Entry Executed</v>
      </c>
      <c r="B59" s="14" t="s">
        <v>4355</v>
      </c>
      <c r="C59" s="169" t="s">
        <v>2771</v>
      </c>
      <c r="D59" s="12" t="s">
        <v>2767</v>
      </c>
      <c r="E59" s="166" t="s">
        <v>2682</v>
      </c>
      <c r="F59" s="8" t="s">
        <v>2683</v>
      </c>
      <c r="G59" s="8" t="s">
        <v>2681</v>
      </c>
      <c r="H59" s="52" t="s">
        <v>592</v>
      </c>
      <c r="I59" s="57">
        <v>43895</v>
      </c>
      <c r="J59" s="57"/>
      <c r="K59" s="167"/>
      <c r="L59" s="8"/>
      <c r="M59" s="8" t="s">
        <v>4205</v>
      </c>
      <c r="N59" s="26">
        <v>43903.854201388887</v>
      </c>
      <c r="O59" s="8" t="s">
        <v>4205</v>
      </c>
      <c r="P59" s="26">
        <v>43903.853912037041</v>
      </c>
      <c r="Q59" s="65">
        <v>1730085</v>
      </c>
      <c r="R59" s="14" t="s">
        <v>4399</v>
      </c>
      <c r="S59" s="168">
        <v>1293</v>
      </c>
      <c r="T59" s="52" t="s">
        <v>3512</v>
      </c>
      <c r="U59" s="8" t="s">
        <v>3564</v>
      </c>
    </row>
    <row r="60" spans="1:21" ht="15" hidden="1" x14ac:dyDescent="0.2">
      <c r="A60" s="170" t="str">
        <f>CONCATENATE(SP_ENV_Lib[[#This Row],[Environmental Tract No.]],"_",SP_ENV_Lib[[#This Row],[ACQ Document Type]])</f>
        <v>016_ENVIRONMENTAL Right-of-Entry Package</v>
      </c>
      <c r="B60" s="14" t="s">
        <v>3616</v>
      </c>
      <c r="C60" s="169" t="s">
        <v>2771</v>
      </c>
      <c r="D60" s="12" t="s">
        <v>2767</v>
      </c>
      <c r="E60" s="166" t="s">
        <v>2682</v>
      </c>
      <c r="F60" s="8" t="s">
        <v>2687</v>
      </c>
      <c r="G60" s="8" t="s">
        <v>2686</v>
      </c>
      <c r="H60" s="52" t="s">
        <v>592</v>
      </c>
      <c r="I60" s="57">
        <v>43840</v>
      </c>
      <c r="J60" s="57">
        <v>43846</v>
      </c>
      <c r="K60" s="167"/>
      <c r="L60" s="8"/>
      <c r="M60" s="8" t="s">
        <v>4206</v>
      </c>
      <c r="N60" s="26">
        <v>43874.545416666668</v>
      </c>
      <c r="O60" s="8" t="s">
        <v>4206</v>
      </c>
      <c r="P60" s="26">
        <v>43873.522152777776</v>
      </c>
      <c r="Q60" s="65">
        <v>967492</v>
      </c>
      <c r="R60" s="14" t="s">
        <v>3929</v>
      </c>
      <c r="S60" s="168">
        <v>990</v>
      </c>
      <c r="T60" s="52" t="s">
        <v>3512</v>
      </c>
      <c r="U60" s="8" t="s">
        <v>3564</v>
      </c>
    </row>
    <row r="61" spans="1:21" ht="15" x14ac:dyDescent="0.2">
      <c r="A61" s="170" t="str">
        <f>CONCATENATE(SP_ENV_Lib[[#This Row],[Environmental Tract No.]],"_",SP_ENV_Lib[[#This Row],[ACQ Document Type]])</f>
        <v>016_TITLE Tax Card</v>
      </c>
      <c r="B61" s="14" t="s">
        <v>3617</v>
      </c>
      <c r="C61" s="169" t="s">
        <v>2771</v>
      </c>
      <c r="D61" s="12" t="s">
        <v>2767</v>
      </c>
      <c r="E61" s="166" t="s">
        <v>861</v>
      </c>
      <c r="F61" s="8" t="s">
        <v>1150</v>
      </c>
      <c r="G61" s="8" t="s">
        <v>1149</v>
      </c>
      <c r="H61" s="52" t="s">
        <v>592</v>
      </c>
      <c r="I61" s="57"/>
      <c r="J61" s="57"/>
      <c r="K61" s="167"/>
      <c r="L61" s="8"/>
      <c r="M61" s="8" t="s">
        <v>4206</v>
      </c>
      <c r="N61" s="26">
        <v>43872.44431712963</v>
      </c>
      <c r="O61" s="8" t="s">
        <v>4206</v>
      </c>
      <c r="P61" s="26">
        <v>43871.482731481483</v>
      </c>
      <c r="Q61" s="65">
        <v>720413</v>
      </c>
      <c r="R61" s="14" t="s">
        <v>3930</v>
      </c>
      <c r="S61" s="168">
        <v>770</v>
      </c>
      <c r="T61" s="52" t="s">
        <v>3512</v>
      </c>
      <c r="U61" s="8" t="s">
        <v>3564</v>
      </c>
    </row>
    <row r="62" spans="1:21" ht="15" x14ac:dyDescent="0.2">
      <c r="A62" s="170" t="str">
        <f>CONCATENATE(SP_ENV_Lib[[#This Row],[Environmental Tract No.]],"_",SP_ENV_Lib[[#This Row],[ACQ Document Type]])</f>
        <v>017_CONTACT Negotiator Report</v>
      </c>
      <c r="B62" s="14" t="s">
        <v>3618</v>
      </c>
      <c r="C62" s="169" t="s">
        <v>2773</v>
      </c>
      <c r="D62" s="12" t="s">
        <v>2774</v>
      </c>
      <c r="E62" s="166" t="s">
        <v>865</v>
      </c>
      <c r="F62" s="8" t="s">
        <v>1068</v>
      </c>
      <c r="G62" s="8" t="s">
        <v>1067</v>
      </c>
      <c r="H62" s="52" t="s">
        <v>592</v>
      </c>
      <c r="I62" s="57"/>
      <c r="J62" s="57"/>
      <c r="K62" s="167"/>
      <c r="L62" s="8"/>
      <c r="M62" s="8" t="s">
        <v>23</v>
      </c>
      <c r="N62" s="26">
        <v>43879.735532407409</v>
      </c>
      <c r="O62" s="8" t="s">
        <v>1743</v>
      </c>
      <c r="P62" s="26">
        <v>43879.478703703702</v>
      </c>
      <c r="Q62" s="65">
        <v>86824</v>
      </c>
      <c r="R62" s="14" t="s">
        <v>3931</v>
      </c>
      <c r="S62" s="168">
        <v>1121</v>
      </c>
      <c r="T62" s="52" t="s">
        <v>3512</v>
      </c>
      <c r="U62" s="8" t="s">
        <v>3564</v>
      </c>
    </row>
    <row r="63" spans="1:21" ht="15" hidden="1" x14ac:dyDescent="0.2">
      <c r="A63" s="170" t="str">
        <f>CONCATENATE(SP_ENV_Lib[[#This Row],[Environmental Tract No.]],"_",SP_ENV_Lib[[#This Row],[ACQ Document Type]])</f>
        <v>017_ENVIRONMENTAL Right-of-Entry Executed</v>
      </c>
      <c r="B63" s="14" t="s">
        <v>4216</v>
      </c>
      <c r="C63" s="169" t="s">
        <v>2773</v>
      </c>
      <c r="D63" s="12" t="s">
        <v>2774</v>
      </c>
      <c r="E63" s="166" t="s">
        <v>2682</v>
      </c>
      <c r="F63" s="8" t="s">
        <v>2683</v>
      </c>
      <c r="G63" s="8" t="s">
        <v>2681</v>
      </c>
      <c r="H63" s="52" t="s">
        <v>592</v>
      </c>
      <c r="I63" s="57">
        <v>43880</v>
      </c>
      <c r="J63" s="57"/>
      <c r="K63" s="167"/>
      <c r="L63" s="8"/>
      <c r="M63" s="8" t="s">
        <v>4205</v>
      </c>
      <c r="N63" s="26">
        <v>43892.787685185183</v>
      </c>
      <c r="O63" s="8" t="s">
        <v>4205</v>
      </c>
      <c r="P63" s="26">
        <v>43892.787314814814</v>
      </c>
      <c r="Q63" s="65">
        <v>1846846</v>
      </c>
      <c r="R63" s="14" t="s">
        <v>4275</v>
      </c>
      <c r="S63" s="168">
        <v>1174</v>
      </c>
      <c r="T63" s="52" t="s">
        <v>3512</v>
      </c>
      <c r="U63" s="8" t="s">
        <v>3564</v>
      </c>
    </row>
    <row r="64" spans="1:21" ht="15" hidden="1" x14ac:dyDescent="0.2">
      <c r="A64" s="170" t="str">
        <f>CONCATENATE(SP_ENV_Lib[[#This Row],[Environmental Tract No.]],"_",SP_ENV_Lib[[#This Row],[ACQ Document Type]])</f>
        <v>017_ENVIRONMENTAL Right-of-Entry Package</v>
      </c>
      <c r="B64" s="14" t="s">
        <v>4356</v>
      </c>
      <c r="C64" s="169" t="s">
        <v>2773</v>
      </c>
      <c r="D64" s="12" t="s">
        <v>2774</v>
      </c>
      <c r="E64" s="166" t="s">
        <v>2682</v>
      </c>
      <c r="F64" s="8" t="s">
        <v>2687</v>
      </c>
      <c r="G64" s="8" t="s">
        <v>2686</v>
      </c>
      <c r="H64" s="52" t="s">
        <v>592</v>
      </c>
      <c r="I64" s="57">
        <v>43840</v>
      </c>
      <c r="J64" s="57">
        <v>43860</v>
      </c>
      <c r="K64" s="167"/>
      <c r="L64" s="8" t="s">
        <v>4346</v>
      </c>
      <c r="M64" s="8" t="s">
        <v>4206</v>
      </c>
      <c r="N64" s="26">
        <v>43896.520787037036</v>
      </c>
      <c r="O64" s="8" t="s">
        <v>4206</v>
      </c>
      <c r="P64" s="26">
        <v>43896.509039351855</v>
      </c>
      <c r="Q64" s="65">
        <v>1023474</v>
      </c>
      <c r="R64" s="14" t="s">
        <v>4400</v>
      </c>
      <c r="S64" s="168">
        <v>1271</v>
      </c>
      <c r="T64" s="52" t="s">
        <v>3512</v>
      </c>
      <c r="U64" s="8" t="s">
        <v>3564</v>
      </c>
    </row>
    <row r="65" spans="1:21" ht="15" x14ac:dyDescent="0.2">
      <c r="A65" s="170" t="str">
        <f>CONCATENATE(SP_ENV_Lib[[#This Row],[Environmental Tract No.]],"_",SP_ENV_Lib[[#This Row],[ACQ Document Type]])</f>
        <v>017_TITLE Tax Card</v>
      </c>
      <c r="B65" s="14" t="s">
        <v>3619</v>
      </c>
      <c r="C65" s="169" t="s">
        <v>2773</v>
      </c>
      <c r="D65" s="12" t="s">
        <v>2774</v>
      </c>
      <c r="E65" s="166" t="s">
        <v>861</v>
      </c>
      <c r="F65" s="8" t="s">
        <v>1150</v>
      </c>
      <c r="G65" s="8" t="s">
        <v>1149</v>
      </c>
      <c r="H65" s="52" t="s">
        <v>592</v>
      </c>
      <c r="I65" s="57"/>
      <c r="J65" s="57"/>
      <c r="K65" s="167"/>
      <c r="L65" s="8"/>
      <c r="M65" s="8" t="s">
        <v>4206</v>
      </c>
      <c r="N65" s="26">
        <v>43872.444201388891</v>
      </c>
      <c r="O65" s="8" t="s">
        <v>4206</v>
      </c>
      <c r="P65" s="26">
        <v>43871.482743055552</v>
      </c>
      <c r="Q65" s="65">
        <v>719609</v>
      </c>
      <c r="R65" s="14" t="s">
        <v>3932</v>
      </c>
      <c r="S65" s="168">
        <v>771</v>
      </c>
      <c r="T65" s="52" t="s">
        <v>3512</v>
      </c>
      <c r="U65" s="8" t="s">
        <v>3564</v>
      </c>
    </row>
    <row r="66" spans="1:21" ht="15" x14ac:dyDescent="0.2">
      <c r="A66" s="170" t="str">
        <f>CONCATENATE(SP_ENV_Lib[[#This Row],[Environmental Tract No.]],"_",SP_ENV_Lib[[#This Row],[ACQ Document Type]])</f>
        <v>018_CONTACT Negotiator Report</v>
      </c>
      <c r="B66" s="14" t="s">
        <v>3620</v>
      </c>
      <c r="C66" s="169" t="s">
        <v>2778</v>
      </c>
      <c r="D66" s="12" t="s">
        <v>2779</v>
      </c>
      <c r="E66" s="166" t="s">
        <v>865</v>
      </c>
      <c r="F66" s="8" t="s">
        <v>1068</v>
      </c>
      <c r="G66" s="8" t="s">
        <v>1067</v>
      </c>
      <c r="H66" s="52" t="s">
        <v>592</v>
      </c>
      <c r="I66" s="57"/>
      <c r="J66" s="57"/>
      <c r="K66" s="167"/>
      <c r="L66" s="8"/>
      <c r="M66" s="8" t="s">
        <v>23</v>
      </c>
      <c r="N66" s="26">
        <v>43879.735532407409</v>
      </c>
      <c r="O66" s="8" t="s">
        <v>1743</v>
      </c>
      <c r="P66" s="26">
        <v>43879.479791666665</v>
      </c>
      <c r="Q66" s="65">
        <v>62907</v>
      </c>
      <c r="R66" s="14" t="s">
        <v>3933</v>
      </c>
      <c r="S66" s="168">
        <v>1122</v>
      </c>
      <c r="T66" s="52" t="s">
        <v>3512</v>
      </c>
      <c r="U66" s="8" t="s">
        <v>3564</v>
      </c>
    </row>
    <row r="67" spans="1:21" ht="15" hidden="1" x14ac:dyDescent="0.2">
      <c r="A67" s="170" t="str">
        <f>CONCATENATE(SP_ENV_Lib[[#This Row],[Environmental Tract No.]],"_",SP_ENV_Lib[[#This Row],[ACQ Document Type]])</f>
        <v>018_ENVIRONMENTAL Right-of-Entry Executed</v>
      </c>
      <c r="B67" s="14" t="s">
        <v>4217</v>
      </c>
      <c r="C67" s="169" t="s">
        <v>2778</v>
      </c>
      <c r="D67" s="12" t="s">
        <v>2779</v>
      </c>
      <c r="E67" s="166" t="s">
        <v>2682</v>
      </c>
      <c r="F67" s="8" t="s">
        <v>2683</v>
      </c>
      <c r="G67" s="8" t="s">
        <v>2681</v>
      </c>
      <c r="H67" s="52" t="s">
        <v>592</v>
      </c>
      <c r="I67" s="57">
        <v>43864</v>
      </c>
      <c r="J67" s="57"/>
      <c r="K67" s="167"/>
      <c r="L67" s="8"/>
      <c r="M67" s="8" t="s">
        <v>4205</v>
      </c>
      <c r="N67" s="26">
        <v>43892.788703703707</v>
      </c>
      <c r="O67" s="8" t="s">
        <v>4205</v>
      </c>
      <c r="P67" s="26">
        <v>43892.788206018522</v>
      </c>
      <c r="Q67" s="65">
        <v>545087</v>
      </c>
      <c r="R67" s="14" t="s">
        <v>4276</v>
      </c>
      <c r="S67" s="168">
        <v>1175</v>
      </c>
      <c r="T67" s="52" t="s">
        <v>3512</v>
      </c>
      <c r="U67" s="8" t="s">
        <v>3564</v>
      </c>
    </row>
    <row r="68" spans="1:21" ht="15" hidden="1" x14ac:dyDescent="0.2">
      <c r="A68" s="170" t="str">
        <f>CONCATENATE(SP_ENV_Lib[[#This Row],[Environmental Tract No.]],"_",SP_ENV_Lib[[#This Row],[ACQ Document Type]])</f>
        <v>018_ENVIRONMENTAL Right-of-Entry Package</v>
      </c>
      <c r="B68" s="14" t="s">
        <v>3621</v>
      </c>
      <c r="C68" s="169" t="s">
        <v>2778</v>
      </c>
      <c r="D68" s="12" t="s">
        <v>2779</v>
      </c>
      <c r="E68" s="166" t="s">
        <v>2682</v>
      </c>
      <c r="F68" s="8" t="s">
        <v>2687</v>
      </c>
      <c r="G68" s="8" t="s">
        <v>2686</v>
      </c>
      <c r="H68" s="52" t="s">
        <v>592</v>
      </c>
      <c r="I68" s="57">
        <v>43840</v>
      </c>
      <c r="J68" s="57">
        <v>43844</v>
      </c>
      <c r="K68" s="167"/>
      <c r="L68" s="8"/>
      <c r="M68" s="8" t="s">
        <v>4206</v>
      </c>
      <c r="N68" s="26">
        <v>43874.545185185183</v>
      </c>
      <c r="O68" s="8" t="s">
        <v>4206</v>
      </c>
      <c r="P68" s="26">
        <v>43873.522187499999</v>
      </c>
      <c r="Q68" s="65">
        <v>985828</v>
      </c>
      <c r="R68" s="14" t="s">
        <v>3934</v>
      </c>
      <c r="S68" s="168">
        <v>991</v>
      </c>
      <c r="T68" s="52" t="s">
        <v>3512</v>
      </c>
      <c r="U68" s="8" t="s">
        <v>3564</v>
      </c>
    </row>
    <row r="69" spans="1:21" ht="15" x14ac:dyDescent="0.2">
      <c r="A69" s="170" t="str">
        <f>CONCATENATE(SP_ENV_Lib[[#This Row],[Environmental Tract No.]],"_",SP_ENV_Lib[[#This Row],[ACQ Document Type]])</f>
        <v>018_TITLE Tax Card</v>
      </c>
      <c r="B69" s="14" t="s">
        <v>3622</v>
      </c>
      <c r="C69" s="169" t="s">
        <v>2778</v>
      </c>
      <c r="D69" s="12" t="s">
        <v>2779</v>
      </c>
      <c r="E69" s="166" t="s">
        <v>861</v>
      </c>
      <c r="F69" s="8" t="s">
        <v>1150</v>
      </c>
      <c r="G69" s="8" t="s">
        <v>1149</v>
      </c>
      <c r="H69" s="52" t="s">
        <v>592</v>
      </c>
      <c r="I69" s="57"/>
      <c r="J69" s="57"/>
      <c r="K69" s="167"/>
      <c r="L69" s="8"/>
      <c r="M69" s="8" t="s">
        <v>4206</v>
      </c>
      <c r="N69" s="26">
        <v>43872.444097222222</v>
      </c>
      <c r="O69" s="8" t="s">
        <v>4206</v>
      </c>
      <c r="P69" s="26">
        <v>43871.482754629629</v>
      </c>
      <c r="Q69" s="65">
        <v>737767</v>
      </c>
      <c r="R69" s="14" t="s">
        <v>3935</v>
      </c>
      <c r="S69" s="168">
        <v>772</v>
      </c>
      <c r="T69" s="52" t="s">
        <v>3512</v>
      </c>
      <c r="U69" s="8" t="s">
        <v>3564</v>
      </c>
    </row>
    <row r="70" spans="1:21" ht="15" x14ac:dyDescent="0.2">
      <c r="A70" s="170" t="str">
        <f>CONCATENATE(SP_ENV_Lib[[#This Row],[Environmental Tract No.]],"_",SP_ENV_Lib[[#This Row],[ACQ Document Type]])</f>
        <v>019_CONTACT Negotiator Report</v>
      </c>
      <c r="B70" s="14" t="s">
        <v>3623</v>
      </c>
      <c r="C70" s="169" t="s">
        <v>2783</v>
      </c>
      <c r="D70" s="12" t="s">
        <v>2784</v>
      </c>
      <c r="E70" s="166" t="s">
        <v>865</v>
      </c>
      <c r="F70" s="8" t="s">
        <v>1068</v>
      </c>
      <c r="G70" s="8" t="s">
        <v>1067</v>
      </c>
      <c r="H70" s="52" t="s">
        <v>592</v>
      </c>
      <c r="I70" s="57"/>
      <c r="J70" s="57"/>
      <c r="K70" s="167"/>
      <c r="L70" s="8"/>
      <c r="M70" s="8" t="s">
        <v>23</v>
      </c>
      <c r="N70" s="26">
        <v>43879.735543981478</v>
      </c>
      <c r="O70" s="8" t="s">
        <v>1743</v>
      </c>
      <c r="P70" s="26">
        <v>43879.480393518519</v>
      </c>
      <c r="Q70" s="65">
        <v>81236</v>
      </c>
      <c r="R70" s="14" t="s">
        <v>3936</v>
      </c>
      <c r="S70" s="168">
        <v>1123</v>
      </c>
      <c r="T70" s="52" t="s">
        <v>3512</v>
      </c>
      <c r="U70" s="8" t="s">
        <v>3564</v>
      </c>
    </row>
    <row r="71" spans="1:21" ht="15" hidden="1" x14ac:dyDescent="0.2">
      <c r="A71" s="170" t="str">
        <f>CONCATENATE(SP_ENV_Lib[[#This Row],[Environmental Tract No.]],"_",SP_ENV_Lib[[#This Row],[ACQ Document Type]])</f>
        <v>019_ENVIRONMENTAL Right-of-Entry Executed</v>
      </c>
      <c r="B71" s="14" t="s">
        <v>4218</v>
      </c>
      <c r="C71" s="169" t="s">
        <v>2783</v>
      </c>
      <c r="D71" s="12" t="s">
        <v>2784</v>
      </c>
      <c r="E71" s="166" t="s">
        <v>2682</v>
      </c>
      <c r="F71" s="8" t="s">
        <v>2683</v>
      </c>
      <c r="G71" s="8" t="s">
        <v>2681</v>
      </c>
      <c r="H71" s="52" t="s">
        <v>592</v>
      </c>
      <c r="I71" s="57">
        <v>43880</v>
      </c>
      <c r="J71" s="57"/>
      <c r="K71" s="167"/>
      <c r="L71" s="8"/>
      <c r="M71" s="8" t="s">
        <v>4205</v>
      </c>
      <c r="N71" s="26">
        <v>43892.790046296293</v>
      </c>
      <c r="O71" s="8" t="s">
        <v>4205</v>
      </c>
      <c r="P71" s="26">
        <v>43892.789699074077</v>
      </c>
      <c r="Q71" s="65">
        <v>1750750</v>
      </c>
      <c r="R71" s="14" t="s">
        <v>4277</v>
      </c>
      <c r="S71" s="168">
        <v>1176</v>
      </c>
      <c r="T71" s="52" t="s">
        <v>3512</v>
      </c>
      <c r="U71" s="8" t="s">
        <v>3564</v>
      </c>
    </row>
    <row r="72" spans="1:21" ht="15" hidden="1" x14ac:dyDescent="0.2">
      <c r="A72" s="170" t="str">
        <f>CONCATENATE(SP_ENV_Lib[[#This Row],[Environmental Tract No.]],"_",SP_ENV_Lib[[#This Row],[ACQ Document Type]])</f>
        <v>019_ENVIRONMENTAL Right-of-Entry Package</v>
      </c>
      <c r="B72" s="14" t="s">
        <v>4357</v>
      </c>
      <c r="C72" s="169" t="s">
        <v>2783</v>
      </c>
      <c r="D72" s="12" t="s">
        <v>2784</v>
      </c>
      <c r="E72" s="166" t="s">
        <v>2682</v>
      </c>
      <c r="F72" s="8" t="s">
        <v>2687</v>
      </c>
      <c r="G72" s="8" t="s">
        <v>2686</v>
      </c>
      <c r="H72" s="52" t="s">
        <v>592</v>
      </c>
      <c r="I72" s="57">
        <v>43840</v>
      </c>
      <c r="J72" s="57">
        <v>43860</v>
      </c>
      <c r="K72" s="167"/>
      <c r="L72" s="8" t="s">
        <v>4346</v>
      </c>
      <c r="M72" s="8" t="s">
        <v>4206</v>
      </c>
      <c r="N72" s="26">
        <v>43896.522499999999</v>
      </c>
      <c r="O72" s="8" t="s">
        <v>4206</v>
      </c>
      <c r="P72" s="26">
        <v>43896.509062500001</v>
      </c>
      <c r="Q72" s="65">
        <v>1025493</v>
      </c>
      <c r="R72" s="14" t="s">
        <v>4401</v>
      </c>
      <c r="S72" s="168">
        <v>1272</v>
      </c>
      <c r="T72" s="52" t="s">
        <v>3512</v>
      </c>
      <c r="U72" s="8" t="s">
        <v>3564</v>
      </c>
    </row>
    <row r="73" spans="1:21" ht="15" x14ac:dyDescent="0.2">
      <c r="A73" s="170" t="str">
        <f>CONCATENATE(SP_ENV_Lib[[#This Row],[Environmental Tract No.]],"_",SP_ENV_Lib[[#This Row],[ACQ Document Type]])</f>
        <v>019_TITLE Tax Card</v>
      </c>
      <c r="B73" s="14" t="s">
        <v>3624</v>
      </c>
      <c r="C73" s="169" t="s">
        <v>2783</v>
      </c>
      <c r="D73" s="12" t="s">
        <v>2784</v>
      </c>
      <c r="E73" s="166" t="s">
        <v>861</v>
      </c>
      <c r="F73" s="8" t="s">
        <v>1150</v>
      </c>
      <c r="G73" s="8" t="s">
        <v>1149</v>
      </c>
      <c r="H73" s="52" t="s">
        <v>592</v>
      </c>
      <c r="I73" s="57"/>
      <c r="J73" s="57"/>
      <c r="K73" s="167"/>
      <c r="L73" s="8"/>
      <c r="M73" s="8" t="s">
        <v>4206</v>
      </c>
      <c r="N73" s="26">
        <v>43872.443958333337</v>
      </c>
      <c r="O73" s="8" t="s">
        <v>4206</v>
      </c>
      <c r="P73" s="26">
        <v>43871.482766203706</v>
      </c>
      <c r="Q73" s="65">
        <v>717762</v>
      </c>
      <c r="R73" s="14" t="s">
        <v>3937</v>
      </c>
      <c r="S73" s="168">
        <v>773</v>
      </c>
      <c r="T73" s="52" t="s">
        <v>3512</v>
      </c>
      <c r="U73" s="8" t="s">
        <v>3564</v>
      </c>
    </row>
    <row r="74" spans="1:21" ht="15" x14ac:dyDescent="0.2">
      <c r="A74" s="170" t="str">
        <f>CONCATENATE(SP_ENV_Lib[[#This Row],[Environmental Tract No.]],"_",SP_ENV_Lib[[#This Row],[ACQ Document Type]])</f>
        <v>024_CONTACT Negotiator Report</v>
      </c>
      <c r="B74" s="14" t="s">
        <v>3625</v>
      </c>
      <c r="C74" s="169" t="s">
        <v>2788</v>
      </c>
      <c r="D74" s="12" t="s">
        <v>2789</v>
      </c>
      <c r="E74" s="166" t="s">
        <v>865</v>
      </c>
      <c r="F74" s="8" t="s">
        <v>1068</v>
      </c>
      <c r="G74" s="8" t="s">
        <v>1067</v>
      </c>
      <c r="H74" s="52" t="s">
        <v>592</v>
      </c>
      <c r="I74" s="57"/>
      <c r="J74" s="57"/>
      <c r="K74" s="167"/>
      <c r="L74" s="8"/>
      <c r="M74" s="8" t="s">
        <v>1743</v>
      </c>
      <c r="N74" s="26">
        <v>43881.657511574071</v>
      </c>
      <c r="O74" s="8" t="s">
        <v>1743</v>
      </c>
      <c r="P74" s="26">
        <v>43879.481238425928</v>
      </c>
      <c r="Q74" s="65">
        <v>68358</v>
      </c>
      <c r="R74" s="14" t="s">
        <v>3938</v>
      </c>
      <c r="S74" s="168">
        <v>1124</v>
      </c>
      <c r="T74" s="52" t="s">
        <v>3512</v>
      </c>
      <c r="U74" s="8" t="s">
        <v>3564</v>
      </c>
    </row>
    <row r="75" spans="1:21" ht="15" hidden="1" x14ac:dyDescent="0.2">
      <c r="A75" s="170" t="str">
        <f>CONCATENATE(SP_ENV_Lib[[#This Row],[Environmental Tract No.]],"_",SP_ENV_Lib[[#This Row],[ACQ Document Type]])</f>
        <v>024_ENVIRONMENTAL Right-of-Entry Executed</v>
      </c>
      <c r="B75" s="14" t="s">
        <v>4358</v>
      </c>
      <c r="C75" s="169" t="s">
        <v>2788</v>
      </c>
      <c r="D75" s="12" t="s">
        <v>2789</v>
      </c>
      <c r="E75" s="166" t="s">
        <v>2682</v>
      </c>
      <c r="F75" s="8" t="s">
        <v>2683</v>
      </c>
      <c r="G75" s="8" t="s">
        <v>2681</v>
      </c>
      <c r="H75" s="52" t="s">
        <v>592</v>
      </c>
      <c r="I75" s="57">
        <v>43895</v>
      </c>
      <c r="J75" s="57"/>
      <c r="K75" s="167"/>
      <c r="L75" s="8"/>
      <c r="M75" s="8" t="s">
        <v>4205</v>
      </c>
      <c r="N75" s="26">
        <v>43903.855104166665</v>
      </c>
      <c r="O75" s="8" t="s">
        <v>4205</v>
      </c>
      <c r="P75" s="26">
        <v>43903.854722222219</v>
      </c>
      <c r="Q75" s="65">
        <v>560130</v>
      </c>
      <c r="R75" s="14" t="s">
        <v>4402</v>
      </c>
      <c r="S75" s="168">
        <v>1294</v>
      </c>
      <c r="T75" s="52" t="s">
        <v>3512</v>
      </c>
      <c r="U75" s="8" t="s">
        <v>3564</v>
      </c>
    </row>
    <row r="76" spans="1:21" ht="15" hidden="1" x14ac:dyDescent="0.2">
      <c r="A76" s="170" t="str">
        <f>CONCATENATE(SP_ENV_Lib[[#This Row],[Environmental Tract No.]],"_",SP_ENV_Lib[[#This Row],[ACQ Document Type]])</f>
        <v>024_ENVIRONMENTAL Right-of-Entry Package</v>
      </c>
      <c r="B76" s="14" t="s">
        <v>3626</v>
      </c>
      <c r="C76" s="169" t="s">
        <v>2788</v>
      </c>
      <c r="D76" s="12" t="s">
        <v>2789</v>
      </c>
      <c r="E76" s="166" t="s">
        <v>2682</v>
      </c>
      <c r="F76" s="8" t="s">
        <v>2687</v>
      </c>
      <c r="G76" s="8" t="s">
        <v>2686</v>
      </c>
      <c r="H76" s="52" t="s">
        <v>592</v>
      </c>
      <c r="I76" s="57">
        <v>43840</v>
      </c>
      <c r="J76" s="57">
        <v>43845</v>
      </c>
      <c r="K76" s="167"/>
      <c r="L76" s="8"/>
      <c r="M76" s="8" t="s">
        <v>4206</v>
      </c>
      <c r="N76" s="26">
        <v>43874.544965277775</v>
      </c>
      <c r="O76" s="8" t="s">
        <v>4206</v>
      </c>
      <c r="P76" s="26">
        <v>43873.522222222222</v>
      </c>
      <c r="Q76" s="65">
        <v>449107</v>
      </c>
      <c r="R76" s="14" t="s">
        <v>3939</v>
      </c>
      <c r="S76" s="168">
        <v>992</v>
      </c>
      <c r="T76" s="52" t="s">
        <v>3512</v>
      </c>
      <c r="U76" s="8" t="s">
        <v>3564</v>
      </c>
    </row>
    <row r="77" spans="1:21" ht="15" x14ac:dyDescent="0.2">
      <c r="A77" s="170" t="str">
        <f>CONCATENATE(SP_ENV_Lib[[#This Row],[Environmental Tract No.]],"_",SP_ENV_Lib[[#This Row],[ACQ Document Type]])</f>
        <v>024_TITLE Tax Card</v>
      </c>
      <c r="B77" s="14" t="s">
        <v>3627</v>
      </c>
      <c r="C77" s="169" t="s">
        <v>2788</v>
      </c>
      <c r="D77" s="12" t="s">
        <v>2789</v>
      </c>
      <c r="E77" s="166" t="s">
        <v>861</v>
      </c>
      <c r="F77" s="8" t="s">
        <v>1150</v>
      </c>
      <c r="G77" s="8" t="s">
        <v>1149</v>
      </c>
      <c r="H77" s="52" t="s">
        <v>592</v>
      </c>
      <c r="I77" s="57"/>
      <c r="J77" s="57"/>
      <c r="K77" s="167"/>
      <c r="L77" s="8"/>
      <c r="M77" s="8" t="s">
        <v>4206</v>
      </c>
      <c r="N77" s="26">
        <v>43872.443842592591</v>
      </c>
      <c r="O77" s="8" t="s">
        <v>4206</v>
      </c>
      <c r="P77" s="26">
        <v>43871.483182870368</v>
      </c>
      <c r="Q77" s="65">
        <v>209496</v>
      </c>
      <c r="R77" s="14" t="s">
        <v>3940</v>
      </c>
      <c r="S77" s="168">
        <v>787</v>
      </c>
      <c r="T77" s="52" t="s">
        <v>3512</v>
      </c>
      <c r="U77" s="8" t="s">
        <v>3564</v>
      </c>
    </row>
    <row r="78" spans="1:21" ht="15" x14ac:dyDescent="0.2">
      <c r="A78" s="170" t="str">
        <f>CONCATENATE(SP_ENV_Lib[[#This Row],[Environmental Tract No.]],"_",SP_ENV_Lib[[#This Row],[ACQ Document Type]])</f>
        <v>025_CONTACT Negotiator Report</v>
      </c>
      <c r="B78" s="14" t="s">
        <v>3628</v>
      </c>
      <c r="C78" s="169" t="s">
        <v>2793</v>
      </c>
      <c r="D78" s="12" t="s">
        <v>2794</v>
      </c>
      <c r="E78" s="166" t="s">
        <v>865</v>
      </c>
      <c r="F78" s="8" t="s">
        <v>1068</v>
      </c>
      <c r="G78" s="8" t="s">
        <v>1067</v>
      </c>
      <c r="H78" s="52" t="s">
        <v>592</v>
      </c>
      <c r="I78" s="57"/>
      <c r="J78" s="57"/>
      <c r="K78" s="167"/>
      <c r="L78" s="8"/>
      <c r="M78" s="8" t="s">
        <v>1743</v>
      </c>
      <c r="N78" s="26">
        <v>43943.674861111111</v>
      </c>
      <c r="O78" s="8" t="s">
        <v>1743</v>
      </c>
      <c r="P78" s="26">
        <v>43879.482048611113</v>
      </c>
      <c r="Q78" s="65">
        <v>79821</v>
      </c>
      <c r="R78" s="14" t="s">
        <v>3941</v>
      </c>
      <c r="S78" s="168">
        <v>1125</v>
      </c>
      <c r="T78" s="52" t="s">
        <v>3512</v>
      </c>
      <c r="U78" s="8" t="s">
        <v>3564</v>
      </c>
    </row>
    <row r="79" spans="1:21" ht="15" x14ac:dyDescent="0.2">
      <c r="A79" s="170" t="str">
        <f>CONCATENATE(SP_ENV_Lib[[#This Row],[Environmental Tract No.]],"_",SP_ENV_Lib[[#This Row],[ACQ Document Type]])</f>
        <v>025_TITLE Tax Card</v>
      </c>
      <c r="B79" s="14" t="s">
        <v>3629</v>
      </c>
      <c r="C79" s="169" t="s">
        <v>2793</v>
      </c>
      <c r="D79" s="12" t="s">
        <v>2794</v>
      </c>
      <c r="E79" s="166" t="s">
        <v>861</v>
      </c>
      <c r="F79" s="8" t="s">
        <v>1150</v>
      </c>
      <c r="G79" s="8" t="s">
        <v>1149</v>
      </c>
      <c r="H79" s="52" t="s">
        <v>592</v>
      </c>
      <c r="I79" s="57"/>
      <c r="J79" s="57"/>
      <c r="K79" s="167"/>
      <c r="L79" s="8"/>
      <c r="M79" s="8" t="s">
        <v>4206</v>
      </c>
      <c r="N79" s="26">
        <v>43872.443749999999</v>
      </c>
      <c r="O79" s="8" t="s">
        <v>4206</v>
      </c>
      <c r="P79" s="26">
        <v>43871.483194444445</v>
      </c>
      <c r="Q79" s="65">
        <v>640069</v>
      </c>
      <c r="R79" s="14" t="s">
        <v>3942</v>
      </c>
      <c r="S79" s="168">
        <v>788</v>
      </c>
      <c r="T79" s="52" t="s">
        <v>3512</v>
      </c>
      <c r="U79" s="8" t="s">
        <v>3564</v>
      </c>
    </row>
    <row r="80" spans="1:21" ht="15" x14ac:dyDescent="0.2">
      <c r="A80" s="170" t="str">
        <f>CONCATENATE(SP_ENV_Lib[[#This Row],[Environmental Tract No.]],"_",SP_ENV_Lib[[#This Row],[ACQ Document Type]])</f>
        <v>027_CONTACT Negotiator Report</v>
      </c>
      <c r="B80" s="14" t="s">
        <v>3630</v>
      </c>
      <c r="C80" s="169" t="s">
        <v>2798</v>
      </c>
      <c r="D80" s="12" t="s">
        <v>2799</v>
      </c>
      <c r="E80" s="166" t="s">
        <v>865</v>
      </c>
      <c r="F80" s="8" t="s">
        <v>1068</v>
      </c>
      <c r="G80" s="8" t="s">
        <v>1067</v>
      </c>
      <c r="H80" s="52" t="s">
        <v>592</v>
      </c>
      <c r="I80" s="57"/>
      <c r="J80" s="57"/>
      <c r="K80" s="167"/>
      <c r="L80" s="8"/>
      <c r="M80" s="8" t="s">
        <v>1743</v>
      </c>
      <c r="N80" s="26">
        <v>43893.484490740739</v>
      </c>
      <c r="O80" s="8" t="s">
        <v>1743</v>
      </c>
      <c r="P80" s="26">
        <v>43879.482766203706</v>
      </c>
      <c r="Q80" s="65">
        <v>62247</v>
      </c>
      <c r="R80" s="14" t="s">
        <v>3943</v>
      </c>
      <c r="S80" s="168">
        <v>1126</v>
      </c>
      <c r="T80" s="52" t="s">
        <v>3512</v>
      </c>
      <c r="U80" s="8" t="s">
        <v>3564</v>
      </c>
    </row>
    <row r="81" spans="1:21" ht="15" hidden="1" x14ac:dyDescent="0.2">
      <c r="A81" s="170" t="str">
        <f>CONCATENATE(SP_ENV_Lib[[#This Row],[Environmental Tract No.]],"_",SP_ENV_Lib[[#This Row],[ACQ Document Type]])</f>
        <v>027_ENVIRONMENTAL Right-of-Entry Package</v>
      </c>
      <c r="B81" s="14" t="s">
        <v>3631</v>
      </c>
      <c r="C81" s="169" t="s">
        <v>2798</v>
      </c>
      <c r="D81" s="12" t="s">
        <v>2799</v>
      </c>
      <c r="E81" s="166" t="s">
        <v>2682</v>
      </c>
      <c r="F81" s="8" t="s">
        <v>2687</v>
      </c>
      <c r="G81" s="8" t="s">
        <v>2686</v>
      </c>
      <c r="H81" s="52" t="s">
        <v>592</v>
      </c>
      <c r="I81" s="57">
        <v>43844</v>
      </c>
      <c r="J81" s="57">
        <v>43846</v>
      </c>
      <c r="K81" s="167"/>
      <c r="L81" s="8"/>
      <c r="M81" s="8" t="s">
        <v>4206</v>
      </c>
      <c r="N81" s="26">
        <v>43874.544641203705</v>
      </c>
      <c r="O81" s="8" t="s">
        <v>4206</v>
      </c>
      <c r="P81" s="26">
        <v>43873.522233796299</v>
      </c>
      <c r="Q81" s="65">
        <v>698483</v>
      </c>
      <c r="R81" s="14" t="s">
        <v>3944</v>
      </c>
      <c r="S81" s="168">
        <v>993</v>
      </c>
      <c r="T81" s="52" t="s">
        <v>3512</v>
      </c>
      <c r="U81" s="8" t="s">
        <v>3564</v>
      </c>
    </row>
    <row r="82" spans="1:21" ht="15" x14ac:dyDescent="0.2">
      <c r="A82" s="170" t="str">
        <f>CONCATENATE(SP_ENV_Lib[[#This Row],[Environmental Tract No.]],"_",SP_ENV_Lib[[#This Row],[ACQ Document Type]])</f>
        <v>027_TITLE Tax Card</v>
      </c>
      <c r="B82" s="14" t="s">
        <v>3632</v>
      </c>
      <c r="C82" s="169" t="s">
        <v>2798</v>
      </c>
      <c r="D82" s="12" t="s">
        <v>2799</v>
      </c>
      <c r="E82" s="166" t="s">
        <v>861</v>
      </c>
      <c r="F82" s="8" t="s">
        <v>1150</v>
      </c>
      <c r="G82" s="8" t="s">
        <v>1149</v>
      </c>
      <c r="H82" s="52" t="s">
        <v>592</v>
      </c>
      <c r="I82" s="57"/>
      <c r="J82" s="57"/>
      <c r="K82" s="167"/>
      <c r="L82" s="8"/>
      <c r="M82" s="8" t="s">
        <v>4206</v>
      </c>
      <c r="N82" s="26">
        <v>43872.443622685183</v>
      </c>
      <c r="O82" s="8" t="s">
        <v>4206</v>
      </c>
      <c r="P82" s="26">
        <v>43871.483206018522</v>
      </c>
      <c r="Q82" s="65">
        <v>463701</v>
      </c>
      <c r="R82" s="14" t="s">
        <v>3945</v>
      </c>
      <c r="S82" s="168">
        <v>789</v>
      </c>
      <c r="T82" s="52" t="s">
        <v>3512</v>
      </c>
      <c r="U82" s="8" t="s">
        <v>3564</v>
      </c>
    </row>
    <row r="83" spans="1:21" ht="15" x14ac:dyDescent="0.2">
      <c r="A83" s="170" t="str">
        <f>CONCATENATE(SP_ENV_Lib[[#This Row],[Environmental Tract No.]],"_",SP_ENV_Lib[[#This Row],[ACQ Document Type]])</f>
        <v>028_CONTACT Negotiator Report</v>
      </c>
      <c r="B83" s="14" t="s">
        <v>3633</v>
      </c>
      <c r="C83" s="169" t="s">
        <v>2803</v>
      </c>
      <c r="D83" s="12" t="s">
        <v>2804</v>
      </c>
      <c r="E83" s="166" t="s">
        <v>865</v>
      </c>
      <c r="F83" s="8" t="s">
        <v>1068</v>
      </c>
      <c r="G83" s="8" t="s">
        <v>1067</v>
      </c>
      <c r="H83" s="52" t="s">
        <v>592</v>
      </c>
      <c r="I83" s="57"/>
      <c r="J83" s="57"/>
      <c r="K83" s="167"/>
      <c r="L83" s="8"/>
      <c r="M83" s="8" t="s">
        <v>23</v>
      </c>
      <c r="N83" s="26">
        <v>43879.735543981478</v>
      </c>
      <c r="O83" s="8" t="s">
        <v>1743</v>
      </c>
      <c r="P83" s="26">
        <v>43879.483483796299</v>
      </c>
      <c r="Q83" s="65">
        <v>87602</v>
      </c>
      <c r="R83" s="14" t="s">
        <v>3946</v>
      </c>
      <c r="S83" s="168">
        <v>1127</v>
      </c>
      <c r="T83" s="52" t="s">
        <v>3512</v>
      </c>
      <c r="U83" s="8" t="s">
        <v>3564</v>
      </c>
    </row>
    <row r="84" spans="1:21" ht="15" x14ac:dyDescent="0.2">
      <c r="A84" s="170" t="str">
        <f>CONCATENATE(SP_ENV_Lib[[#This Row],[Environmental Tract No.]],"_",SP_ENV_Lib[[#This Row],[ACQ Document Type]])</f>
        <v>028_CONTACT Negotiator Report</v>
      </c>
      <c r="B84" s="14" t="s">
        <v>5031</v>
      </c>
      <c r="C84" s="169" t="s">
        <v>2803</v>
      </c>
      <c r="D84" s="12" t="s">
        <v>2804</v>
      </c>
      <c r="E84" s="166" t="s">
        <v>865</v>
      </c>
      <c r="F84" s="8" t="s">
        <v>1068</v>
      </c>
      <c r="G84" s="8" t="s">
        <v>1067</v>
      </c>
      <c r="H84" s="52" t="s">
        <v>592</v>
      </c>
      <c r="I84" s="57"/>
      <c r="J84" s="57"/>
      <c r="K84" s="167"/>
      <c r="L84" s="8"/>
      <c r="M84" s="8" t="s">
        <v>4205</v>
      </c>
      <c r="N84" s="26">
        <v>43956.736296296294</v>
      </c>
      <c r="O84" s="8" t="s">
        <v>1743</v>
      </c>
      <c r="P84" s="26">
        <v>43951.716249999998</v>
      </c>
      <c r="Q84" s="65">
        <v>472045</v>
      </c>
      <c r="R84" s="14" t="s">
        <v>5032</v>
      </c>
      <c r="S84" s="168">
        <v>1339</v>
      </c>
      <c r="T84" s="52" t="s">
        <v>3512</v>
      </c>
      <c r="U84" s="8" t="s">
        <v>3564</v>
      </c>
    </row>
    <row r="85" spans="1:21" ht="15" hidden="1" x14ac:dyDescent="0.2">
      <c r="A85" s="170" t="str">
        <f>CONCATENATE(SP_ENV_Lib[[#This Row],[Environmental Tract No.]],"_",SP_ENV_Lib[[#This Row],[ACQ Document Type]])</f>
        <v>028_ENVIRONMENTAL Right-of-Entry Package</v>
      </c>
      <c r="B85" s="14" t="s">
        <v>4359</v>
      </c>
      <c r="C85" s="169" t="s">
        <v>2803</v>
      </c>
      <c r="D85" s="12" t="s">
        <v>2804</v>
      </c>
      <c r="E85" s="166" t="s">
        <v>2682</v>
      </c>
      <c r="F85" s="8" t="s">
        <v>2687</v>
      </c>
      <c r="G85" s="8" t="s">
        <v>2686</v>
      </c>
      <c r="H85" s="52" t="s">
        <v>592</v>
      </c>
      <c r="I85" s="57">
        <v>43874</v>
      </c>
      <c r="J85" s="57">
        <v>43899</v>
      </c>
      <c r="K85" s="167"/>
      <c r="L85" s="8" t="s">
        <v>4545</v>
      </c>
      <c r="M85" s="8" t="s">
        <v>4206</v>
      </c>
      <c r="N85" s="26">
        <v>43909.869409722225</v>
      </c>
      <c r="O85" s="8" t="s">
        <v>4206</v>
      </c>
      <c r="P85" s="26">
        <v>43896.526817129627</v>
      </c>
      <c r="Q85" s="65">
        <v>1606835</v>
      </c>
      <c r="R85" s="14" t="s">
        <v>4403</v>
      </c>
      <c r="S85" s="168">
        <v>1288</v>
      </c>
      <c r="T85" s="52" t="s">
        <v>3512</v>
      </c>
      <c r="U85" s="8" t="s">
        <v>3564</v>
      </c>
    </row>
    <row r="86" spans="1:21" ht="15" x14ac:dyDescent="0.2">
      <c r="A86" s="170" t="str">
        <f>CONCATENATE(SP_ENV_Lib[[#This Row],[Environmental Tract No.]],"_",SP_ENV_Lib[[#This Row],[ACQ Document Type]])</f>
        <v>028_TITLE Tax Card</v>
      </c>
      <c r="B86" s="14" t="s">
        <v>3634</v>
      </c>
      <c r="C86" s="169" t="s">
        <v>2803</v>
      </c>
      <c r="D86" s="12" t="s">
        <v>2804</v>
      </c>
      <c r="E86" s="166" t="s">
        <v>861</v>
      </c>
      <c r="F86" s="8" t="s">
        <v>1150</v>
      </c>
      <c r="G86" s="8" t="s">
        <v>1149</v>
      </c>
      <c r="H86" s="52" t="s">
        <v>592</v>
      </c>
      <c r="I86" s="57"/>
      <c r="J86" s="57"/>
      <c r="K86" s="167"/>
      <c r="L86" s="8"/>
      <c r="M86" s="8" t="s">
        <v>4206</v>
      </c>
      <c r="N86" s="26">
        <v>43872.443483796298</v>
      </c>
      <c r="O86" s="8" t="s">
        <v>4206</v>
      </c>
      <c r="P86" s="26">
        <v>43871.483217592591</v>
      </c>
      <c r="Q86" s="65">
        <v>373460</v>
      </c>
      <c r="R86" s="14" t="s">
        <v>3947</v>
      </c>
      <c r="S86" s="168">
        <v>790</v>
      </c>
      <c r="T86" s="52" t="s">
        <v>3512</v>
      </c>
      <c r="U86" s="8" t="s">
        <v>3564</v>
      </c>
    </row>
    <row r="87" spans="1:21" ht="15" x14ac:dyDescent="0.2">
      <c r="A87" s="170" t="str">
        <f>CONCATENATE(SP_ENV_Lib[[#This Row],[Environmental Tract No.]],"_",SP_ENV_Lib[[#This Row],[ACQ Document Type]])</f>
        <v>029_CONTACT Negotiator Report</v>
      </c>
      <c r="B87" s="14" t="s">
        <v>3635</v>
      </c>
      <c r="C87" s="169" t="s">
        <v>2808</v>
      </c>
      <c r="D87" s="12" t="s">
        <v>2809</v>
      </c>
      <c r="E87" s="166" t="s">
        <v>865</v>
      </c>
      <c r="F87" s="8" t="s">
        <v>1068</v>
      </c>
      <c r="G87" s="8" t="s">
        <v>1067</v>
      </c>
      <c r="H87" s="52" t="s">
        <v>592</v>
      </c>
      <c r="I87" s="57"/>
      <c r="J87" s="57"/>
      <c r="K87" s="167"/>
      <c r="L87" s="8"/>
      <c r="M87" s="8" t="s">
        <v>23</v>
      </c>
      <c r="N87" s="26">
        <v>43879.735543981478</v>
      </c>
      <c r="O87" s="8" t="s">
        <v>1743</v>
      </c>
      <c r="P87" s="26">
        <v>43879.484097222223</v>
      </c>
      <c r="Q87" s="65">
        <v>70212</v>
      </c>
      <c r="R87" s="14" t="s">
        <v>3948</v>
      </c>
      <c r="S87" s="168">
        <v>1128</v>
      </c>
      <c r="T87" s="52" t="s">
        <v>3512</v>
      </c>
      <c r="U87" s="8" t="s">
        <v>3564</v>
      </c>
    </row>
    <row r="88" spans="1:21" ht="15" hidden="1" x14ac:dyDescent="0.2">
      <c r="A88" s="170" t="str">
        <f>CONCATENATE(SP_ENV_Lib[[#This Row],[Environmental Tract No.]],"_",SP_ENV_Lib[[#This Row],[ACQ Document Type]])</f>
        <v>029_ENVIRONMENTAL Right-of-Entry Executed</v>
      </c>
      <c r="B88" s="14" t="s">
        <v>4219</v>
      </c>
      <c r="C88" s="169" t="s">
        <v>2808</v>
      </c>
      <c r="D88" s="12" t="s">
        <v>2809</v>
      </c>
      <c r="E88" s="166" t="s">
        <v>2682</v>
      </c>
      <c r="F88" s="8" t="s">
        <v>2683</v>
      </c>
      <c r="G88" s="8" t="s">
        <v>2681</v>
      </c>
      <c r="H88" s="52" t="s">
        <v>592</v>
      </c>
      <c r="I88" s="57">
        <v>43860</v>
      </c>
      <c r="J88" s="57"/>
      <c r="K88" s="167"/>
      <c r="L88" s="8"/>
      <c r="M88" s="8" t="s">
        <v>4205</v>
      </c>
      <c r="N88" s="26">
        <v>43892.791041666664</v>
      </c>
      <c r="O88" s="8" t="s">
        <v>4205</v>
      </c>
      <c r="P88" s="26">
        <v>43892.790567129632</v>
      </c>
      <c r="Q88" s="65">
        <v>1730616</v>
      </c>
      <c r="R88" s="14" t="s">
        <v>4278</v>
      </c>
      <c r="S88" s="168">
        <v>1177</v>
      </c>
      <c r="T88" s="52" t="s">
        <v>3512</v>
      </c>
      <c r="U88" s="8" t="s">
        <v>3564</v>
      </c>
    </row>
    <row r="89" spans="1:21" ht="15" hidden="1" x14ac:dyDescent="0.2">
      <c r="A89" s="170" t="str">
        <f>CONCATENATE(SP_ENV_Lib[[#This Row],[Environmental Tract No.]],"_",SP_ENV_Lib[[#This Row],[ACQ Document Type]])</f>
        <v>029_ENVIRONMENTAL Right-of-Entry Package</v>
      </c>
      <c r="B89" s="14" t="s">
        <v>3636</v>
      </c>
      <c r="C89" s="169" t="s">
        <v>2808</v>
      </c>
      <c r="D89" s="12" t="s">
        <v>2809</v>
      </c>
      <c r="E89" s="166" t="s">
        <v>2682</v>
      </c>
      <c r="F89" s="8" t="s">
        <v>2687</v>
      </c>
      <c r="G89" s="8" t="s">
        <v>2686</v>
      </c>
      <c r="H89" s="52" t="s">
        <v>592</v>
      </c>
      <c r="I89" s="57">
        <v>43844</v>
      </c>
      <c r="J89" s="57">
        <v>43847</v>
      </c>
      <c r="K89" s="167"/>
      <c r="L89" s="8"/>
      <c r="M89" s="8" t="s">
        <v>4206</v>
      </c>
      <c r="N89" s="26">
        <v>43874.544374999998</v>
      </c>
      <c r="O89" s="8" t="s">
        <v>4206</v>
      </c>
      <c r="P89" s="26">
        <v>43873.522268518522</v>
      </c>
      <c r="Q89" s="65">
        <v>925125</v>
      </c>
      <c r="R89" s="14" t="s">
        <v>3949</v>
      </c>
      <c r="S89" s="168">
        <v>994</v>
      </c>
      <c r="T89" s="52" t="s">
        <v>3512</v>
      </c>
      <c r="U89" s="8" t="s">
        <v>3564</v>
      </c>
    </row>
    <row r="90" spans="1:21" ht="15" x14ac:dyDescent="0.2">
      <c r="A90" s="170" t="str">
        <f>CONCATENATE(SP_ENV_Lib[[#This Row],[Environmental Tract No.]],"_",SP_ENV_Lib[[#This Row],[ACQ Document Type]])</f>
        <v>029_TITLE Tax Card</v>
      </c>
      <c r="B90" s="14" t="s">
        <v>3637</v>
      </c>
      <c r="C90" s="169" t="s">
        <v>2808</v>
      </c>
      <c r="D90" s="12" t="s">
        <v>2809</v>
      </c>
      <c r="E90" s="166" t="s">
        <v>861</v>
      </c>
      <c r="F90" s="8" t="s">
        <v>1150</v>
      </c>
      <c r="G90" s="8" t="s">
        <v>1149</v>
      </c>
      <c r="H90" s="52" t="s">
        <v>592</v>
      </c>
      <c r="I90" s="57"/>
      <c r="J90" s="57"/>
      <c r="K90" s="167"/>
      <c r="L90" s="8"/>
      <c r="M90" s="8" t="s">
        <v>4206</v>
      </c>
      <c r="N90" s="26">
        <v>43872.443368055552</v>
      </c>
      <c r="O90" s="8" t="s">
        <v>4206</v>
      </c>
      <c r="P90" s="26">
        <v>43871.483229166668</v>
      </c>
      <c r="Q90" s="65">
        <v>692808</v>
      </c>
      <c r="R90" s="14" t="s">
        <v>3950</v>
      </c>
      <c r="S90" s="168">
        <v>791</v>
      </c>
      <c r="T90" s="52" t="s">
        <v>3512</v>
      </c>
      <c r="U90" s="8" t="s">
        <v>3564</v>
      </c>
    </row>
    <row r="91" spans="1:21" ht="15" x14ac:dyDescent="0.2">
      <c r="A91" s="170" t="str">
        <f>CONCATENATE(SP_ENV_Lib[[#This Row],[Environmental Tract No.]],"_",SP_ENV_Lib[[#This Row],[ACQ Document Type]])</f>
        <v>030_CONTACT Negotiator Report</v>
      </c>
      <c r="B91" s="14" t="s">
        <v>3638</v>
      </c>
      <c r="C91" s="169" t="s">
        <v>2813</v>
      </c>
      <c r="D91" s="12" t="s">
        <v>2814</v>
      </c>
      <c r="E91" s="166" t="s">
        <v>865</v>
      </c>
      <c r="F91" s="8" t="s">
        <v>1068</v>
      </c>
      <c r="G91" s="8" t="s">
        <v>1067</v>
      </c>
      <c r="H91" s="52" t="s">
        <v>592</v>
      </c>
      <c r="I91" s="57"/>
      <c r="J91" s="57"/>
      <c r="K91" s="167"/>
      <c r="L91" s="8"/>
      <c r="M91" s="8" t="s">
        <v>1743</v>
      </c>
      <c r="N91" s="26">
        <v>43881.6640625</v>
      </c>
      <c r="O91" s="8" t="s">
        <v>1743</v>
      </c>
      <c r="P91" s="26">
        <v>43879.485335648147</v>
      </c>
      <c r="Q91" s="65">
        <v>63258</v>
      </c>
      <c r="R91" s="14" t="s">
        <v>3951</v>
      </c>
      <c r="S91" s="168">
        <v>1129</v>
      </c>
      <c r="T91" s="52" t="s">
        <v>3512</v>
      </c>
      <c r="U91" s="8" t="s">
        <v>3564</v>
      </c>
    </row>
    <row r="92" spans="1:21" ht="15" hidden="1" x14ac:dyDescent="0.2">
      <c r="A92" s="170" t="str">
        <f>CONCATENATE(SP_ENV_Lib[[#This Row],[Environmental Tract No.]],"_",SP_ENV_Lib[[#This Row],[ACQ Document Type]])</f>
        <v>030_ENVIRONMENTAL Right-of-Entry Package</v>
      </c>
      <c r="B92" s="14" t="s">
        <v>3639</v>
      </c>
      <c r="C92" s="169" t="s">
        <v>2813</v>
      </c>
      <c r="D92" s="12" t="s">
        <v>2814</v>
      </c>
      <c r="E92" s="166" t="s">
        <v>2682</v>
      </c>
      <c r="F92" s="8" t="s">
        <v>2687</v>
      </c>
      <c r="G92" s="8" t="s">
        <v>2686</v>
      </c>
      <c r="H92" s="52" t="s">
        <v>592</v>
      </c>
      <c r="I92" s="57">
        <v>43844</v>
      </c>
      <c r="J92" s="57">
        <v>43846</v>
      </c>
      <c r="K92" s="167"/>
      <c r="L92" s="8"/>
      <c r="M92" s="8" t="s">
        <v>4206</v>
      </c>
      <c r="N92" s="26">
        <v>43874.54414351852</v>
      </c>
      <c r="O92" s="8" t="s">
        <v>4206</v>
      </c>
      <c r="P92" s="26">
        <v>43873.522291666668</v>
      </c>
      <c r="Q92" s="65">
        <v>673949</v>
      </c>
      <c r="R92" s="14" t="s">
        <v>3952</v>
      </c>
      <c r="S92" s="168">
        <v>995</v>
      </c>
      <c r="T92" s="52" t="s">
        <v>3512</v>
      </c>
      <c r="U92" s="8" t="s">
        <v>3564</v>
      </c>
    </row>
    <row r="93" spans="1:21" ht="15" x14ac:dyDescent="0.2">
      <c r="A93" s="170" t="str">
        <f>CONCATENATE(SP_ENV_Lib[[#This Row],[Environmental Tract No.]],"_",SP_ENV_Lib[[#This Row],[ACQ Document Type]])</f>
        <v>030_TITLE Tax Card</v>
      </c>
      <c r="B93" s="14" t="s">
        <v>3640</v>
      </c>
      <c r="C93" s="169" t="s">
        <v>2813</v>
      </c>
      <c r="D93" s="12" t="s">
        <v>2814</v>
      </c>
      <c r="E93" s="166" t="s">
        <v>861</v>
      </c>
      <c r="F93" s="8" t="s">
        <v>1150</v>
      </c>
      <c r="G93" s="8" t="s">
        <v>1149</v>
      </c>
      <c r="H93" s="52" t="s">
        <v>592</v>
      </c>
      <c r="I93" s="57"/>
      <c r="J93" s="57"/>
      <c r="K93" s="167"/>
      <c r="L93" s="8"/>
      <c r="M93" s="8" t="s">
        <v>4206</v>
      </c>
      <c r="N93" s="26">
        <v>43872.44326388889</v>
      </c>
      <c r="O93" s="8" t="s">
        <v>4206</v>
      </c>
      <c r="P93" s="26">
        <v>43871.483240740738</v>
      </c>
      <c r="Q93" s="65">
        <v>431616</v>
      </c>
      <c r="R93" s="14" t="s">
        <v>3953</v>
      </c>
      <c r="S93" s="168">
        <v>792</v>
      </c>
      <c r="T93" s="52" t="s">
        <v>3512</v>
      </c>
      <c r="U93" s="8" t="s">
        <v>3564</v>
      </c>
    </row>
    <row r="94" spans="1:21" ht="15" x14ac:dyDescent="0.2">
      <c r="A94" s="170" t="str">
        <f>CONCATENATE(SP_ENV_Lib[[#This Row],[Environmental Tract No.]],"_",SP_ENV_Lib[[#This Row],[ACQ Document Type]])</f>
        <v>031_CONTACT Negotiator Report</v>
      </c>
      <c r="B94" s="14" t="s">
        <v>3641</v>
      </c>
      <c r="C94" s="169" t="s">
        <v>2818</v>
      </c>
      <c r="D94" s="12" t="s">
        <v>2819</v>
      </c>
      <c r="E94" s="166" t="s">
        <v>865</v>
      </c>
      <c r="F94" s="8" t="s">
        <v>1068</v>
      </c>
      <c r="G94" s="8" t="s">
        <v>1067</v>
      </c>
      <c r="H94" s="52" t="s">
        <v>592</v>
      </c>
      <c r="I94" s="57"/>
      <c r="J94" s="57"/>
      <c r="K94" s="167"/>
      <c r="L94" s="8"/>
      <c r="M94" s="8" t="s">
        <v>1743</v>
      </c>
      <c r="N94" s="26">
        <v>43888.441307870373</v>
      </c>
      <c r="O94" s="8" t="s">
        <v>1743</v>
      </c>
      <c r="P94" s="26">
        <v>43879.486215277779</v>
      </c>
      <c r="Q94" s="65">
        <v>84079</v>
      </c>
      <c r="R94" s="14" t="s">
        <v>3954</v>
      </c>
      <c r="S94" s="168">
        <v>1130</v>
      </c>
      <c r="T94" s="52" t="s">
        <v>3512</v>
      </c>
      <c r="U94" s="8" t="s">
        <v>3564</v>
      </c>
    </row>
    <row r="95" spans="1:21" ht="15" hidden="1" x14ac:dyDescent="0.2">
      <c r="A95" s="170" t="str">
        <f>CONCATENATE(SP_ENV_Lib[[#This Row],[Environmental Tract No.]],"_",SP_ENV_Lib[[#This Row],[ACQ Document Type]])</f>
        <v>031_ENVIRONMENTAL Right-of-Entry Executed</v>
      </c>
      <c r="B95" s="14" t="s">
        <v>4360</v>
      </c>
      <c r="C95" s="169" t="s">
        <v>2818</v>
      </c>
      <c r="D95" s="12" t="s">
        <v>2819</v>
      </c>
      <c r="E95" s="166" t="s">
        <v>2682</v>
      </c>
      <c r="F95" s="8" t="s">
        <v>2683</v>
      </c>
      <c r="G95" s="8" t="s">
        <v>2681</v>
      </c>
      <c r="H95" s="52" t="s">
        <v>592</v>
      </c>
      <c r="I95" s="57">
        <v>43895</v>
      </c>
      <c r="J95" s="57"/>
      <c r="K95" s="167"/>
      <c r="L95" s="8"/>
      <c r="M95" s="8" t="s">
        <v>4205</v>
      </c>
      <c r="N95" s="26">
        <v>43903.856539351851</v>
      </c>
      <c r="O95" s="8" t="s">
        <v>4205</v>
      </c>
      <c r="P95" s="26">
        <v>43903.856157407405</v>
      </c>
      <c r="Q95" s="65">
        <v>1596861</v>
      </c>
      <c r="R95" s="14" t="s">
        <v>4404</v>
      </c>
      <c r="S95" s="168">
        <v>1295</v>
      </c>
      <c r="T95" s="52" t="s">
        <v>3512</v>
      </c>
      <c r="U95" s="8" t="s">
        <v>3564</v>
      </c>
    </row>
    <row r="96" spans="1:21" ht="15" hidden="1" x14ac:dyDescent="0.2">
      <c r="A96" s="170" t="str">
        <f>CONCATENATE(SP_ENV_Lib[[#This Row],[Environmental Tract No.]],"_",SP_ENV_Lib[[#This Row],[ACQ Document Type]])</f>
        <v>031_ENVIRONMENTAL Right-of-Entry Package</v>
      </c>
      <c r="B96" s="14" t="s">
        <v>4361</v>
      </c>
      <c r="C96" s="169" t="s">
        <v>2818</v>
      </c>
      <c r="D96" s="12" t="s">
        <v>2819</v>
      </c>
      <c r="E96" s="166" t="s">
        <v>2682</v>
      </c>
      <c r="F96" s="8" t="s">
        <v>2687</v>
      </c>
      <c r="G96" s="8" t="s">
        <v>2686</v>
      </c>
      <c r="H96" s="52" t="s">
        <v>592</v>
      </c>
      <c r="I96" s="57">
        <v>43844</v>
      </c>
      <c r="J96" s="57">
        <v>43867</v>
      </c>
      <c r="K96" s="167"/>
      <c r="L96" s="8" t="s">
        <v>4346</v>
      </c>
      <c r="M96" s="8" t="s">
        <v>4206</v>
      </c>
      <c r="N96" s="26">
        <v>43896.532824074071</v>
      </c>
      <c r="O96" s="8" t="s">
        <v>4206</v>
      </c>
      <c r="P96" s="26">
        <v>43896.509097222224</v>
      </c>
      <c r="Q96" s="65">
        <v>740004</v>
      </c>
      <c r="R96" s="14" t="s">
        <v>4405</v>
      </c>
      <c r="S96" s="168">
        <v>1274</v>
      </c>
      <c r="T96" s="52" t="s">
        <v>3512</v>
      </c>
      <c r="U96" s="8" t="s">
        <v>3564</v>
      </c>
    </row>
    <row r="97" spans="1:21" ht="15" x14ac:dyDescent="0.2">
      <c r="A97" s="170" t="str">
        <f>CONCATENATE(SP_ENV_Lib[[#This Row],[Environmental Tract No.]],"_",SP_ENV_Lib[[#This Row],[ACQ Document Type]])</f>
        <v>031_TITLE Tax Card</v>
      </c>
      <c r="B97" s="14" t="s">
        <v>3642</v>
      </c>
      <c r="C97" s="169" t="s">
        <v>2818</v>
      </c>
      <c r="D97" s="12" t="s">
        <v>2819</v>
      </c>
      <c r="E97" s="166" t="s">
        <v>861</v>
      </c>
      <c r="F97" s="8" t="s">
        <v>1150</v>
      </c>
      <c r="G97" s="8" t="s">
        <v>1149</v>
      </c>
      <c r="H97" s="52" t="s">
        <v>592</v>
      </c>
      <c r="I97" s="57"/>
      <c r="J97" s="57"/>
      <c r="K97" s="167"/>
      <c r="L97" s="8"/>
      <c r="M97" s="8" t="s">
        <v>4206</v>
      </c>
      <c r="N97" s="26">
        <v>43872.443148148152</v>
      </c>
      <c r="O97" s="8" t="s">
        <v>4206</v>
      </c>
      <c r="P97" s="26">
        <v>43871.483240740738</v>
      </c>
      <c r="Q97" s="65">
        <v>420103</v>
      </c>
      <c r="R97" s="14" t="s">
        <v>3955</v>
      </c>
      <c r="S97" s="168">
        <v>793</v>
      </c>
      <c r="T97" s="52" t="s">
        <v>3512</v>
      </c>
      <c r="U97" s="8" t="s">
        <v>3564</v>
      </c>
    </row>
    <row r="98" spans="1:21" ht="15" x14ac:dyDescent="0.2">
      <c r="A98" s="170" t="str">
        <f>CONCATENATE(SP_ENV_Lib[[#This Row],[Environmental Tract No.]],"_",SP_ENV_Lib[[#This Row],[ACQ Document Type]])</f>
        <v>032_CONTACT Negotiator Report</v>
      </c>
      <c r="B98" s="14" t="s">
        <v>3643</v>
      </c>
      <c r="C98" s="169" t="s">
        <v>2823</v>
      </c>
      <c r="D98" s="12" t="s">
        <v>2824</v>
      </c>
      <c r="E98" s="166" t="s">
        <v>865</v>
      </c>
      <c r="F98" s="8" t="s">
        <v>1068</v>
      </c>
      <c r="G98" s="8" t="s">
        <v>1067</v>
      </c>
      <c r="H98" s="52" t="s">
        <v>592</v>
      </c>
      <c r="I98" s="57"/>
      <c r="J98" s="57"/>
      <c r="K98" s="167"/>
      <c r="L98" s="8"/>
      <c r="M98" s="8" t="s">
        <v>1743</v>
      </c>
      <c r="N98" s="26">
        <v>43893.494745370372</v>
      </c>
      <c r="O98" s="8" t="s">
        <v>1743</v>
      </c>
      <c r="P98" s="26">
        <v>43879.487060185187</v>
      </c>
      <c r="Q98" s="65">
        <v>80266</v>
      </c>
      <c r="R98" s="14" t="s">
        <v>3956</v>
      </c>
      <c r="S98" s="168">
        <v>1131</v>
      </c>
      <c r="T98" s="52" t="s">
        <v>3512</v>
      </c>
      <c r="U98" s="8" t="s">
        <v>3564</v>
      </c>
    </row>
    <row r="99" spans="1:21" ht="15" hidden="1" x14ac:dyDescent="0.2">
      <c r="A99" s="170" t="str">
        <f>CONCATENATE(SP_ENV_Lib[[#This Row],[Environmental Tract No.]],"_",SP_ENV_Lib[[#This Row],[ACQ Document Type]])</f>
        <v>032_ENVIRONMENTAL Right-of-Entry Executed</v>
      </c>
      <c r="B99" s="14" t="s">
        <v>4362</v>
      </c>
      <c r="C99" s="169" t="s">
        <v>2823</v>
      </c>
      <c r="D99" s="12" t="s">
        <v>2824</v>
      </c>
      <c r="E99" s="166" t="s">
        <v>2682</v>
      </c>
      <c r="F99" s="8" t="s">
        <v>2683</v>
      </c>
      <c r="G99" s="8" t="s">
        <v>2681</v>
      </c>
      <c r="H99" s="52" t="s">
        <v>592</v>
      </c>
      <c r="I99" s="57">
        <v>43895</v>
      </c>
      <c r="J99" s="57"/>
      <c r="K99" s="167"/>
      <c r="L99" s="8"/>
      <c r="M99" s="8" t="s">
        <v>4205</v>
      </c>
      <c r="N99" s="26">
        <v>43903.857025462959</v>
      </c>
      <c r="O99" s="8" t="s">
        <v>4205</v>
      </c>
      <c r="P99" s="26">
        <v>43903.856747685182</v>
      </c>
      <c r="Q99" s="65">
        <v>1566531</v>
      </c>
      <c r="R99" s="14" t="s">
        <v>4406</v>
      </c>
      <c r="S99" s="168">
        <v>1296</v>
      </c>
      <c r="T99" s="52" t="s">
        <v>3512</v>
      </c>
      <c r="U99" s="8" t="s">
        <v>3564</v>
      </c>
    </row>
    <row r="100" spans="1:21" ht="15" hidden="1" x14ac:dyDescent="0.2">
      <c r="A100" s="170" t="str">
        <f>CONCATENATE(SP_ENV_Lib[[#This Row],[Environmental Tract No.]],"_",SP_ENV_Lib[[#This Row],[ACQ Document Type]])</f>
        <v>032_ENVIRONMENTAL Right-of-Entry Package</v>
      </c>
      <c r="B100" s="14" t="s">
        <v>4363</v>
      </c>
      <c r="C100" s="169" t="s">
        <v>2823</v>
      </c>
      <c r="D100" s="12" t="s">
        <v>2824</v>
      </c>
      <c r="E100" s="166" t="s">
        <v>2682</v>
      </c>
      <c r="F100" s="8" t="s">
        <v>2687</v>
      </c>
      <c r="G100" s="8" t="s">
        <v>2686</v>
      </c>
      <c r="H100" s="52" t="s">
        <v>592</v>
      </c>
      <c r="I100" s="57">
        <v>43844</v>
      </c>
      <c r="J100" s="57">
        <v>43863</v>
      </c>
      <c r="K100" s="167"/>
      <c r="L100" s="8" t="s">
        <v>4346</v>
      </c>
      <c r="M100" s="8" t="s">
        <v>4206</v>
      </c>
      <c r="N100" s="26">
        <v>43896.53402777778</v>
      </c>
      <c r="O100" s="8" t="s">
        <v>4206</v>
      </c>
      <c r="P100" s="26">
        <v>43896.509108796294</v>
      </c>
      <c r="Q100" s="65">
        <v>683683</v>
      </c>
      <c r="R100" s="14" t="s">
        <v>4407</v>
      </c>
      <c r="S100" s="168">
        <v>1275</v>
      </c>
      <c r="T100" s="52" t="s">
        <v>3512</v>
      </c>
      <c r="U100" s="8" t="s">
        <v>3564</v>
      </c>
    </row>
    <row r="101" spans="1:21" ht="15" x14ac:dyDescent="0.2">
      <c r="A101" s="170" t="str">
        <f>CONCATENATE(SP_ENV_Lib[[#This Row],[Environmental Tract No.]],"_",SP_ENV_Lib[[#This Row],[ACQ Document Type]])</f>
        <v>032_TITLE Tax Card</v>
      </c>
      <c r="B101" s="14" t="s">
        <v>3644</v>
      </c>
      <c r="C101" s="169" t="s">
        <v>2823</v>
      </c>
      <c r="D101" s="12" t="s">
        <v>2824</v>
      </c>
      <c r="E101" s="166" t="s">
        <v>861</v>
      </c>
      <c r="F101" s="8" t="s">
        <v>1150</v>
      </c>
      <c r="G101" s="8" t="s">
        <v>1149</v>
      </c>
      <c r="H101" s="52" t="s">
        <v>592</v>
      </c>
      <c r="I101" s="57"/>
      <c r="J101" s="57"/>
      <c r="K101" s="167"/>
      <c r="L101" s="8"/>
      <c r="M101" s="8" t="s">
        <v>4206</v>
      </c>
      <c r="N101" s="26">
        <v>43872.443009259259</v>
      </c>
      <c r="O101" s="8" t="s">
        <v>4206</v>
      </c>
      <c r="P101" s="26">
        <v>43871.483252314814</v>
      </c>
      <c r="Q101" s="65">
        <v>357113</v>
      </c>
      <c r="R101" s="14" t="s">
        <v>3957</v>
      </c>
      <c r="S101" s="168">
        <v>794</v>
      </c>
      <c r="T101" s="52" t="s">
        <v>3512</v>
      </c>
      <c r="U101" s="8" t="s">
        <v>3564</v>
      </c>
    </row>
    <row r="102" spans="1:21" ht="15" x14ac:dyDescent="0.2">
      <c r="A102" s="170" t="str">
        <f>CONCATENATE(SP_ENV_Lib[[#This Row],[Environmental Tract No.]],"_",SP_ENV_Lib[[#This Row],[ACQ Document Type]])</f>
        <v>033_CONTACT Negotiator Report</v>
      </c>
      <c r="B102" s="14" t="s">
        <v>3645</v>
      </c>
      <c r="C102" s="169" t="s">
        <v>2698</v>
      </c>
      <c r="D102" s="12" t="s">
        <v>2697</v>
      </c>
      <c r="E102" s="166" t="s">
        <v>865</v>
      </c>
      <c r="F102" s="8" t="s">
        <v>1068</v>
      </c>
      <c r="G102" s="8" t="s">
        <v>1067</v>
      </c>
      <c r="H102" s="52" t="s">
        <v>592</v>
      </c>
      <c r="I102" s="57"/>
      <c r="J102" s="57"/>
      <c r="K102" s="167"/>
      <c r="L102" s="8"/>
      <c r="M102" s="8" t="s">
        <v>23</v>
      </c>
      <c r="N102" s="26">
        <v>43879.735555555555</v>
      </c>
      <c r="O102" s="8" t="s">
        <v>1743</v>
      </c>
      <c r="P102" s="26">
        <v>43879.491377314815</v>
      </c>
      <c r="Q102" s="65">
        <v>59160</v>
      </c>
      <c r="R102" s="14" t="s">
        <v>3958</v>
      </c>
      <c r="S102" s="168">
        <v>1132</v>
      </c>
      <c r="T102" s="52" t="s">
        <v>3512</v>
      </c>
      <c r="U102" s="8" t="s">
        <v>3564</v>
      </c>
    </row>
    <row r="103" spans="1:21" ht="15" hidden="1" x14ac:dyDescent="0.2">
      <c r="A103" s="170" t="str">
        <f>CONCATENATE(SP_ENV_Lib[[#This Row],[Environmental Tract No.]],"_",SP_ENV_Lib[[#This Row],[ACQ Document Type]])</f>
        <v>033_ENVIRONMENTAL Right-of-Entry Executed</v>
      </c>
      <c r="B103" s="14" t="s">
        <v>4220</v>
      </c>
      <c r="C103" s="169" t="s">
        <v>2698</v>
      </c>
      <c r="D103" s="12" t="s">
        <v>2697</v>
      </c>
      <c r="E103" s="166" t="s">
        <v>2682</v>
      </c>
      <c r="F103" s="8" t="s">
        <v>2683</v>
      </c>
      <c r="G103" s="8" t="s">
        <v>2681</v>
      </c>
      <c r="H103" s="52" t="s">
        <v>592</v>
      </c>
      <c r="I103" s="57">
        <v>43895</v>
      </c>
      <c r="J103" s="57"/>
      <c r="K103" s="167"/>
      <c r="L103" s="8" t="s">
        <v>4347</v>
      </c>
      <c r="M103" s="8" t="s">
        <v>4206</v>
      </c>
      <c r="N103" s="26">
        <v>43907.624386574076</v>
      </c>
      <c r="O103" s="8" t="s">
        <v>4205</v>
      </c>
      <c r="P103" s="26">
        <v>43892.791620370372</v>
      </c>
      <c r="Q103" s="65">
        <v>1724170</v>
      </c>
      <c r="R103" s="14" t="s">
        <v>4279</v>
      </c>
      <c r="S103" s="168">
        <v>1178</v>
      </c>
      <c r="T103" s="52" t="s">
        <v>3512</v>
      </c>
      <c r="U103" s="8" t="s">
        <v>3564</v>
      </c>
    </row>
    <row r="104" spans="1:21" ht="15" hidden="1" x14ac:dyDescent="0.2">
      <c r="A104" s="170" t="str">
        <f>CONCATENATE(SP_ENV_Lib[[#This Row],[Environmental Tract No.]],"_",SP_ENV_Lib[[#This Row],[ACQ Document Type]])</f>
        <v>033_ENVIRONMENTAL Right-of-Entry Package</v>
      </c>
      <c r="B104" s="14" t="s">
        <v>3646</v>
      </c>
      <c r="C104" s="169" t="s">
        <v>2698</v>
      </c>
      <c r="D104" s="12" t="s">
        <v>2697</v>
      </c>
      <c r="E104" s="166" t="s">
        <v>2682</v>
      </c>
      <c r="F104" s="8" t="s">
        <v>2687</v>
      </c>
      <c r="G104" s="8" t="s">
        <v>2686</v>
      </c>
      <c r="H104" s="52" t="s">
        <v>592</v>
      </c>
      <c r="I104" s="57">
        <v>43844</v>
      </c>
      <c r="J104" s="57"/>
      <c r="K104" s="167"/>
      <c r="L104" s="8" t="s">
        <v>3565</v>
      </c>
      <c r="M104" s="8" t="s">
        <v>4206</v>
      </c>
      <c r="N104" s="26">
        <v>43874.543877314813</v>
      </c>
      <c r="O104" s="8" t="s">
        <v>4206</v>
      </c>
      <c r="P104" s="26">
        <v>43873.522314814814</v>
      </c>
      <c r="Q104" s="65">
        <v>722701</v>
      </c>
      <c r="R104" s="14" t="s">
        <v>3959</v>
      </c>
      <c r="S104" s="168">
        <v>996</v>
      </c>
      <c r="T104" s="52" t="s">
        <v>3512</v>
      </c>
      <c r="U104" s="8" t="s">
        <v>3564</v>
      </c>
    </row>
    <row r="105" spans="1:21" ht="15" x14ac:dyDescent="0.2">
      <c r="A105" s="170" t="str">
        <f>CONCATENATE(SP_ENV_Lib[[#This Row],[Environmental Tract No.]],"_",SP_ENV_Lib[[#This Row],[ACQ Document Type]])</f>
        <v>033_TITLE Tax Card</v>
      </c>
      <c r="B105" s="14" t="s">
        <v>3647</v>
      </c>
      <c r="C105" s="169" t="s">
        <v>2698</v>
      </c>
      <c r="D105" s="12" t="s">
        <v>2697</v>
      </c>
      <c r="E105" s="166" t="s">
        <v>861</v>
      </c>
      <c r="F105" s="8" t="s">
        <v>1150</v>
      </c>
      <c r="G105" s="8" t="s">
        <v>1149</v>
      </c>
      <c r="H105" s="52" t="s">
        <v>592</v>
      </c>
      <c r="I105" s="57"/>
      <c r="J105" s="57"/>
      <c r="K105" s="167"/>
      <c r="L105" s="8"/>
      <c r="M105" s="8" t="s">
        <v>4206</v>
      </c>
      <c r="N105" s="26">
        <v>43872.44290509259</v>
      </c>
      <c r="O105" s="8" t="s">
        <v>4206</v>
      </c>
      <c r="P105" s="26">
        <v>43871.483263888891</v>
      </c>
      <c r="Q105" s="65">
        <v>478655</v>
      </c>
      <c r="R105" s="14" t="s">
        <v>3960</v>
      </c>
      <c r="S105" s="168">
        <v>795</v>
      </c>
      <c r="T105" s="52" t="s">
        <v>3512</v>
      </c>
      <c r="U105" s="8" t="s">
        <v>3564</v>
      </c>
    </row>
    <row r="106" spans="1:21" ht="15" x14ac:dyDescent="0.2">
      <c r="A106" s="170" t="str">
        <f>CONCATENATE(SP_ENV_Lib[[#This Row],[Environmental Tract No.]],"_",SP_ENV_Lib[[#This Row],[ACQ Document Type]])</f>
        <v>035_CONTACT Negotiator Report</v>
      </c>
      <c r="B106" s="14" t="s">
        <v>3648</v>
      </c>
      <c r="C106" s="169" t="s">
        <v>2831</v>
      </c>
      <c r="D106" s="12" t="s">
        <v>2832</v>
      </c>
      <c r="E106" s="166" t="s">
        <v>865</v>
      </c>
      <c r="F106" s="8" t="s">
        <v>1068</v>
      </c>
      <c r="G106" s="8" t="s">
        <v>1067</v>
      </c>
      <c r="H106" s="52" t="s">
        <v>592</v>
      </c>
      <c r="I106" s="57"/>
      <c r="J106" s="57"/>
      <c r="K106" s="167"/>
      <c r="L106" s="8"/>
      <c r="M106" s="8" t="s">
        <v>1743</v>
      </c>
      <c r="N106" s="26">
        <v>43943.683206018519</v>
      </c>
      <c r="O106" s="8" t="s">
        <v>1743</v>
      </c>
      <c r="P106" s="26">
        <v>43879.49527777778</v>
      </c>
      <c r="Q106" s="65">
        <v>79280</v>
      </c>
      <c r="R106" s="14" t="s">
        <v>3961</v>
      </c>
      <c r="S106" s="168">
        <v>1133</v>
      </c>
      <c r="T106" s="52" t="s">
        <v>3512</v>
      </c>
      <c r="U106" s="8" t="s">
        <v>3564</v>
      </c>
    </row>
    <row r="107" spans="1:21" ht="15" hidden="1" x14ac:dyDescent="0.2">
      <c r="A107" s="170" t="str">
        <f>CONCATENATE(SP_ENV_Lib[[#This Row],[Environmental Tract No.]],"_",SP_ENV_Lib[[#This Row],[ACQ Document Type]])</f>
        <v>035_ENVIRONMENTAL Right-of-Entry Package</v>
      </c>
      <c r="B107" s="14" t="s">
        <v>3649</v>
      </c>
      <c r="C107" s="169" t="s">
        <v>2831</v>
      </c>
      <c r="D107" s="12" t="s">
        <v>2832</v>
      </c>
      <c r="E107" s="166" t="s">
        <v>2682</v>
      </c>
      <c r="F107" s="8" t="s">
        <v>2687</v>
      </c>
      <c r="G107" s="8" t="s">
        <v>2686</v>
      </c>
      <c r="H107" s="52" t="s">
        <v>592</v>
      </c>
      <c r="I107" s="57">
        <v>43844</v>
      </c>
      <c r="J107" s="57">
        <v>43857</v>
      </c>
      <c r="K107" s="167"/>
      <c r="L107" s="8"/>
      <c r="M107" s="8" t="s">
        <v>4206</v>
      </c>
      <c r="N107" s="26">
        <v>43874.543136574073</v>
      </c>
      <c r="O107" s="8" t="s">
        <v>4206</v>
      </c>
      <c r="P107" s="26">
        <v>43873.522349537037</v>
      </c>
      <c r="Q107" s="65">
        <v>662212</v>
      </c>
      <c r="R107" s="14" t="s">
        <v>3962</v>
      </c>
      <c r="S107" s="168">
        <v>997</v>
      </c>
      <c r="T107" s="52" t="s">
        <v>3512</v>
      </c>
      <c r="U107" s="8" t="s">
        <v>3564</v>
      </c>
    </row>
    <row r="108" spans="1:21" ht="15" x14ac:dyDescent="0.2">
      <c r="A108" s="170" t="str">
        <f>CONCATENATE(SP_ENV_Lib[[#This Row],[Environmental Tract No.]],"_",SP_ENV_Lib[[#This Row],[ACQ Document Type]])</f>
        <v>035_TITLE Tax Card</v>
      </c>
      <c r="B108" s="14" t="s">
        <v>3650</v>
      </c>
      <c r="C108" s="169" t="s">
        <v>2831</v>
      </c>
      <c r="D108" s="12" t="s">
        <v>2832</v>
      </c>
      <c r="E108" s="166" t="s">
        <v>861</v>
      </c>
      <c r="F108" s="8" t="s">
        <v>1150</v>
      </c>
      <c r="G108" s="8" t="s">
        <v>1149</v>
      </c>
      <c r="H108" s="52" t="s">
        <v>592</v>
      </c>
      <c r="I108" s="57"/>
      <c r="J108" s="57"/>
      <c r="K108" s="167"/>
      <c r="L108" s="8"/>
      <c r="M108" s="8" t="s">
        <v>4206</v>
      </c>
      <c r="N108" s="26">
        <v>43872.442812499998</v>
      </c>
      <c r="O108" s="8" t="s">
        <v>4206</v>
      </c>
      <c r="P108" s="26">
        <v>43871.483275462961</v>
      </c>
      <c r="Q108" s="65">
        <v>415936</v>
      </c>
      <c r="R108" s="14" t="s">
        <v>3963</v>
      </c>
      <c r="S108" s="168">
        <v>796</v>
      </c>
      <c r="T108" s="52" t="s">
        <v>3512</v>
      </c>
      <c r="U108" s="8" t="s">
        <v>3564</v>
      </c>
    </row>
    <row r="109" spans="1:21" ht="15" x14ac:dyDescent="0.2">
      <c r="A109" s="170" t="str">
        <f>CONCATENATE(SP_ENV_Lib[[#This Row],[Environmental Tract No.]],"_",SP_ENV_Lib[[#This Row],[ACQ Document Type]])</f>
        <v>036_CONTACT Negotiator Report</v>
      </c>
      <c r="B109" s="14" t="s">
        <v>3651</v>
      </c>
      <c r="C109" s="169" t="s">
        <v>2836</v>
      </c>
      <c r="D109" s="12" t="s">
        <v>2837</v>
      </c>
      <c r="E109" s="166" t="s">
        <v>865</v>
      </c>
      <c r="F109" s="8" t="s">
        <v>1068</v>
      </c>
      <c r="G109" s="8" t="s">
        <v>1067</v>
      </c>
      <c r="H109" s="52" t="s">
        <v>592</v>
      </c>
      <c r="I109" s="57"/>
      <c r="J109" s="57"/>
      <c r="K109" s="167"/>
      <c r="L109" s="8"/>
      <c r="M109" s="8" t="s">
        <v>23</v>
      </c>
      <c r="N109" s="26">
        <v>43879.735555555555</v>
      </c>
      <c r="O109" s="8" t="s">
        <v>1743</v>
      </c>
      <c r="P109" s="26">
        <v>43879.497129629628</v>
      </c>
      <c r="Q109" s="65">
        <v>111583</v>
      </c>
      <c r="R109" s="14" t="s">
        <v>3964</v>
      </c>
      <c r="S109" s="168">
        <v>1134</v>
      </c>
      <c r="T109" s="52" t="s">
        <v>3512</v>
      </c>
      <c r="U109" s="8" t="s">
        <v>3564</v>
      </c>
    </row>
    <row r="110" spans="1:21" ht="15" hidden="1" x14ac:dyDescent="0.2">
      <c r="A110" s="170" t="str">
        <f>CONCATENATE(SP_ENV_Lib[[#This Row],[Environmental Tract No.]],"_",SP_ENV_Lib[[#This Row],[ACQ Document Type]])</f>
        <v>036_ENVIRONMENTAL Right-of-Entry Executed</v>
      </c>
      <c r="B110" s="14" t="s">
        <v>4221</v>
      </c>
      <c r="C110" s="169" t="s">
        <v>2836</v>
      </c>
      <c r="D110" s="12" t="s">
        <v>2837</v>
      </c>
      <c r="E110" s="166" t="s">
        <v>2682</v>
      </c>
      <c r="F110" s="8" t="s">
        <v>2683</v>
      </c>
      <c r="G110" s="8" t="s">
        <v>2681</v>
      </c>
      <c r="H110" s="52" t="s">
        <v>592</v>
      </c>
      <c r="I110" s="57">
        <v>43867</v>
      </c>
      <c r="J110" s="57"/>
      <c r="K110" s="167"/>
      <c r="L110" s="8"/>
      <c r="M110" s="8" t="s">
        <v>4205</v>
      </c>
      <c r="N110" s="26">
        <v>43892.793113425927</v>
      </c>
      <c r="O110" s="8" t="s">
        <v>4205</v>
      </c>
      <c r="P110" s="26">
        <v>43892.792743055557</v>
      </c>
      <c r="Q110" s="65">
        <v>1798382</v>
      </c>
      <c r="R110" s="14" t="s">
        <v>4280</v>
      </c>
      <c r="S110" s="168">
        <v>1179</v>
      </c>
      <c r="T110" s="52" t="s">
        <v>3512</v>
      </c>
      <c r="U110" s="8" t="s">
        <v>3564</v>
      </c>
    </row>
    <row r="111" spans="1:21" ht="15" hidden="1" x14ac:dyDescent="0.2">
      <c r="A111" s="170" t="str">
        <f>CONCATENATE(SP_ENV_Lib[[#This Row],[Environmental Tract No.]],"_",SP_ENV_Lib[[#This Row],[ACQ Document Type]])</f>
        <v>036_ENVIRONMENTAL Right-of-Entry Package</v>
      </c>
      <c r="B111" s="14" t="s">
        <v>3652</v>
      </c>
      <c r="C111" s="169" t="s">
        <v>2836</v>
      </c>
      <c r="D111" s="12" t="s">
        <v>2837</v>
      </c>
      <c r="E111" s="166" t="s">
        <v>2682</v>
      </c>
      <c r="F111" s="8" t="s">
        <v>2687</v>
      </c>
      <c r="G111" s="8" t="s">
        <v>2686</v>
      </c>
      <c r="H111" s="52" t="s">
        <v>592</v>
      </c>
      <c r="I111" s="57">
        <v>43844</v>
      </c>
      <c r="J111" s="57">
        <v>43860</v>
      </c>
      <c r="K111" s="167"/>
      <c r="L111" s="8"/>
      <c r="M111" s="8" t="s">
        <v>4206</v>
      </c>
      <c r="N111" s="26">
        <v>43874.542905092596</v>
      </c>
      <c r="O111" s="8" t="s">
        <v>4206</v>
      </c>
      <c r="P111" s="26">
        <v>43873.522372685184</v>
      </c>
      <c r="Q111" s="65">
        <v>683397</v>
      </c>
      <c r="R111" s="14" t="s">
        <v>3965</v>
      </c>
      <c r="S111" s="168">
        <v>998</v>
      </c>
      <c r="T111" s="52" t="s">
        <v>3512</v>
      </c>
      <c r="U111" s="8" t="s">
        <v>3564</v>
      </c>
    </row>
    <row r="112" spans="1:21" ht="15" x14ac:dyDescent="0.2">
      <c r="A112" s="170" t="str">
        <f>CONCATENATE(SP_ENV_Lib[[#This Row],[Environmental Tract No.]],"_",SP_ENV_Lib[[#This Row],[ACQ Document Type]])</f>
        <v>036_TITLE Tax Card</v>
      </c>
      <c r="B112" s="14" t="s">
        <v>3653</v>
      </c>
      <c r="C112" s="169" t="s">
        <v>2836</v>
      </c>
      <c r="D112" s="12" t="s">
        <v>2837</v>
      </c>
      <c r="E112" s="166" t="s">
        <v>861</v>
      </c>
      <c r="F112" s="8" t="s">
        <v>1150</v>
      </c>
      <c r="G112" s="8" t="s">
        <v>1149</v>
      </c>
      <c r="H112" s="52" t="s">
        <v>592</v>
      </c>
      <c r="I112" s="57"/>
      <c r="J112" s="57"/>
      <c r="K112" s="167"/>
      <c r="L112" s="8"/>
      <c r="M112" s="8" t="s">
        <v>4206</v>
      </c>
      <c r="N112" s="26">
        <v>43872.442696759259</v>
      </c>
      <c r="O112" s="8" t="s">
        <v>4206</v>
      </c>
      <c r="P112" s="26">
        <v>43871.483287037037</v>
      </c>
      <c r="Q112" s="65">
        <v>440019</v>
      </c>
      <c r="R112" s="14" t="s">
        <v>3966</v>
      </c>
      <c r="S112" s="168">
        <v>797</v>
      </c>
      <c r="T112" s="52" t="s">
        <v>3512</v>
      </c>
      <c r="U112" s="8" t="s">
        <v>3564</v>
      </c>
    </row>
    <row r="113" spans="1:21" ht="15" x14ac:dyDescent="0.2">
      <c r="A113" s="170" t="str">
        <f>CONCATENATE(SP_ENV_Lib[[#This Row],[Environmental Tract No.]],"_",SP_ENV_Lib[[#This Row],[ACQ Document Type]])</f>
        <v>038_CONTACT Negotiator Report</v>
      </c>
      <c r="B113" s="14" t="s">
        <v>3654</v>
      </c>
      <c r="C113" s="169" t="s">
        <v>2841</v>
      </c>
      <c r="D113" s="12" t="s">
        <v>2842</v>
      </c>
      <c r="E113" s="166" t="s">
        <v>865</v>
      </c>
      <c r="F113" s="8" t="s">
        <v>1068</v>
      </c>
      <c r="G113" s="8" t="s">
        <v>1067</v>
      </c>
      <c r="H113" s="52" t="s">
        <v>592</v>
      </c>
      <c r="I113" s="57"/>
      <c r="J113" s="57"/>
      <c r="K113" s="167"/>
      <c r="L113" s="8"/>
      <c r="M113" s="8" t="s">
        <v>23</v>
      </c>
      <c r="N113" s="26">
        <v>43879.735555555555</v>
      </c>
      <c r="O113" s="8" t="s">
        <v>1743</v>
      </c>
      <c r="P113" s="26">
        <v>43879.498055555552</v>
      </c>
      <c r="Q113" s="65">
        <v>81915</v>
      </c>
      <c r="R113" s="14" t="s">
        <v>3967</v>
      </c>
      <c r="S113" s="168">
        <v>1135</v>
      </c>
      <c r="T113" s="52" t="s">
        <v>3512</v>
      </c>
      <c r="U113" s="8" t="s">
        <v>3564</v>
      </c>
    </row>
    <row r="114" spans="1:21" ht="15" hidden="1" x14ac:dyDescent="0.2">
      <c r="A114" s="170" t="str">
        <f>CONCATENATE(SP_ENV_Lib[[#This Row],[Environmental Tract No.]],"_",SP_ENV_Lib[[#This Row],[ACQ Document Type]])</f>
        <v>038_ENVIRONMENTAL Right-of-Entry Executed</v>
      </c>
      <c r="B114" s="14" t="s">
        <v>4222</v>
      </c>
      <c r="C114" s="169" t="s">
        <v>2841</v>
      </c>
      <c r="D114" s="12" t="s">
        <v>2842</v>
      </c>
      <c r="E114" s="166" t="s">
        <v>2682</v>
      </c>
      <c r="F114" s="8" t="s">
        <v>2683</v>
      </c>
      <c r="G114" s="8" t="s">
        <v>2681</v>
      </c>
      <c r="H114" s="52" t="s">
        <v>592</v>
      </c>
      <c r="I114" s="57">
        <v>43871</v>
      </c>
      <c r="J114" s="57"/>
      <c r="K114" s="167"/>
      <c r="L114" s="8"/>
      <c r="M114" s="8" t="s">
        <v>4205</v>
      </c>
      <c r="N114" s="26">
        <v>43892.794131944444</v>
      </c>
      <c r="O114" s="8" t="s">
        <v>4205</v>
      </c>
      <c r="P114" s="26">
        <v>43892.793773148151</v>
      </c>
      <c r="Q114" s="65">
        <v>1769271</v>
      </c>
      <c r="R114" s="14" t="s">
        <v>4281</v>
      </c>
      <c r="S114" s="168">
        <v>1180</v>
      </c>
      <c r="T114" s="52" t="s">
        <v>3512</v>
      </c>
      <c r="U114" s="8" t="s">
        <v>3564</v>
      </c>
    </row>
    <row r="115" spans="1:21" ht="15" hidden="1" x14ac:dyDescent="0.2">
      <c r="A115" s="170" t="str">
        <f>CONCATENATE(SP_ENV_Lib[[#This Row],[Environmental Tract No.]],"_",SP_ENV_Lib[[#This Row],[ACQ Document Type]])</f>
        <v>038_ENVIRONMENTAL Right-of-Entry Package</v>
      </c>
      <c r="B115" s="14" t="s">
        <v>3655</v>
      </c>
      <c r="C115" s="169" t="s">
        <v>2841</v>
      </c>
      <c r="D115" s="12" t="s">
        <v>2842</v>
      </c>
      <c r="E115" s="166" t="s">
        <v>2682</v>
      </c>
      <c r="F115" s="8" t="s">
        <v>2687</v>
      </c>
      <c r="G115" s="8" t="s">
        <v>2686</v>
      </c>
      <c r="H115" s="52" t="s">
        <v>592</v>
      </c>
      <c r="I115" s="57">
        <v>43844</v>
      </c>
      <c r="J115" s="57">
        <v>43857</v>
      </c>
      <c r="K115" s="167"/>
      <c r="L115" s="8"/>
      <c r="M115" s="8" t="s">
        <v>4206</v>
      </c>
      <c r="N115" s="26">
        <v>43874.542673611111</v>
      </c>
      <c r="O115" s="8" t="s">
        <v>4206</v>
      </c>
      <c r="P115" s="26">
        <v>43873.52239583333</v>
      </c>
      <c r="Q115" s="65">
        <v>661705</v>
      </c>
      <c r="R115" s="14" t="s">
        <v>3968</v>
      </c>
      <c r="S115" s="168">
        <v>999</v>
      </c>
      <c r="T115" s="52" t="s">
        <v>3512</v>
      </c>
      <c r="U115" s="8" t="s">
        <v>3564</v>
      </c>
    </row>
    <row r="116" spans="1:21" ht="15" x14ac:dyDescent="0.2">
      <c r="A116" s="170" t="str">
        <f>CONCATENATE(SP_ENV_Lib[[#This Row],[Environmental Tract No.]],"_",SP_ENV_Lib[[#This Row],[ACQ Document Type]])</f>
        <v>038_TITLE Tax Card</v>
      </c>
      <c r="B116" s="14" t="s">
        <v>3656</v>
      </c>
      <c r="C116" s="169" t="s">
        <v>2841</v>
      </c>
      <c r="D116" s="12" t="s">
        <v>2842</v>
      </c>
      <c r="E116" s="166" t="s">
        <v>861</v>
      </c>
      <c r="F116" s="8" t="s">
        <v>1150</v>
      </c>
      <c r="G116" s="8" t="s">
        <v>1149</v>
      </c>
      <c r="H116" s="52" t="s">
        <v>592</v>
      </c>
      <c r="I116" s="57"/>
      <c r="J116" s="57"/>
      <c r="K116" s="167"/>
      <c r="L116" s="8"/>
      <c r="M116" s="8" t="s">
        <v>4206</v>
      </c>
      <c r="N116" s="26">
        <v>43872.442546296297</v>
      </c>
      <c r="O116" s="8" t="s">
        <v>4206</v>
      </c>
      <c r="P116" s="26">
        <v>43871.483298611114</v>
      </c>
      <c r="Q116" s="65">
        <v>415553</v>
      </c>
      <c r="R116" s="14" t="s">
        <v>3969</v>
      </c>
      <c r="S116" s="168">
        <v>798</v>
      </c>
      <c r="T116" s="52" t="s">
        <v>3512</v>
      </c>
      <c r="U116" s="8" t="s">
        <v>3564</v>
      </c>
    </row>
    <row r="117" spans="1:21" ht="15" x14ac:dyDescent="0.2">
      <c r="A117" s="170" t="str">
        <f>CONCATENATE(SP_ENV_Lib[[#This Row],[Environmental Tract No.]],"_",SP_ENV_Lib[[#This Row],[ACQ Document Type]])</f>
        <v>039_CONTACT Negotiator Report</v>
      </c>
      <c r="B117" s="14" t="s">
        <v>3657</v>
      </c>
      <c r="C117" s="169" t="s">
        <v>2846</v>
      </c>
      <c r="D117" s="12" t="s">
        <v>2847</v>
      </c>
      <c r="E117" s="166" t="s">
        <v>865</v>
      </c>
      <c r="F117" s="8" t="s">
        <v>1068</v>
      </c>
      <c r="G117" s="8" t="s">
        <v>1067</v>
      </c>
      <c r="H117" s="52" t="s">
        <v>592</v>
      </c>
      <c r="I117" s="57"/>
      <c r="J117" s="57"/>
      <c r="K117" s="167"/>
      <c r="L117" s="8"/>
      <c r="M117" s="8" t="s">
        <v>23</v>
      </c>
      <c r="N117" s="26">
        <v>43879.735555555555</v>
      </c>
      <c r="O117" s="8" t="s">
        <v>1743</v>
      </c>
      <c r="P117" s="26">
        <v>43879.49931712963</v>
      </c>
      <c r="Q117" s="65">
        <v>80426</v>
      </c>
      <c r="R117" s="14" t="s">
        <v>3970</v>
      </c>
      <c r="S117" s="168">
        <v>1136</v>
      </c>
      <c r="T117" s="52" t="s">
        <v>3512</v>
      </c>
      <c r="U117" s="8" t="s">
        <v>3564</v>
      </c>
    </row>
    <row r="118" spans="1:21" ht="15" hidden="1" x14ac:dyDescent="0.2">
      <c r="A118" s="170" t="str">
        <f>CONCATENATE(SP_ENV_Lib[[#This Row],[Environmental Tract No.]],"_",SP_ENV_Lib[[#This Row],[ACQ Document Type]])</f>
        <v>039_ENVIRONMENTAL Right-of-Entry Executed</v>
      </c>
      <c r="B118" s="14" t="s">
        <v>4223</v>
      </c>
      <c r="C118" s="169" t="s">
        <v>2846</v>
      </c>
      <c r="D118" s="12" t="s">
        <v>2847</v>
      </c>
      <c r="E118" s="166" t="s">
        <v>2682</v>
      </c>
      <c r="F118" s="8" t="s">
        <v>2683</v>
      </c>
      <c r="G118" s="8" t="s">
        <v>2681</v>
      </c>
      <c r="H118" s="52" t="s">
        <v>592</v>
      </c>
      <c r="I118" s="57">
        <v>43871</v>
      </c>
      <c r="J118" s="57"/>
      <c r="K118" s="167"/>
      <c r="L118" s="8"/>
      <c r="M118" s="8" t="s">
        <v>4205</v>
      </c>
      <c r="N118" s="26">
        <v>43892.795115740744</v>
      </c>
      <c r="O118" s="8" t="s">
        <v>4205</v>
      </c>
      <c r="P118" s="26">
        <v>43892.794745370367</v>
      </c>
      <c r="Q118" s="65">
        <v>1698946</v>
      </c>
      <c r="R118" s="14" t="s">
        <v>4282</v>
      </c>
      <c r="S118" s="168">
        <v>1181</v>
      </c>
      <c r="T118" s="52" t="s">
        <v>3512</v>
      </c>
      <c r="U118" s="8" t="s">
        <v>3564</v>
      </c>
    </row>
    <row r="119" spans="1:21" ht="15" hidden="1" x14ac:dyDescent="0.2">
      <c r="A119" s="170" t="str">
        <f>CONCATENATE(SP_ENV_Lib[[#This Row],[Environmental Tract No.]],"_",SP_ENV_Lib[[#This Row],[ACQ Document Type]])</f>
        <v>039_ENVIRONMENTAL Right-of-Entry Package</v>
      </c>
      <c r="B119" s="14" t="s">
        <v>3658</v>
      </c>
      <c r="C119" s="169" t="s">
        <v>2846</v>
      </c>
      <c r="D119" s="12" t="s">
        <v>2847</v>
      </c>
      <c r="E119" s="166" t="s">
        <v>2682</v>
      </c>
      <c r="F119" s="8" t="s">
        <v>2687</v>
      </c>
      <c r="G119" s="8" t="s">
        <v>2686</v>
      </c>
      <c r="H119" s="52" t="s">
        <v>592</v>
      </c>
      <c r="I119" s="57">
        <v>43844</v>
      </c>
      <c r="J119" s="57">
        <v>43857</v>
      </c>
      <c r="K119" s="167"/>
      <c r="L119" s="8"/>
      <c r="M119" s="8" t="s">
        <v>4206</v>
      </c>
      <c r="N119" s="26">
        <v>43874.542442129627</v>
      </c>
      <c r="O119" s="8" t="s">
        <v>4206</v>
      </c>
      <c r="P119" s="26">
        <v>43873.522418981483</v>
      </c>
      <c r="Q119" s="65">
        <v>897909</v>
      </c>
      <c r="R119" s="14" t="s">
        <v>3971</v>
      </c>
      <c r="S119" s="168">
        <v>1000</v>
      </c>
      <c r="T119" s="52" t="s">
        <v>3512</v>
      </c>
      <c r="U119" s="8" t="s">
        <v>3564</v>
      </c>
    </row>
    <row r="120" spans="1:21" ht="15" x14ac:dyDescent="0.2">
      <c r="A120" s="170" t="str">
        <f>CONCATENATE(SP_ENV_Lib[[#This Row],[Environmental Tract No.]],"_",SP_ENV_Lib[[#This Row],[ACQ Document Type]])</f>
        <v>039_TITLE Tax Card</v>
      </c>
      <c r="B120" s="14" t="s">
        <v>3659</v>
      </c>
      <c r="C120" s="169" t="s">
        <v>2846</v>
      </c>
      <c r="D120" s="12" t="s">
        <v>2847</v>
      </c>
      <c r="E120" s="166" t="s">
        <v>861</v>
      </c>
      <c r="F120" s="8" t="s">
        <v>1150</v>
      </c>
      <c r="G120" s="8" t="s">
        <v>1149</v>
      </c>
      <c r="H120" s="52" t="s">
        <v>592</v>
      </c>
      <c r="I120" s="57"/>
      <c r="J120" s="57"/>
      <c r="K120" s="167"/>
      <c r="L120" s="8"/>
      <c r="M120" s="8" t="s">
        <v>4206</v>
      </c>
      <c r="N120" s="26">
        <v>43872.442430555559</v>
      </c>
      <c r="O120" s="8" t="s">
        <v>4206</v>
      </c>
      <c r="P120" s="26">
        <v>43871.483310185184</v>
      </c>
      <c r="Q120" s="65">
        <v>644242</v>
      </c>
      <c r="R120" s="14" t="s">
        <v>3972</v>
      </c>
      <c r="S120" s="168">
        <v>799</v>
      </c>
      <c r="T120" s="52" t="s">
        <v>3512</v>
      </c>
      <c r="U120" s="8" t="s">
        <v>3564</v>
      </c>
    </row>
    <row r="121" spans="1:21" ht="15" x14ac:dyDescent="0.2">
      <c r="A121" s="170" t="str">
        <f>CONCATENATE(SP_ENV_Lib[[#This Row],[Environmental Tract No.]],"_",SP_ENV_Lib[[#This Row],[ACQ Document Type]])</f>
        <v>040_CONTACT Negotiator Report</v>
      </c>
      <c r="B121" s="14" t="s">
        <v>3660</v>
      </c>
      <c r="C121" s="169" t="s">
        <v>2851</v>
      </c>
      <c r="D121" s="12" t="s">
        <v>2852</v>
      </c>
      <c r="E121" s="166" t="s">
        <v>865</v>
      </c>
      <c r="F121" s="8" t="s">
        <v>1068</v>
      </c>
      <c r="G121" s="8" t="s">
        <v>1067</v>
      </c>
      <c r="H121" s="52" t="s">
        <v>592</v>
      </c>
      <c r="I121" s="57"/>
      <c r="J121" s="57"/>
      <c r="K121" s="167"/>
      <c r="L121" s="8"/>
      <c r="M121" s="8" t="s">
        <v>23</v>
      </c>
      <c r="N121" s="26">
        <v>43879.735555555555</v>
      </c>
      <c r="O121" s="8" t="s">
        <v>1743</v>
      </c>
      <c r="P121" s="26">
        <v>43879.500532407408</v>
      </c>
      <c r="Q121" s="65">
        <v>81156</v>
      </c>
      <c r="R121" s="14" t="s">
        <v>3973</v>
      </c>
      <c r="S121" s="168">
        <v>1137</v>
      </c>
      <c r="T121" s="52" t="s">
        <v>3512</v>
      </c>
      <c r="U121" s="8" t="s">
        <v>3564</v>
      </c>
    </row>
    <row r="122" spans="1:21" ht="15" hidden="1" x14ac:dyDescent="0.2">
      <c r="A122" s="170" t="str">
        <f>CONCATENATE(SP_ENV_Lib[[#This Row],[Environmental Tract No.]],"_",SP_ENV_Lib[[#This Row],[ACQ Document Type]])</f>
        <v>040_ENVIRONMENTAL Right-of-Entry Executed</v>
      </c>
      <c r="B122" s="14" t="s">
        <v>4224</v>
      </c>
      <c r="C122" s="169" t="s">
        <v>2851</v>
      </c>
      <c r="D122" s="12" t="s">
        <v>2852</v>
      </c>
      <c r="E122" s="166" t="s">
        <v>2682</v>
      </c>
      <c r="F122" s="8" t="s">
        <v>2683</v>
      </c>
      <c r="G122" s="8" t="s">
        <v>2681</v>
      </c>
      <c r="H122" s="52" t="s">
        <v>592</v>
      </c>
      <c r="I122" s="57">
        <v>43871</v>
      </c>
      <c r="J122" s="57"/>
      <c r="K122" s="167"/>
      <c r="L122" s="8"/>
      <c r="M122" s="8" t="s">
        <v>4205</v>
      </c>
      <c r="N122" s="26">
        <v>43892.796064814815</v>
      </c>
      <c r="O122" s="8" t="s">
        <v>4205</v>
      </c>
      <c r="P122" s="26">
        <v>43892.795636574076</v>
      </c>
      <c r="Q122" s="65">
        <v>1620941</v>
      </c>
      <c r="R122" s="14" t="s">
        <v>4283</v>
      </c>
      <c r="S122" s="168">
        <v>1182</v>
      </c>
      <c r="T122" s="52" t="s">
        <v>3512</v>
      </c>
      <c r="U122" s="8" t="s">
        <v>3564</v>
      </c>
    </row>
    <row r="123" spans="1:21" ht="15" hidden="1" x14ac:dyDescent="0.2">
      <c r="A123" s="170" t="str">
        <f>CONCATENATE(SP_ENV_Lib[[#This Row],[Environmental Tract No.]],"_",SP_ENV_Lib[[#This Row],[ACQ Document Type]])</f>
        <v>040_ENVIRONMENTAL Right-of-Entry Package</v>
      </c>
      <c r="B123" s="14" t="s">
        <v>3661</v>
      </c>
      <c r="C123" s="169" t="s">
        <v>2851</v>
      </c>
      <c r="D123" s="12" t="s">
        <v>2852</v>
      </c>
      <c r="E123" s="166" t="s">
        <v>2682</v>
      </c>
      <c r="F123" s="8" t="s">
        <v>2687</v>
      </c>
      <c r="G123" s="8" t="s">
        <v>2686</v>
      </c>
      <c r="H123" s="52" t="s">
        <v>592</v>
      </c>
      <c r="I123" s="57">
        <v>43844</v>
      </c>
      <c r="J123" s="57">
        <v>43857</v>
      </c>
      <c r="K123" s="167"/>
      <c r="L123" s="8"/>
      <c r="M123" s="8" t="s">
        <v>4206</v>
      </c>
      <c r="N123" s="26">
        <v>43874.542141203703</v>
      </c>
      <c r="O123" s="8" t="s">
        <v>4206</v>
      </c>
      <c r="P123" s="26">
        <v>43873.52244212963</v>
      </c>
      <c r="Q123" s="65">
        <v>632205</v>
      </c>
      <c r="R123" s="14" t="s">
        <v>3974</v>
      </c>
      <c r="S123" s="168">
        <v>1001</v>
      </c>
      <c r="T123" s="52" t="s">
        <v>3512</v>
      </c>
      <c r="U123" s="8" t="s">
        <v>3564</v>
      </c>
    </row>
    <row r="124" spans="1:21" ht="15" x14ac:dyDescent="0.2">
      <c r="A124" s="170" t="str">
        <f>CONCATENATE(SP_ENV_Lib[[#This Row],[Environmental Tract No.]],"_",SP_ENV_Lib[[#This Row],[ACQ Document Type]])</f>
        <v>040_TITLE Tax Card</v>
      </c>
      <c r="B124" s="14" t="s">
        <v>3662</v>
      </c>
      <c r="C124" s="169" t="s">
        <v>2851</v>
      </c>
      <c r="D124" s="12" t="s">
        <v>2852</v>
      </c>
      <c r="E124" s="166" t="s">
        <v>861</v>
      </c>
      <c r="F124" s="8" t="s">
        <v>1150</v>
      </c>
      <c r="G124" s="8" t="s">
        <v>1149</v>
      </c>
      <c r="H124" s="52" t="s">
        <v>592</v>
      </c>
      <c r="I124" s="57"/>
      <c r="J124" s="57"/>
      <c r="K124" s="167"/>
      <c r="L124" s="8"/>
      <c r="M124" s="8" t="s">
        <v>4206</v>
      </c>
      <c r="N124" s="26">
        <v>43872.442314814813</v>
      </c>
      <c r="O124" s="8" t="s">
        <v>4206</v>
      </c>
      <c r="P124" s="26">
        <v>43871.48332175926</v>
      </c>
      <c r="Q124" s="65">
        <v>383183</v>
      </c>
      <c r="R124" s="14" t="s">
        <v>3975</v>
      </c>
      <c r="S124" s="168">
        <v>800</v>
      </c>
      <c r="T124" s="52" t="s">
        <v>3512</v>
      </c>
      <c r="U124" s="8" t="s">
        <v>3564</v>
      </c>
    </row>
    <row r="125" spans="1:21" ht="15" x14ac:dyDescent="0.2">
      <c r="A125" s="170" t="str">
        <f>CONCATENATE(SP_ENV_Lib[[#This Row],[Environmental Tract No.]],"_",SP_ENV_Lib[[#This Row],[ACQ Document Type]])</f>
        <v>041_CONTACT Negotiator Report</v>
      </c>
      <c r="B125" s="14" t="s">
        <v>3663</v>
      </c>
      <c r="C125" s="169" t="s">
        <v>2856</v>
      </c>
      <c r="D125" s="12" t="s">
        <v>2857</v>
      </c>
      <c r="E125" s="166" t="s">
        <v>865</v>
      </c>
      <c r="F125" s="8" t="s">
        <v>1068</v>
      </c>
      <c r="G125" s="8" t="s">
        <v>1067</v>
      </c>
      <c r="H125" s="52" t="s">
        <v>592</v>
      </c>
      <c r="I125" s="57"/>
      <c r="J125" s="57"/>
      <c r="K125" s="167"/>
      <c r="L125" s="8"/>
      <c r="M125" s="8" t="s">
        <v>1743</v>
      </c>
      <c r="N125" s="26">
        <v>43881.670844907407</v>
      </c>
      <c r="O125" s="8" t="s">
        <v>1743</v>
      </c>
      <c r="P125" s="26">
        <v>43879.501388888886</v>
      </c>
      <c r="Q125" s="65">
        <v>57985</v>
      </c>
      <c r="R125" s="14" t="s">
        <v>3976</v>
      </c>
      <c r="S125" s="168">
        <v>1138</v>
      </c>
      <c r="T125" s="52" t="s">
        <v>3512</v>
      </c>
      <c r="U125" s="8" t="s">
        <v>3564</v>
      </c>
    </row>
    <row r="126" spans="1:21" ht="15" hidden="1" x14ac:dyDescent="0.2">
      <c r="A126" s="170" t="str">
        <f>CONCATENATE(SP_ENV_Lib[[#This Row],[Environmental Tract No.]],"_",SP_ENV_Lib[[#This Row],[ACQ Document Type]])</f>
        <v>041_ENVIRONMENTAL Right-of-Entry Package</v>
      </c>
      <c r="B126" s="14" t="s">
        <v>3664</v>
      </c>
      <c r="C126" s="169" t="s">
        <v>2856</v>
      </c>
      <c r="D126" s="12" t="s">
        <v>2857</v>
      </c>
      <c r="E126" s="166" t="s">
        <v>2682</v>
      </c>
      <c r="F126" s="8" t="s">
        <v>2687</v>
      </c>
      <c r="G126" s="8" t="s">
        <v>2686</v>
      </c>
      <c r="H126" s="52" t="s">
        <v>592</v>
      </c>
      <c r="I126" s="57">
        <v>43844</v>
      </c>
      <c r="J126" s="57">
        <v>43846</v>
      </c>
      <c r="K126" s="167"/>
      <c r="L126" s="8"/>
      <c r="M126" s="8" t="s">
        <v>4206</v>
      </c>
      <c r="N126" s="26">
        <v>43874.541932870372</v>
      </c>
      <c r="O126" s="8" t="s">
        <v>4206</v>
      </c>
      <c r="P126" s="26">
        <v>43873.522465277776</v>
      </c>
      <c r="Q126" s="65">
        <v>632999</v>
      </c>
      <c r="R126" s="14" t="s">
        <v>3977</v>
      </c>
      <c r="S126" s="168">
        <v>1002</v>
      </c>
      <c r="T126" s="52" t="s">
        <v>3512</v>
      </c>
      <c r="U126" s="8" t="s">
        <v>3564</v>
      </c>
    </row>
    <row r="127" spans="1:21" ht="15" x14ac:dyDescent="0.2">
      <c r="A127" s="170" t="str">
        <f>CONCATENATE(SP_ENV_Lib[[#This Row],[Environmental Tract No.]],"_",SP_ENV_Lib[[#This Row],[ACQ Document Type]])</f>
        <v>041_TITLE Tax Card</v>
      </c>
      <c r="B127" s="14" t="s">
        <v>3665</v>
      </c>
      <c r="C127" s="169" t="s">
        <v>2856</v>
      </c>
      <c r="D127" s="12" t="s">
        <v>2857</v>
      </c>
      <c r="E127" s="166" t="s">
        <v>861</v>
      </c>
      <c r="F127" s="8" t="s">
        <v>1150</v>
      </c>
      <c r="G127" s="8" t="s">
        <v>1149</v>
      </c>
      <c r="H127" s="52" t="s">
        <v>592</v>
      </c>
      <c r="I127" s="57"/>
      <c r="J127" s="57"/>
      <c r="K127" s="167"/>
      <c r="L127" s="8"/>
      <c r="M127" s="8" t="s">
        <v>4206</v>
      </c>
      <c r="N127" s="26">
        <v>43872.442152777781</v>
      </c>
      <c r="O127" s="8" t="s">
        <v>4206</v>
      </c>
      <c r="P127" s="26">
        <v>43871.48333333333</v>
      </c>
      <c r="Q127" s="65">
        <v>376614</v>
      </c>
      <c r="R127" s="14" t="s">
        <v>3978</v>
      </c>
      <c r="S127" s="168">
        <v>801</v>
      </c>
      <c r="T127" s="52" t="s">
        <v>3512</v>
      </c>
      <c r="U127" s="8" t="s">
        <v>3564</v>
      </c>
    </row>
    <row r="128" spans="1:21" ht="15" x14ac:dyDescent="0.2">
      <c r="A128" s="170" t="str">
        <f>CONCATENATE(SP_ENV_Lib[[#This Row],[Environmental Tract No.]],"_",SP_ENV_Lib[[#This Row],[ACQ Document Type]])</f>
        <v>044_CONTACT Negotiator Report</v>
      </c>
      <c r="B128" s="14" t="s">
        <v>3666</v>
      </c>
      <c r="C128" s="169" t="s">
        <v>2861</v>
      </c>
      <c r="D128" s="12" t="s">
        <v>2862</v>
      </c>
      <c r="E128" s="166" t="s">
        <v>865</v>
      </c>
      <c r="F128" s="8" t="s">
        <v>1068</v>
      </c>
      <c r="G128" s="8" t="s">
        <v>1067</v>
      </c>
      <c r="H128" s="52" t="s">
        <v>592</v>
      </c>
      <c r="I128" s="57"/>
      <c r="J128" s="57"/>
      <c r="K128" s="167"/>
      <c r="L128" s="8"/>
      <c r="M128" s="8" t="s">
        <v>23</v>
      </c>
      <c r="N128" s="26">
        <v>43879.735567129632</v>
      </c>
      <c r="O128" s="8" t="s">
        <v>1743</v>
      </c>
      <c r="P128" s="26">
        <v>43879.561782407407</v>
      </c>
      <c r="Q128" s="65">
        <v>59446</v>
      </c>
      <c r="R128" s="14" t="s">
        <v>3979</v>
      </c>
      <c r="S128" s="168">
        <v>1139</v>
      </c>
      <c r="T128" s="52" t="s">
        <v>3512</v>
      </c>
      <c r="U128" s="8" t="s">
        <v>3564</v>
      </c>
    </row>
    <row r="129" spans="1:21" ht="15" hidden="1" x14ac:dyDescent="0.2">
      <c r="A129" s="170" t="str">
        <f>CONCATENATE(SP_ENV_Lib[[#This Row],[Environmental Tract No.]],"_",SP_ENV_Lib[[#This Row],[ACQ Document Type]])</f>
        <v>044_ENVIRONMENTAL Right-of-Entry Executed</v>
      </c>
      <c r="B129" s="14" t="s">
        <v>4546</v>
      </c>
      <c r="C129" s="169" t="s">
        <v>2861</v>
      </c>
      <c r="D129" s="12" t="s">
        <v>2862</v>
      </c>
      <c r="E129" s="166" t="s">
        <v>2682</v>
      </c>
      <c r="F129" s="8" t="s">
        <v>2683</v>
      </c>
      <c r="G129" s="8" t="s">
        <v>2681</v>
      </c>
      <c r="H129" s="52" t="s">
        <v>592</v>
      </c>
      <c r="I129" s="57">
        <v>43920</v>
      </c>
      <c r="J129" s="57"/>
      <c r="K129" s="167"/>
      <c r="L129" s="8"/>
      <c r="M129" s="8" t="s">
        <v>4205</v>
      </c>
      <c r="N129" s="26">
        <v>43920.802893518521</v>
      </c>
      <c r="O129" s="8" t="s">
        <v>4205</v>
      </c>
      <c r="P129" s="26">
        <v>43920.801874999997</v>
      </c>
      <c r="Q129" s="65">
        <v>1576999</v>
      </c>
      <c r="R129" s="14" t="s">
        <v>4552</v>
      </c>
      <c r="S129" s="168">
        <v>1329</v>
      </c>
      <c r="T129" s="52" t="s">
        <v>3512</v>
      </c>
      <c r="U129" s="8" t="s">
        <v>3564</v>
      </c>
    </row>
    <row r="130" spans="1:21" ht="15" hidden="1" x14ac:dyDescent="0.2">
      <c r="A130" s="170" t="str">
        <f>CONCATENATE(SP_ENV_Lib[[#This Row],[Environmental Tract No.]],"_",SP_ENV_Lib[[#This Row],[ACQ Document Type]])</f>
        <v>044_ENVIRONMENTAL Right-of-Entry Package</v>
      </c>
      <c r="B130" s="14" t="s">
        <v>3667</v>
      </c>
      <c r="C130" s="169" t="s">
        <v>2861</v>
      </c>
      <c r="D130" s="12" t="s">
        <v>2862</v>
      </c>
      <c r="E130" s="166" t="s">
        <v>2682</v>
      </c>
      <c r="F130" s="8" t="s">
        <v>2687</v>
      </c>
      <c r="G130" s="8" t="s">
        <v>2686</v>
      </c>
      <c r="H130" s="52" t="s">
        <v>592</v>
      </c>
      <c r="I130" s="57">
        <v>43844</v>
      </c>
      <c r="J130" s="57">
        <v>43847</v>
      </c>
      <c r="K130" s="167"/>
      <c r="L130" s="8"/>
      <c r="M130" s="8" t="s">
        <v>4206</v>
      </c>
      <c r="N130" s="26">
        <v>43874.541689814818</v>
      </c>
      <c r="O130" s="8" t="s">
        <v>4206</v>
      </c>
      <c r="P130" s="26">
        <v>43873.522488425922</v>
      </c>
      <c r="Q130" s="65">
        <v>619803</v>
      </c>
      <c r="R130" s="14" t="s">
        <v>3980</v>
      </c>
      <c r="S130" s="168">
        <v>1003</v>
      </c>
      <c r="T130" s="52" t="s">
        <v>3512</v>
      </c>
      <c r="U130" s="8" t="s">
        <v>3564</v>
      </c>
    </row>
    <row r="131" spans="1:21" ht="15" x14ac:dyDescent="0.2">
      <c r="A131" s="170" t="str">
        <f>CONCATENATE(SP_ENV_Lib[[#This Row],[Environmental Tract No.]],"_",SP_ENV_Lib[[#This Row],[ACQ Document Type]])</f>
        <v>044_TITLE Tax Card</v>
      </c>
      <c r="B131" s="14" t="s">
        <v>3668</v>
      </c>
      <c r="C131" s="169" t="s">
        <v>2861</v>
      </c>
      <c r="D131" s="12" t="s">
        <v>2862</v>
      </c>
      <c r="E131" s="166" t="s">
        <v>861</v>
      </c>
      <c r="F131" s="8" t="s">
        <v>1150</v>
      </c>
      <c r="G131" s="8" t="s">
        <v>1149</v>
      </c>
      <c r="H131" s="52" t="s">
        <v>592</v>
      </c>
      <c r="I131" s="57"/>
      <c r="J131" s="57"/>
      <c r="K131" s="167"/>
      <c r="L131" s="8"/>
      <c r="M131" s="8" t="s">
        <v>4206</v>
      </c>
      <c r="N131" s="26">
        <v>43872.442048611112</v>
      </c>
      <c r="O131" s="8" t="s">
        <v>4206</v>
      </c>
      <c r="P131" s="26">
        <v>43871.483344907407</v>
      </c>
      <c r="Q131" s="65">
        <v>371057</v>
      </c>
      <c r="R131" s="14" t="s">
        <v>3981</v>
      </c>
      <c r="S131" s="168">
        <v>802</v>
      </c>
      <c r="T131" s="52" t="s">
        <v>3512</v>
      </c>
      <c r="U131" s="8" t="s">
        <v>3564</v>
      </c>
    </row>
    <row r="132" spans="1:21" ht="15" x14ac:dyDescent="0.2">
      <c r="A132" s="170" t="str">
        <f>CONCATENATE(SP_ENV_Lib[[#This Row],[Environmental Tract No.]],"_",SP_ENV_Lib[[#This Row],[ACQ Document Type]])</f>
        <v>045_CONTACT Negotiator Report</v>
      </c>
      <c r="B132" s="14" t="s">
        <v>3669</v>
      </c>
      <c r="C132" s="169" t="s">
        <v>2866</v>
      </c>
      <c r="D132" s="12" t="s">
        <v>2867</v>
      </c>
      <c r="E132" s="166" t="s">
        <v>865</v>
      </c>
      <c r="F132" s="8" t="s">
        <v>1068</v>
      </c>
      <c r="G132" s="8" t="s">
        <v>1067</v>
      </c>
      <c r="H132" s="52" t="s">
        <v>592</v>
      </c>
      <c r="I132" s="57"/>
      <c r="J132" s="57"/>
      <c r="K132" s="167"/>
      <c r="L132" s="8"/>
      <c r="M132" s="8" t="s">
        <v>23</v>
      </c>
      <c r="N132" s="26">
        <v>43879.735567129632</v>
      </c>
      <c r="O132" s="8" t="s">
        <v>1743</v>
      </c>
      <c r="P132" s="26">
        <v>43879.5625462963</v>
      </c>
      <c r="Q132" s="65">
        <v>81901</v>
      </c>
      <c r="R132" s="14" t="s">
        <v>3982</v>
      </c>
      <c r="S132" s="168">
        <v>1140</v>
      </c>
      <c r="T132" s="52" t="s">
        <v>3512</v>
      </c>
      <c r="U132" s="8" t="s">
        <v>3564</v>
      </c>
    </row>
    <row r="133" spans="1:21" ht="15" hidden="1" x14ac:dyDescent="0.2">
      <c r="A133" s="170" t="str">
        <f>CONCATENATE(SP_ENV_Lib[[#This Row],[Environmental Tract No.]],"_",SP_ENV_Lib[[#This Row],[ACQ Document Type]])</f>
        <v>045_ENVIRONMENTAL Right-of-Entry Executed</v>
      </c>
      <c r="B133" s="14" t="s">
        <v>4547</v>
      </c>
      <c r="C133" s="169" t="s">
        <v>2866</v>
      </c>
      <c r="D133" s="12" t="s">
        <v>2867</v>
      </c>
      <c r="E133" s="166" t="s">
        <v>2682</v>
      </c>
      <c r="F133" s="8" t="s">
        <v>2683</v>
      </c>
      <c r="G133" s="8" t="s">
        <v>2681</v>
      </c>
      <c r="H133" s="52" t="s">
        <v>592</v>
      </c>
      <c r="I133" s="57">
        <v>43920</v>
      </c>
      <c r="J133" s="57"/>
      <c r="K133" s="167"/>
      <c r="L133" s="8"/>
      <c r="M133" s="8" t="s">
        <v>4205</v>
      </c>
      <c r="N133" s="26">
        <v>43920.803333333337</v>
      </c>
      <c r="O133" s="8" t="s">
        <v>4205</v>
      </c>
      <c r="P133" s="26">
        <v>43920.801921296297</v>
      </c>
      <c r="Q133" s="65">
        <v>1645543</v>
      </c>
      <c r="R133" s="14" t="s">
        <v>4553</v>
      </c>
      <c r="S133" s="168">
        <v>1330</v>
      </c>
      <c r="T133" s="52" t="s">
        <v>3512</v>
      </c>
      <c r="U133" s="8" t="s">
        <v>3564</v>
      </c>
    </row>
    <row r="134" spans="1:21" ht="15" hidden="1" x14ac:dyDescent="0.2">
      <c r="A134" s="170" t="str">
        <f>CONCATENATE(SP_ENV_Lib[[#This Row],[Environmental Tract No.]],"_",SP_ENV_Lib[[#This Row],[ACQ Document Type]])</f>
        <v>045_ENVIRONMENTAL Right-of-Entry Package</v>
      </c>
      <c r="B134" s="14" t="s">
        <v>3670</v>
      </c>
      <c r="C134" s="169" t="s">
        <v>2866</v>
      </c>
      <c r="D134" s="12" t="s">
        <v>2867</v>
      </c>
      <c r="E134" s="166" t="s">
        <v>2682</v>
      </c>
      <c r="F134" s="8" t="s">
        <v>2687</v>
      </c>
      <c r="G134" s="8" t="s">
        <v>2686</v>
      </c>
      <c r="H134" s="52" t="s">
        <v>592</v>
      </c>
      <c r="I134" s="57">
        <v>43844</v>
      </c>
      <c r="J134" s="57">
        <v>43858</v>
      </c>
      <c r="K134" s="167"/>
      <c r="L134" s="8"/>
      <c r="M134" s="8" t="s">
        <v>4206</v>
      </c>
      <c r="N134" s="26">
        <v>43874.541458333333</v>
      </c>
      <c r="O134" s="8" t="s">
        <v>4206</v>
      </c>
      <c r="P134" s="26">
        <v>43873.522511574076</v>
      </c>
      <c r="Q134" s="65">
        <v>700798</v>
      </c>
      <c r="R134" s="14" t="s">
        <v>3983</v>
      </c>
      <c r="S134" s="168">
        <v>1004</v>
      </c>
      <c r="T134" s="52" t="s">
        <v>3512</v>
      </c>
      <c r="U134" s="8" t="s">
        <v>3564</v>
      </c>
    </row>
    <row r="135" spans="1:21" ht="15" x14ac:dyDescent="0.2">
      <c r="A135" s="170" t="str">
        <f>CONCATENATE(SP_ENV_Lib[[#This Row],[Environmental Tract No.]],"_",SP_ENV_Lib[[#This Row],[ACQ Document Type]])</f>
        <v>045_TITLE Tax Card</v>
      </c>
      <c r="B135" s="14" t="s">
        <v>3671</v>
      </c>
      <c r="C135" s="169" t="s">
        <v>2866</v>
      </c>
      <c r="D135" s="12" t="s">
        <v>2867</v>
      </c>
      <c r="E135" s="166" t="s">
        <v>861</v>
      </c>
      <c r="F135" s="8" t="s">
        <v>1150</v>
      </c>
      <c r="G135" s="8" t="s">
        <v>1149</v>
      </c>
      <c r="H135" s="52" t="s">
        <v>592</v>
      </c>
      <c r="I135" s="57"/>
      <c r="J135" s="57"/>
      <c r="K135" s="167"/>
      <c r="L135" s="8"/>
      <c r="M135" s="8" t="s">
        <v>4206</v>
      </c>
      <c r="N135" s="26">
        <v>43872.441932870373</v>
      </c>
      <c r="O135" s="8" t="s">
        <v>4206</v>
      </c>
      <c r="P135" s="26">
        <v>43871.483356481483</v>
      </c>
      <c r="Q135" s="65">
        <v>362679</v>
      </c>
      <c r="R135" s="14" t="s">
        <v>3984</v>
      </c>
      <c r="S135" s="168">
        <v>803</v>
      </c>
      <c r="T135" s="52" t="s">
        <v>3512</v>
      </c>
      <c r="U135" s="8" t="s">
        <v>3564</v>
      </c>
    </row>
    <row r="136" spans="1:21" ht="15" x14ac:dyDescent="0.2">
      <c r="A136" s="170" t="str">
        <f>CONCATENATE(SP_ENV_Lib[[#This Row],[Environmental Tract No.]],"_",SP_ENV_Lib[[#This Row],[ACQ Document Type]])</f>
        <v>047_CONTACT Negotiator Report</v>
      </c>
      <c r="B136" s="14" t="s">
        <v>3672</v>
      </c>
      <c r="C136" s="169" t="s">
        <v>2871</v>
      </c>
      <c r="D136" s="12" t="s">
        <v>2872</v>
      </c>
      <c r="E136" s="166" t="s">
        <v>865</v>
      </c>
      <c r="F136" s="8" t="s">
        <v>1068</v>
      </c>
      <c r="G136" s="8" t="s">
        <v>1067</v>
      </c>
      <c r="H136" s="52" t="s">
        <v>592</v>
      </c>
      <c r="I136" s="57"/>
      <c r="J136" s="57"/>
      <c r="K136" s="167"/>
      <c r="L136" s="8"/>
      <c r="M136" s="8" t="s">
        <v>23</v>
      </c>
      <c r="N136" s="26">
        <v>43879.735567129632</v>
      </c>
      <c r="O136" s="8" t="s">
        <v>1743</v>
      </c>
      <c r="P136" s="26">
        <v>43879.563125000001</v>
      </c>
      <c r="Q136" s="65">
        <v>60782</v>
      </c>
      <c r="R136" s="14" t="s">
        <v>3985</v>
      </c>
      <c r="S136" s="168">
        <v>1141</v>
      </c>
      <c r="T136" s="52" t="s">
        <v>3512</v>
      </c>
      <c r="U136" s="8" t="s">
        <v>3564</v>
      </c>
    </row>
    <row r="137" spans="1:21" ht="15" hidden="1" x14ac:dyDescent="0.2">
      <c r="A137" s="170" t="str">
        <f>CONCATENATE(SP_ENV_Lib[[#This Row],[Environmental Tract No.]],"_",SP_ENV_Lib[[#This Row],[ACQ Document Type]])</f>
        <v>047_ENVIRONMENTAL Right-of-Entry Executed</v>
      </c>
      <c r="B137" s="14" t="s">
        <v>4225</v>
      </c>
      <c r="C137" s="169" t="s">
        <v>2871</v>
      </c>
      <c r="D137" s="12" t="s">
        <v>2872</v>
      </c>
      <c r="E137" s="166" t="s">
        <v>2682</v>
      </c>
      <c r="F137" s="8" t="s">
        <v>2683</v>
      </c>
      <c r="G137" s="8" t="s">
        <v>2681</v>
      </c>
      <c r="H137" s="52" t="s">
        <v>592</v>
      </c>
      <c r="I137" s="57">
        <v>43852</v>
      </c>
      <c r="J137" s="57"/>
      <c r="K137" s="167"/>
      <c r="L137" s="8"/>
      <c r="M137" s="8" t="s">
        <v>4205</v>
      </c>
      <c r="N137" s="26">
        <v>43892.797013888892</v>
      </c>
      <c r="O137" s="8" t="s">
        <v>4205</v>
      </c>
      <c r="P137" s="26">
        <v>43892.796631944446</v>
      </c>
      <c r="Q137" s="65">
        <v>1212327</v>
      </c>
      <c r="R137" s="14" t="s">
        <v>4284</v>
      </c>
      <c r="S137" s="168">
        <v>1183</v>
      </c>
      <c r="T137" s="52" t="s">
        <v>3512</v>
      </c>
      <c r="U137" s="8" t="s">
        <v>3564</v>
      </c>
    </row>
    <row r="138" spans="1:21" ht="15" hidden="1" x14ac:dyDescent="0.2">
      <c r="A138" s="170" t="str">
        <f>CONCATENATE(SP_ENV_Lib[[#This Row],[Environmental Tract No.]],"_",SP_ENV_Lib[[#This Row],[ACQ Document Type]])</f>
        <v>047_ENVIRONMENTAL Right-of-Entry Package</v>
      </c>
      <c r="B138" s="14" t="s">
        <v>3673</v>
      </c>
      <c r="C138" s="169" t="s">
        <v>2871</v>
      </c>
      <c r="D138" s="12" t="s">
        <v>2872</v>
      </c>
      <c r="E138" s="166" t="s">
        <v>2682</v>
      </c>
      <c r="F138" s="8" t="s">
        <v>2687</v>
      </c>
      <c r="G138" s="8" t="s">
        <v>2686</v>
      </c>
      <c r="H138" s="52" t="s">
        <v>592</v>
      </c>
      <c r="I138" s="57">
        <v>43844</v>
      </c>
      <c r="J138" s="57">
        <v>43846</v>
      </c>
      <c r="K138" s="167"/>
      <c r="L138" s="8"/>
      <c r="M138" s="8" t="s">
        <v>4206</v>
      </c>
      <c r="N138" s="26">
        <v>43874.541180555556</v>
      </c>
      <c r="O138" s="8" t="s">
        <v>4206</v>
      </c>
      <c r="P138" s="26">
        <v>43873.522546296299</v>
      </c>
      <c r="Q138" s="65">
        <v>612620</v>
      </c>
      <c r="R138" s="14" t="s">
        <v>3986</v>
      </c>
      <c r="S138" s="168">
        <v>1005</v>
      </c>
      <c r="T138" s="52" t="s">
        <v>3512</v>
      </c>
      <c r="U138" s="8" t="s">
        <v>3564</v>
      </c>
    </row>
    <row r="139" spans="1:21" ht="15" x14ac:dyDescent="0.2">
      <c r="A139" s="170" t="str">
        <f>CONCATENATE(SP_ENV_Lib[[#This Row],[Environmental Tract No.]],"_",SP_ENV_Lib[[#This Row],[ACQ Document Type]])</f>
        <v>047_TITLE Tax Card</v>
      </c>
      <c r="B139" s="14" t="s">
        <v>3674</v>
      </c>
      <c r="C139" s="169" t="s">
        <v>2871</v>
      </c>
      <c r="D139" s="12" t="s">
        <v>2872</v>
      </c>
      <c r="E139" s="166" t="s">
        <v>861</v>
      </c>
      <c r="F139" s="8" t="s">
        <v>1150</v>
      </c>
      <c r="G139" s="8" t="s">
        <v>1149</v>
      </c>
      <c r="H139" s="52" t="s">
        <v>592</v>
      </c>
      <c r="I139" s="57"/>
      <c r="J139" s="57"/>
      <c r="K139" s="167"/>
      <c r="L139" s="8"/>
      <c r="M139" s="8" t="s">
        <v>4206</v>
      </c>
      <c r="N139" s="26">
        <v>43872.441793981481</v>
      </c>
      <c r="O139" s="8" t="s">
        <v>4206</v>
      </c>
      <c r="P139" s="26">
        <v>43871.483356481483</v>
      </c>
      <c r="Q139" s="65">
        <v>628903</v>
      </c>
      <c r="R139" s="14" t="s">
        <v>3987</v>
      </c>
      <c r="S139" s="168">
        <v>804</v>
      </c>
      <c r="T139" s="52" t="s">
        <v>3512</v>
      </c>
      <c r="U139" s="8" t="s">
        <v>3564</v>
      </c>
    </row>
    <row r="140" spans="1:21" ht="15" x14ac:dyDescent="0.2">
      <c r="A140" s="170" t="str">
        <f>CONCATENATE(SP_ENV_Lib[[#This Row],[Environmental Tract No.]],"_",SP_ENV_Lib[[#This Row],[ACQ Document Type]])</f>
        <v>048_CONTACT Negotiator Report</v>
      </c>
      <c r="B140" s="14" t="s">
        <v>3675</v>
      </c>
      <c r="C140" s="169" t="s">
        <v>2876</v>
      </c>
      <c r="D140" s="12" t="s">
        <v>2877</v>
      </c>
      <c r="E140" s="166" t="s">
        <v>865</v>
      </c>
      <c r="F140" s="8" t="s">
        <v>1068</v>
      </c>
      <c r="G140" s="8" t="s">
        <v>1067</v>
      </c>
      <c r="H140" s="52" t="s">
        <v>592</v>
      </c>
      <c r="I140" s="57"/>
      <c r="J140" s="57"/>
      <c r="K140" s="167"/>
      <c r="L140" s="8"/>
      <c r="M140" s="8" t="s">
        <v>23</v>
      </c>
      <c r="N140" s="26">
        <v>43879.735567129632</v>
      </c>
      <c r="O140" s="8" t="s">
        <v>1743</v>
      </c>
      <c r="P140" s="26">
        <v>43879.564120370371</v>
      </c>
      <c r="Q140" s="65">
        <v>80270</v>
      </c>
      <c r="R140" s="14" t="s">
        <v>3988</v>
      </c>
      <c r="S140" s="168">
        <v>1142</v>
      </c>
      <c r="T140" s="52" t="s">
        <v>3512</v>
      </c>
      <c r="U140" s="8" t="s">
        <v>3564</v>
      </c>
    </row>
    <row r="141" spans="1:21" ht="15" hidden="1" x14ac:dyDescent="0.2">
      <c r="A141" s="170" t="str">
        <f>CONCATENATE(SP_ENV_Lib[[#This Row],[Environmental Tract No.]],"_",SP_ENV_Lib[[#This Row],[ACQ Document Type]])</f>
        <v>048_ENVIRONMENTAL Right-of-Entry Executed</v>
      </c>
      <c r="B141" s="14" t="s">
        <v>4226</v>
      </c>
      <c r="C141" s="169" t="s">
        <v>2876</v>
      </c>
      <c r="D141" s="12" t="s">
        <v>2877</v>
      </c>
      <c r="E141" s="166" t="s">
        <v>2682</v>
      </c>
      <c r="F141" s="8" t="s">
        <v>2683</v>
      </c>
      <c r="G141" s="8" t="s">
        <v>2681</v>
      </c>
      <c r="H141" s="52" t="s">
        <v>592</v>
      </c>
      <c r="I141" s="57">
        <v>43852</v>
      </c>
      <c r="J141" s="57"/>
      <c r="K141" s="167"/>
      <c r="L141" s="8"/>
      <c r="M141" s="8" t="s">
        <v>4205</v>
      </c>
      <c r="N141" s="26">
        <v>43892.797951388886</v>
      </c>
      <c r="O141" s="8" t="s">
        <v>4205</v>
      </c>
      <c r="P141" s="26">
        <v>43892.797615740739</v>
      </c>
      <c r="Q141" s="65">
        <v>1161605</v>
      </c>
      <c r="R141" s="14" t="s">
        <v>4285</v>
      </c>
      <c r="S141" s="168">
        <v>1184</v>
      </c>
      <c r="T141" s="52" t="s">
        <v>3512</v>
      </c>
      <c r="U141" s="8" t="s">
        <v>3564</v>
      </c>
    </row>
    <row r="142" spans="1:21" ht="15" hidden="1" x14ac:dyDescent="0.2">
      <c r="A142" s="170" t="str">
        <f>CONCATENATE(SP_ENV_Lib[[#This Row],[Environmental Tract No.]],"_",SP_ENV_Lib[[#This Row],[ACQ Document Type]])</f>
        <v>048_ENVIRONMENTAL Right-of-Entry Package</v>
      </c>
      <c r="B142" s="14" t="s">
        <v>4364</v>
      </c>
      <c r="C142" s="169" t="s">
        <v>2876</v>
      </c>
      <c r="D142" s="12" t="s">
        <v>2877</v>
      </c>
      <c r="E142" s="166" t="s">
        <v>2682</v>
      </c>
      <c r="F142" s="8" t="s">
        <v>2687</v>
      </c>
      <c r="G142" s="8" t="s">
        <v>2686</v>
      </c>
      <c r="H142" s="52" t="s">
        <v>592</v>
      </c>
      <c r="I142" s="57">
        <v>43844</v>
      </c>
      <c r="J142" s="57">
        <v>43863</v>
      </c>
      <c r="K142" s="167"/>
      <c r="L142" s="8" t="s">
        <v>4346</v>
      </c>
      <c r="M142" s="8" t="s">
        <v>4206</v>
      </c>
      <c r="N142" s="26">
        <v>43896.53528935185</v>
      </c>
      <c r="O142" s="8" t="s">
        <v>4206</v>
      </c>
      <c r="P142" s="26">
        <v>43896.509120370371</v>
      </c>
      <c r="Q142" s="65">
        <v>716812</v>
      </c>
      <c r="R142" s="14" t="s">
        <v>4408</v>
      </c>
      <c r="S142" s="168">
        <v>1276</v>
      </c>
      <c r="T142" s="52" t="s">
        <v>3512</v>
      </c>
      <c r="U142" s="8" t="s">
        <v>3564</v>
      </c>
    </row>
    <row r="143" spans="1:21" ht="15" x14ac:dyDescent="0.2">
      <c r="A143" s="170" t="str">
        <f>CONCATENATE(SP_ENV_Lib[[#This Row],[Environmental Tract No.]],"_",SP_ENV_Lib[[#This Row],[ACQ Document Type]])</f>
        <v>048_TITLE Tax Card</v>
      </c>
      <c r="B143" s="14" t="s">
        <v>3676</v>
      </c>
      <c r="C143" s="169" t="s">
        <v>2876</v>
      </c>
      <c r="D143" s="12" t="s">
        <v>2877</v>
      </c>
      <c r="E143" s="166" t="s">
        <v>861</v>
      </c>
      <c r="F143" s="8" t="s">
        <v>1150</v>
      </c>
      <c r="G143" s="8" t="s">
        <v>1149</v>
      </c>
      <c r="H143" s="52" t="s">
        <v>592</v>
      </c>
      <c r="I143" s="57"/>
      <c r="J143" s="57"/>
      <c r="K143" s="167"/>
      <c r="L143" s="8"/>
      <c r="M143" s="8" t="s">
        <v>4206</v>
      </c>
      <c r="N143" s="26">
        <v>43872.441701388889</v>
      </c>
      <c r="O143" s="8" t="s">
        <v>4206</v>
      </c>
      <c r="P143" s="26">
        <v>43871.483368055553</v>
      </c>
      <c r="Q143" s="65">
        <v>407792</v>
      </c>
      <c r="R143" s="14" t="s">
        <v>3989</v>
      </c>
      <c r="S143" s="168">
        <v>805</v>
      </c>
      <c r="T143" s="52" t="s">
        <v>3512</v>
      </c>
      <c r="U143" s="8" t="s">
        <v>3564</v>
      </c>
    </row>
    <row r="144" spans="1:21" ht="15" x14ac:dyDescent="0.2">
      <c r="A144" s="170" t="str">
        <f>CONCATENATE(SP_ENV_Lib[[#This Row],[Environmental Tract No.]],"_",SP_ENV_Lib[[#This Row],[ACQ Document Type]])</f>
        <v>049_CONTACT Negotiator Report</v>
      </c>
      <c r="B144" s="14" t="s">
        <v>3677</v>
      </c>
      <c r="C144" s="169" t="s">
        <v>2881</v>
      </c>
      <c r="D144" s="12" t="s">
        <v>2882</v>
      </c>
      <c r="E144" s="166" t="s">
        <v>865</v>
      </c>
      <c r="F144" s="8" t="s">
        <v>1068</v>
      </c>
      <c r="G144" s="8" t="s">
        <v>1067</v>
      </c>
      <c r="H144" s="52" t="s">
        <v>592</v>
      </c>
      <c r="I144" s="57"/>
      <c r="J144" s="57"/>
      <c r="K144" s="167"/>
      <c r="L144" s="8"/>
      <c r="M144" s="8" t="s">
        <v>23</v>
      </c>
      <c r="N144" s="26">
        <v>43879.735567129632</v>
      </c>
      <c r="O144" s="8" t="s">
        <v>1743</v>
      </c>
      <c r="P144" s="26">
        <v>43879.565486111111</v>
      </c>
      <c r="Q144" s="65">
        <v>80673</v>
      </c>
      <c r="R144" s="14" t="s">
        <v>3990</v>
      </c>
      <c r="S144" s="168">
        <v>1143</v>
      </c>
      <c r="T144" s="52" t="s">
        <v>3512</v>
      </c>
      <c r="U144" s="8" t="s">
        <v>3564</v>
      </c>
    </row>
    <row r="145" spans="1:21" ht="15" hidden="1" x14ac:dyDescent="0.2">
      <c r="A145" s="170" t="str">
        <f>CONCATENATE(SP_ENV_Lib[[#This Row],[Environmental Tract No.]],"_",SP_ENV_Lib[[#This Row],[ACQ Document Type]])</f>
        <v>049_ENVIRONMENTAL Right-of-Entry Executed</v>
      </c>
      <c r="B145" s="14" t="s">
        <v>4227</v>
      </c>
      <c r="C145" s="169" t="s">
        <v>2881</v>
      </c>
      <c r="D145" s="12" t="s">
        <v>2882</v>
      </c>
      <c r="E145" s="166" t="s">
        <v>2682</v>
      </c>
      <c r="F145" s="8" t="s">
        <v>2683</v>
      </c>
      <c r="G145" s="8" t="s">
        <v>2681</v>
      </c>
      <c r="H145" s="52" t="s">
        <v>592</v>
      </c>
      <c r="I145" s="57">
        <v>43852</v>
      </c>
      <c r="J145" s="57"/>
      <c r="K145" s="167"/>
      <c r="L145" s="8"/>
      <c r="M145" s="8" t="s">
        <v>4205</v>
      </c>
      <c r="N145" s="26">
        <v>43892.810972222222</v>
      </c>
      <c r="O145" s="8" t="s">
        <v>4205</v>
      </c>
      <c r="P145" s="26">
        <v>43892.810567129629</v>
      </c>
      <c r="Q145" s="65">
        <v>1166935</v>
      </c>
      <c r="R145" s="14" t="s">
        <v>4286</v>
      </c>
      <c r="S145" s="168">
        <v>1186</v>
      </c>
      <c r="T145" s="52" t="s">
        <v>3512</v>
      </c>
      <c r="U145" s="8" t="s">
        <v>3564</v>
      </c>
    </row>
    <row r="146" spans="1:21" ht="15" hidden="1" x14ac:dyDescent="0.2">
      <c r="A146" s="170" t="str">
        <f>CONCATENATE(SP_ENV_Lib[[#This Row],[Environmental Tract No.]],"_",SP_ENV_Lib[[#This Row],[ACQ Document Type]])</f>
        <v>049_ENVIRONMENTAL Right-of-Entry Package</v>
      </c>
      <c r="B146" s="14" t="s">
        <v>4365</v>
      </c>
      <c r="C146" s="169" t="s">
        <v>2881</v>
      </c>
      <c r="D146" s="12" t="s">
        <v>2882</v>
      </c>
      <c r="E146" s="166" t="s">
        <v>2682</v>
      </c>
      <c r="F146" s="8" t="s">
        <v>2687</v>
      </c>
      <c r="G146" s="8" t="s">
        <v>2686</v>
      </c>
      <c r="H146" s="52" t="s">
        <v>592</v>
      </c>
      <c r="I146" s="57">
        <v>43844</v>
      </c>
      <c r="J146" s="57">
        <v>43863</v>
      </c>
      <c r="K146" s="167"/>
      <c r="L146" s="8" t="s">
        <v>4346</v>
      </c>
      <c r="M146" s="8" t="s">
        <v>4206</v>
      </c>
      <c r="N146" s="26">
        <v>43896.539571759262</v>
      </c>
      <c r="O146" s="8" t="s">
        <v>4206</v>
      </c>
      <c r="P146" s="26">
        <v>43896.509131944447</v>
      </c>
      <c r="Q146" s="65">
        <v>724467</v>
      </c>
      <c r="R146" s="14" t="s">
        <v>4409</v>
      </c>
      <c r="S146" s="168">
        <v>1277</v>
      </c>
      <c r="T146" s="52" t="s">
        <v>3512</v>
      </c>
      <c r="U146" s="8" t="s">
        <v>3564</v>
      </c>
    </row>
    <row r="147" spans="1:21" ht="15" x14ac:dyDescent="0.2">
      <c r="A147" s="170" t="str">
        <f>CONCATENATE(SP_ENV_Lib[[#This Row],[Environmental Tract No.]],"_",SP_ENV_Lib[[#This Row],[ACQ Document Type]])</f>
        <v>049_TITLE Tax Card</v>
      </c>
      <c r="B147" s="14" t="s">
        <v>3678</v>
      </c>
      <c r="C147" s="169" t="s">
        <v>2881</v>
      </c>
      <c r="D147" s="12" t="s">
        <v>2882</v>
      </c>
      <c r="E147" s="166" t="s">
        <v>861</v>
      </c>
      <c r="F147" s="8" t="s">
        <v>1150</v>
      </c>
      <c r="G147" s="8" t="s">
        <v>1149</v>
      </c>
      <c r="H147" s="52" t="s">
        <v>592</v>
      </c>
      <c r="I147" s="57"/>
      <c r="J147" s="57"/>
      <c r="K147" s="167"/>
      <c r="L147" s="8"/>
      <c r="M147" s="8" t="s">
        <v>4206</v>
      </c>
      <c r="N147" s="26">
        <v>43872.44158564815</v>
      </c>
      <c r="O147" s="8" t="s">
        <v>4206</v>
      </c>
      <c r="P147" s="26">
        <v>43871.48337962963</v>
      </c>
      <c r="Q147" s="65">
        <v>416198</v>
      </c>
      <c r="R147" s="14" t="s">
        <v>3991</v>
      </c>
      <c r="S147" s="168">
        <v>806</v>
      </c>
      <c r="T147" s="52" t="s">
        <v>3512</v>
      </c>
      <c r="U147" s="8" t="s">
        <v>3564</v>
      </c>
    </row>
    <row r="148" spans="1:21" ht="15" x14ac:dyDescent="0.2">
      <c r="A148" s="170" t="str">
        <f>CONCATENATE(SP_ENV_Lib[[#This Row],[Environmental Tract No.]],"_",SP_ENV_Lib[[#This Row],[ACQ Document Type]])</f>
        <v>050_CONTACT Negotiator Report</v>
      </c>
      <c r="B148" s="14" t="s">
        <v>3679</v>
      </c>
      <c r="C148" s="169" t="s">
        <v>2886</v>
      </c>
      <c r="D148" s="12" t="s">
        <v>2887</v>
      </c>
      <c r="E148" s="166" t="s">
        <v>865</v>
      </c>
      <c r="F148" s="8" t="s">
        <v>1068</v>
      </c>
      <c r="G148" s="8" t="s">
        <v>1067</v>
      </c>
      <c r="H148" s="52" t="s">
        <v>592</v>
      </c>
      <c r="I148" s="57"/>
      <c r="J148" s="57"/>
      <c r="K148" s="167"/>
      <c r="L148" s="8"/>
      <c r="M148" s="8" t="s">
        <v>23</v>
      </c>
      <c r="N148" s="26">
        <v>43879.735567129632</v>
      </c>
      <c r="O148" s="8" t="s">
        <v>1743</v>
      </c>
      <c r="P148" s="26">
        <v>43879.447326388887</v>
      </c>
      <c r="Q148" s="65">
        <v>62826</v>
      </c>
      <c r="R148" s="14" t="s">
        <v>3992</v>
      </c>
      <c r="S148" s="168">
        <v>1113</v>
      </c>
      <c r="T148" s="52" t="s">
        <v>3512</v>
      </c>
      <c r="U148" s="8" t="s">
        <v>3564</v>
      </c>
    </row>
    <row r="149" spans="1:21" ht="15" hidden="1" x14ac:dyDescent="0.2">
      <c r="A149" s="170" t="str">
        <f>CONCATENATE(SP_ENV_Lib[[#This Row],[Environmental Tract No.]],"_",SP_ENV_Lib[[#This Row],[ACQ Document Type]])</f>
        <v>050_ENVIRONMENTAL Right-of-Entry Executed</v>
      </c>
      <c r="B149" s="14" t="s">
        <v>4228</v>
      </c>
      <c r="C149" s="169" t="s">
        <v>2886</v>
      </c>
      <c r="D149" s="12" t="s">
        <v>2887</v>
      </c>
      <c r="E149" s="166" t="s">
        <v>2682</v>
      </c>
      <c r="F149" s="8" t="s">
        <v>2683</v>
      </c>
      <c r="G149" s="8" t="s">
        <v>2681</v>
      </c>
      <c r="H149" s="52" t="s">
        <v>592</v>
      </c>
      <c r="I149" s="57">
        <v>43852</v>
      </c>
      <c r="J149" s="57"/>
      <c r="K149" s="167"/>
      <c r="L149" s="8"/>
      <c r="M149" s="8" t="s">
        <v>4205</v>
      </c>
      <c r="N149" s="26">
        <v>43892.81</v>
      </c>
      <c r="O149" s="8" t="s">
        <v>4205</v>
      </c>
      <c r="P149" s="26">
        <v>43892.809490740743</v>
      </c>
      <c r="Q149" s="65">
        <v>1825325</v>
      </c>
      <c r="R149" s="14" t="s">
        <v>4287</v>
      </c>
      <c r="S149" s="168">
        <v>1185</v>
      </c>
      <c r="T149" s="52" t="s">
        <v>3512</v>
      </c>
      <c r="U149" s="8" t="s">
        <v>3564</v>
      </c>
    </row>
    <row r="150" spans="1:21" ht="15" hidden="1" x14ac:dyDescent="0.2">
      <c r="A150" s="170" t="str">
        <f>CONCATENATE(SP_ENV_Lib[[#This Row],[Environmental Tract No.]],"_",SP_ENV_Lib[[#This Row],[ACQ Document Type]])</f>
        <v>050_ENVIRONMENTAL Right-of-Entry Package</v>
      </c>
      <c r="B150" s="14" t="s">
        <v>3680</v>
      </c>
      <c r="C150" s="169" t="s">
        <v>2886</v>
      </c>
      <c r="D150" s="12" t="s">
        <v>2887</v>
      </c>
      <c r="E150" s="166" t="s">
        <v>2682</v>
      </c>
      <c r="F150" s="8" t="s">
        <v>2687</v>
      </c>
      <c r="G150" s="8" t="s">
        <v>2686</v>
      </c>
      <c r="H150" s="52" t="s">
        <v>592</v>
      </c>
      <c r="I150" s="57">
        <v>43845</v>
      </c>
      <c r="J150" s="57">
        <v>43847</v>
      </c>
      <c r="K150" s="167"/>
      <c r="L150" s="8"/>
      <c r="M150" s="8" t="s">
        <v>4206</v>
      </c>
      <c r="N150" s="26">
        <v>43874.540937500002</v>
      </c>
      <c r="O150" s="8" t="s">
        <v>4206</v>
      </c>
      <c r="P150" s="26">
        <v>43873.522569444445</v>
      </c>
      <c r="Q150" s="65">
        <v>626898</v>
      </c>
      <c r="R150" s="14" t="s">
        <v>3993</v>
      </c>
      <c r="S150" s="168">
        <v>1006</v>
      </c>
      <c r="T150" s="52" t="s">
        <v>3512</v>
      </c>
      <c r="U150" s="8" t="s">
        <v>3564</v>
      </c>
    </row>
    <row r="151" spans="1:21" ht="15" x14ac:dyDescent="0.2">
      <c r="A151" s="170" t="str">
        <f>CONCATENATE(SP_ENV_Lib[[#This Row],[Environmental Tract No.]],"_",SP_ENV_Lib[[#This Row],[ACQ Document Type]])</f>
        <v>050_TITLE Tax Card</v>
      </c>
      <c r="B151" s="14" t="s">
        <v>3681</v>
      </c>
      <c r="C151" s="169" t="s">
        <v>2886</v>
      </c>
      <c r="D151" s="12" t="s">
        <v>2887</v>
      </c>
      <c r="E151" s="166" t="s">
        <v>861</v>
      </c>
      <c r="F151" s="8" t="s">
        <v>1150</v>
      </c>
      <c r="G151" s="8" t="s">
        <v>1149</v>
      </c>
      <c r="H151" s="52" t="s">
        <v>592</v>
      </c>
      <c r="I151" s="57"/>
      <c r="J151" s="57"/>
      <c r="K151" s="167"/>
      <c r="L151" s="8"/>
      <c r="M151" s="8" t="s">
        <v>4206</v>
      </c>
      <c r="N151" s="26">
        <v>43872.440127314818</v>
      </c>
      <c r="O151" s="8" t="s">
        <v>4206</v>
      </c>
      <c r="P151" s="26">
        <v>43871.483391203707</v>
      </c>
      <c r="Q151" s="65">
        <v>376550</v>
      </c>
      <c r="R151" s="14" t="s">
        <v>3994</v>
      </c>
      <c r="S151" s="168">
        <v>807</v>
      </c>
      <c r="T151" s="52" t="s">
        <v>3512</v>
      </c>
      <c r="U151" s="8" t="s">
        <v>3564</v>
      </c>
    </row>
    <row r="152" spans="1:21" ht="15" x14ac:dyDescent="0.2">
      <c r="A152" s="170" t="str">
        <f>CONCATENATE(SP_ENV_Lib[[#This Row],[Environmental Tract No.]],"_",SP_ENV_Lib[[#This Row],[ACQ Document Type]])</f>
        <v>051_CONTACT Negotiator Report</v>
      </c>
      <c r="B152" s="14" t="s">
        <v>3682</v>
      </c>
      <c r="C152" s="169" t="s">
        <v>2891</v>
      </c>
      <c r="D152" s="12" t="s">
        <v>2892</v>
      </c>
      <c r="E152" s="166" t="s">
        <v>865</v>
      </c>
      <c r="F152" s="8" t="s">
        <v>1068</v>
      </c>
      <c r="G152" s="8" t="s">
        <v>1067</v>
      </c>
      <c r="H152" s="52" t="s">
        <v>592</v>
      </c>
      <c r="I152" s="57"/>
      <c r="J152" s="57"/>
      <c r="K152" s="167"/>
      <c r="L152" s="8"/>
      <c r="M152" s="8" t="s">
        <v>23</v>
      </c>
      <c r="N152" s="26">
        <v>43879.735567129632</v>
      </c>
      <c r="O152" s="8" t="s">
        <v>1743</v>
      </c>
      <c r="P152" s="26">
        <v>43879.577488425923</v>
      </c>
      <c r="Q152" s="65">
        <v>75705</v>
      </c>
      <c r="R152" s="14" t="s">
        <v>3995</v>
      </c>
      <c r="S152" s="168">
        <v>1144</v>
      </c>
      <c r="T152" s="52" t="s">
        <v>3512</v>
      </c>
      <c r="U152" s="8" t="s">
        <v>3564</v>
      </c>
    </row>
    <row r="153" spans="1:21" ht="15" hidden="1" x14ac:dyDescent="0.2">
      <c r="A153" s="170" t="str">
        <f>CONCATENATE(SP_ENV_Lib[[#This Row],[Environmental Tract No.]],"_",SP_ENV_Lib[[#This Row],[ACQ Document Type]])</f>
        <v>051_ENVIRONMENTAL Right-of-Entry Executed</v>
      </c>
      <c r="B153" s="14" t="s">
        <v>4229</v>
      </c>
      <c r="C153" s="169" t="s">
        <v>2891</v>
      </c>
      <c r="D153" s="12" t="s">
        <v>2892</v>
      </c>
      <c r="E153" s="166" t="s">
        <v>2682</v>
      </c>
      <c r="F153" s="8" t="s">
        <v>2683</v>
      </c>
      <c r="G153" s="8" t="s">
        <v>2681</v>
      </c>
      <c r="H153" s="52" t="s">
        <v>592</v>
      </c>
      <c r="I153" s="57">
        <v>43852</v>
      </c>
      <c r="J153" s="57"/>
      <c r="K153" s="167"/>
      <c r="L153" s="8"/>
      <c r="M153" s="8" t="s">
        <v>4205</v>
      </c>
      <c r="N153" s="26">
        <v>43892.811736111114</v>
      </c>
      <c r="O153" s="8" t="s">
        <v>4205</v>
      </c>
      <c r="P153" s="26">
        <v>43892.811377314814</v>
      </c>
      <c r="Q153" s="65">
        <v>1163156</v>
      </c>
      <c r="R153" s="14" t="s">
        <v>4288</v>
      </c>
      <c r="S153" s="168">
        <v>1187</v>
      </c>
      <c r="T153" s="52" t="s">
        <v>3512</v>
      </c>
      <c r="U153" s="8" t="s">
        <v>3564</v>
      </c>
    </row>
    <row r="154" spans="1:21" ht="15" hidden="1" x14ac:dyDescent="0.2">
      <c r="A154" s="170" t="str">
        <f>CONCATENATE(SP_ENV_Lib[[#This Row],[Environmental Tract No.]],"_",SP_ENV_Lib[[#This Row],[ACQ Document Type]])</f>
        <v>051_ENVIRONMENTAL Right-of-Entry Package</v>
      </c>
      <c r="B154" s="14" t="s">
        <v>3683</v>
      </c>
      <c r="C154" s="169" t="s">
        <v>2891</v>
      </c>
      <c r="D154" s="12" t="s">
        <v>2892</v>
      </c>
      <c r="E154" s="166" t="s">
        <v>2682</v>
      </c>
      <c r="F154" s="8" t="s">
        <v>2687</v>
      </c>
      <c r="G154" s="8" t="s">
        <v>2686</v>
      </c>
      <c r="H154" s="52" t="s">
        <v>592</v>
      </c>
      <c r="I154" s="57">
        <v>43845</v>
      </c>
      <c r="J154" s="57">
        <v>43847</v>
      </c>
      <c r="K154" s="167"/>
      <c r="L154" s="8"/>
      <c r="M154" s="8" t="s">
        <v>4206</v>
      </c>
      <c r="N154" s="26">
        <v>43874.540729166663</v>
      </c>
      <c r="O154" s="8" t="s">
        <v>4206</v>
      </c>
      <c r="P154" s="26">
        <v>43873.522592592592</v>
      </c>
      <c r="Q154" s="65">
        <v>635652</v>
      </c>
      <c r="R154" s="14" t="s">
        <v>3996</v>
      </c>
      <c r="S154" s="168">
        <v>1007</v>
      </c>
      <c r="T154" s="52" t="s">
        <v>3512</v>
      </c>
      <c r="U154" s="8" t="s">
        <v>3564</v>
      </c>
    </row>
    <row r="155" spans="1:21" ht="15" x14ac:dyDescent="0.2">
      <c r="A155" s="170" t="str">
        <f>CONCATENATE(SP_ENV_Lib[[#This Row],[Environmental Tract No.]],"_",SP_ENV_Lib[[#This Row],[ACQ Document Type]])</f>
        <v>051_TITLE Tax Card</v>
      </c>
      <c r="B155" s="14" t="s">
        <v>3684</v>
      </c>
      <c r="C155" s="169" t="s">
        <v>2891</v>
      </c>
      <c r="D155" s="12" t="s">
        <v>2892</v>
      </c>
      <c r="E155" s="166" t="s">
        <v>861</v>
      </c>
      <c r="F155" s="8" t="s">
        <v>1150</v>
      </c>
      <c r="G155" s="8" t="s">
        <v>1149</v>
      </c>
      <c r="H155" s="52" t="s">
        <v>592</v>
      </c>
      <c r="I155" s="57"/>
      <c r="J155" s="57"/>
      <c r="K155" s="167"/>
      <c r="L155" s="8"/>
      <c r="M155" s="8" t="s">
        <v>4206</v>
      </c>
      <c r="N155" s="26">
        <v>43872.44</v>
      </c>
      <c r="O155" s="8" t="s">
        <v>4206</v>
      </c>
      <c r="P155" s="26">
        <v>43871.483402777776</v>
      </c>
      <c r="Q155" s="65">
        <v>385992</v>
      </c>
      <c r="R155" s="14" t="s">
        <v>3997</v>
      </c>
      <c r="S155" s="168">
        <v>808</v>
      </c>
      <c r="T155" s="52" t="s">
        <v>3512</v>
      </c>
      <c r="U155" s="8" t="s">
        <v>3564</v>
      </c>
    </row>
    <row r="156" spans="1:21" ht="15" x14ac:dyDescent="0.2">
      <c r="A156" s="170" t="str">
        <f>CONCATENATE(SP_ENV_Lib[[#This Row],[Environmental Tract No.]],"_",SP_ENV_Lib[[#This Row],[ACQ Document Type]])</f>
        <v>052_CONTACT Negotiator Report</v>
      </c>
      <c r="B156" s="14" t="s">
        <v>3685</v>
      </c>
      <c r="C156" s="169" t="s">
        <v>2896</v>
      </c>
      <c r="D156" s="12" t="s">
        <v>2897</v>
      </c>
      <c r="E156" s="166" t="s">
        <v>865</v>
      </c>
      <c r="F156" s="8" t="s">
        <v>1068</v>
      </c>
      <c r="G156" s="8" t="s">
        <v>1067</v>
      </c>
      <c r="H156" s="52" t="s">
        <v>592</v>
      </c>
      <c r="I156" s="57"/>
      <c r="J156" s="57"/>
      <c r="K156" s="167"/>
      <c r="L156" s="8"/>
      <c r="M156" s="8" t="s">
        <v>1743</v>
      </c>
      <c r="N156" s="26">
        <v>43893.497581018521</v>
      </c>
      <c r="O156" s="8" t="s">
        <v>1743</v>
      </c>
      <c r="P156" s="26">
        <v>43879.578148148146</v>
      </c>
      <c r="Q156" s="65">
        <v>56313</v>
      </c>
      <c r="R156" s="14" t="s">
        <v>3998</v>
      </c>
      <c r="S156" s="168">
        <v>1145</v>
      </c>
      <c r="T156" s="52" t="s">
        <v>3512</v>
      </c>
      <c r="U156" s="8" t="s">
        <v>3564</v>
      </c>
    </row>
    <row r="157" spans="1:21" ht="15" hidden="1" x14ac:dyDescent="0.2">
      <c r="A157" s="170" t="str">
        <f>CONCATENATE(SP_ENV_Lib[[#This Row],[Environmental Tract No.]],"_",SP_ENV_Lib[[#This Row],[ACQ Document Type]])</f>
        <v>052_ENVIRONMENTAL Right-of-Entry Executed</v>
      </c>
      <c r="B157" s="14" t="s">
        <v>4366</v>
      </c>
      <c r="C157" s="169" t="s">
        <v>2896</v>
      </c>
      <c r="D157" s="12" t="s">
        <v>2897</v>
      </c>
      <c r="E157" s="166" t="s">
        <v>2682</v>
      </c>
      <c r="F157" s="8" t="s">
        <v>2683</v>
      </c>
      <c r="G157" s="8" t="s">
        <v>2681</v>
      </c>
      <c r="H157" s="52" t="s">
        <v>592</v>
      </c>
      <c r="I157" s="57">
        <v>43899</v>
      </c>
      <c r="J157" s="57"/>
      <c r="K157" s="167"/>
      <c r="L157" s="8"/>
      <c r="M157" s="8" t="s">
        <v>4205</v>
      </c>
      <c r="N157" s="26">
        <v>43903.859293981484</v>
      </c>
      <c r="O157" s="8" t="s">
        <v>4205</v>
      </c>
      <c r="P157" s="26">
        <v>43903.858900462961</v>
      </c>
      <c r="Q157" s="65">
        <v>1626566</v>
      </c>
      <c r="R157" s="14" t="s">
        <v>4410</v>
      </c>
      <c r="S157" s="168">
        <v>1297</v>
      </c>
      <c r="T157" s="52" t="s">
        <v>3512</v>
      </c>
      <c r="U157" s="8" t="s">
        <v>3564</v>
      </c>
    </row>
    <row r="158" spans="1:21" ht="15" hidden="1" x14ac:dyDescent="0.2">
      <c r="A158" s="170" t="str">
        <f>CONCATENATE(SP_ENV_Lib[[#This Row],[Environmental Tract No.]],"_",SP_ENV_Lib[[#This Row],[ACQ Document Type]])</f>
        <v>052_ENVIRONMENTAL Right-of-Entry Package</v>
      </c>
      <c r="B158" s="14" t="s">
        <v>3686</v>
      </c>
      <c r="C158" s="169" t="s">
        <v>2896</v>
      </c>
      <c r="D158" s="12" t="s">
        <v>2897</v>
      </c>
      <c r="E158" s="166" t="s">
        <v>2682</v>
      </c>
      <c r="F158" s="8" t="s">
        <v>2687</v>
      </c>
      <c r="G158" s="8" t="s">
        <v>2686</v>
      </c>
      <c r="H158" s="52" t="s">
        <v>592</v>
      </c>
      <c r="I158" s="57">
        <v>43845</v>
      </c>
      <c r="J158" s="57">
        <v>43851</v>
      </c>
      <c r="K158" s="167"/>
      <c r="L158" s="8"/>
      <c r="M158" s="8" t="s">
        <v>4206</v>
      </c>
      <c r="N158" s="26">
        <v>43874.540439814817</v>
      </c>
      <c r="O158" s="8" t="s">
        <v>4206</v>
      </c>
      <c r="P158" s="26">
        <v>43873.522615740738</v>
      </c>
      <c r="Q158" s="65">
        <v>870220</v>
      </c>
      <c r="R158" s="14" t="s">
        <v>3999</v>
      </c>
      <c r="S158" s="168">
        <v>1008</v>
      </c>
      <c r="T158" s="52" t="s">
        <v>3512</v>
      </c>
      <c r="U158" s="8" t="s">
        <v>3564</v>
      </c>
    </row>
    <row r="159" spans="1:21" ht="15" x14ac:dyDescent="0.2">
      <c r="A159" s="170" t="str">
        <f>CONCATENATE(SP_ENV_Lib[[#This Row],[Environmental Tract No.]],"_",SP_ENV_Lib[[#This Row],[ACQ Document Type]])</f>
        <v>052_TITLE Tax Card</v>
      </c>
      <c r="B159" s="14" t="s">
        <v>3687</v>
      </c>
      <c r="C159" s="169" t="s">
        <v>2896</v>
      </c>
      <c r="D159" s="12" t="s">
        <v>2897</v>
      </c>
      <c r="E159" s="166" t="s">
        <v>861</v>
      </c>
      <c r="F159" s="8" t="s">
        <v>1150</v>
      </c>
      <c r="G159" s="8" t="s">
        <v>1149</v>
      </c>
      <c r="H159" s="52" t="s">
        <v>592</v>
      </c>
      <c r="I159" s="57"/>
      <c r="J159" s="57"/>
      <c r="K159" s="167"/>
      <c r="L159" s="8"/>
      <c r="M159" s="8" t="s">
        <v>4206</v>
      </c>
      <c r="N159" s="26">
        <v>43872.43986111111</v>
      </c>
      <c r="O159" s="8" t="s">
        <v>4206</v>
      </c>
      <c r="P159" s="26">
        <v>43871.483414351853</v>
      </c>
      <c r="Q159" s="65">
        <v>616499</v>
      </c>
      <c r="R159" s="14" t="s">
        <v>4000</v>
      </c>
      <c r="S159" s="168">
        <v>809</v>
      </c>
      <c r="T159" s="52" t="s">
        <v>3512</v>
      </c>
      <c r="U159" s="8" t="s">
        <v>3564</v>
      </c>
    </row>
    <row r="160" spans="1:21" ht="15" x14ac:dyDescent="0.2">
      <c r="A160" s="170" t="str">
        <f>CONCATENATE(SP_ENV_Lib[[#This Row],[Environmental Tract No.]],"_",SP_ENV_Lib[[#This Row],[ACQ Document Type]])</f>
        <v>053_CONTACT Negotiator Report</v>
      </c>
      <c r="B160" s="14" t="s">
        <v>3688</v>
      </c>
      <c r="C160" s="169" t="s">
        <v>2901</v>
      </c>
      <c r="D160" s="12" t="s">
        <v>2902</v>
      </c>
      <c r="E160" s="166" t="s">
        <v>865</v>
      </c>
      <c r="F160" s="8" t="s">
        <v>1068</v>
      </c>
      <c r="G160" s="8" t="s">
        <v>1067</v>
      </c>
      <c r="H160" s="52" t="s">
        <v>592</v>
      </c>
      <c r="I160" s="57"/>
      <c r="J160" s="57"/>
      <c r="K160" s="167"/>
      <c r="L160" s="8"/>
      <c r="M160" s="8" t="s">
        <v>1743</v>
      </c>
      <c r="N160" s="26">
        <v>43888.443611111114</v>
      </c>
      <c r="O160" s="8" t="s">
        <v>1743</v>
      </c>
      <c r="P160" s="26">
        <v>43879.592789351853</v>
      </c>
      <c r="Q160" s="65">
        <v>63064</v>
      </c>
      <c r="R160" s="14" t="s">
        <v>4001</v>
      </c>
      <c r="S160" s="168">
        <v>1146</v>
      </c>
      <c r="T160" s="52" t="s">
        <v>3512</v>
      </c>
      <c r="U160" s="8" t="s">
        <v>3564</v>
      </c>
    </row>
    <row r="161" spans="1:21" ht="15" hidden="1" x14ac:dyDescent="0.2">
      <c r="A161" s="170" t="str">
        <f>CONCATENATE(SP_ENV_Lib[[#This Row],[Environmental Tract No.]],"_",SP_ENV_Lib[[#This Row],[ACQ Document Type]])</f>
        <v>053_ENVIRONMENTAL Right-of-Entry Executed</v>
      </c>
      <c r="B161" s="14" t="s">
        <v>4367</v>
      </c>
      <c r="C161" s="169" t="s">
        <v>2901</v>
      </c>
      <c r="D161" s="12" t="s">
        <v>2902</v>
      </c>
      <c r="E161" s="166" t="s">
        <v>2682</v>
      </c>
      <c r="F161" s="8" t="s">
        <v>2683</v>
      </c>
      <c r="G161" s="8" t="s">
        <v>2681</v>
      </c>
      <c r="H161" s="52" t="s">
        <v>592</v>
      </c>
      <c r="I161" s="57">
        <v>43900</v>
      </c>
      <c r="J161" s="57"/>
      <c r="K161" s="167"/>
      <c r="L161" s="8"/>
      <c r="M161" s="8" t="s">
        <v>4205</v>
      </c>
      <c r="N161" s="26">
        <v>43903.860173611109</v>
      </c>
      <c r="O161" s="8" t="s">
        <v>4205</v>
      </c>
      <c r="P161" s="26">
        <v>43903.859861111108</v>
      </c>
      <c r="Q161" s="65">
        <v>1795102</v>
      </c>
      <c r="R161" s="14" t="s">
        <v>4411</v>
      </c>
      <c r="S161" s="168">
        <v>1298</v>
      </c>
      <c r="T161" s="52" t="s">
        <v>3512</v>
      </c>
      <c r="U161" s="8" t="s">
        <v>3564</v>
      </c>
    </row>
    <row r="162" spans="1:21" ht="15" hidden="1" x14ac:dyDescent="0.2">
      <c r="A162" s="170" t="str">
        <f>CONCATENATE(SP_ENV_Lib[[#This Row],[Environmental Tract No.]],"_",SP_ENV_Lib[[#This Row],[ACQ Document Type]])</f>
        <v>053_ENVIRONMENTAL Right-of-Entry Package</v>
      </c>
      <c r="B162" s="14" t="s">
        <v>3689</v>
      </c>
      <c r="C162" s="169" t="s">
        <v>2901</v>
      </c>
      <c r="D162" s="12" t="s">
        <v>2902</v>
      </c>
      <c r="E162" s="166" t="s">
        <v>2682</v>
      </c>
      <c r="F162" s="8" t="s">
        <v>2687</v>
      </c>
      <c r="G162" s="8" t="s">
        <v>2686</v>
      </c>
      <c r="H162" s="52" t="s">
        <v>592</v>
      </c>
      <c r="I162" s="57">
        <v>43845</v>
      </c>
      <c r="J162" s="57">
        <v>43857</v>
      </c>
      <c r="K162" s="167"/>
      <c r="L162" s="8"/>
      <c r="M162" s="8" t="s">
        <v>4206</v>
      </c>
      <c r="N162" s="26">
        <v>43874.540185185186</v>
      </c>
      <c r="O162" s="8" t="s">
        <v>4206</v>
      </c>
      <c r="P162" s="26">
        <v>43873.522638888891</v>
      </c>
      <c r="Q162" s="65">
        <v>949212</v>
      </c>
      <c r="R162" s="14" t="s">
        <v>4002</v>
      </c>
      <c r="S162" s="168">
        <v>1009</v>
      </c>
      <c r="T162" s="52" t="s">
        <v>3512</v>
      </c>
      <c r="U162" s="8" t="s">
        <v>3564</v>
      </c>
    </row>
    <row r="163" spans="1:21" ht="15" x14ac:dyDescent="0.2">
      <c r="A163" s="170" t="str">
        <f>CONCATENATE(SP_ENV_Lib[[#This Row],[Environmental Tract No.]],"_",SP_ENV_Lib[[#This Row],[ACQ Document Type]])</f>
        <v>053_TITLE Tax Card</v>
      </c>
      <c r="B163" s="14" t="s">
        <v>3690</v>
      </c>
      <c r="C163" s="169" t="s">
        <v>2901</v>
      </c>
      <c r="D163" s="12" t="s">
        <v>2902</v>
      </c>
      <c r="E163" s="166" t="s">
        <v>861</v>
      </c>
      <c r="F163" s="8" t="s">
        <v>1150</v>
      </c>
      <c r="G163" s="8" t="s">
        <v>1149</v>
      </c>
      <c r="H163" s="52" t="s">
        <v>592</v>
      </c>
      <c r="I163" s="57"/>
      <c r="J163" s="57"/>
      <c r="K163" s="167"/>
      <c r="L163" s="8"/>
      <c r="M163" s="8" t="s">
        <v>4206</v>
      </c>
      <c r="N163" s="26">
        <v>43872.439756944441</v>
      </c>
      <c r="O163" s="8" t="s">
        <v>4206</v>
      </c>
      <c r="P163" s="26">
        <v>43871.483425925922</v>
      </c>
      <c r="Q163" s="65">
        <v>700114</v>
      </c>
      <c r="R163" s="14" t="s">
        <v>4003</v>
      </c>
      <c r="S163" s="168">
        <v>810</v>
      </c>
      <c r="T163" s="52" t="s">
        <v>3512</v>
      </c>
      <c r="U163" s="8" t="s">
        <v>3564</v>
      </c>
    </row>
    <row r="164" spans="1:21" ht="15" hidden="1" x14ac:dyDescent="0.2">
      <c r="A164" s="170" t="str">
        <f>CONCATENATE(SP_ENV_Lib[[#This Row],[Environmental Tract No.]],"_",SP_ENV_Lib[[#This Row],[ACQ Document Type]])</f>
        <v>054_ENVIRONMENTAL Right-of-Entry Executed</v>
      </c>
      <c r="B164" s="14" t="s">
        <v>4230</v>
      </c>
      <c r="C164" s="169" t="s">
        <v>2906</v>
      </c>
      <c r="D164" s="12" t="s">
        <v>2907</v>
      </c>
      <c r="E164" s="166" t="s">
        <v>2682</v>
      </c>
      <c r="F164" s="8" t="s">
        <v>2683</v>
      </c>
      <c r="G164" s="8" t="s">
        <v>2681</v>
      </c>
      <c r="H164" s="52" t="s">
        <v>592</v>
      </c>
      <c r="I164" s="57">
        <v>43852</v>
      </c>
      <c r="J164" s="57"/>
      <c r="K164" s="167"/>
      <c r="L164" s="8"/>
      <c r="M164" s="8" t="s">
        <v>4205</v>
      </c>
      <c r="N164" s="26">
        <v>43892.813252314816</v>
      </c>
      <c r="O164" s="8" t="s">
        <v>4205</v>
      </c>
      <c r="P164" s="26">
        <v>43892.812847222223</v>
      </c>
      <c r="Q164" s="65">
        <v>1165405</v>
      </c>
      <c r="R164" s="14" t="s">
        <v>4289</v>
      </c>
      <c r="S164" s="168">
        <v>1188</v>
      </c>
      <c r="T164" s="52" t="s">
        <v>3512</v>
      </c>
      <c r="U164" s="8" t="s">
        <v>3564</v>
      </c>
    </row>
    <row r="165" spans="1:21" ht="15" hidden="1" x14ac:dyDescent="0.2">
      <c r="A165" s="170" t="str">
        <f>CONCATENATE(SP_ENV_Lib[[#This Row],[Environmental Tract No.]],"_",SP_ENV_Lib[[#This Row],[ACQ Document Type]])</f>
        <v>054_ENVIRONMENTAL Right-of-Entry Package</v>
      </c>
      <c r="B165" s="14" t="s">
        <v>3691</v>
      </c>
      <c r="C165" s="169" t="s">
        <v>2906</v>
      </c>
      <c r="D165" s="12" t="s">
        <v>2907</v>
      </c>
      <c r="E165" s="166" t="s">
        <v>2682</v>
      </c>
      <c r="F165" s="8" t="s">
        <v>2687</v>
      </c>
      <c r="G165" s="8" t="s">
        <v>2686</v>
      </c>
      <c r="H165" s="52" t="s">
        <v>592</v>
      </c>
      <c r="I165" s="57">
        <v>43845</v>
      </c>
      <c r="J165" s="57">
        <v>43847</v>
      </c>
      <c r="K165" s="167"/>
      <c r="L165" s="8"/>
      <c r="M165" s="8" t="s">
        <v>4206</v>
      </c>
      <c r="N165" s="26">
        <v>43874.539930555555</v>
      </c>
      <c r="O165" s="8" t="s">
        <v>4206</v>
      </c>
      <c r="P165" s="26">
        <v>43873.522673611114</v>
      </c>
      <c r="Q165" s="65">
        <v>949117</v>
      </c>
      <c r="R165" s="14" t="s">
        <v>4004</v>
      </c>
      <c r="S165" s="168">
        <v>1010</v>
      </c>
      <c r="T165" s="52" t="s">
        <v>3512</v>
      </c>
      <c r="U165" s="8" t="s">
        <v>3564</v>
      </c>
    </row>
    <row r="166" spans="1:21" ht="15" x14ac:dyDescent="0.2">
      <c r="A166" s="170" t="str">
        <f>CONCATENATE(SP_ENV_Lib[[#This Row],[Environmental Tract No.]],"_",SP_ENV_Lib[[#This Row],[ACQ Document Type]])</f>
        <v>054_TITLE Tax Card</v>
      </c>
      <c r="B166" s="14" t="s">
        <v>3692</v>
      </c>
      <c r="C166" s="169" t="s">
        <v>2906</v>
      </c>
      <c r="D166" s="12" t="s">
        <v>2907</v>
      </c>
      <c r="E166" s="166" t="s">
        <v>861</v>
      </c>
      <c r="F166" s="8" t="s">
        <v>1150</v>
      </c>
      <c r="G166" s="8" t="s">
        <v>1149</v>
      </c>
      <c r="H166" s="52" t="s">
        <v>592</v>
      </c>
      <c r="I166" s="57"/>
      <c r="J166" s="57"/>
      <c r="K166" s="167"/>
      <c r="L166" s="8"/>
      <c r="M166" s="8" t="s">
        <v>4206</v>
      </c>
      <c r="N166" s="26">
        <v>43872.439652777779</v>
      </c>
      <c r="O166" s="8" t="s">
        <v>4206</v>
      </c>
      <c r="P166" s="26">
        <v>43871.483449074076</v>
      </c>
      <c r="Q166" s="65">
        <v>696247</v>
      </c>
      <c r="R166" s="14" t="s">
        <v>4005</v>
      </c>
      <c r="S166" s="168">
        <v>811</v>
      </c>
      <c r="T166" s="52" t="s">
        <v>3512</v>
      </c>
      <c r="U166" s="8" t="s">
        <v>3564</v>
      </c>
    </row>
    <row r="167" spans="1:21" ht="15" x14ac:dyDescent="0.2">
      <c r="A167" s="170" t="str">
        <f>CONCATENATE(SP_ENV_Lib[[#This Row],[Environmental Tract No.]],"_",SP_ENV_Lib[[#This Row],[ACQ Document Type]])</f>
        <v>055_CONTACT Negotiator Report</v>
      </c>
      <c r="B167" s="14" t="s">
        <v>3693</v>
      </c>
      <c r="C167" s="169" t="s">
        <v>2911</v>
      </c>
      <c r="D167" s="12" t="s">
        <v>2912</v>
      </c>
      <c r="E167" s="166" t="s">
        <v>865</v>
      </c>
      <c r="F167" s="8" t="s">
        <v>1068</v>
      </c>
      <c r="G167" s="8" t="s">
        <v>1067</v>
      </c>
      <c r="H167" s="52" t="s">
        <v>592</v>
      </c>
      <c r="I167" s="57"/>
      <c r="J167" s="57"/>
      <c r="K167" s="167"/>
      <c r="L167" s="8"/>
      <c r="M167" s="8" t="s">
        <v>23</v>
      </c>
      <c r="N167" s="26">
        <v>43879.735578703701</v>
      </c>
      <c r="O167" s="8" t="s">
        <v>1743</v>
      </c>
      <c r="P167" s="26">
        <v>43879.594143518516</v>
      </c>
      <c r="Q167" s="65">
        <v>56215</v>
      </c>
      <c r="R167" s="14" t="s">
        <v>4006</v>
      </c>
      <c r="S167" s="168">
        <v>1147</v>
      </c>
      <c r="T167" s="52" t="s">
        <v>3512</v>
      </c>
      <c r="U167" s="8" t="s">
        <v>3564</v>
      </c>
    </row>
    <row r="168" spans="1:21" ht="15" hidden="1" x14ac:dyDescent="0.2">
      <c r="A168" s="170" t="str">
        <f>CONCATENATE(SP_ENV_Lib[[#This Row],[Environmental Tract No.]],"_",SP_ENV_Lib[[#This Row],[ACQ Document Type]])</f>
        <v>055_ENVIRONMENTAL Right-of-Entry Executed</v>
      </c>
      <c r="B168" s="14" t="s">
        <v>4231</v>
      </c>
      <c r="C168" s="169" t="s">
        <v>2911</v>
      </c>
      <c r="D168" s="12" t="s">
        <v>2912</v>
      </c>
      <c r="E168" s="166" t="s">
        <v>2682</v>
      </c>
      <c r="F168" s="8" t="s">
        <v>2683</v>
      </c>
      <c r="G168" s="8" t="s">
        <v>2681</v>
      </c>
      <c r="H168" s="52" t="s">
        <v>592</v>
      </c>
      <c r="I168" s="57">
        <v>43852</v>
      </c>
      <c r="J168" s="57"/>
      <c r="K168" s="167"/>
      <c r="L168" s="8"/>
      <c r="M168" s="8" t="s">
        <v>4205</v>
      </c>
      <c r="N168" s="26">
        <v>43892.81422453704</v>
      </c>
      <c r="O168" s="8" t="s">
        <v>4205</v>
      </c>
      <c r="P168" s="26">
        <v>43892.813761574071</v>
      </c>
      <c r="Q168" s="65">
        <v>1171719</v>
      </c>
      <c r="R168" s="14" t="s">
        <v>4290</v>
      </c>
      <c r="S168" s="168">
        <v>1189</v>
      </c>
      <c r="T168" s="52" t="s">
        <v>3512</v>
      </c>
      <c r="U168" s="8" t="s">
        <v>3564</v>
      </c>
    </row>
    <row r="169" spans="1:21" ht="15" hidden="1" x14ac:dyDescent="0.2">
      <c r="A169" s="170" t="str">
        <f>CONCATENATE(SP_ENV_Lib[[#This Row],[Environmental Tract No.]],"_",SP_ENV_Lib[[#This Row],[ACQ Document Type]])</f>
        <v>055_ENVIRONMENTAL Right-of-Entry Package</v>
      </c>
      <c r="B169" s="14" t="s">
        <v>3694</v>
      </c>
      <c r="C169" s="169" t="s">
        <v>2911</v>
      </c>
      <c r="D169" s="12" t="s">
        <v>2912</v>
      </c>
      <c r="E169" s="166" t="s">
        <v>2682</v>
      </c>
      <c r="F169" s="8" t="s">
        <v>2687</v>
      </c>
      <c r="G169" s="8" t="s">
        <v>2686</v>
      </c>
      <c r="H169" s="52" t="s">
        <v>592</v>
      </c>
      <c r="I169" s="57">
        <v>43845</v>
      </c>
      <c r="J169" s="57">
        <v>43847</v>
      </c>
      <c r="K169" s="167"/>
      <c r="L169" s="8"/>
      <c r="M169" s="8" t="s">
        <v>4206</v>
      </c>
      <c r="N169" s="26">
        <v>43874.539722222224</v>
      </c>
      <c r="O169" s="8" t="s">
        <v>4206</v>
      </c>
      <c r="P169" s="26">
        <v>43873.52270833333</v>
      </c>
      <c r="Q169" s="65">
        <v>855237</v>
      </c>
      <c r="R169" s="14" t="s">
        <v>4007</v>
      </c>
      <c r="S169" s="168">
        <v>1011</v>
      </c>
      <c r="T169" s="52" t="s">
        <v>3512</v>
      </c>
      <c r="U169" s="8" t="s">
        <v>3564</v>
      </c>
    </row>
    <row r="170" spans="1:21" ht="15" x14ac:dyDescent="0.2">
      <c r="A170" s="170" t="str">
        <f>CONCATENATE(SP_ENV_Lib[[#This Row],[Environmental Tract No.]],"_",SP_ENV_Lib[[#This Row],[ACQ Document Type]])</f>
        <v>055_TITLE Tax Card</v>
      </c>
      <c r="B170" s="14" t="s">
        <v>3695</v>
      </c>
      <c r="C170" s="169" t="s">
        <v>2911</v>
      </c>
      <c r="D170" s="12" t="s">
        <v>2912</v>
      </c>
      <c r="E170" s="166" t="s">
        <v>861</v>
      </c>
      <c r="F170" s="8" t="s">
        <v>1150</v>
      </c>
      <c r="G170" s="8" t="s">
        <v>1149</v>
      </c>
      <c r="H170" s="52" t="s">
        <v>592</v>
      </c>
      <c r="I170" s="57"/>
      <c r="J170" s="57"/>
      <c r="K170" s="167"/>
      <c r="L170" s="8"/>
      <c r="M170" s="8" t="s">
        <v>4206</v>
      </c>
      <c r="N170" s="26">
        <v>43872.43953703704</v>
      </c>
      <c r="O170" s="8" t="s">
        <v>4206</v>
      </c>
      <c r="P170" s="26">
        <v>43871.483020833337</v>
      </c>
      <c r="Q170" s="65">
        <v>601355</v>
      </c>
      <c r="R170" s="14" t="s">
        <v>4008</v>
      </c>
      <c r="S170" s="168">
        <v>775</v>
      </c>
      <c r="T170" s="52" t="s">
        <v>3512</v>
      </c>
      <c r="U170" s="8" t="s">
        <v>3564</v>
      </c>
    </row>
    <row r="171" spans="1:21" ht="15" x14ac:dyDescent="0.2">
      <c r="A171" s="170" t="str">
        <f>CONCATENATE(SP_ENV_Lib[[#This Row],[Environmental Tract No.]],"_",SP_ENV_Lib[[#This Row],[ACQ Document Type]])</f>
        <v>063_CONTACT Negotiator Report</v>
      </c>
      <c r="B171" s="14" t="s">
        <v>3696</v>
      </c>
      <c r="C171" s="169" t="s">
        <v>2916</v>
      </c>
      <c r="D171" s="12" t="s">
        <v>2917</v>
      </c>
      <c r="E171" s="166" t="s">
        <v>865</v>
      </c>
      <c r="F171" s="8" t="s">
        <v>1068</v>
      </c>
      <c r="G171" s="8" t="s">
        <v>1067</v>
      </c>
      <c r="H171" s="52" t="s">
        <v>592</v>
      </c>
      <c r="I171" s="57"/>
      <c r="J171" s="57"/>
      <c r="K171" s="167"/>
      <c r="L171" s="8"/>
      <c r="M171" s="8" t="s">
        <v>23</v>
      </c>
      <c r="N171" s="26">
        <v>43879.735578703701</v>
      </c>
      <c r="O171" s="8" t="s">
        <v>1743</v>
      </c>
      <c r="P171" s="26">
        <v>43879.595000000001</v>
      </c>
      <c r="Q171" s="65">
        <v>56190</v>
      </c>
      <c r="R171" s="14" t="s">
        <v>4009</v>
      </c>
      <c r="S171" s="168">
        <v>1148</v>
      </c>
      <c r="T171" s="52" t="s">
        <v>3512</v>
      </c>
      <c r="U171" s="8" t="s">
        <v>3564</v>
      </c>
    </row>
    <row r="172" spans="1:21" ht="15" hidden="1" x14ac:dyDescent="0.2">
      <c r="A172" s="170" t="str">
        <f>CONCATENATE(SP_ENV_Lib[[#This Row],[Environmental Tract No.]],"_",SP_ENV_Lib[[#This Row],[ACQ Document Type]])</f>
        <v>063_ENVIRONMENTAL Right-of-Entry Executed</v>
      </c>
      <c r="B172" s="14" t="s">
        <v>4548</v>
      </c>
      <c r="C172" s="169" t="s">
        <v>2916</v>
      </c>
      <c r="D172" s="12" t="s">
        <v>2917</v>
      </c>
      <c r="E172" s="166" t="s">
        <v>2682</v>
      </c>
      <c r="F172" s="8" t="s">
        <v>2683</v>
      </c>
      <c r="G172" s="8" t="s">
        <v>2681</v>
      </c>
      <c r="H172" s="52" t="s">
        <v>592</v>
      </c>
      <c r="I172" s="57">
        <v>43920</v>
      </c>
      <c r="J172" s="57"/>
      <c r="K172" s="167"/>
      <c r="L172" s="8"/>
      <c r="M172" s="8" t="s">
        <v>4205</v>
      </c>
      <c r="N172" s="26">
        <v>43920.803749999999</v>
      </c>
      <c r="O172" s="8" t="s">
        <v>4205</v>
      </c>
      <c r="P172" s="26">
        <v>43920.801944444444</v>
      </c>
      <c r="Q172" s="65">
        <v>1805499</v>
      </c>
      <c r="R172" s="14" t="s">
        <v>4554</v>
      </c>
      <c r="S172" s="168">
        <v>1331</v>
      </c>
      <c r="T172" s="52" t="s">
        <v>3512</v>
      </c>
      <c r="U172" s="8" t="s">
        <v>3564</v>
      </c>
    </row>
    <row r="173" spans="1:21" ht="15" hidden="1" x14ac:dyDescent="0.2">
      <c r="A173" s="170" t="str">
        <f>CONCATENATE(SP_ENV_Lib[[#This Row],[Environmental Tract No.]],"_",SP_ENV_Lib[[#This Row],[ACQ Document Type]])</f>
        <v>063_ENVIRONMENTAL Right-of-Entry Package</v>
      </c>
      <c r="B173" s="14" t="s">
        <v>3697</v>
      </c>
      <c r="C173" s="169" t="s">
        <v>2916</v>
      </c>
      <c r="D173" s="12" t="s">
        <v>2917</v>
      </c>
      <c r="E173" s="166" t="s">
        <v>2682</v>
      </c>
      <c r="F173" s="8" t="s">
        <v>2687</v>
      </c>
      <c r="G173" s="8" t="s">
        <v>2686</v>
      </c>
      <c r="H173" s="52" t="s">
        <v>592</v>
      </c>
      <c r="I173" s="57">
        <v>43845</v>
      </c>
      <c r="J173" s="57">
        <v>43847</v>
      </c>
      <c r="K173" s="167"/>
      <c r="L173" s="8"/>
      <c r="M173" s="8" t="s">
        <v>4206</v>
      </c>
      <c r="N173" s="26">
        <v>43874.538946759261</v>
      </c>
      <c r="O173" s="8" t="s">
        <v>4206</v>
      </c>
      <c r="P173" s="26">
        <v>43873.522731481484</v>
      </c>
      <c r="Q173" s="65">
        <v>1021693</v>
      </c>
      <c r="R173" s="14" t="s">
        <v>4010</v>
      </c>
      <c r="S173" s="168">
        <v>1012</v>
      </c>
      <c r="T173" s="52" t="s">
        <v>3512</v>
      </c>
      <c r="U173" s="8" t="s">
        <v>3564</v>
      </c>
    </row>
    <row r="174" spans="1:21" ht="15" x14ac:dyDescent="0.2">
      <c r="A174" s="170" t="str">
        <f>CONCATENATE(SP_ENV_Lib[[#This Row],[Environmental Tract No.]],"_",SP_ENV_Lib[[#This Row],[ACQ Document Type]])</f>
        <v>063_TITLE Tax Card</v>
      </c>
      <c r="B174" s="14" t="s">
        <v>3698</v>
      </c>
      <c r="C174" s="169" t="s">
        <v>2916</v>
      </c>
      <c r="D174" s="12" t="s">
        <v>2917</v>
      </c>
      <c r="E174" s="166" t="s">
        <v>861</v>
      </c>
      <c r="F174" s="8" t="s">
        <v>1150</v>
      </c>
      <c r="G174" s="8" t="s">
        <v>1149</v>
      </c>
      <c r="H174" s="52" t="s">
        <v>592</v>
      </c>
      <c r="I174" s="57"/>
      <c r="J174" s="57"/>
      <c r="K174" s="167"/>
      <c r="L174" s="8"/>
      <c r="M174" s="8" t="s">
        <v>4206</v>
      </c>
      <c r="N174" s="26">
        <v>43872.439398148148</v>
      </c>
      <c r="O174" s="8" t="s">
        <v>4206</v>
      </c>
      <c r="P174" s="26">
        <v>43871.483032407406</v>
      </c>
      <c r="Q174" s="65">
        <v>776640</v>
      </c>
      <c r="R174" s="14" t="s">
        <v>4011</v>
      </c>
      <c r="S174" s="168">
        <v>776</v>
      </c>
      <c r="T174" s="52" t="s">
        <v>3512</v>
      </c>
      <c r="U174" s="8" t="s">
        <v>3564</v>
      </c>
    </row>
    <row r="175" spans="1:21" ht="15" x14ac:dyDescent="0.2">
      <c r="A175" s="170" t="str">
        <f>CONCATENATE(SP_ENV_Lib[[#This Row],[Environmental Tract No.]],"_",SP_ENV_Lib[[#This Row],[ACQ Document Type]])</f>
        <v>064_CONTACT Negotiator Report</v>
      </c>
      <c r="B175" s="14" t="s">
        <v>3699</v>
      </c>
      <c r="C175" s="169" t="s">
        <v>2921</v>
      </c>
      <c r="D175" s="12" t="s">
        <v>2922</v>
      </c>
      <c r="E175" s="166" t="s">
        <v>865</v>
      </c>
      <c r="F175" s="8" t="s">
        <v>1068</v>
      </c>
      <c r="G175" s="8" t="s">
        <v>1067</v>
      </c>
      <c r="H175" s="52" t="s">
        <v>592</v>
      </c>
      <c r="I175" s="57"/>
      <c r="J175" s="57"/>
      <c r="K175" s="167"/>
      <c r="L175" s="8"/>
      <c r="M175" s="8" t="s">
        <v>23</v>
      </c>
      <c r="N175" s="26">
        <v>43879.735578703701</v>
      </c>
      <c r="O175" s="8" t="s">
        <v>1743</v>
      </c>
      <c r="P175" s="26">
        <v>43879.59574074074</v>
      </c>
      <c r="Q175" s="65">
        <v>55142</v>
      </c>
      <c r="R175" s="14" t="s">
        <v>4012</v>
      </c>
      <c r="S175" s="168">
        <v>1149</v>
      </c>
      <c r="T175" s="52" t="s">
        <v>3512</v>
      </c>
      <c r="U175" s="8" t="s">
        <v>3564</v>
      </c>
    </row>
    <row r="176" spans="1:21" ht="15" hidden="1" x14ac:dyDescent="0.2">
      <c r="A176" s="170" t="str">
        <f>CONCATENATE(SP_ENV_Lib[[#This Row],[Environmental Tract No.]],"_",SP_ENV_Lib[[#This Row],[ACQ Document Type]])</f>
        <v>064_ENVIRONMENTAL Right-of-Entry Executed</v>
      </c>
      <c r="B176" s="14" t="s">
        <v>4549</v>
      </c>
      <c r="C176" s="169" t="s">
        <v>2921</v>
      </c>
      <c r="D176" s="12" t="s">
        <v>2922</v>
      </c>
      <c r="E176" s="166" t="s">
        <v>2682</v>
      </c>
      <c r="F176" s="8" t="s">
        <v>2683</v>
      </c>
      <c r="G176" s="8" t="s">
        <v>2681</v>
      </c>
      <c r="H176" s="52" t="s">
        <v>592</v>
      </c>
      <c r="I176" s="57">
        <v>43920</v>
      </c>
      <c r="J176" s="57"/>
      <c r="K176" s="167"/>
      <c r="L176" s="8"/>
      <c r="M176" s="8" t="s">
        <v>4205</v>
      </c>
      <c r="N176" s="26">
        <v>43920.804189814815</v>
      </c>
      <c r="O176" s="8" t="s">
        <v>4205</v>
      </c>
      <c r="P176" s="26">
        <v>43920.801979166667</v>
      </c>
      <c r="Q176" s="65">
        <v>1681965</v>
      </c>
      <c r="R176" s="14" t="s">
        <v>4555</v>
      </c>
      <c r="S176" s="168">
        <v>1332</v>
      </c>
      <c r="T176" s="52" t="s">
        <v>3512</v>
      </c>
      <c r="U176" s="8" t="s">
        <v>3564</v>
      </c>
    </row>
    <row r="177" spans="1:21" ht="15" hidden="1" x14ac:dyDescent="0.2">
      <c r="A177" s="170" t="str">
        <f>CONCATENATE(SP_ENV_Lib[[#This Row],[Environmental Tract No.]],"_",SP_ENV_Lib[[#This Row],[ACQ Document Type]])</f>
        <v>064_ENVIRONMENTAL Right-of-Entry Package</v>
      </c>
      <c r="B177" s="14" t="s">
        <v>3700</v>
      </c>
      <c r="C177" s="169" t="s">
        <v>2921</v>
      </c>
      <c r="D177" s="12" t="s">
        <v>2922</v>
      </c>
      <c r="E177" s="166" t="s">
        <v>2682</v>
      </c>
      <c r="F177" s="8" t="s">
        <v>2687</v>
      </c>
      <c r="G177" s="8" t="s">
        <v>2686</v>
      </c>
      <c r="H177" s="52" t="s">
        <v>592</v>
      </c>
      <c r="I177" s="57">
        <v>43845</v>
      </c>
      <c r="J177" s="57">
        <v>43847</v>
      </c>
      <c r="K177" s="167"/>
      <c r="L177" s="8"/>
      <c r="M177" s="8" t="s">
        <v>4206</v>
      </c>
      <c r="N177" s="26">
        <v>43874.538703703707</v>
      </c>
      <c r="O177" s="8" t="s">
        <v>4206</v>
      </c>
      <c r="P177" s="26">
        <v>43873.522766203707</v>
      </c>
      <c r="Q177" s="65">
        <v>940122</v>
      </c>
      <c r="R177" s="14" t="s">
        <v>4013</v>
      </c>
      <c r="S177" s="168">
        <v>1013</v>
      </c>
      <c r="T177" s="52" t="s">
        <v>3512</v>
      </c>
      <c r="U177" s="8" t="s">
        <v>3564</v>
      </c>
    </row>
    <row r="178" spans="1:21" ht="15" x14ac:dyDescent="0.2">
      <c r="A178" s="170" t="str">
        <f>CONCATENATE(SP_ENV_Lib[[#This Row],[Environmental Tract No.]],"_",SP_ENV_Lib[[#This Row],[ACQ Document Type]])</f>
        <v>064_TITLE Tax Card</v>
      </c>
      <c r="B178" s="14" t="s">
        <v>3701</v>
      </c>
      <c r="C178" s="169" t="s">
        <v>2921</v>
      </c>
      <c r="D178" s="12" t="s">
        <v>2922</v>
      </c>
      <c r="E178" s="166" t="s">
        <v>861</v>
      </c>
      <c r="F178" s="8" t="s">
        <v>1150</v>
      </c>
      <c r="G178" s="8" t="s">
        <v>1149</v>
      </c>
      <c r="H178" s="52" t="s">
        <v>592</v>
      </c>
      <c r="I178" s="57"/>
      <c r="J178" s="57"/>
      <c r="K178" s="167"/>
      <c r="L178" s="8"/>
      <c r="M178" s="8" t="s">
        <v>4206</v>
      </c>
      <c r="N178" s="26">
        <v>43872.439293981479</v>
      </c>
      <c r="O178" s="8" t="s">
        <v>4206</v>
      </c>
      <c r="P178" s="26">
        <v>43871.483043981483</v>
      </c>
      <c r="Q178" s="65">
        <v>690430</v>
      </c>
      <c r="R178" s="14" t="s">
        <v>4014</v>
      </c>
      <c r="S178" s="168">
        <v>777</v>
      </c>
      <c r="T178" s="52" t="s">
        <v>3512</v>
      </c>
      <c r="U178" s="8" t="s">
        <v>3564</v>
      </c>
    </row>
    <row r="179" spans="1:21" ht="15" x14ac:dyDescent="0.2">
      <c r="A179" s="170" t="str">
        <f>CONCATENATE(SP_ENV_Lib[[#This Row],[Environmental Tract No.]],"_",SP_ENV_Lib[[#This Row],[ACQ Document Type]])</f>
        <v>065_CONTACT Negotiator Report</v>
      </c>
      <c r="B179" s="14" t="s">
        <v>3702</v>
      </c>
      <c r="C179" s="169" t="s">
        <v>2926</v>
      </c>
      <c r="D179" s="12" t="s">
        <v>2927</v>
      </c>
      <c r="E179" s="166" t="s">
        <v>865</v>
      </c>
      <c r="F179" s="8" t="s">
        <v>1068</v>
      </c>
      <c r="G179" s="8" t="s">
        <v>1067</v>
      </c>
      <c r="H179" s="52" t="s">
        <v>592</v>
      </c>
      <c r="I179" s="57"/>
      <c r="J179" s="57"/>
      <c r="K179" s="167"/>
      <c r="L179" s="8"/>
      <c r="M179" s="8" t="s">
        <v>23</v>
      </c>
      <c r="N179" s="26">
        <v>43879.735578703701</v>
      </c>
      <c r="O179" s="8" t="s">
        <v>1743</v>
      </c>
      <c r="P179" s="26">
        <v>43879.597384259258</v>
      </c>
      <c r="Q179" s="65">
        <v>58476</v>
      </c>
      <c r="R179" s="14" t="s">
        <v>4015</v>
      </c>
      <c r="S179" s="168">
        <v>1150</v>
      </c>
      <c r="T179" s="52" t="s">
        <v>3512</v>
      </c>
      <c r="U179" s="8" t="s">
        <v>3564</v>
      </c>
    </row>
    <row r="180" spans="1:21" ht="15" hidden="1" x14ac:dyDescent="0.2">
      <c r="A180" s="170" t="str">
        <f>CONCATENATE(SP_ENV_Lib[[#This Row],[Environmental Tract No.]],"_",SP_ENV_Lib[[#This Row],[ACQ Document Type]])</f>
        <v>065_ENVIRONMENTAL Right-of-Entry Executed</v>
      </c>
      <c r="B180" s="14" t="s">
        <v>4232</v>
      </c>
      <c r="C180" s="169" t="s">
        <v>2926</v>
      </c>
      <c r="D180" s="12" t="s">
        <v>2927</v>
      </c>
      <c r="E180" s="166" t="s">
        <v>2682</v>
      </c>
      <c r="F180" s="8" t="s">
        <v>2683</v>
      </c>
      <c r="G180" s="8" t="s">
        <v>2681</v>
      </c>
      <c r="H180" s="52" t="s">
        <v>592</v>
      </c>
      <c r="I180" s="57">
        <v>43886</v>
      </c>
      <c r="J180" s="57"/>
      <c r="K180" s="167"/>
      <c r="L180" s="8"/>
      <c r="M180" s="8" t="s">
        <v>4205</v>
      </c>
      <c r="N180" s="26">
        <v>43892.815300925926</v>
      </c>
      <c r="O180" s="8" t="s">
        <v>4205</v>
      </c>
      <c r="P180" s="26">
        <v>43892.814803240741</v>
      </c>
      <c r="Q180" s="65">
        <v>1677306</v>
      </c>
      <c r="R180" s="14" t="s">
        <v>4291</v>
      </c>
      <c r="S180" s="168">
        <v>1190</v>
      </c>
      <c r="T180" s="52" t="s">
        <v>3512</v>
      </c>
      <c r="U180" s="8" t="s">
        <v>3564</v>
      </c>
    </row>
    <row r="181" spans="1:21" ht="15" hidden="1" x14ac:dyDescent="0.2">
      <c r="A181" s="170" t="str">
        <f>CONCATENATE(SP_ENV_Lib[[#This Row],[Environmental Tract No.]],"_",SP_ENV_Lib[[#This Row],[ACQ Document Type]])</f>
        <v>065_ENVIRONMENTAL Right-of-Entry Package</v>
      </c>
      <c r="B181" s="14" t="s">
        <v>3703</v>
      </c>
      <c r="C181" s="169" t="s">
        <v>2926</v>
      </c>
      <c r="D181" s="12" t="s">
        <v>2927</v>
      </c>
      <c r="E181" s="166" t="s">
        <v>2682</v>
      </c>
      <c r="F181" s="8" t="s">
        <v>2687</v>
      </c>
      <c r="G181" s="8" t="s">
        <v>2686</v>
      </c>
      <c r="H181" s="52" t="s">
        <v>592</v>
      </c>
      <c r="I181" s="57">
        <v>43844</v>
      </c>
      <c r="J181" s="57">
        <v>43846</v>
      </c>
      <c r="K181" s="167"/>
      <c r="L181" s="8"/>
      <c r="M181" s="8" t="s">
        <v>4206</v>
      </c>
      <c r="N181" s="26">
        <v>43874.538414351853</v>
      </c>
      <c r="O181" s="8" t="s">
        <v>4206</v>
      </c>
      <c r="P181" s="26">
        <v>43873.522800925923</v>
      </c>
      <c r="Q181" s="65">
        <v>895446</v>
      </c>
      <c r="R181" s="14" t="s">
        <v>4016</v>
      </c>
      <c r="S181" s="168">
        <v>1014</v>
      </c>
      <c r="T181" s="52" t="s">
        <v>3512</v>
      </c>
      <c r="U181" s="8" t="s">
        <v>3564</v>
      </c>
    </row>
    <row r="182" spans="1:21" ht="15" x14ac:dyDescent="0.2">
      <c r="A182" s="170" t="str">
        <f>CONCATENATE(SP_ENV_Lib[[#This Row],[Environmental Tract No.]],"_",SP_ENV_Lib[[#This Row],[ACQ Document Type]])</f>
        <v>065_TITLE Tax Card</v>
      </c>
      <c r="B182" s="14" t="s">
        <v>3704</v>
      </c>
      <c r="C182" s="169" t="s">
        <v>2926</v>
      </c>
      <c r="D182" s="12" t="s">
        <v>2927</v>
      </c>
      <c r="E182" s="166" t="s">
        <v>861</v>
      </c>
      <c r="F182" s="8" t="s">
        <v>1150</v>
      </c>
      <c r="G182" s="8" t="s">
        <v>1149</v>
      </c>
      <c r="H182" s="52" t="s">
        <v>592</v>
      </c>
      <c r="I182" s="57"/>
      <c r="J182" s="57"/>
      <c r="K182" s="167"/>
      <c r="L182" s="8"/>
      <c r="M182" s="8" t="s">
        <v>4206</v>
      </c>
      <c r="N182" s="26">
        <v>43872.439085648148</v>
      </c>
      <c r="O182" s="8" t="s">
        <v>4206</v>
      </c>
      <c r="P182" s="26">
        <v>43871.483055555553</v>
      </c>
      <c r="Q182" s="65">
        <v>686669</v>
      </c>
      <c r="R182" s="14" t="s">
        <v>4017</v>
      </c>
      <c r="S182" s="168">
        <v>778</v>
      </c>
      <c r="T182" s="52" t="s">
        <v>3512</v>
      </c>
      <c r="U182" s="8" t="s">
        <v>3564</v>
      </c>
    </row>
    <row r="183" spans="1:21" ht="15" hidden="1" x14ac:dyDescent="0.2">
      <c r="A183" s="170" t="str">
        <f>CONCATENATE(SP_ENV_Lib[[#This Row],[Environmental Tract No.]],"_",SP_ENV_Lib[[#This Row],[ACQ Document Type]])</f>
        <v>078_ENVIRONMENTAL Right-of-Entry Executed</v>
      </c>
      <c r="B183" s="14" t="s">
        <v>4368</v>
      </c>
      <c r="C183" s="169" t="s">
        <v>2939</v>
      </c>
      <c r="D183" s="12" t="s">
        <v>2940</v>
      </c>
      <c r="E183" s="166" t="s">
        <v>2682</v>
      </c>
      <c r="F183" s="8" t="s">
        <v>2683</v>
      </c>
      <c r="G183" s="8" t="s">
        <v>2681</v>
      </c>
      <c r="H183" s="52" t="s">
        <v>592</v>
      </c>
      <c r="I183" s="57">
        <v>43906</v>
      </c>
      <c r="J183" s="57"/>
      <c r="K183" s="167"/>
      <c r="L183" s="8"/>
      <c r="M183" s="8" t="s">
        <v>4206</v>
      </c>
      <c r="N183" s="26">
        <v>43907.625844907408</v>
      </c>
      <c r="O183" s="8" t="s">
        <v>4206</v>
      </c>
      <c r="P183" s="26">
        <v>43907.625324074077</v>
      </c>
      <c r="Q183" s="65">
        <v>2047983</v>
      </c>
      <c r="R183" s="14" t="s">
        <v>4412</v>
      </c>
      <c r="S183" s="168">
        <v>1319</v>
      </c>
      <c r="T183" s="52" t="s">
        <v>3512</v>
      </c>
      <c r="U183" s="8" t="s">
        <v>3564</v>
      </c>
    </row>
    <row r="184" spans="1:21" ht="15" hidden="1" x14ac:dyDescent="0.2">
      <c r="A184" s="170" t="str">
        <f>CONCATENATE(SP_ENV_Lib[[#This Row],[Environmental Tract No.]],"_",SP_ENV_Lib[[#This Row],[ACQ Document Type]])</f>
        <v>078_ENVIRONMENTAL Right-of-Entry Package</v>
      </c>
      <c r="B184" s="14" t="s">
        <v>3705</v>
      </c>
      <c r="C184" s="169" t="s">
        <v>2939</v>
      </c>
      <c r="D184" s="12" t="s">
        <v>2940</v>
      </c>
      <c r="E184" s="166" t="s">
        <v>2682</v>
      </c>
      <c r="F184" s="8" t="s">
        <v>2687</v>
      </c>
      <c r="G184" s="8" t="s">
        <v>2686</v>
      </c>
      <c r="H184" s="52" t="s">
        <v>592</v>
      </c>
      <c r="I184" s="57">
        <v>43845</v>
      </c>
      <c r="J184" s="57">
        <v>43855</v>
      </c>
      <c r="K184" s="167"/>
      <c r="L184" s="8"/>
      <c r="M184" s="8" t="s">
        <v>4206</v>
      </c>
      <c r="N184" s="26">
        <v>43874.536840277775</v>
      </c>
      <c r="O184" s="8" t="s">
        <v>4206</v>
      </c>
      <c r="P184" s="26">
        <v>43873.522974537038</v>
      </c>
      <c r="Q184" s="65">
        <v>990295</v>
      </c>
      <c r="R184" s="14" t="s">
        <v>4018</v>
      </c>
      <c r="S184" s="168">
        <v>1020</v>
      </c>
      <c r="T184" s="52" t="s">
        <v>3512</v>
      </c>
      <c r="U184" s="8" t="s">
        <v>3564</v>
      </c>
    </row>
    <row r="185" spans="1:21" ht="15" x14ac:dyDescent="0.2">
      <c r="A185" s="170" t="str">
        <f>CONCATENATE(SP_ENV_Lib[[#This Row],[Environmental Tract No.]],"_",SP_ENV_Lib[[#This Row],[ACQ Document Type]])</f>
        <v>078_TITLE Tax Card</v>
      </c>
      <c r="B185" s="14" t="s">
        <v>3706</v>
      </c>
      <c r="C185" s="169" t="s">
        <v>2939</v>
      </c>
      <c r="D185" s="12" t="s">
        <v>2940</v>
      </c>
      <c r="E185" s="166" t="s">
        <v>861</v>
      </c>
      <c r="F185" s="8" t="s">
        <v>1150</v>
      </c>
      <c r="G185" s="8" t="s">
        <v>1149</v>
      </c>
      <c r="H185" s="52" t="s">
        <v>592</v>
      </c>
      <c r="I185" s="57"/>
      <c r="J185" s="57"/>
      <c r="K185" s="167"/>
      <c r="L185" s="8"/>
      <c r="M185" s="8" t="s">
        <v>4206</v>
      </c>
      <c r="N185" s="26">
        <v>43872.438078703701</v>
      </c>
      <c r="O185" s="8" t="s">
        <v>4206</v>
      </c>
      <c r="P185" s="26">
        <v>43871.528877314813</v>
      </c>
      <c r="Q185" s="65">
        <v>744329</v>
      </c>
      <c r="R185" s="14" t="s">
        <v>4019</v>
      </c>
      <c r="S185" s="168">
        <v>817</v>
      </c>
      <c r="T185" s="52" t="s">
        <v>3512</v>
      </c>
      <c r="U185" s="8" t="s">
        <v>3564</v>
      </c>
    </row>
    <row r="186" spans="1:21" ht="15" hidden="1" x14ac:dyDescent="0.2">
      <c r="A186" s="170" t="str">
        <f>CONCATENATE(SP_ENV_Lib[[#This Row],[Environmental Tract No.]],"_",SP_ENV_Lib[[#This Row],[ACQ Document Type]])</f>
        <v>079_ENVIRONMENTAL Right-of-Entry Package</v>
      </c>
      <c r="B186" s="14" t="s">
        <v>3707</v>
      </c>
      <c r="C186" s="169" t="s">
        <v>2944</v>
      </c>
      <c r="D186" s="12" t="s">
        <v>2945</v>
      </c>
      <c r="E186" s="166" t="s">
        <v>2682</v>
      </c>
      <c r="F186" s="8" t="s">
        <v>2687</v>
      </c>
      <c r="G186" s="8" t="s">
        <v>2686</v>
      </c>
      <c r="H186" s="52" t="s">
        <v>592</v>
      </c>
      <c r="I186" s="57">
        <v>43845</v>
      </c>
      <c r="J186" s="57">
        <v>43847</v>
      </c>
      <c r="K186" s="167"/>
      <c r="L186" s="8"/>
      <c r="M186" s="8" t="s">
        <v>4206</v>
      </c>
      <c r="N186" s="26">
        <v>43874.536562499998</v>
      </c>
      <c r="O186" s="8" t="s">
        <v>4206</v>
      </c>
      <c r="P186" s="26">
        <v>43873.523009259261</v>
      </c>
      <c r="Q186" s="65">
        <v>1003190</v>
      </c>
      <c r="R186" s="14" t="s">
        <v>4020</v>
      </c>
      <c r="S186" s="168">
        <v>1021</v>
      </c>
      <c r="T186" s="52" t="s">
        <v>3512</v>
      </c>
      <c r="U186" s="8" t="s">
        <v>3564</v>
      </c>
    </row>
    <row r="187" spans="1:21" ht="15" x14ac:dyDescent="0.2">
      <c r="A187" s="170" t="str">
        <f>CONCATENATE(SP_ENV_Lib[[#This Row],[Environmental Tract No.]],"_",SP_ENV_Lib[[#This Row],[ACQ Document Type]])</f>
        <v>079_TITLE Tax Card</v>
      </c>
      <c r="B187" s="14" t="s">
        <v>3708</v>
      </c>
      <c r="C187" s="169" t="s">
        <v>2944</v>
      </c>
      <c r="D187" s="12" t="s">
        <v>2945</v>
      </c>
      <c r="E187" s="166" t="s">
        <v>861</v>
      </c>
      <c r="F187" s="8" t="s">
        <v>1150</v>
      </c>
      <c r="G187" s="8" t="s">
        <v>1149</v>
      </c>
      <c r="H187" s="52" t="s">
        <v>592</v>
      </c>
      <c r="I187" s="57"/>
      <c r="J187" s="57"/>
      <c r="K187" s="167"/>
      <c r="L187" s="8"/>
      <c r="M187" s="8" t="s">
        <v>4206</v>
      </c>
      <c r="N187" s="26">
        <v>43872.437997685185</v>
      </c>
      <c r="O187" s="8" t="s">
        <v>4206</v>
      </c>
      <c r="P187" s="26">
        <v>43871.52888888889</v>
      </c>
      <c r="Q187" s="65">
        <v>753451</v>
      </c>
      <c r="R187" s="14" t="s">
        <v>4021</v>
      </c>
      <c r="S187" s="168">
        <v>818</v>
      </c>
      <c r="T187" s="52" t="s">
        <v>3512</v>
      </c>
      <c r="U187" s="8" t="s">
        <v>3564</v>
      </c>
    </row>
    <row r="188" spans="1:21" ht="15" hidden="1" x14ac:dyDescent="0.2">
      <c r="A188" s="170" t="str">
        <f>CONCATENATE(SP_ENV_Lib[[#This Row],[Environmental Tract No.]],"_",SP_ENV_Lib[[#This Row],[ACQ Document Type]])</f>
        <v>082_ENVIRONMENTAL Right-of-Entry Executed</v>
      </c>
      <c r="B188" s="14" t="s">
        <v>4233</v>
      </c>
      <c r="C188" s="169" t="s">
        <v>2949</v>
      </c>
      <c r="D188" s="12" t="s">
        <v>2950</v>
      </c>
      <c r="E188" s="166" t="s">
        <v>2682</v>
      </c>
      <c r="F188" s="8" t="s">
        <v>2683</v>
      </c>
      <c r="G188" s="8" t="s">
        <v>2681</v>
      </c>
      <c r="H188" s="52" t="s">
        <v>592</v>
      </c>
      <c r="I188" s="57">
        <v>43887</v>
      </c>
      <c r="J188" s="57"/>
      <c r="K188" s="167"/>
      <c r="L188" s="8"/>
      <c r="M188" s="8" t="s">
        <v>4205</v>
      </c>
      <c r="N188" s="26">
        <v>43892.823622685188</v>
      </c>
      <c r="O188" s="8" t="s">
        <v>4205</v>
      </c>
      <c r="P188" s="26">
        <v>43892.823136574072</v>
      </c>
      <c r="Q188" s="65">
        <v>1684001</v>
      </c>
      <c r="R188" s="14" t="s">
        <v>4292</v>
      </c>
      <c r="S188" s="168">
        <v>1195</v>
      </c>
      <c r="T188" s="52" t="s">
        <v>3512</v>
      </c>
      <c r="U188" s="8" t="s">
        <v>3564</v>
      </c>
    </row>
    <row r="189" spans="1:21" ht="15" hidden="1" x14ac:dyDescent="0.2">
      <c r="A189" s="170" t="str">
        <f>CONCATENATE(SP_ENV_Lib[[#This Row],[Environmental Tract No.]],"_",SP_ENV_Lib[[#This Row],[ACQ Document Type]])</f>
        <v>082_ENVIRONMENTAL Right-of-Entry Package</v>
      </c>
      <c r="B189" s="14" t="s">
        <v>4369</v>
      </c>
      <c r="C189" s="169" t="s">
        <v>2949</v>
      </c>
      <c r="D189" s="12" t="s">
        <v>2950</v>
      </c>
      <c r="E189" s="166" t="s">
        <v>2682</v>
      </c>
      <c r="F189" s="8" t="s">
        <v>2687</v>
      </c>
      <c r="G189" s="8" t="s">
        <v>2686</v>
      </c>
      <c r="H189" s="52" t="s">
        <v>592</v>
      </c>
      <c r="I189" s="57">
        <v>43844</v>
      </c>
      <c r="J189" s="57">
        <v>43879</v>
      </c>
      <c r="K189" s="167"/>
      <c r="L189" s="8" t="s">
        <v>4346</v>
      </c>
      <c r="M189" s="8" t="s">
        <v>4206</v>
      </c>
      <c r="N189" s="26">
        <v>43896.54078703704</v>
      </c>
      <c r="O189" s="8" t="s">
        <v>4206</v>
      </c>
      <c r="P189" s="26">
        <v>43896.509155092594</v>
      </c>
      <c r="Q189" s="65">
        <v>1020312</v>
      </c>
      <c r="R189" s="14" t="s">
        <v>4413</v>
      </c>
      <c r="S189" s="168">
        <v>1278</v>
      </c>
      <c r="T189" s="52" t="s">
        <v>3512</v>
      </c>
      <c r="U189" s="8" t="s">
        <v>3564</v>
      </c>
    </row>
    <row r="190" spans="1:21" ht="15" x14ac:dyDescent="0.2">
      <c r="A190" s="170" t="str">
        <f>CONCATENATE(SP_ENV_Lib[[#This Row],[Environmental Tract No.]],"_",SP_ENV_Lib[[#This Row],[ACQ Document Type]])</f>
        <v>082_TITLE Tax Card</v>
      </c>
      <c r="B190" s="14" t="s">
        <v>3709</v>
      </c>
      <c r="C190" s="169" t="s">
        <v>2949</v>
      </c>
      <c r="D190" s="12" t="s">
        <v>2950</v>
      </c>
      <c r="E190" s="166" t="s">
        <v>861</v>
      </c>
      <c r="F190" s="8" t="s">
        <v>1150</v>
      </c>
      <c r="G190" s="8" t="s">
        <v>1149</v>
      </c>
      <c r="H190" s="52" t="s">
        <v>592</v>
      </c>
      <c r="I190" s="57"/>
      <c r="J190" s="57"/>
      <c r="K190" s="167"/>
      <c r="L190" s="8"/>
      <c r="M190" s="8" t="s">
        <v>4206</v>
      </c>
      <c r="N190" s="26">
        <v>43872.43787037037</v>
      </c>
      <c r="O190" s="8" t="s">
        <v>4206</v>
      </c>
      <c r="P190" s="26">
        <v>43871.528923611113</v>
      </c>
      <c r="Q190" s="65">
        <v>662305</v>
      </c>
      <c r="R190" s="14" t="s">
        <v>4022</v>
      </c>
      <c r="S190" s="168">
        <v>819</v>
      </c>
      <c r="T190" s="52" t="s">
        <v>3512</v>
      </c>
      <c r="U190" s="8" t="s">
        <v>3564</v>
      </c>
    </row>
    <row r="191" spans="1:21" ht="15" hidden="1" x14ac:dyDescent="0.2">
      <c r="A191" s="170" t="str">
        <f>CONCATENATE(SP_ENV_Lib[[#This Row],[Environmental Tract No.]],"_",SP_ENV_Lib[[#This Row],[ACQ Document Type]])</f>
        <v>083_ENVIRONMENTAL Right-of-Entry Executed</v>
      </c>
      <c r="B191" s="14" t="s">
        <v>4370</v>
      </c>
      <c r="C191" s="169" t="s">
        <v>2954</v>
      </c>
      <c r="D191" s="12" t="s">
        <v>2955</v>
      </c>
      <c r="E191" s="166" t="s">
        <v>2682</v>
      </c>
      <c r="F191" s="8" t="s">
        <v>2683</v>
      </c>
      <c r="G191" s="8" t="s">
        <v>2681</v>
      </c>
      <c r="H191" s="52" t="s">
        <v>592</v>
      </c>
      <c r="I191" s="57">
        <v>43900</v>
      </c>
      <c r="J191" s="57"/>
      <c r="K191" s="167"/>
      <c r="L191" s="8"/>
      <c r="M191" s="8" t="s">
        <v>4205</v>
      </c>
      <c r="N191" s="26">
        <v>43903.860891203702</v>
      </c>
      <c r="O191" s="8" t="s">
        <v>4205</v>
      </c>
      <c r="P191" s="26">
        <v>43903.860613425924</v>
      </c>
      <c r="Q191" s="65">
        <v>2375001</v>
      </c>
      <c r="R191" s="14" t="s">
        <v>4414</v>
      </c>
      <c r="S191" s="168">
        <v>1299</v>
      </c>
      <c r="T191" s="52" t="s">
        <v>3512</v>
      </c>
      <c r="U191" s="8" t="s">
        <v>3564</v>
      </c>
    </row>
    <row r="192" spans="1:21" ht="15" hidden="1" x14ac:dyDescent="0.2">
      <c r="A192" s="170" t="str">
        <f>CONCATENATE(SP_ENV_Lib[[#This Row],[Environmental Tract No.]],"_",SP_ENV_Lib[[#This Row],[ACQ Document Type]])</f>
        <v>083_ENVIRONMENTAL Right-of-Entry Package</v>
      </c>
      <c r="B192" s="14" t="s">
        <v>3710</v>
      </c>
      <c r="C192" s="169" t="s">
        <v>2954</v>
      </c>
      <c r="D192" s="12" t="s">
        <v>2955</v>
      </c>
      <c r="E192" s="166" t="s">
        <v>2682</v>
      </c>
      <c r="F192" s="8" t="s">
        <v>2687</v>
      </c>
      <c r="G192" s="8" t="s">
        <v>2686</v>
      </c>
      <c r="H192" s="52" t="s">
        <v>592</v>
      </c>
      <c r="I192" s="57">
        <v>43845</v>
      </c>
      <c r="J192" s="57">
        <v>43847</v>
      </c>
      <c r="K192" s="167"/>
      <c r="L192" s="8"/>
      <c r="M192" s="8" t="s">
        <v>4206</v>
      </c>
      <c r="N192" s="26">
        <v>43874.536168981482</v>
      </c>
      <c r="O192" s="8" t="s">
        <v>4206</v>
      </c>
      <c r="P192" s="26">
        <v>43873.523043981484</v>
      </c>
      <c r="Q192" s="65">
        <v>926499</v>
      </c>
      <c r="R192" s="14" t="s">
        <v>4023</v>
      </c>
      <c r="S192" s="168">
        <v>1022</v>
      </c>
      <c r="T192" s="52" t="s">
        <v>3512</v>
      </c>
      <c r="U192" s="8" t="s">
        <v>3564</v>
      </c>
    </row>
    <row r="193" spans="1:21" ht="15" x14ac:dyDescent="0.2">
      <c r="A193" s="170" t="str">
        <f>CONCATENATE(SP_ENV_Lib[[#This Row],[Environmental Tract No.]],"_",SP_ENV_Lib[[#This Row],[ACQ Document Type]])</f>
        <v>083_TITLE Tax Card</v>
      </c>
      <c r="B193" s="14" t="s">
        <v>3711</v>
      </c>
      <c r="C193" s="169" t="s">
        <v>2954</v>
      </c>
      <c r="D193" s="12" t="s">
        <v>2955</v>
      </c>
      <c r="E193" s="166" t="s">
        <v>861</v>
      </c>
      <c r="F193" s="8" t="s">
        <v>1150</v>
      </c>
      <c r="G193" s="8" t="s">
        <v>1149</v>
      </c>
      <c r="H193" s="52" t="s">
        <v>592</v>
      </c>
      <c r="I193" s="57"/>
      <c r="J193" s="57"/>
      <c r="K193" s="167"/>
      <c r="L193" s="8"/>
      <c r="M193" s="8" t="s">
        <v>4206</v>
      </c>
      <c r="N193" s="26">
        <v>43872.4377662037</v>
      </c>
      <c r="O193" s="8" t="s">
        <v>4206</v>
      </c>
      <c r="P193" s="26">
        <v>43871.528923611113</v>
      </c>
      <c r="Q193" s="65">
        <v>677923</v>
      </c>
      <c r="R193" s="14" t="s">
        <v>4024</v>
      </c>
      <c r="S193" s="168">
        <v>820</v>
      </c>
      <c r="T193" s="52" t="s">
        <v>3512</v>
      </c>
      <c r="U193" s="8" t="s">
        <v>3564</v>
      </c>
    </row>
    <row r="194" spans="1:21" ht="15" x14ac:dyDescent="0.2">
      <c r="A194" s="170" t="str">
        <f>CONCATENATE(SP_ENV_Lib[[#This Row],[Environmental Tract No.]],"_",SP_ENV_Lib[[#This Row],[ACQ Document Type]])</f>
        <v>084_CONTACT Negotiator Report</v>
      </c>
      <c r="B194" s="14" t="s">
        <v>3712</v>
      </c>
      <c r="C194" s="169" t="s">
        <v>2959</v>
      </c>
      <c r="D194" s="12" t="s">
        <v>2960</v>
      </c>
      <c r="E194" s="166" t="s">
        <v>865</v>
      </c>
      <c r="F194" s="8" t="s">
        <v>1068</v>
      </c>
      <c r="G194" s="8" t="s">
        <v>1067</v>
      </c>
      <c r="H194" s="52" t="s">
        <v>592</v>
      </c>
      <c r="I194" s="57"/>
      <c r="J194" s="57"/>
      <c r="K194" s="167"/>
      <c r="L194" s="8"/>
      <c r="M194" s="8" t="s">
        <v>1743</v>
      </c>
      <c r="N194" s="26">
        <v>43943.746134259258</v>
      </c>
      <c r="O194" s="8" t="s">
        <v>1743</v>
      </c>
      <c r="P194" s="26">
        <v>43879.608923611115</v>
      </c>
      <c r="Q194" s="65">
        <v>83463</v>
      </c>
      <c r="R194" s="14" t="s">
        <v>4025</v>
      </c>
      <c r="S194" s="168">
        <v>1158</v>
      </c>
      <c r="T194" s="52" t="s">
        <v>3512</v>
      </c>
      <c r="U194" s="8" t="s">
        <v>3564</v>
      </c>
    </row>
    <row r="195" spans="1:21" ht="15" hidden="1" x14ac:dyDescent="0.2">
      <c r="A195" s="170" t="str">
        <f>CONCATENATE(SP_ENV_Lib[[#This Row],[Environmental Tract No.]],"_",SP_ENV_Lib[[#This Row],[ACQ Document Type]])</f>
        <v>084_ENVIRONMENTAL Right-of-Entry Package</v>
      </c>
      <c r="B195" s="14" t="s">
        <v>3713</v>
      </c>
      <c r="C195" s="169" t="s">
        <v>2959</v>
      </c>
      <c r="D195" s="12" t="s">
        <v>2960</v>
      </c>
      <c r="E195" s="166" t="s">
        <v>2682</v>
      </c>
      <c r="F195" s="8" t="s">
        <v>2687</v>
      </c>
      <c r="G195" s="8" t="s">
        <v>2686</v>
      </c>
      <c r="H195" s="52" t="s">
        <v>592</v>
      </c>
      <c r="I195" s="57">
        <v>43845</v>
      </c>
      <c r="J195" s="57">
        <v>43858</v>
      </c>
      <c r="K195" s="167"/>
      <c r="L195" s="8"/>
      <c r="M195" s="8" t="s">
        <v>4206</v>
      </c>
      <c r="N195" s="26">
        <v>43874.535914351851</v>
      </c>
      <c r="O195" s="8" t="s">
        <v>4206</v>
      </c>
      <c r="P195" s="26">
        <v>43873.523078703707</v>
      </c>
      <c r="Q195" s="65">
        <v>917614</v>
      </c>
      <c r="R195" s="14" t="s">
        <v>4026</v>
      </c>
      <c r="S195" s="168">
        <v>1023</v>
      </c>
      <c r="T195" s="52" t="s">
        <v>3512</v>
      </c>
      <c r="U195" s="8" t="s">
        <v>3564</v>
      </c>
    </row>
    <row r="196" spans="1:21" ht="15" x14ac:dyDescent="0.2">
      <c r="A196" s="170" t="str">
        <f>CONCATENATE(SP_ENV_Lib[[#This Row],[Environmental Tract No.]],"_",SP_ENV_Lib[[#This Row],[ACQ Document Type]])</f>
        <v>084_TITLE Tax Card</v>
      </c>
      <c r="B196" s="14" t="s">
        <v>3714</v>
      </c>
      <c r="C196" s="169" t="s">
        <v>2959</v>
      </c>
      <c r="D196" s="12" t="s">
        <v>2960</v>
      </c>
      <c r="E196" s="166" t="s">
        <v>861</v>
      </c>
      <c r="F196" s="8" t="s">
        <v>1150</v>
      </c>
      <c r="G196" s="8" t="s">
        <v>1149</v>
      </c>
      <c r="H196" s="52" t="s">
        <v>592</v>
      </c>
      <c r="I196" s="57"/>
      <c r="J196" s="57"/>
      <c r="K196" s="167"/>
      <c r="L196" s="8"/>
      <c r="M196" s="8" t="s">
        <v>4206</v>
      </c>
      <c r="N196" s="26">
        <v>43872.437650462962</v>
      </c>
      <c r="O196" s="8" t="s">
        <v>4206</v>
      </c>
      <c r="P196" s="26">
        <v>43871.528935185182</v>
      </c>
      <c r="Q196" s="65">
        <v>671117</v>
      </c>
      <c r="R196" s="14" t="s">
        <v>4027</v>
      </c>
      <c r="S196" s="168">
        <v>821</v>
      </c>
      <c r="T196" s="52" t="s">
        <v>3512</v>
      </c>
      <c r="U196" s="8" t="s">
        <v>3564</v>
      </c>
    </row>
    <row r="197" spans="1:21" ht="15" x14ac:dyDescent="0.2">
      <c r="A197" s="170" t="str">
        <f>CONCATENATE(SP_ENV_Lib[[#This Row],[Environmental Tract No.]],"_",SP_ENV_Lib[[#This Row],[ACQ Document Type]])</f>
        <v>085_CONTACT Negotiator Report</v>
      </c>
      <c r="B197" s="14" t="s">
        <v>3715</v>
      </c>
      <c r="C197" s="169" t="s">
        <v>2964</v>
      </c>
      <c r="D197" s="12" t="s">
        <v>2965</v>
      </c>
      <c r="E197" s="166" t="s">
        <v>865</v>
      </c>
      <c r="F197" s="8" t="s">
        <v>1068</v>
      </c>
      <c r="G197" s="8" t="s">
        <v>1067</v>
      </c>
      <c r="H197" s="52" t="s">
        <v>592</v>
      </c>
      <c r="I197" s="57"/>
      <c r="J197" s="57"/>
      <c r="K197" s="167"/>
      <c r="L197" s="8"/>
      <c r="M197" s="8" t="s">
        <v>1743</v>
      </c>
      <c r="N197" s="26">
        <v>43920.696481481478</v>
      </c>
      <c r="O197" s="8" t="s">
        <v>1743</v>
      </c>
      <c r="P197" s="26">
        <v>43879.609884259262</v>
      </c>
      <c r="Q197" s="65">
        <v>80022</v>
      </c>
      <c r="R197" s="14" t="s">
        <v>4028</v>
      </c>
      <c r="S197" s="168">
        <v>1159</v>
      </c>
      <c r="T197" s="52" t="s">
        <v>3512</v>
      </c>
      <c r="U197" s="8" t="s">
        <v>3564</v>
      </c>
    </row>
    <row r="198" spans="1:21" ht="15" hidden="1" x14ac:dyDescent="0.2">
      <c r="A198" s="170" t="str">
        <f>CONCATENATE(SP_ENV_Lib[[#This Row],[Environmental Tract No.]],"_",SP_ENV_Lib[[#This Row],[ACQ Document Type]])</f>
        <v>085_ENVIRONMENTAL Right-of-Entry Package</v>
      </c>
      <c r="B198" s="14" t="s">
        <v>3716</v>
      </c>
      <c r="C198" s="169" t="s">
        <v>2964</v>
      </c>
      <c r="D198" s="12" t="s">
        <v>2965</v>
      </c>
      <c r="E198" s="166" t="s">
        <v>2682</v>
      </c>
      <c r="F198" s="8" t="s">
        <v>2687</v>
      </c>
      <c r="G198" s="8" t="s">
        <v>2686</v>
      </c>
      <c r="H198" s="52" t="s">
        <v>592</v>
      </c>
      <c r="I198" s="57">
        <v>43845</v>
      </c>
      <c r="J198" s="57">
        <v>43858</v>
      </c>
      <c r="K198" s="167"/>
      <c r="L198" s="8"/>
      <c r="M198" s="8" t="s">
        <v>4206</v>
      </c>
      <c r="N198" s="26">
        <v>43874.535555555558</v>
      </c>
      <c r="O198" s="8" t="s">
        <v>4206</v>
      </c>
      <c r="P198" s="26">
        <v>43873.523263888892</v>
      </c>
      <c r="Q198" s="65">
        <v>1040901</v>
      </c>
      <c r="R198" s="14" t="s">
        <v>4029</v>
      </c>
      <c r="S198" s="168">
        <v>1029</v>
      </c>
      <c r="T198" s="52" t="s">
        <v>3512</v>
      </c>
      <c r="U198" s="8" t="s">
        <v>3564</v>
      </c>
    </row>
    <row r="199" spans="1:21" ht="15" x14ac:dyDescent="0.2">
      <c r="A199" s="170" t="str">
        <f>CONCATENATE(SP_ENV_Lib[[#This Row],[Environmental Tract No.]],"_",SP_ENV_Lib[[#This Row],[ACQ Document Type]])</f>
        <v>085_TITLE Tax Card</v>
      </c>
      <c r="B199" s="14" t="s">
        <v>3717</v>
      </c>
      <c r="C199" s="169" t="s">
        <v>2964</v>
      </c>
      <c r="D199" s="12" t="s">
        <v>2965</v>
      </c>
      <c r="E199" s="166" t="s">
        <v>861</v>
      </c>
      <c r="F199" s="8" t="s">
        <v>1150</v>
      </c>
      <c r="G199" s="8" t="s">
        <v>1149</v>
      </c>
      <c r="H199" s="52" t="s">
        <v>592</v>
      </c>
      <c r="I199" s="57"/>
      <c r="J199" s="57"/>
      <c r="K199" s="167"/>
      <c r="L199" s="8"/>
      <c r="M199" s="8" t="s">
        <v>4206</v>
      </c>
      <c r="N199" s="26">
        <v>43872.4375462963</v>
      </c>
      <c r="O199" s="8" t="s">
        <v>4206</v>
      </c>
      <c r="P199" s="26">
        <v>43871.528946759259</v>
      </c>
      <c r="Q199" s="65">
        <v>792871</v>
      </c>
      <c r="R199" s="14" t="s">
        <v>4030</v>
      </c>
      <c r="S199" s="168">
        <v>822</v>
      </c>
      <c r="T199" s="52" t="s">
        <v>3512</v>
      </c>
      <c r="U199" s="8" t="s">
        <v>3564</v>
      </c>
    </row>
    <row r="200" spans="1:21" ht="15" x14ac:dyDescent="0.2">
      <c r="A200" s="170" t="str">
        <f>CONCATENATE(SP_ENV_Lib[[#This Row],[Environmental Tract No.]],"_",SP_ENV_Lib[[#This Row],[ACQ Document Type]])</f>
        <v>086_CONTACT Negotiator Report</v>
      </c>
      <c r="B200" s="14" t="s">
        <v>3718</v>
      </c>
      <c r="C200" s="169" t="s">
        <v>2969</v>
      </c>
      <c r="D200" s="12" t="s">
        <v>2970</v>
      </c>
      <c r="E200" s="166" t="s">
        <v>865</v>
      </c>
      <c r="F200" s="8" t="s">
        <v>1068</v>
      </c>
      <c r="G200" s="8" t="s">
        <v>1067</v>
      </c>
      <c r="H200" s="52" t="s">
        <v>592</v>
      </c>
      <c r="I200" s="57"/>
      <c r="J200" s="57"/>
      <c r="K200" s="167"/>
      <c r="L200" s="8"/>
      <c r="M200" s="8" t="s">
        <v>1743</v>
      </c>
      <c r="N200" s="26">
        <v>43893.499374999999</v>
      </c>
      <c r="O200" s="8" t="s">
        <v>1743</v>
      </c>
      <c r="P200" s="26">
        <v>43879.610694444447</v>
      </c>
      <c r="Q200" s="65">
        <v>80406</v>
      </c>
      <c r="R200" s="14" t="s">
        <v>4031</v>
      </c>
      <c r="S200" s="168">
        <v>1160</v>
      </c>
      <c r="T200" s="52" t="s">
        <v>3512</v>
      </c>
      <c r="U200" s="8" t="s">
        <v>3564</v>
      </c>
    </row>
    <row r="201" spans="1:21" ht="15" hidden="1" x14ac:dyDescent="0.2">
      <c r="A201" s="170" t="str">
        <f>CONCATENATE(SP_ENV_Lib[[#This Row],[Environmental Tract No.]],"_",SP_ENV_Lib[[#This Row],[ACQ Document Type]])</f>
        <v>086_ENVIRONMENTAL Right-of-Entry Executed</v>
      </c>
      <c r="B201" s="14" t="s">
        <v>4371</v>
      </c>
      <c r="C201" s="169" t="s">
        <v>2969</v>
      </c>
      <c r="D201" s="12" t="s">
        <v>2970</v>
      </c>
      <c r="E201" s="166" t="s">
        <v>2682</v>
      </c>
      <c r="F201" s="8" t="s">
        <v>2683</v>
      </c>
      <c r="G201" s="8" t="s">
        <v>2681</v>
      </c>
      <c r="H201" s="52" t="s">
        <v>592</v>
      </c>
      <c r="I201" s="57">
        <v>43895</v>
      </c>
      <c r="J201" s="57"/>
      <c r="K201" s="167"/>
      <c r="L201" s="8"/>
      <c r="M201" s="8" t="s">
        <v>4205</v>
      </c>
      <c r="N201" s="26">
        <v>43903.861643518518</v>
      </c>
      <c r="O201" s="8" t="s">
        <v>4205</v>
      </c>
      <c r="P201" s="26">
        <v>43903.861342592594</v>
      </c>
      <c r="Q201" s="65">
        <v>1826996</v>
      </c>
      <c r="R201" s="14" t="s">
        <v>4415</v>
      </c>
      <c r="S201" s="168">
        <v>1300</v>
      </c>
      <c r="T201" s="52" t="s">
        <v>3512</v>
      </c>
      <c r="U201" s="8" t="s">
        <v>3564</v>
      </c>
    </row>
    <row r="202" spans="1:21" ht="15" hidden="1" x14ac:dyDescent="0.2">
      <c r="A202" s="170" t="str">
        <f>CONCATENATE(SP_ENV_Lib[[#This Row],[Environmental Tract No.]],"_",SP_ENV_Lib[[#This Row],[ACQ Document Type]])</f>
        <v>086_ENVIRONMENTAL Right-of-Entry Package</v>
      </c>
      <c r="B202" s="14" t="s">
        <v>4372</v>
      </c>
      <c r="C202" s="169" t="s">
        <v>2969</v>
      </c>
      <c r="D202" s="12" t="s">
        <v>2970</v>
      </c>
      <c r="E202" s="166" t="s">
        <v>2682</v>
      </c>
      <c r="F202" s="8" t="s">
        <v>2687</v>
      </c>
      <c r="G202" s="8" t="s">
        <v>2686</v>
      </c>
      <c r="H202" s="52" t="s">
        <v>592</v>
      </c>
      <c r="I202" s="57">
        <v>43845</v>
      </c>
      <c r="J202" s="57">
        <v>43871</v>
      </c>
      <c r="K202" s="167"/>
      <c r="L202" s="8" t="s">
        <v>4346</v>
      </c>
      <c r="M202" s="8" t="s">
        <v>4206</v>
      </c>
      <c r="N202" s="26">
        <v>43896.541875000003</v>
      </c>
      <c r="O202" s="8" t="s">
        <v>4206</v>
      </c>
      <c r="P202" s="26">
        <v>43896.509166666663</v>
      </c>
      <c r="Q202" s="65">
        <v>1114865</v>
      </c>
      <c r="R202" s="14" t="s">
        <v>4416</v>
      </c>
      <c r="S202" s="168">
        <v>1279</v>
      </c>
      <c r="T202" s="52" t="s">
        <v>3512</v>
      </c>
      <c r="U202" s="8" t="s">
        <v>3564</v>
      </c>
    </row>
    <row r="203" spans="1:21" ht="15" x14ac:dyDescent="0.2">
      <c r="A203" s="170" t="str">
        <f>CONCATENATE(SP_ENV_Lib[[#This Row],[Environmental Tract No.]],"_",SP_ENV_Lib[[#This Row],[ACQ Document Type]])</f>
        <v>086_TITLE Tax Card</v>
      </c>
      <c r="B203" s="14" t="s">
        <v>3719</v>
      </c>
      <c r="C203" s="169" t="s">
        <v>2969</v>
      </c>
      <c r="D203" s="12" t="s">
        <v>2970</v>
      </c>
      <c r="E203" s="166" t="s">
        <v>861</v>
      </c>
      <c r="F203" s="8" t="s">
        <v>1150</v>
      </c>
      <c r="G203" s="8" t="s">
        <v>1149</v>
      </c>
      <c r="H203" s="52" t="s">
        <v>592</v>
      </c>
      <c r="I203" s="57"/>
      <c r="J203" s="57"/>
      <c r="K203" s="167"/>
      <c r="L203" s="8"/>
      <c r="M203" s="8" t="s">
        <v>4206</v>
      </c>
      <c r="N203" s="26">
        <v>43872.437407407408</v>
      </c>
      <c r="O203" s="8" t="s">
        <v>4206</v>
      </c>
      <c r="P203" s="26">
        <v>43871.528958333336</v>
      </c>
      <c r="Q203" s="65">
        <v>791872</v>
      </c>
      <c r="R203" s="14" t="s">
        <v>4032</v>
      </c>
      <c r="S203" s="168">
        <v>823</v>
      </c>
      <c r="T203" s="52" t="s">
        <v>3512</v>
      </c>
      <c r="U203" s="8" t="s">
        <v>3564</v>
      </c>
    </row>
    <row r="204" spans="1:21" ht="15" x14ac:dyDescent="0.2">
      <c r="A204" s="170" t="str">
        <f>CONCATENATE(SP_ENV_Lib[[#This Row],[Environmental Tract No.]],"_",SP_ENV_Lib[[#This Row],[ACQ Document Type]])</f>
        <v>087_CONTACT Negotiator Report</v>
      </c>
      <c r="B204" s="14" t="s">
        <v>3720</v>
      </c>
      <c r="C204" s="169" t="s">
        <v>2974</v>
      </c>
      <c r="D204" s="12" t="s">
        <v>2975</v>
      </c>
      <c r="E204" s="166" t="s">
        <v>865</v>
      </c>
      <c r="F204" s="8" t="s">
        <v>1068</v>
      </c>
      <c r="G204" s="8" t="s">
        <v>1067</v>
      </c>
      <c r="H204" s="52" t="s">
        <v>592</v>
      </c>
      <c r="I204" s="57"/>
      <c r="J204" s="57"/>
      <c r="K204" s="167"/>
      <c r="L204" s="8"/>
      <c r="M204" s="8" t="s">
        <v>1743</v>
      </c>
      <c r="N204" s="26">
        <v>43893.500381944446</v>
      </c>
      <c r="O204" s="8" t="s">
        <v>1743</v>
      </c>
      <c r="P204" s="26">
        <v>43879.611608796295</v>
      </c>
      <c r="Q204" s="65">
        <v>79699</v>
      </c>
      <c r="R204" s="14" t="s">
        <v>4033</v>
      </c>
      <c r="S204" s="168">
        <v>1161</v>
      </c>
      <c r="T204" s="52" t="s">
        <v>3512</v>
      </c>
      <c r="U204" s="8" t="s">
        <v>3564</v>
      </c>
    </row>
    <row r="205" spans="1:21" ht="15" hidden="1" x14ac:dyDescent="0.2">
      <c r="A205" s="170" t="str">
        <f>CONCATENATE(SP_ENV_Lib[[#This Row],[Environmental Tract No.]],"_",SP_ENV_Lib[[#This Row],[ACQ Document Type]])</f>
        <v>087_ENVIRONMENTAL Right-of-Entry Executed</v>
      </c>
      <c r="B205" s="14" t="s">
        <v>4373</v>
      </c>
      <c r="C205" s="169" t="s">
        <v>2974</v>
      </c>
      <c r="D205" s="12" t="s">
        <v>2975</v>
      </c>
      <c r="E205" s="166" t="s">
        <v>2682</v>
      </c>
      <c r="F205" s="8" t="s">
        <v>2683</v>
      </c>
      <c r="G205" s="8" t="s">
        <v>2681</v>
      </c>
      <c r="H205" s="52" t="s">
        <v>592</v>
      </c>
      <c r="I205" s="57">
        <v>43895</v>
      </c>
      <c r="J205" s="57"/>
      <c r="K205" s="167"/>
      <c r="L205" s="8"/>
      <c r="M205" s="8" t="s">
        <v>4205</v>
      </c>
      <c r="N205" s="26">
        <v>43903.862384259257</v>
      </c>
      <c r="O205" s="8" t="s">
        <v>4205</v>
      </c>
      <c r="P205" s="26">
        <v>43903.861990740741</v>
      </c>
      <c r="Q205" s="65">
        <v>1817710</v>
      </c>
      <c r="R205" s="14" t="s">
        <v>4417</v>
      </c>
      <c r="S205" s="168">
        <v>1301</v>
      </c>
      <c r="T205" s="52" t="s">
        <v>3512</v>
      </c>
      <c r="U205" s="8" t="s">
        <v>3564</v>
      </c>
    </row>
    <row r="206" spans="1:21" ht="15" hidden="1" x14ac:dyDescent="0.2">
      <c r="A206" s="170" t="str">
        <f>CONCATENATE(SP_ENV_Lib[[#This Row],[Environmental Tract No.]],"_",SP_ENV_Lib[[#This Row],[ACQ Document Type]])</f>
        <v>087_ENVIRONMENTAL Right-of-Entry Package</v>
      </c>
      <c r="B206" s="14" t="s">
        <v>4374</v>
      </c>
      <c r="C206" s="169" t="s">
        <v>2974</v>
      </c>
      <c r="D206" s="12" t="s">
        <v>2975</v>
      </c>
      <c r="E206" s="166" t="s">
        <v>2682</v>
      </c>
      <c r="F206" s="8" t="s">
        <v>2687</v>
      </c>
      <c r="G206" s="8" t="s">
        <v>2686</v>
      </c>
      <c r="H206" s="52" t="s">
        <v>592</v>
      </c>
      <c r="I206" s="57">
        <v>43845</v>
      </c>
      <c r="J206" s="57">
        <v>43871</v>
      </c>
      <c r="K206" s="167"/>
      <c r="L206" s="8" t="s">
        <v>4346</v>
      </c>
      <c r="M206" s="8" t="s">
        <v>4206</v>
      </c>
      <c r="N206" s="26">
        <v>43896.542800925927</v>
      </c>
      <c r="O206" s="8" t="s">
        <v>4206</v>
      </c>
      <c r="P206" s="26">
        <v>43896.509189814817</v>
      </c>
      <c r="Q206" s="65">
        <v>1165022</v>
      </c>
      <c r="R206" s="14" t="s">
        <v>4418</v>
      </c>
      <c r="S206" s="168">
        <v>1280</v>
      </c>
      <c r="T206" s="52" t="s">
        <v>3512</v>
      </c>
      <c r="U206" s="8" t="s">
        <v>3564</v>
      </c>
    </row>
    <row r="207" spans="1:21" ht="15" x14ac:dyDescent="0.2">
      <c r="A207" s="170" t="str">
        <f>CONCATENATE(SP_ENV_Lib[[#This Row],[Environmental Tract No.]],"_",SP_ENV_Lib[[#This Row],[ACQ Document Type]])</f>
        <v>087_TITLE Tax Card</v>
      </c>
      <c r="B207" s="14" t="s">
        <v>3721</v>
      </c>
      <c r="C207" s="169" t="s">
        <v>2974</v>
      </c>
      <c r="D207" s="12" t="s">
        <v>2975</v>
      </c>
      <c r="E207" s="166" t="s">
        <v>861</v>
      </c>
      <c r="F207" s="8" t="s">
        <v>1150</v>
      </c>
      <c r="G207" s="8" t="s">
        <v>1149</v>
      </c>
      <c r="H207" s="52" t="s">
        <v>592</v>
      </c>
      <c r="I207" s="57"/>
      <c r="J207" s="57"/>
      <c r="K207" s="167"/>
      <c r="L207" s="8"/>
      <c r="M207" s="8" t="s">
        <v>4206</v>
      </c>
      <c r="N207" s="26">
        <v>43872.437175925923</v>
      </c>
      <c r="O207" s="8" t="s">
        <v>4206</v>
      </c>
      <c r="P207" s="26">
        <v>43871.528796296298</v>
      </c>
      <c r="Q207" s="65">
        <v>835907</v>
      </c>
      <c r="R207" s="14" t="s">
        <v>4034</v>
      </c>
      <c r="S207" s="168">
        <v>812</v>
      </c>
      <c r="T207" s="52" t="s">
        <v>3512</v>
      </c>
      <c r="U207" s="8" t="s">
        <v>3564</v>
      </c>
    </row>
    <row r="208" spans="1:21" ht="15" x14ac:dyDescent="0.2">
      <c r="A208" s="170" t="str">
        <f>CONCATENATE(SP_ENV_Lib[[#This Row],[Environmental Tract No.]],"_",SP_ENV_Lib[[#This Row],[ACQ Document Type]])</f>
        <v>088_CONTACT Negotiator Report</v>
      </c>
      <c r="B208" s="14" t="s">
        <v>3722</v>
      </c>
      <c r="C208" s="169" t="s">
        <v>2979</v>
      </c>
      <c r="D208" s="12" t="s">
        <v>2980</v>
      </c>
      <c r="E208" s="166" t="s">
        <v>865</v>
      </c>
      <c r="F208" s="8" t="s">
        <v>1068</v>
      </c>
      <c r="G208" s="8" t="s">
        <v>1067</v>
      </c>
      <c r="H208" s="52" t="s">
        <v>592</v>
      </c>
      <c r="I208" s="57"/>
      <c r="J208" s="57"/>
      <c r="K208" s="167"/>
      <c r="L208" s="8"/>
      <c r="M208" s="8" t="s">
        <v>1743</v>
      </c>
      <c r="N208" s="26">
        <v>43893.504930555559</v>
      </c>
      <c r="O208" s="8" t="s">
        <v>1743</v>
      </c>
      <c r="P208" s="26">
        <v>43879.612337962964</v>
      </c>
      <c r="Q208" s="65">
        <v>59604</v>
      </c>
      <c r="R208" s="14" t="s">
        <v>4035</v>
      </c>
      <c r="S208" s="168">
        <v>1162</v>
      </c>
      <c r="T208" s="52" t="s">
        <v>3512</v>
      </c>
      <c r="U208" s="8" t="s">
        <v>3564</v>
      </c>
    </row>
    <row r="209" spans="1:21" ht="15" hidden="1" x14ac:dyDescent="0.2">
      <c r="A209" s="170" t="str">
        <f>CONCATENATE(SP_ENV_Lib[[#This Row],[Environmental Tract No.]],"_",SP_ENV_Lib[[#This Row],[ACQ Document Type]])</f>
        <v>088_ENVIRONMENTAL Right-of-Entry Executed</v>
      </c>
      <c r="B209" s="14" t="s">
        <v>4375</v>
      </c>
      <c r="C209" s="169" t="s">
        <v>2979</v>
      </c>
      <c r="D209" s="12" t="s">
        <v>2980</v>
      </c>
      <c r="E209" s="166" t="s">
        <v>2682</v>
      </c>
      <c r="F209" s="8" t="s">
        <v>2683</v>
      </c>
      <c r="G209" s="8" t="s">
        <v>2681</v>
      </c>
      <c r="H209" s="52" t="s">
        <v>592</v>
      </c>
      <c r="I209" s="57">
        <v>43895</v>
      </c>
      <c r="J209" s="57"/>
      <c r="K209" s="167"/>
      <c r="L209" s="8"/>
      <c r="M209" s="8" t="s">
        <v>4205</v>
      </c>
      <c r="N209" s="26">
        <v>43903.863194444442</v>
      </c>
      <c r="O209" s="8" t="s">
        <v>4205</v>
      </c>
      <c r="P209" s="26">
        <v>43903.862800925926</v>
      </c>
      <c r="Q209" s="65">
        <v>1916110</v>
      </c>
      <c r="R209" s="14" t="s">
        <v>4419</v>
      </c>
      <c r="S209" s="168">
        <v>1302</v>
      </c>
      <c r="T209" s="52" t="s">
        <v>3512</v>
      </c>
      <c r="U209" s="8" t="s">
        <v>3564</v>
      </c>
    </row>
    <row r="210" spans="1:21" ht="15" hidden="1" x14ac:dyDescent="0.2">
      <c r="A210" s="170" t="str">
        <f>CONCATENATE(SP_ENV_Lib[[#This Row],[Environmental Tract No.]],"_",SP_ENV_Lib[[#This Row],[ACQ Document Type]])</f>
        <v>088_ENVIRONMENTAL Right-of-Entry Package</v>
      </c>
      <c r="B210" s="14" t="s">
        <v>3723</v>
      </c>
      <c r="C210" s="169" t="s">
        <v>2979</v>
      </c>
      <c r="D210" s="12" t="s">
        <v>2980</v>
      </c>
      <c r="E210" s="166" t="s">
        <v>2682</v>
      </c>
      <c r="F210" s="8" t="s">
        <v>2687</v>
      </c>
      <c r="G210" s="8" t="s">
        <v>2686</v>
      </c>
      <c r="H210" s="52" t="s">
        <v>592</v>
      </c>
      <c r="I210" s="57">
        <v>43845</v>
      </c>
      <c r="J210" s="57">
        <v>43847</v>
      </c>
      <c r="K210" s="167"/>
      <c r="L210" s="8"/>
      <c r="M210" s="8" t="s">
        <v>4206</v>
      </c>
      <c r="N210" s="26">
        <v>43874.53528935185</v>
      </c>
      <c r="O210" s="8" t="s">
        <v>4206</v>
      </c>
      <c r="P210" s="26">
        <v>43873.523298611108</v>
      </c>
      <c r="Q210" s="65">
        <v>1167552</v>
      </c>
      <c r="R210" s="14" t="s">
        <v>4036</v>
      </c>
      <c r="S210" s="168">
        <v>1030</v>
      </c>
      <c r="T210" s="52" t="s">
        <v>3512</v>
      </c>
      <c r="U210" s="8" t="s">
        <v>3564</v>
      </c>
    </row>
    <row r="211" spans="1:21" ht="15" x14ac:dyDescent="0.2">
      <c r="A211" s="170" t="str">
        <f>CONCATENATE(SP_ENV_Lib[[#This Row],[Environmental Tract No.]],"_",SP_ENV_Lib[[#This Row],[ACQ Document Type]])</f>
        <v>088_TITLE Tax Card</v>
      </c>
      <c r="B211" s="14" t="s">
        <v>3724</v>
      </c>
      <c r="C211" s="169" t="s">
        <v>2979</v>
      </c>
      <c r="D211" s="12" t="s">
        <v>2980</v>
      </c>
      <c r="E211" s="166" t="s">
        <v>861</v>
      </c>
      <c r="F211" s="8" t="s">
        <v>1150</v>
      </c>
      <c r="G211" s="8" t="s">
        <v>1149</v>
      </c>
      <c r="H211" s="52" t="s">
        <v>592</v>
      </c>
      <c r="I211" s="57"/>
      <c r="J211" s="57"/>
      <c r="K211" s="167"/>
      <c r="L211" s="8"/>
      <c r="M211" s="8" t="s">
        <v>4206</v>
      </c>
      <c r="N211" s="26">
        <v>43872.437071759261</v>
      </c>
      <c r="O211" s="8" t="s">
        <v>4206</v>
      </c>
      <c r="P211" s="26">
        <v>43871.528819444444</v>
      </c>
      <c r="Q211" s="65">
        <v>922134</v>
      </c>
      <c r="R211" s="14" t="s">
        <v>4037</v>
      </c>
      <c r="S211" s="168">
        <v>813</v>
      </c>
      <c r="T211" s="52" t="s">
        <v>3512</v>
      </c>
      <c r="U211" s="8" t="s">
        <v>3564</v>
      </c>
    </row>
    <row r="212" spans="1:21" ht="15" hidden="1" x14ac:dyDescent="0.2">
      <c r="A212" s="170" t="str">
        <f>CONCATENATE(SP_ENV_Lib[[#This Row],[Environmental Tract No.]],"_",SP_ENV_Lib[[#This Row],[ACQ Document Type]])</f>
        <v>090_ENVIRONMENTAL Right-of-Entry Package</v>
      </c>
      <c r="B212" s="14" t="s">
        <v>3725</v>
      </c>
      <c r="C212" s="169" t="s">
        <v>2984</v>
      </c>
      <c r="D212" s="12" t="s">
        <v>2985</v>
      </c>
      <c r="E212" s="166" t="s">
        <v>2682</v>
      </c>
      <c r="F212" s="8" t="s">
        <v>2687</v>
      </c>
      <c r="G212" s="8" t="s">
        <v>2686</v>
      </c>
      <c r="H212" s="52" t="s">
        <v>592</v>
      </c>
      <c r="I212" s="57">
        <v>43845</v>
      </c>
      <c r="J212" s="57">
        <v>43847</v>
      </c>
      <c r="K212" s="167"/>
      <c r="L212" s="8"/>
      <c r="M212" s="8" t="s">
        <v>4206</v>
      </c>
      <c r="N212" s="26">
        <v>43874.534895833334</v>
      </c>
      <c r="O212" s="8" t="s">
        <v>4206</v>
      </c>
      <c r="P212" s="26">
        <v>43873.523333333331</v>
      </c>
      <c r="Q212" s="65">
        <v>1179223</v>
      </c>
      <c r="R212" s="14" t="s">
        <v>4038</v>
      </c>
      <c r="S212" s="168">
        <v>1031</v>
      </c>
      <c r="T212" s="52" t="s">
        <v>3512</v>
      </c>
      <c r="U212" s="8" t="s">
        <v>3564</v>
      </c>
    </row>
    <row r="213" spans="1:21" ht="15" x14ac:dyDescent="0.2">
      <c r="A213" s="170" t="str">
        <f>CONCATENATE(SP_ENV_Lib[[#This Row],[Environmental Tract No.]],"_",SP_ENV_Lib[[#This Row],[ACQ Document Type]])</f>
        <v>090_TITLE Tax Card</v>
      </c>
      <c r="B213" s="14" t="s">
        <v>3726</v>
      </c>
      <c r="C213" s="169" t="s">
        <v>2984</v>
      </c>
      <c r="D213" s="12" t="s">
        <v>2985</v>
      </c>
      <c r="E213" s="166" t="s">
        <v>861</v>
      </c>
      <c r="F213" s="8" t="s">
        <v>1150</v>
      </c>
      <c r="G213" s="8" t="s">
        <v>1149</v>
      </c>
      <c r="H213" s="52" t="s">
        <v>592</v>
      </c>
      <c r="I213" s="57"/>
      <c r="J213" s="57"/>
      <c r="K213" s="167"/>
      <c r="L213" s="8"/>
      <c r="M213" s="8" t="s">
        <v>4206</v>
      </c>
      <c r="N213" s="26">
        <v>43872.436967592592</v>
      </c>
      <c r="O213" s="8" t="s">
        <v>4206</v>
      </c>
      <c r="P213" s="26">
        <v>43871.528831018521</v>
      </c>
      <c r="Q213" s="65">
        <v>922267</v>
      </c>
      <c r="R213" s="14" t="s">
        <v>4039</v>
      </c>
      <c r="S213" s="168">
        <v>814</v>
      </c>
      <c r="T213" s="52" t="s">
        <v>3512</v>
      </c>
      <c r="U213" s="8" t="s">
        <v>3564</v>
      </c>
    </row>
    <row r="214" spans="1:21" ht="15" hidden="1" x14ac:dyDescent="0.2">
      <c r="A214" s="170" t="str">
        <f>CONCATENATE(SP_ENV_Lib[[#This Row],[Environmental Tract No.]],"_",SP_ENV_Lib[[#This Row],[ACQ Document Type]])</f>
        <v>092_ENVIRONMENTAL Right-of-Entry Executed</v>
      </c>
      <c r="B214" s="14" t="s">
        <v>4376</v>
      </c>
      <c r="C214" s="169" t="s">
        <v>2990</v>
      </c>
      <c r="D214" s="12" t="s">
        <v>2991</v>
      </c>
      <c r="E214" s="166" t="s">
        <v>2682</v>
      </c>
      <c r="F214" s="8" t="s">
        <v>2683</v>
      </c>
      <c r="G214" s="8" t="s">
        <v>2681</v>
      </c>
      <c r="H214" s="52" t="s">
        <v>592</v>
      </c>
      <c r="I214" s="57">
        <v>43895</v>
      </c>
      <c r="J214" s="57"/>
      <c r="K214" s="167"/>
      <c r="L214" s="8"/>
      <c r="M214" s="8" t="s">
        <v>4205</v>
      </c>
      <c r="N214" s="26">
        <v>43903.863981481481</v>
      </c>
      <c r="O214" s="8" t="s">
        <v>4205</v>
      </c>
      <c r="P214" s="26">
        <v>43903.863657407404</v>
      </c>
      <c r="Q214" s="65">
        <v>2172426</v>
      </c>
      <c r="R214" s="14" t="s">
        <v>4420</v>
      </c>
      <c r="S214" s="168">
        <v>1303</v>
      </c>
      <c r="T214" s="52" t="s">
        <v>3512</v>
      </c>
      <c r="U214" s="8" t="s">
        <v>3564</v>
      </c>
    </row>
    <row r="215" spans="1:21" ht="15" x14ac:dyDescent="0.2">
      <c r="A215" s="170" t="str">
        <f>CONCATENATE(SP_ENV_Lib[[#This Row],[Environmental Tract No.]],"_",SP_ENV_Lib[[#This Row],[ACQ Document Type]])</f>
        <v>092_TITLE Tax Card</v>
      </c>
      <c r="B215" s="14" t="s">
        <v>3727</v>
      </c>
      <c r="C215" s="169" t="s">
        <v>2990</v>
      </c>
      <c r="D215" s="12" t="s">
        <v>2991</v>
      </c>
      <c r="E215" s="166" t="s">
        <v>861</v>
      </c>
      <c r="F215" s="8" t="s">
        <v>1150</v>
      </c>
      <c r="G215" s="8" t="s">
        <v>1149</v>
      </c>
      <c r="H215" s="52" t="s">
        <v>592</v>
      </c>
      <c r="I215" s="57"/>
      <c r="J215" s="57"/>
      <c r="K215" s="167"/>
      <c r="L215" s="8"/>
      <c r="M215" s="8" t="s">
        <v>4206</v>
      </c>
      <c r="N215" s="26">
        <v>43872.436724537038</v>
      </c>
      <c r="O215" s="8" t="s">
        <v>4206</v>
      </c>
      <c r="P215" s="26">
        <v>43871.528865740744</v>
      </c>
      <c r="Q215" s="65">
        <v>197393</v>
      </c>
      <c r="R215" s="14" t="s">
        <v>4040</v>
      </c>
      <c r="S215" s="168">
        <v>816</v>
      </c>
      <c r="T215" s="52" t="s">
        <v>3512</v>
      </c>
      <c r="U215" s="8" t="s">
        <v>3564</v>
      </c>
    </row>
    <row r="216" spans="1:21" ht="15" hidden="1" x14ac:dyDescent="0.2">
      <c r="A216" s="170" t="str">
        <f>CONCATENATE(SP_ENV_Lib[[#This Row],[Environmental Tract No.]],"_",SP_ENV_Lib[[#This Row],[ACQ Document Type]])</f>
        <v>093_ENVIRONMENTAL Right-of-Entry Package</v>
      </c>
      <c r="B216" s="14" t="s">
        <v>3728</v>
      </c>
      <c r="C216" s="169" t="s">
        <v>2995</v>
      </c>
      <c r="D216" s="12" t="s">
        <v>2996</v>
      </c>
      <c r="E216" s="166" t="s">
        <v>2682</v>
      </c>
      <c r="F216" s="8" t="s">
        <v>2687</v>
      </c>
      <c r="G216" s="8" t="s">
        <v>2686</v>
      </c>
      <c r="H216" s="52" t="s">
        <v>592</v>
      </c>
      <c r="I216" s="57">
        <v>43845</v>
      </c>
      <c r="J216" s="57">
        <v>43847</v>
      </c>
      <c r="K216" s="167"/>
      <c r="L216" s="8"/>
      <c r="M216" s="8" t="s">
        <v>4206</v>
      </c>
      <c r="N216" s="26">
        <v>43874.534305555557</v>
      </c>
      <c r="O216" s="8" t="s">
        <v>4206</v>
      </c>
      <c r="P216" s="26">
        <v>43873.523402777777</v>
      </c>
      <c r="Q216" s="65">
        <v>984946</v>
      </c>
      <c r="R216" s="14" t="s">
        <v>4041</v>
      </c>
      <c r="S216" s="168">
        <v>1033</v>
      </c>
      <c r="T216" s="52" t="s">
        <v>3512</v>
      </c>
      <c r="U216" s="8" t="s">
        <v>3564</v>
      </c>
    </row>
    <row r="217" spans="1:21" ht="15" x14ac:dyDescent="0.2">
      <c r="A217" s="170" t="str">
        <f>CONCATENATE(SP_ENV_Lib[[#This Row],[Environmental Tract No.]],"_",SP_ENV_Lib[[#This Row],[ACQ Document Type]])</f>
        <v>093_TITLE Tax Card</v>
      </c>
      <c r="B217" s="14" t="s">
        <v>3729</v>
      </c>
      <c r="C217" s="169" t="s">
        <v>2995</v>
      </c>
      <c r="D217" s="12" t="s">
        <v>2996</v>
      </c>
      <c r="E217" s="166" t="s">
        <v>861</v>
      </c>
      <c r="F217" s="8" t="s">
        <v>1150</v>
      </c>
      <c r="G217" s="8" t="s">
        <v>1149</v>
      </c>
      <c r="H217" s="52" t="s">
        <v>592</v>
      </c>
      <c r="I217" s="57"/>
      <c r="J217" s="57"/>
      <c r="K217" s="167"/>
      <c r="L217" s="8"/>
      <c r="M217" s="8" t="s">
        <v>4206</v>
      </c>
      <c r="N217" s="26">
        <v>43872.436608796299</v>
      </c>
      <c r="O217" s="8" t="s">
        <v>4206</v>
      </c>
      <c r="P217" s="26">
        <v>43871.529618055552</v>
      </c>
      <c r="Q217" s="65">
        <v>733140</v>
      </c>
      <c r="R217" s="14" t="s">
        <v>4042</v>
      </c>
      <c r="S217" s="168">
        <v>847</v>
      </c>
      <c r="T217" s="52" t="s">
        <v>3512</v>
      </c>
      <c r="U217" s="8" t="s">
        <v>3564</v>
      </c>
    </row>
    <row r="218" spans="1:21" ht="15" hidden="1" x14ac:dyDescent="0.2">
      <c r="A218" s="170" t="str">
        <f>CONCATENATE(SP_ENV_Lib[[#This Row],[Environmental Tract No.]],"_",SP_ENV_Lib[[#This Row],[ACQ Document Type]])</f>
        <v>094_ENVIRONMENTAL Right-of-Entry Package</v>
      </c>
      <c r="B218" s="14" t="s">
        <v>3730</v>
      </c>
      <c r="C218" s="169" t="s">
        <v>3000</v>
      </c>
      <c r="D218" s="12" t="s">
        <v>3001</v>
      </c>
      <c r="E218" s="166" t="s">
        <v>2682</v>
      </c>
      <c r="F218" s="8" t="s">
        <v>2687</v>
      </c>
      <c r="G218" s="8" t="s">
        <v>2686</v>
      </c>
      <c r="H218" s="52" t="s">
        <v>592</v>
      </c>
      <c r="I218" s="57">
        <v>43845</v>
      </c>
      <c r="J218" s="57">
        <v>43847</v>
      </c>
      <c r="K218" s="167"/>
      <c r="L218" s="8"/>
      <c r="M218" s="8" t="s">
        <v>4206</v>
      </c>
      <c r="N218" s="26">
        <v>43874.534085648149</v>
      </c>
      <c r="O218" s="8" t="s">
        <v>4206</v>
      </c>
      <c r="P218" s="26">
        <v>43873.523425925923</v>
      </c>
      <c r="Q218" s="65">
        <v>983828</v>
      </c>
      <c r="R218" s="14" t="s">
        <v>4043</v>
      </c>
      <c r="S218" s="168">
        <v>1034</v>
      </c>
      <c r="T218" s="52" t="s">
        <v>3512</v>
      </c>
      <c r="U218" s="8" t="s">
        <v>3564</v>
      </c>
    </row>
    <row r="219" spans="1:21" ht="15" x14ac:dyDescent="0.2">
      <c r="A219" s="170" t="str">
        <f>CONCATENATE(SP_ENV_Lib[[#This Row],[Environmental Tract No.]],"_",SP_ENV_Lib[[#This Row],[ACQ Document Type]])</f>
        <v>094_TITLE Tax Card</v>
      </c>
      <c r="B219" s="14" t="s">
        <v>3731</v>
      </c>
      <c r="C219" s="169" t="s">
        <v>3000</v>
      </c>
      <c r="D219" s="12" t="s">
        <v>3001</v>
      </c>
      <c r="E219" s="166" t="s">
        <v>861</v>
      </c>
      <c r="F219" s="8" t="s">
        <v>1150</v>
      </c>
      <c r="G219" s="8" t="s">
        <v>1149</v>
      </c>
      <c r="H219" s="52" t="s">
        <v>592</v>
      </c>
      <c r="I219" s="57"/>
      <c r="J219" s="57"/>
      <c r="K219" s="167"/>
      <c r="L219" s="8"/>
      <c r="M219" s="8" t="s">
        <v>4206</v>
      </c>
      <c r="N219" s="26">
        <v>43872.43650462963</v>
      </c>
      <c r="O219" s="8" t="s">
        <v>4206</v>
      </c>
      <c r="P219" s="26">
        <v>43871.529629629629</v>
      </c>
      <c r="Q219" s="65">
        <v>734984</v>
      </c>
      <c r="R219" s="14" t="s">
        <v>4044</v>
      </c>
      <c r="S219" s="168">
        <v>848</v>
      </c>
      <c r="T219" s="52" t="s">
        <v>3512</v>
      </c>
      <c r="U219" s="8" t="s">
        <v>3564</v>
      </c>
    </row>
    <row r="220" spans="1:21" ht="15" hidden="1" x14ac:dyDescent="0.2">
      <c r="A220" s="170" t="str">
        <f>CONCATENATE(SP_ENV_Lib[[#This Row],[Environmental Tract No.]],"_",SP_ENV_Lib[[#This Row],[ACQ Document Type]])</f>
        <v>095_CONTACT Negotiator Report</v>
      </c>
      <c r="B220" s="14" t="s">
        <v>3732</v>
      </c>
      <c r="C220" s="169" t="s">
        <v>2707</v>
      </c>
      <c r="D220" s="12" t="s">
        <v>3569</v>
      </c>
      <c r="E220" s="166" t="s">
        <v>865</v>
      </c>
      <c r="F220" s="8" t="s">
        <v>1068</v>
      </c>
      <c r="G220" s="8" t="s">
        <v>1067</v>
      </c>
      <c r="H220" s="52" t="s">
        <v>592</v>
      </c>
      <c r="I220" s="57">
        <v>43851</v>
      </c>
      <c r="J220" s="57"/>
      <c r="K220" s="167"/>
      <c r="L220" s="8" t="s">
        <v>3568</v>
      </c>
      <c r="M220" s="8" t="s">
        <v>4206</v>
      </c>
      <c r="N220" s="26">
        <v>43872.521168981482</v>
      </c>
      <c r="O220" s="8" t="s">
        <v>4205</v>
      </c>
      <c r="P220" s="26">
        <v>43868.53634259259</v>
      </c>
      <c r="Q220" s="65">
        <v>43445</v>
      </c>
      <c r="R220" s="14" t="s">
        <v>4045</v>
      </c>
      <c r="S220" s="168">
        <v>731</v>
      </c>
      <c r="T220" s="52" t="s">
        <v>3512</v>
      </c>
      <c r="U220" s="8" t="s">
        <v>3564</v>
      </c>
    </row>
    <row r="221" spans="1:21" ht="15" hidden="1" x14ac:dyDescent="0.2">
      <c r="A221" s="170" t="str">
        <f>CONCATENATE(SP_ENV_Lib[[#This Row],[Environmental Tract No.]],"_",SP_ENV_Lib[[#This Row],[ACQ Document Type]])</f>
        <v>095_ENVIRONMENTAL Right-of-Entry Executed</v>
      </c>
      <c r="B221" s="14" t="s">
        <v>4234</v>
      </c>
      <c r="C221" s="169" t="s">
        <v>2707</v>
      </c>
      <c r="D221" s="12" t="s">
        <v>3005</v>
      </c>
      <c r="E221" s="166" t="s">
        <v>2682</v>
      </c>
      <c r="F221" s="8" t="s">
        <v>2683</v>
      </c>
      <c r="G221" s="8" t="s">
        <v>2681</v>
      </c>
      <c r="H221" s="52" t="s">
        <v>592</v>
      </c>
      <c r="I221" s="57">
        <v>43867</v>
      </c>
      <c r="J221" s="57"/>
      <c r="K221" s="167"/>
      <c r="L221" s="8"/>
      <c r="M221" s="8" t="s">
        <v>4205</v>
      </c>
      <c r="N221" s="26">
        <v>43892.824837962966</v>
      </c>
      <c r="O221" s="8" t="s">
        <v>4205</v>
      </c>
      <c r="P221" s="26">
        <v>43892.82435185185</v>
      </c>
      <c r="Q221" s="65">
        <v>1285743</v>
      </c>
      <c r="R221" s="14" t="s">
        <v>4293</v>
      </c>
      <c r="S221" s="168">
        <v>1196</v>
      </c>
      <c r="T221" s="52" t="s">
        <v>3512</v>
      </c>
      <c r="U221" s="8" t="s">
        <v>3564</v>
      </c>
    </row>
    <row r="222" spans="1:21" ht="15" hidden="1" x14ac:dyDescent="0.2">
      <c r="A222" s="170" t="str">
        <f>CONCATENATE(SP_ENV_Lib[[#This Row],[Environmental Tract No.]],"_",SP_ENV_Lib[[#This Row],[ACQ Document Type]])</f>
        <v>095_ENVIRONMENTAL Right-of-Entry Package</v>
      </c>
      <c r="B222" s="14" t="s">
        <v>3733</v>
      </c>
      <c r="C222" s="169" t="s">
        <v>2707</v>
      </c>
      <c r="D222" s="12" t="s">
        <v>3005</v>
      </c>
      <c r="E222" s="166" t="s">
        <v>2682</v>
      </c>
      <c r="F222" s="8" t="s">
        <v>2687</v>
      </c>
      <c r="G222" s="8" t="s">
        <v>2686</v>
      </c>
      <c r="H222" s="52" t="s">
        <v>592</v>
      </c>
      <c r="I222" s="57">
        <v>43845</v>
      </c>
      <c r="J222" s="57">
        <v>43846</v>
      </c>
      <c r="K222" s="167"/>
      <c r="L222" s="8"/>
      <c r="M222" s="8" t="s">
        <v>4206</v>
      </c>
      <c r="N222" s="26">
        <v>43874.512372685182</v>
      </c>
      <c r="O222" s="8" t="s">
        <v>4206</v>
      </c>
      <c r="P222" s="26">
        <v>43873.523101851853</v>
      </c>
      <c r="Q222" s="65">
        <v>981912</v>
      </c>
      <c r="R222" s="14" t="s">
        <v>4046</v>
      </c>
      <c r="S222" s="168">
        <v>1024</v>
      </c>
      <c r="T222" s="52" t="s">
        <v>3512</v>
      </c>
      <c r="U222" s="8" t="s">
        <v>3564</v>
      </c>
    </row>
    <row r="223" spans="1:21" ht="15" x14ac:dyDescent="0.2">
      <c r="A223" s="170" t="str">
        <f>CONCATENATE(SP_ENV_Lib[[#This Row],[Environmental Tract No.]],"_",SP_ENV_Lib[[#This Row],[ACQ Document Type]])</f>
        <v>095_TITLE Tax Card</v>
      </c>
      <c r="B223" s="14" t="s">
        <v>3734</v>
      </c>
      <c r="C223" s="169" t="s">
        <v>2707</v>
      </c>
      <c r="D223" s="12" t="s">
        <v>3005</v>
      </c>
      <c r="E223" s="166" t="s">
        <v>861</v>
      </c>
      <c r="F223" s="8" t="s">
        <v>1150</v>
      </c>
      <c r="G223" s="8" t="s">
        <v>1149</v>
      </c>
      <c r="H223" s="52" t="s">
        <v>592</v>
      </c>
      <c r="I223" s="57"/>
      <c r="J223" s="57"/>
      <c r="K223" s="167"/>
      <c r="L223" s="8"/>
      <c r="M223" s="8" t="s">
        <v>4206</v>
      </c>
      <c r="N223" s="26">
        <v>43872.436365740738</v>
      </c>
      <c r="O223" s="8" t="s">
        <v>4206</v>
      </c>
      <c r="P223" s="26">
        <v>43871.529641203706</v>
      </c>
      <c r="Q223" s="65">
        <v>728451</v>
      </c>
      <c r="R223" s="14" t="s">
        <v>4047</v>
      </c>
      <c r="S223" s="168">
        <v>849</v>
      </c>
      <c r="T223" s="52" t="s">
        <v>3512</v>
      </c>
      <c r="U223" s="8" t="s">
        <v>3564</v>
      </c>
    </row>
    <row r="224" spans="1:21" ht="15" hidden="1" x14ac:dyDescent="0.2">
      <c r="A224" s="170" t="str">
        <f>CONCATENATE(SP_ENV_Lib[[#This Row],[Environmental Tract No.]],"_",SP_ENV_Lib[[#This Row],[ACQ Document Type]])</f>
        <v>096_ENVIRONMENTAL Right-of-Entry Executed</v>
      </c>
      <c r="B224" s="14" t="s">
        <v>4235</v>
      </c>
      <c r="C224" s="169" t="s">
        <v>3009</v>
      </c>
      <c r="D224" s="12" t="s">
        <v>3010</v>
      </c>
      <c r="E224" s="166" t="s">
        <v>2682</v>
      </c>
      <c r="F224" s="8" t="s">
        <v>2683</v>
      </c>
      <c r="G224" s="8" t="s">
        <v>2681</v>
      </c>
      <c r="H224" s="52" t="s">
        <v>592</v>
      </c>
      <c r="I224" s="57">
        <v>43867</v>
      </c>
      <c r="J224" s="57"/>
      <c r="K224" s="167"/>
      <c r="L224" s="8"/>
      <c r="M224" s="8" t="s">
        <v>4205</v>
      </c>
      <c r="N224" s="26">
        <v>43892.825752314813</v>
      </c>
      <c r="O224" s="8" t="s">
        <v>4205</v>
      </c>
      <c r="P224" s="26">
        <v>43892.825370370374</v>
      </c>
      <c r="Q224" s="65">
        <v>1288814</v>
      </c>
      <c r="R224" s="14" t="s">
        <v>4294</v>
      </c>
      <c r="S224" s="168">
        <v>1197</v>
      </c>
      <c r="T224" s="52" t="s">
        <v>3512</v>
      </c>
      <c r="U224" s="8" t="s">
        <v>3564</v>
      </c>
    </row>
    <row r="225" spans="1:21" ht="15" hidden="1" x14ac:dyDescent="0.2">
      <c r="A225" s="170" t="str">
        <f>CONCATENATE(SP_ENV_Lib[[#This Row],[Environmental Tract No.]],"_",SP_ENV_Lib[[#This Row],[ACQ Document Type]])</f>
        <v>096_ENVIRONMENTAL Right-of-Entry Package</v>
      </c>
      <c r="B225" s="14" t="s">
        <v>3735</v>
      </c>
      <c r="C225" s="169" t="s">
        <v>3009</v>
      </c>
      <c r="D225" s="12" t="s">
        <v>3010</v>
      </c>
      <c r="E225" s="166" t="s">
        <v>2682</v>
      </c>
      <c r="F225" s="8" t="s">
        <v>2687</v>
      </c>
      <c r="G225" s="8" t="s">
        <v>2686</v>
      </c>
      <c r="H225" s="52" t="s">
        <v>592</v>
      </c>
      <c r="I225" s="57">
        <v>43845</v>
      </c>
      <c r="J225" s="57">
        <v>43846</v>
      </c>
      <c r="K225" s="167"/>
      <c r="L225" s="8"/>
      <c r="M225" s="8" t="s">
        <v>4206</v>
      </c>
      <c r="N225" s="26">
        <v>43874.533865740741</v>
      </c>
      <c r="O225" s="8" t="s">
        <v>4206</v>
      </c>
      <c r="P225" s="26">
        <v>43873.523136574076</v>
      </c>
      <c r="Q225" s="65">
        <v>980971</v>
      </c>
      <c r="R225" s="14" t="s">
        <v>4048</v>
      </c>
      <c r="S225" s="168">
        <v>1025</v>
      </c>
      <c r="T225" s="52" t="s">
        <v>3512</v>
      </c>
      <c r="U225" s="8" t="s">
        <v>3564</v>
      </c>
    </row>
    <row r="226" spans="1:21" ht="15" x14ac:dyDescent="0.2">
      <c r="A226" s="170" t="str">
        <f>CONCATENATE(SP_ENV_Lib[[#This Row],[Environmental Tract No.]],"_",SP_ENV_Lib[[#This Row],[ACQ Document Type]])</f>
        <v>096_TITLE Tax Card</v>
      </c>
      <c r="B226" s="14" t="s">
        <v>3736</v>
      </c>
      <c r="C226" s="169" t="s">
        <v>3009</v>
      </c>
      <c r="D226" s="12" t="s">
        <v>3010</v>
      </c>
      <c r="E226" s="166" t="s">
        <v>861</v>
      </c>
      <c r="F226" s="8" t="s">
        <v>1150</v>
      </c>
      <c r="G226" s="8" t="s">
        <v>1149</v>
      </c>
      <c r="H226" s="52" t="s">
        <v>592</v>
      </c>
      <c r="I226" s="57"/>
      <c r="J226" s="57"/>
      <c r="K226" s="167"/>
      <c r="L226" s="8"/>
      <c r="M226" s="8" t="s">
        <v>4206</v>
      </c>
      <c r="N226" s="26">
        <v>43872.436249999999</v>
      </c>
      <c r="O226" s="8" t="s">
        <v>4206</v>
      </c>
      <c r="P226" s="26">
        <v>43871.529664351852</v>
      </c>
      <c r="Q226" s="65">
        <v>731186</v>
      </c>
      <c r="R226" s="14" t="s">
        <v>4049</v>
      </c>
      <c r="S226" s="168">
        <v>850</v>
      </c>
      <c r="T226" s="52" t="s">
        <v>3512</v>
      </c>
      <c r="U226" s="8" t="s">
        <v>3564</v>
      </c>
    </row>
    <row r="227" spans="1:21" ht="15" hidden="1" x14ac:dyDescent="0.2">
      <c r="A227" s="170" t="str">
        <f>CONCATENATE(SP_ENV_Lib[[#This Row],[Environmental Tract No.]],"_",SP_ENV_Lib[[#This Row],[ACQ Document Type]])</f>
        <v>097_ENVIRONMENTAL Right-of-Entry Executed</v>
      </c>
      <c r="B227" s="14" t="s">
        <v>4236</v>
      </c>
      <c r="C227" s="169" t="s">
        <v>3014</v>
      </c>
      <c r="D227" s="12" t="s">
        <v>3015</v>
      </c>
      <c r="E227" s="166" t="s">
        <v>2682</v>
      </c>
      <c r="F227" s="8" t="s">
        <v>2683</v>
      </c>
      <c r="G227" s="8" t="s">
        <v>2681</v>
      </c>
      <c r="H227" s="52" t="s">
        <v>592</v>
      </c>
      <c r="I227" s="57">
        <v>43867</v>
      </c>
      <c r="J227" s="57"/>
      <c r="K227" s="167"/>
      <c r="L227" s="8"/>
      <c r="M227" s="8" t="s">
        <v>4205</v>
      </c>
      <c r="N227" s="26">
        <v>43892.826874999999</v>
      </c>
      <c r="O227" s="8" t="s">
        <v>4205</v>
      </c>
      <c r="P227" s="26">
        <v>43892.826284722221</v>
      </c>
      <c r="Q227" s="65">
        <v>1209915</v>
      </c>
      <c r="R227" s="14" t="s">
        <v>4295</v>
      </c>
      <c r="S227" s="168">
        <v>1198</v>
      </c>
      <c r="T227" s="52" t="s">
        <v>3512</v>
      </c>
      <c r="U227" s="8" t="s">
        <v>3564</v>
      </c>
    </row>
    <row r="228" spans="1:21" ht="15" hidden="1" x14ac:dyDescent="0.2">
      <c r="A228" s="170" t="str">
        <f>CONCATENATE(SP_ENV_Lib[[#This Row],[Environmental Tract No.]],"_",SP_ENV_Lib[[#This Row],[ACQ Document Type]])</f>
        <v>097_ENVIRONMENTAL Right-of-Entry Package</v>
      </c>
      <c r="B228" s="14" t="s">
        <v>3737</v>
      </c>
      <c r="C228" s="169" t="s">
        <v>3014</v>
      </c>
      <c r="D228" s="12" t="s">
        <v>3015</v>
      </c>
      <c r="E228" s="166" t="s">
        <v>2682</v>
      </c>
      <c r="F228" s="8" t="s">
        <v>2687</v>
      </c>
      <c r="G228" s="8" t="s">
        <v>2686</v>
      </c>
      <c r="H228" s="52" t="s">
        <v>592</v>
      </c>
      <c r="I228" s="57">
        <v>43845</v>
      </c>
      <c r="J228" s="57">
        <v>43846</v>
      </c>
      <c r="K228" s="167"/>
      <c r="L228" s="8"/>
      <c r="M228" s="8" t="s">
        <v>4206</v>
      </c>
      <c r="N228" s="26">
        <v>43874.533622685187</v>
      </c>
      <c r="O228" s="8" t="s">
        <v>4206</v>
      </c>
      <c r="P228" s="26">
        <v>43873.5231712963</v>
      </c>
      <c r="Q228" s="65">
        <v>897757</v>
      </c>
      <c r="R228" s="14" t="s">
        <v>4050</v>
      </c>
      <c r="S228" s="168">
        <v>1026</v>
      </c>
      <c r="T228" s="52" t="s">
        <v>3512</v>
      </c>
      <c r="U228" s="8" t="s">
        <v>3564</v>
      </c>
    </row>
    <row r="229" spans="1:21" ht="15" x14ac:dyDescent="0.2">
      <c r="A229" s="170" t="str">
        <f>CONCATENATE(SP_ENV_Lib[[#This Row],[Environmental Tract No.]],"_",SP_ENV_Lib[[#This Row],[ACQ Document Type]])</f>
        <v>097_TITLE Tax Card</v>
      </c>
      <c r="B229" s="14" t="s">
        <v>3738</v>
      </c>
      <c r="C229" s="169" t="s">
        <v>3014</v>
      </c>
      <c r="D229" s="12" t="s">
        <v>3015</v>
      </c>
      <c r="E229" s="166" t="s">
        <v>861</v>
      </c>
      <c r="F229" s="8" t="s">
        <v>1150</v>
      </c>
      <c r="G229" s="8" t="s">
        <v>1149</v>
      </c>
      <c r="H229" s="52" t="s">
        <v>592</v>
      </c>
      <c r="I229" s="57"/>
      <c r="J229" s="57"/>
      <c r="K229" s="167"/>
      <c r="L229" s="8"/>
      <c r="M229" s="8" t="s">
        <v>4206</v>
      </c>
      <c r="N229" s="26">
        <v>43872.436145833337</v>
      </c>
      <c r="O229" s="8" t="s">
        <v>4206</v>
      </c>
      <c r="P229" s="26">
        <v>43871.529675925929</v>
      </c>
      <c r="Q229" s="65">
        <v>647520</v>
      </c>
      <c r="R229" s="14" t="s">
        <v>4051</v>
      </c>
      <c r="S229" s="168">
        <v>851</v>
      </c>
      <c r="T229" s="52" t="s">
        <v>3512</v>
      </c>
      <c r="U229" s="8" t="s">
        <v>3564</v>
      </c>
    </row>
    <row r="230" spans="1:21" ht="15" x14ac:dyDescent="0.2">
      <c r="A230" s="170" t="str">
        <f>CONCATENATE(SP_ENV_Lib[[#This Row],[Environmental Tract No.]],"_",SP_ENV_Lib[[#This Row],[ACQ Document Type]])</f>
        <v>098_CONTACT Negotiator Report</v>
      </c>
      <c r="B230" s="14" t="s">
        <v>3739</v>
      </c>
      <c r="C230" s="169" t="s">
        <v>3019</v>
      </c>
      <c r="D230" s="12" t="s">
        <v>3020</v>
      </c>
      <c r="E230" s="166" t="s">
        <v>865</v>
      </c>
      <c r="F230" s="8" t="s">
        <v>1068</v>
      </c>
      <c r="G230" s="8" t="s">
        <v>1067</v>
      </c>
      <c r="H230" s="52" t="s">
        <v>592</v>
      </c>
      <c r="I230" s="57"/>
      <c r="J230" s="57"/>
      <c r="K230" s="167"/>
      <c r="L230" s="8"/>
      <c r="M230" s="8" t="s">
        <v>1744</v>
      </c>
      <c r="N230" s="26">
        <v>43909.644641203704</v>
      </c>
      <c r="O230" s="8" t="s">
        <v>1744</v>
      </c>
      <c r="P230" s="26">
        <v>43868.600451388891</v>
      </c>
      <c r="Q230" s="65">
        <v>40913</v>
      </c>
      <c r="R230" s="14" t="s">
        <v>4052</v>
      </c>
      <c r="S230" s="168">
        <v>732</v>
      </c>
      <c r="T230" s="52" t="s">
        <v>3512</v>
      </c>
      <c r="U230" s="8" t="s">
        <v>3564</v>
      </c>
    </row>
    <row r="231" spans="1:21" ht="15" hidden="1" x14ac:dyDescent="0.2">
      <c r="A231" s="170" t="str">
        <f>CONCATENATE(SP_ENV_Lib[[#This Row],[Environmental Tract No.]],"_",SP_ENV_Lib[[#This Row],[ACQ Document Type]])</f>
        <v>098_ENVIRONMENTAL Right-of-Entry Executed</v>
      </c>
      <c r="B231" s="14" t="s">
        <v>4550</v>
      </c>
      <c r="C231" s="169" t="s">
        <v>3019</v>
      </c>
      <c r="D231" s="12" t="s">
        <v>3020</v>
      </c>
      <c r="E231" s="166" t="s">
        <v>2682</v>
      </c>
      <c r="F231" s="8" t="s">
        <v>2683</v>
      </c>
      <c r="G231" s="8" t="s">
        <v>2681</v>
      </c>
      <c r="H231" s="52" t="s">
        <v>592</v>
      </c>
      <c r="I231" s="57">
        <v>43920</v>
      </c>
      <c r="J231" s="57"/>
      <c r="K231" s="167"/>
      <c r="L231" s="8"/>
      <c r="M231" s="8" t="s">
        <v>4205</v>
      </c>
      <c r="N231" s="26">
        <v>43920.804710648146</v>
      </c>
      <c r="O231" s="8" t="s">
        <v>4205</v>
      </c>
      <c r="P231" s="26">
        <v>43920.802002314813</v>
      </c>
      <c r="Q231" s="65">
        <v>563087</v>
      </c>
      <c r="R231" s="14" t="s">
        <v>4556</v>
      </c>
      <c r="S231" s="168">
        <v>1333</v>
      </c>
      <c r="T231" s="52" t="s">
        <v>3512</v>
      </c>
      <c r="U231" s="8" t="s">
        <v>3564</v>
      </c>
    </row>
    <row r="232" spans="1:21" ht="15" hidden="1" x14ac:dyDescent="0.2">
      <c r="A232" s="170" t="str">
        <f>CONCATENATE(SP_ENV_Lib[[#This Row],[Environmental Tract No.]],"_",SP_ENV_Lib[[#This Row],[ACQ Document Type]])</f>
        <v>098_ENVIRONMENTAL Right-of-Entry Package</v>
      </c>
      <c r="B232" s="14" t="s">
        <v>3740</v>
      </c>
      <c r="C232" s="169" t="s">
        <v>3019</v>
      </c>
      <c r="D232" s="12" t="s">
        <v>3020</v>
      </c>
      <c r="E232" s="166" t="s">
        <v>2682</v>
      </c>
      <c r="F232" s="8" t="s">
        <v>2687</v>
      </c>
      <c r="G232" s="8" t="s">
        <v>2686</v>
      </c>
      <c r="H232" s="52" t="s">
        <v>592</v>
      </c>
      <c r="I232" s="57">
        <v>43845</v>
      </c>
      <c r="J232" s="57">
        <v>43847</v>
      </c>
      <c r="K232" s="167"/>
      <c r="L232" s="8"/>
      <c r="M232" s="8" t="s">
        <v>4206</v>
      </c>
      <c r="N232" s="26">
        <v>43874.533414351848</v>
      </c>
      <c r="O232" s="8" t="s">
        <v>4206</v>
      </c>
      <c r="P232" s="26">
        <v>43873.523206018515</v>
      </c>
      <c r="Q232" s="65">
        <v>983249</v>
      </c>
      <c r="R232" s="14" t="s">
        <v>4053</v>
      </c>
      <c r="S232" s="168">
        <v>1027</v>
      </c>
      <c r="T232" s="52" t="s">
        <v>3512</v>
      </c>
      <c r="U232" s="8" t="s">
        <v>3564</v>
      </c>
    </row>
    <row r="233" spans="1:21" ht="15" x14ac:dyDescent="0.2">
      <c r="A233" s="170" t="str">
        <f>CONCATENATE(SP_ENV_Lib[[#This Row],[Environmental Tract No.]],"_",SP_ENV_Lib[[#This Row],[ACQ Document Type]])</f>
        <v>098_TITLE Tax Card</v>
      </c>
      <c r="B233" s="14" t="s">
        <v>3741</v>
      </c>
      <c r="C233" s="169" t="s">
        <v>3019</v>
      </c>
      <c r="D233" s="12" t="s">
        <v>3020</v>
      </c>
      <c r="E233" s="166" t="s">
        <v>861</v>
      </c>
      <c r="F233" s="8" t="s">
        <v>1150</v>
      </c>
      <c r="G233" s="8" t="s">
        <v>1149</v>
      </c>
      <c r="H233" s="52" t="s">
        <v>592</v>
      </c>
      <c r="I233" s="57"/>
      <c r="J233" s="57"/>
      <c r="K233" s="167"/>
      <c r="L233" s="8"/>
      <c r="M233" s="8" t="s">
        <v>4206</v>
      </c>
      <c r="N233" s="26">
        <v>43872.436041666668</v>
      </c>
      <c r="O233" s="8" t="s">
        <v>4206</v>
      </c>
      <c r="P233" s="26">
        <v>43871.529687499999</v>
      </c>
      <c r="Q233" s="65">
        <v>737457</v>
      </c>
      <c r="R233" s="14" t="s">
        <v>4054</v>
      </c>
      <c r="S233" s="168">
        <v>852</v>
      </c>
      <c r="T233" s="52" t="s">
        <v>3512</v>
      </c>
      <c r="U233" s="8" t="s">
        <v>3564</v>
      </c>
    </row>
    <row r="234" spans="1:21" ht="15" x14ac:dyDescent="0.2">
      <c r="A234" s="170" t="str">
        <f>CONCATENATE(SP_ENV_Lib[[#This Row],[Environmental Tract No.]],"_",SP_ENV_Lib[[#This Row],[ACQ Document Type]])</f>
        <v>099_CONTACT Negotiator Report</v>
      </c>
      <c r="B234" s="14" t="s">
        <v>3742</v>
      </c>
      <c r="C234" s="169" t="s">
        <v>3024</v>
      </c>
      <c r="D234" s="12" t="s">
        <v>97</v>
      </c>
      <c r="E234" s="166" t="s">
        <v>865</v>
      </c>
      <c r="F234" s="8" t="s">
        <v>1068</v>
      </c>
      <c r="G234" s="8" t="s">
        <v>1067</v>
      </c>
      <c r="H234" s="52" t="s">
        <v>592</v>
      </c>
      <c r="I234" s="57"/>
      <c r="J234" s="57"/>
      <c r="K234" s="167"/>
      <c r="L234" s="8"/>
      <c r="M234" s="8" t="s">
        <v>4206</v>
      </c>
      <c r="N234" s="26">
        <v>43872.52140046296</v>
      </c>
      <c r="O234" s="8" t="s">
        <v>1744</v>
      </c>
      <c r="P234" s="26">
        <v>43868.604942129627</v>
      </c>
      <c r="Q234" s="65">
        <v>44924</v>
      </c>
      <c r="R234" s="14" t="s">
        <v>4055</v>
      </c>
      <c r="S234" s="168">
        <v>733</v>
      </c>
      <c r="T234" s="52" t="s">
        <v>3512</v>
      </c>
      <c r="U234" s="8" t="s">
        <v>3564</v>
      </c>
    </row>
    <row r="235" spans="1:21" ht="15" hidden="1" x14ac:dyDescent="0.2">
      <c r="A235" s="170" t="str">
        <f>CONCATENATE(SP_ENV_Lib[[#This Row],[Environmental Tract No.]],"_",SP_ENV_Lib[[#This Row],[ACQ Document Type]])</f>
        <v>099_ENVIRONMENTAL Right-of-Entry Executed</v>
      </c>
      <c r="B235" s="14" t="s">
        <v>4237</v>
      </c>
      <c r="C235" s="169" t="s">
        <v>3024</v>
      </c>
      <c r="D235" s="12" t="s">
        <v>97</v>
      </c>
      <c r="E235" s="166" t="s">
        <v>2682</v>
      </c>
      <c r="F235" s="8" t="s">
        <v>2683</v>
      </c>
      <c r="G235" s="8" t="s">
        <v>2681</v>
      </c>
      <c r="H235" s="52" t="s">
        <v>592</v>
      </c>
      <c r="I235" s="57">
        <v>43867</v>
      </c>
      <c r="J235" s="57"/>
      <c r="K235" s="167"/>
      <c r="L235" s="8"/>
      <c r="M235" s="8" t="s">
        <v>4205</v>
      </c>
      <c r="N235" s="26">
        <v>43892.828009259261</v>
      </c>
      <c r="O235" s="8" t="s">
        <v>4205</v>
      </c>
      <c r="P235" s="26">
        <v>43892.827534722222</v>
      </c>
      <c r="Q235" s="65">
        <v>1798014</v>
      </c>
      <c r="R235" s="14" t="s">
        <v>4296</v>
      </c>
      <c r="S235" s="168">
        <v>1199</v>
      </c>
      <c r="T235" s="52" t="s">
        <v>3512</v>
      </c>
      <c r="U235" s="8" t="s">
        <v>3564</v>
      </c>
    </row>
    <row r="236" spans="1:21" ht="15" hidden="1" x14ac:dyDescent="0.2">
      <c r="A236" s="170" t="str">
        <f>CONCATENATE(SP_ENV_Lib[[#This Row],[Environmental Tract No.]],"_",SP_ENV_Lib[[#This Row],[ACQ Document Type]])</f>
        <v>099_ENVIRONMENTAL Right-of-Entry Package</v>
      </c>
      <c r="B236" s="14" t="s">
        <v>3743</v>
      </c>
      <c r="C236" s="169" t="s">
        <v>3024</v>
      </c>
      <c r="D236" s="12" t="s">
        <v>97</v>
      </c>
      <c r="E236" s="166" t="s">
        <v>2682</v>
      </c>
      <c r="F236" s="8" t="s">
        <v>2687</v>
      </c>
      <c r="G236" s="8" t="s">
        <v>2686</v>
      </c>
      <c r="H236" s="52" t="s">
        <v>592</v>
      </c>
      <c r="I236" s="57">
        <v>43845</v>
      </c>
      <c r="J236" s="57">
        <v>43846</v>
      </c>
      <c r="K236" s="167"/>
      <c r="L236" s="8"/>
      <c r="M236" s="8" t="s">
        <v>4206</v>
      </c>
      <c r="N236" s="26">
        <v>43874.533148148148</v>
      </c>
      <c r="O236" s="8" t="s">
        <v>4206</v>
      </c>
      <c r="P236" s="26">
        <v>43873.523229166669</v>
      </c>
      <c r="Q236" s="65">
        <v>1031312</v>
      </c>
      <c r="R236" s="14" t="s">
        <v>4056</v>
      </c>
      <c r="S236" s="168">
        <v>1028</v>
      </c>
      <c r="T236" s="52" t="s">
        <v>3512</v>
      </c>
      <c r="U236" s="8" t="s">
        <v>3564</v>
      </c>
    </row>
    <row r="237" spans="1:21" ht="15" x14ac:dyDescent="0.2">
      <c r="A237" s="170" t="str">
        <f>CONCATENATE(SP_ENV_Lib[[#This Row],[Environmental Tract No.]],"_",SP_ENV_Lib[[#This Row],[ACQ Document Type]])</f>
        <v>099_TITLE Tax Card</v>
      </c>
      <c r="B237" s="14" t="s">
        <v>3744</v>
      </c>
      <c r="C237" s="169" t="s">
        <v>3024</v>
      </c>
      <c r="D237" s="12" t="s">
        <v>97</v>
      </c>
      <c r="E237" s="166" t="s">
        <v>861</v>
      </c>
      <c r="F237" s="8" t="s">
        <v>1150</v>
      </c>
      <c r="G237" s="8" t="s">
        <v>1149</v>
      </c>
      <c r="H237" s="52" t="s">
        <v>592</v>
      </c>
      <c r="I237" s="57"/>
      <c r="J237" s="57"/>
      <c r="K237" s="167"/>
      <c r="L237" s="8"/>
      <c r="M237" s="8" t="s">
        <v>4206</v>
      </c>
      <c r="N237" s="26">
        <v>43872.435914351852</v>
      </c>
      <c r="O237" s="8" t="s">
        <v>4206</v>
      </c>
      <c r="P237" s="26">
        <v>43871.529699074075</v>
      </c>
      <c r="Q237" s="65">
        <v>776896</v>
      </c>
      <c r="R237" s="14" t="s">
        <v>4057</v>
      </c>
      <c r="S237" s="168">
        <v>853</v>
      </c>
      <c r="T237" s="52" t="s">
        <v>3512</v>
      </c>
      <c r="U237" s="8" t="s">
        <v>3564</v>
      </c>
    </row>
    <row r="238" spans="1:21" ht="15" x14ac:dyDescent="0.2">
      <c r="A238" s="170" t="str">
        <f>CONCATENATE(SP_ENV_Lib[[#This Row],[Environmental Tract No.]],"_",SP_ENV_Lib[[#This Row],[ACQ Document Type]])</f>
        <v>104_CONTACT Negotiator Report</v>
      </c>
      <c r="B238" s="14" t="s">
        <v>3745</v>
      </c>
      <c r="C238" s="169" t="s">
        <v>3031</v>
      </c>
      <c r="D238" s="12" t="s">
        <v>3032</v>
      </c>
      <c r="E238" s="166" t="s">
        <v>865</v>
      </c>
      <c r="F238" s="8" t="s">
        <v>1068</v>
      </c>
      <c r="G238" s="8" t="s">
        <v>1067</v>
      </c>
      <c r="H238" s="52" t="s">
        <v>592</v>
      </c>
      <c r="I238" s="57"/>
      <c r="J238" s="57"/>
      <c r="K238" s="167"/>
      <c r="L238" s="8"/>
      <c r="M238" s="8" t="s">
        <v>1744</v>
      </c>
      <c r="N238" s="26">
        <v>43878.491527777776</v>
      </c>
      <c r="O238" s="8" t="s">
        <v>1744</v>
      </c>
      <c r="P238" s="26">
        <v>43868.604953703703</v>
      </c>
      <c r="Q238" s="65">
        <v>40990</v>
      </c>
      <c r="R238" s="14" t="s">
        <v>4058</v>
      </c>
      <c r="S238" s="168">
        <v>736</v>
      </c>
      <c r="T238" s="52" t="s">
        <v>3512</v>
      </c>
      <c r="U238" s="8" t="s">
        <v>3564</v>
      </c>
    </row>
    <row r="239" spans="1:21" ht="15" hidden="1" x14ac:dyDescent="0.2">
      <c r="A239" s="170" t="str">
        <f>CONCATENATE(SP_ENV_Lib[[#This Row],[Environmental Tract No.]],"_",SP_ENV_Lib[[#This Row],[ACQ Document Type]])</f>
        <v>104_ENVIRONMENTAL Right-of-Entry Executed</v>
      </c>
      <c r="B239" s="14" t="s">
        <v>4238</v>
      </c>
      <c r="C239" s="169" t="s">
        <v>3031</v>
      </c>
      <c r="D239" s="12" t="s">
        <v>3032</v>
      </c>
      <c r="E239" s="166" t="s">
        <v>2682</v>
      </c>
      <c r="F239" s="8" t="s">
        <v>2683</v>
      </c>
      <c r="G239" s="8" t="s">
        <v>2681</v>
      </c>
      <c r="H239" s="52" t="s">
        <v>592</v>
      </c>
      <c r="I239" s="57">
        <v>43887</v>
      </c>
      <c r="J239" s="57"/>
      <c r="K239" s="167"/>
      <c r="L239" s="8"/>
      <c r="M239" s="8" t="s">
        <v>4205</v>
      </c>
      <c r="N239" s="26">
        <v>43892.830324074072</v>
      </c>
      <c r="O239" s="8" t="s">
        <v>4205</v>
      </c>
      <c r="P239" s="26">
        <v>43892.829861111109</v>
      </c>
      <c r="Q239" s="65">
        <v>1785584</v>
      </c>
      <c r="R239" s="14" t="s">
        <v>4297</v>
      </c>
      <c r="S239" s="168">
        <v>1201</v>
      </c>
      <c r="T239" s="52" t="s">
        <v>3512</v>
      </c>
      <c r="U239" s="8" t="s">
        <v>3564</v>
      </c>
    </row>
    <row r="240" spans="1:21" ht="15" hidden="1" x14ac:dyDescent="0.2">
      <c r="A240" s="170" t="str">
        <f>CONCATENATE(SP_ENV_Lib[[#This Row],[Environmental Tract No.]],"_",SP_ENV_Lib[[#This Row],[ACQ Document Type]])</f>
        <v>104_ENVIRONMENTAL Right-of-Entry Package</v>
      </c>
      <c r="B240" s="14" t="s">
        <v>4377</v>
      </c>
      <c r="C240" s="169" t="s">
        <v>3031</v>
      </c>
      <c r="D240" s="12" t="s">
        <v>3032</v>
      </c>
      <c r="E240" s="166" t="s">
        <v>2682</v>
      </c>
      <c r="F240" s="8" t="s">
        <v>2687</v>
      </c>
      <c r="G240" s="8" t="s">
        <v>2686</v>
      </c>
      <c r="H240" s="52" t="s">
        <v>592</v>
      </c>
      <c r="I240" s="57">
        <v>43845</v>
      </c>
      <c r="J240" s="57">
        <v>43853</v>
      </c>
      <c r="K240" s="167"/>
      <c r="L240" s="8" t="s">
        <v>4346</v>
      </c>
      <c r="M240" s="8" t="s">
        <v>4206</v>
      </c>
      <c r="N240" s="26">
        <v>43896.563807870371</v>
      </c>
      <c r="O240" s="8" t="s">
        <v>4206</v>
      </c>
      <c r="P240" s="26">
        <v>43896.509282407409</v>
      </c>
      <c r="Q240" s="65">
        <v>1043545</v>
      </c>
      <c r="R240" s="14" t="s">
        <v>4421</v>
      </c>
      <c r="S240" s="168">
        <v>1283</v>
      </c>
      <c r="T240" s="52" t="s">
        <v>3512</v>
      </c>
      <c r="U240" s="8" t="s">
        <v>3564</v>
      </c>
    </row>
    <row r="241" spans="1:21" ht="15" x14ac:dyDescent="0.2">
      <c r="A241" s="170" t="str">
        <f>CONCATENATE(SP_ENV_Lib[[#This Row],[Environmental Tract No.]],"_",SP_ENV_Lib[[#This Row],[ACQ Document Type]])</f>
        <v>104_TITLE Tax Card</v>
      </c>
      <c r="B241" s="14" t="s">
        <v>3746</v>
      </c>
      <c r="C241" s="169" t="s">
        <v>3031</v>
      </c>
      <c r="D241" s="12" t="s">
        <v>3032</v>
      </c>
      <c r="E241" s="166" t="s">
        <v>861</v>
      </c>
      <c r="F241" s="8" t="s">
        <v>1150</v>
      </c>
      <c r="G241" s="8" t="s">
        <v>1149</v>
      </c>
      <c r="H241" s="52" t="s">
        <v>592</v>
      </c>
      <c r="I241" s="57"/>
      <c r="J241" s="57"/>
      <c r="K241" s="167"/>
      <c r="L241" s="8"/>
      <c r="M241" s="8" t="s">
        <v>4206</v>
      </c>
      <c r="N241" s="26">
        <v>43872.435578703706</v>
      </c>
      <c r="O241" s="8" t="s">
        <v>4206</v>
      </c>
      <c r="P241" s="26">
        <v>43871.529745370368</v>
      </c>
      <c r="Q241" s="65">
        <v>731090</v>
      </c>
      <c r="R241" s="14" t="s">
        <v>4059</v>
      </c>
      <c r="S241" s="168">
        <v>856</v>
      </c>
      <c r="T241" s="52" t="s">
        <v>3512</v>
      </c>
      <c r="U241" s="8" t="s">
        <v>3564</v>
      </c>
    </row>
    <row r="242" spans="1:21" ht="15" x14ac:dyDescent="0.2">
      <c r="A242" s="170" t="str">
        <f>CONCATENATE(SP_ENV_Lib[[#This Row],[Environmental Tract No.]],"_",SP_ENV_Lib[[#This Row],[ACQ Document Type]])</f>
        <v>105_CONTACT Negotiator Report</v>
      </c>
      <c r="B242" s="14" t="s">
        <v>3747</v>
      </c>
      <c r="C242" s="169" t="s">
        <v>3036</v>
      </c>
      <c r="D242" s="12" t="s">
        <v>3037</v>
      </c>
      <c r="E242" s="166" t="s">
        <v>865</v>
      </c>
      <c r="F242" s="8" t="s">
        <v>1068</v>
      </c>
      <c r="G242" s="8" t="s">
        <v>1067</v>
      </c>
      <c r="H242" s="52" t="s">
        <v>592</v>
      </c>
      <c r="I242" s="57"/>
      <c r="J242" s="57"/>
      <c r="K242" s="167"/>
      <c r="L242" s="8"/>
      <c r="M242" s="8" t="s">
        <v>1744</v>
      </c>
      <c r="N242" s="26">
        <v>43874.700555555559</v>
      </c>
      <c r="O242" s="8" t="s">
        <v>1744</v>
      </c>
      <c r="P242" s="26">
        <v>43868.60496527778</v>
      </c>
      <c r="Q242" s="65">
        <v>40663</v>
      </c>
      <c r="R242" s="14" t="s">
        <v>4060</v>
      </c>
      <c r="S242" s="168">
        <v>737</v>
      </c>
      <c r="T242" s="52" t="s">
        <v>3512</v>
      </c>
      <c r="U242" s="8" t="s">
        <v>3564</v>
      </c>
    </row>
    <row r="243" spans="1:21" ht="15" hidden="1" x14ac:dyDescent="0.2">
      <c r="A243" s="170" t="str">
        <f>CONCATENATE(SP_ENV_Lib[[#This Row],[Environmental Tract No.]],"_",SP_ENV_Lib[[#This Row],[ACQ Document Type]])</f>
        <v>105_ENVIRONMENTAL Right-of-Entry Executed</v>
      </c>
      <c r="B243" s="14" t="s">
        <v>4239</v>
      </c>
      <c r="C243" s="169" t="s">
        <v>3036</v>
      </c>
      <c r="D243" s="12" t="s">
        <v>3037</v>
      </c>
      <c r="E243" s="166" t="s">
        <v>2682</v>
      </c>
      <c r="F243" s="8" t="s">
        <v>2683</v>
      </c>
      <c r="G243" s="8" t="s">
        <v>2681</v>
      </c>
      <c r="H243" s="52" t="s">
        <v>592</v>
      </c>
      <c r="I243" s="57">
        <v>43874</v>
      </c>
      <c r="J243" s="57"/>
      <c r="K243" s="167"/>
      <c r="L243" s="8"/>
      <c r="M243" s="8" t="s">
        <v>4205</v>
      </c>
      <c r="N243" s="26">
        <v>43892.831377314818</v>
      </c>
      <c r="O243" s="8" t="s">
        <v>4205</v>
      </c>
      <c r="P243" s="26">
        <v>43892.830914351849</v>
      </c>
      <c r="Q243" s="65">
        <v>547908</v>
      </c>
      <c r="R243" s="14" t="s">
        <v>4298</v>
      </c>
      <c r="S243" s="168">
        <v>1202</v>
      </c>
      <c r="T243" s="52" t="s">
        <v>3512</v>
      </c>
      <c r="U243" s="8" t="s">
        <v>3564</v>
      </c>
    </row>
    <row r="244" spans="1:21" ht="15" hidden="1" x14ac:dyDescent="0.2">
      <c r="A244" s="170" t="str">
        <f>CONCATENATE(SP_ENV_Lib[[#This Row],[Environmental Tract No.]],"_",SP_ENV_Lib[[#This Row],[ACQ Document Type]])</f>
        <v>105_ENVIRONMENTAL Right-of-Entry Package</v>
      </c>
      <c r="B244" s="14" t="s">
        <v>3748</v>
      </c>
      <c r="C244" s="169" t="s">
        <v>3036</v>
      </c>
      <c r="D244" s="12" t="s">
        <v>3037</v>
      </c>
      <c r="E244" s="166" t="s">
        <v>2682</v>
      </c>
      <c r="F244" s="8" t="s">
        <v>2687</v>
      </c>
      <c r="G244" s="8" t="s">
        <v>2686</v>
      </c>
      <c r="H244" s="52" t="s">
        <v>592</v>
      </c>
      <c r="I244" s="57">
        <v>43845</v>
      </c>
      <c r="J244" s="57">
        <v>43846</v>
      </c>
      <c r="K244" s="167"/>
      <c r="L244" s="8"/>
      <c r="M244" s="8" t="s">
        <v>4206</v>
      </c>
      <c r="N244" s="26">
        <v>43874.532893518517</v>
      </c>
      <c r="O244" s="8" t="s">
        <v>4206</v>
      </c>
      <c r="P244" s="26">
        <v>43873.523460648146</v>
      </c>
      <c r="Q244" s="65">
        <v>885981</v>
      </c>
      <c r="R244" s="14" t="s">
        <v>4061</v>
      </c>
      <c r="S244" s="168">
        <v>1035</v>
      </c>
      <c r="T244" s="52" t="s">
        <v>3512</v>
      </c>
      <c r="U244" s="8" t="s">
        <v>3564</v>
      </c>
    </row>
    <row r="245" spans="1:21" ht="15" x14ac:dyDescent="0.2">
      <c r="A245" s="170" t="str">
        <f>CONCATENATE(SP_ENV_Lib[[#This Row],[Environmental Tract No.]],"_",SP_ENV_Lib[[#This Row],[ACQ Document Type]])</f>
        <v>105_TITLE Tax Card</v>
      </c>
      <c r="B245" s="14" t="s">
        <v>3749</v>
      </c>
      <c r="C245" s="169" t="s">
        <v>3036</v>
      </c>
      <c r="D245" s="12" t="s">
        <v>3037</v>
      </c>
      <c r="E245" s="166" t="s">
        <v>861</v>
      </c>
      <c r="F245" s="8" t="s">
        <v>1150</v>
      </c>
      <c r="G245" s="8" t="s">
        <v>1149</v>
      </c>
      <c r="H245" s="52" t="s">
        <v>592</v>
      </c>
      <c r="I245" s="57"/>
      <c r="J245" s="57"/>
      <c r="K245" s="167"/>
      <c r="L245" s="8"/>
      <c r="M245" s="8" t="s">
        <v>4206</v>
      </c>
      <c r="N245" s="26">
        <v>43872.43545138889</v>
      </c>
      <c r="O245" s="8" t="s">
        <v>4206</v>
      </c>
      <c r="P245" s="26">
        <v>43871.529317129629</v>
      </c>
      <c r="Q245" s="65">
        <v>629413</v>
      </c>
      <c r="R245" s="14" t="s">
        <v>4062</v>
      </c>
      <c r="S245" s="168">
        <v>824</v>
      </c>
      <c r="T245" s="52" t="s">
        <v>3512</v>
      </c>
      <c r="U245" s="8" t="s">
        <v>3564</v>
      </c>
    </row>
    <row r="246" spans="1:21" ht="15" x14ac:dyDescent="0.2">
      <c r="A246" s="170" t="str">
        <f>CONCATENATE(SP_ENV_Lib[[#This Row],[Environmental Tract No.]],"_",SP_ENV_Lib[[#This Row],[ACQ Document Type]])</f>
        <v>106_CONTACT Negotiator Report</v>
      </c>
      <c r="B246" s="14" t="s">
        <v>3750</v>
      </c>
      <c r="C246" s="169" t="s">
        <v>3041</v>
      </c>
      <c r="D246" s="12" t="s">
        <v>3571</v>
      </c>
      <c r="E246" s="166" t="s">
        <v>865</v>
      </c>
      <c r="F246" s="8" t="s">
        <v>1068</v>
      </c>
      <c r="G246" s="8" t="s">
        <v>1067</v>
      </c>
      <c r="H246" s="52" t="s">
        <v>592</v>
      </c>
      <c r="I246" s="57"/>
      <c r="J246" s="57"/>
      <c r="K246" s="167"/>
      <c r="L246" s="8" t="s">
        <v>3570</v>
      </c>
      <c r="M246" s="8" t="s">
        <v>1744</v>
      </c>
      <c r="N246" s="26">
        <v>43874.703831018516</v>
      </c>
      <c r="O246" s="8" t="s">
        <v>1744</v>
      </c>
      <c r="P246" s="26">
        <v>43874.702361111114</v>
      </c>
      <c r="Q246" s="65">
        <v>44119</v>
      </c>
      <c r="R246" s="14" t="s">
        <v>4063</v>
      </c>
      <c r="S246" s="168">
        <v>1104</v>
      </c>
      <c r="T246" s="52" t="s">
        <v>3512</v>
      </c>
      <c r="U246" s="8" t="s">
        <v>3564</v>
      </c>
    </row>
    <row r="247" spans="1:21" ht="15" hidden="1" x14ac:dyDescent="0.2">
      <c r="A247" s="170" t="str">
        <f>CONCATENATE(SP_ENV_Lib[[#This Row],[Environmental Tract No.]],"_",SP_ENV_Lib[[#This Row],[ACQ Document Type]])</f>
        <v>106_ENVIRONMENTAL Right-of-Entry Executed</v>
      </c>
      <c r="B247" s="14" t="s">
        <v>4240</v>
      </c>
      <c r="C247" s="169" t="s">
        <v>3041</v>
      </c>
      <c r="D247" s="12" t="s">
        <v>3042</v>
      </c>
      <c r="E247" s="166" t="s">
        <v>2682</v>
      </c>
      <c r="F247" s="8" t="s">
        <v>2683</v>
      </c>
      <c r="G247" s="8" t="s">
        <v>2681</v>
      </c>
      <c r="H247" s="52" t="s">
        <v>592</v>
      </c>
      <c r="I247" s="57">
        <v>43874</v>
      </c>
      <c r="J247" s="57"/>
      <c r="K247" s="167"/>
      <c r="L247" s="8"/>
      <c r="M247" s="8" t="s">
        <v>4205</v>
      </c>
      <c r="N247" s="26">
        <v>43892.832256944443</v>
      </c>
      <c r="O247" s="8" t="s">
        <v>4205</v>
      </c>
      <c r="P247" s="26">
        <v>43892.831875000003</v>
      </c>
      <c r="Q247" s="65">
        <v>550238</v>
      </c>
      <c r="R247" s="14" t="s">
        <v>4299</v>
      </c>
      <c r="S247" s="168">
        <v>1203</v>
      </c>
      <c r="T247" s="52" t="s">
        <v>3512</v>
      </c>
      <c r="U247" s="8" t="s">
        <v>3564</v>
      </c>
    </row>
    <row r="248" spans="1:21" ht="15" hidden="1" x14ac:dyDescent="0.2">
      <c r="A248" s="170" t="str">
        <f>CONCATENATE(SP_ENV_Lib[[#This Row],[Environmental Tract No.]],"_",SP_ENV_Lib[[#This Row],[ACQ Document Type]])</f>
        <v>106_ENVIRONMENTAL Right-of-Entry Package</v>
      </c>
      <c r="B248" s="14" t="s">
        <v>3751</v>
      </c>
      <c r="C248" s="169" t="s">
        <v>3041</v>
      </c>
      <c r="D248" s="12" t="s">
        <v>3042</v>
      </c>
      <c r="E248" s="166" t="s">
        <v>2682</v>
      </c>
      <c r="F248" s="8" t="s">
        <v>2687</v>
      </c>
      <c r="G248" s="8" t="s">
        <v>2686</v>
      </c>
      <c r="H248" s="52" t="s">
        <v>592</v>
      </c>
      <c r="I248" s="57">
        <v>43845</v>
      </c>
      <c r="J248" s="57">
        <v>43846</v>
      </c>
      <c r="K248" s="167"/>
      <c r="L248" s="8"/>
      <c r="M248" s="8" t="s">
        <v>4206</v>
      </c>
      <c r="N248" s="26">
        <v>43874.532650462963</v>
      </c>
      <c r="O248" s="8" t="s">
        <v>4206</v>
      </c>
      <c r="P248" s="26">
        <v>43873.523506944446</v>
      </c>
      <c r="Q248" s="65">
        <v>985858</v>
      </c>
      <c r="R248" s="14" t="s">
        <v>4064</v>
      </c>
      <c r="S248" s="168">
        <v>1036</v>
      </c>
      <c r="T248" s="52" t="s">
        <v>3512</v>
      </c>
      <c r="U248" s="8" t="s">
        <v>3564</v>
      </c>
    </row>
    <row r="249" spans="1:21" ht="15" x14ac:dyDescent="0.2">
      <c r="A249" s="170" t="str">
        <f>CONCATENATE(SP_ENV_Lib[[#This Row],[Environmental Tract No.]],"_",SP_ENV_Lib[[#This Row],[ACQ Document Type]])</f>
        <v>106_TITLE Tax Card</v>
      </c>
      <c r="B249" s="14" t="s">
        <v>3752</v>
      </c>
      <c r="C249" s="169" t="s">
        <v>3041</v>
      </c>
      <c r="D249" s="12" t="s">
        <v>3042</v>
      </c>
      <c r="E249" s="166" t="s">
        <v>861</v>
      </c>
      <c r="F249" s="8" t="s">
        <v>1150</v>
      </c>
      <c r="G249" s="8" t="s">
        <v>1149</v>
      </c>
      <c r="H249" s="52" t="s">
        <v>592</v>
      </c>
      <c r="I249" s="57"/>
      <c r="J249" s="57"/>
      <c r="K249" s="167"/>
      <c r="L249" s="8"/>
      <c r="M249" s="8" t="s">
        <v>4206</v>
      </c>
      <c r="N249" s="26">
        <v>43872.435324074075</v>
      </c>
      <c r="O249" s="8" t="s">
        <v>4206</v>
      </c>
      <c r="P249" s="26">
        <v>43871.529328703706</v>
      </c>
      <c r="Q249" s="65">
        <v>731368</v>
      </c>
      <c r="R249" s="14" t="s">
        <v>4065</v>
      </c>
      <c r="S249" s="168">
        <v>825</v>
      </c>
      <c r="T249" s="52" t="s">
        <v>3512</v>
      </c>
      <c r="U249" s="8" t="s">
        <v>3564</v>
      </c>
    </row>
    <row r="250" spans="1:21" ht="15" hidden="1" x14ac:dyDescent="0.2">
      <c r="A250" s="170" t="str">
        <f>CONCATENATE(SP_ENV_Lib[[#This Row],[Environmental Tract No.]],"_",SP_ENV_Lib[[#This Row],[ACQ Document Type]])</f>
        <v>107_ENVIRONMENTAL Right-of-Entry Executed</v>
      </c>
      <c r="B250" s="14" t="s">
        <v>4241</v>
      </c>
      <c r="C250" s="169" t="s">
        <v>3046</v>
      </c>
      <c r="D250" s="12" t="s">
        <v>3047</v>
      </c>
      <c r="E250" s="166" t="s">
        <v>2682</v>
      </c>
      <c r="F250" s="8" t="s">
        <v>2683</v>
      </c>
      <c r="G250" s="8" t="s">
        <v>2681</v>
      </c>
      <c r="H250" s="52" t="s">
        <v>592</v>
      </c>
      <c r="I250" s="57">
        <v>43874</v>
      </c>
      <c r="J250" s="57"/>
      <c r="K250" s="167"/>
      <c r="L250" s="8"/>
      <c r="M250" s="8" t="s">
        <v>4205</v>
      </c>
      <c r="N250" s="26">
        <v>43892.833101851851</v>
      </c>
      <c r="O250" s="8" t="s">
        <v>4205</v>
      </c>
      <c r="P250" s="26">
        <v>43892.832627314812</v>
      </c>
      <c r="Q250" s="65">
        <v>551064</v>
      </c>
      <c r="R250" s="14" t="s">
        <v>4300</v>
      </c>
      <c r="S250" s="168">
        <v>1204</v>
      </c>
      <c r="T250" s="52" t="s">
        <v>3512</v>
      </c>
      <c r="U250" s="8" t="s">
        <v>3564</v>
      </c>
    </row>
    <row r="251" spans="1:21" ht="15" hidden="1" x14ac:dyDescent="0.2">
      <c r="A251" s="170" t="str">
        <f>CONCATENATE(SP_ENV_Lib[[#This Row],[Environmental Tract No.]],"_",SP_ENV_Lib[[#This Row],[ACQ Document Type]])</f>
        <v>107_ENVIRONMENTAL Right-of-Entry Package</v>
      </c>
      <c r="B251" s="14" t="s">
        <v>3753</v>
      </c>
      <c r="C251" s="169" t="s">
        <v>3046</v>
      </c>
      <c r="D251" s="12" t="s">
        <v>3047</v>
      </c>
      <c r="E251" s="166" t="s">
        <v>2682</v>
      </c>
      <c r="F251" s="8" t="s">
        <v>2687</v>
      </c>
      <c r="G251" s="8" t="s">
        <v>2686</v>
      </c>
      <c r="H251" s="52" t="s">
        <v>592</v>
      </c>
      <c r="I251" s="57">
        <v>43845</v>
      </c>
      <c r="J251" s="57">
        <v>43847</v>
      </c>
      <c r="K251" s="167"/>
      <c r="L251" s="8"/>
      <c r="M251" s="8" t="s">
        <v>4206</v>
      </c>
      <c r="N251" s="26">
        <v>43874.532395833332</v>
      </c>
      <c r="O251" s="8" t="s">
        <v>4206</v>
      </c>
      <c r="P251" s="26">
        <v>43873.523541666669</v>
      </c>
      <c r="Q251" s="65">
        <v>953295</v>
      </c>
      <c r="R251" s="14" t="s">
        <v>4066</v>
      </c>
      <c r="S251" s="168">
        <v>1037</v>
      </c>
      <c r="T251" s="52" t="s">
        <v>3512</v>
      </c>
      <c r="U251" s="8" t="s">
        <v>3564</v>
      </c>
    </row>
    <row r="252" spans="1:21" ht="15" x14ac:dyDescent="0.2">
      <c r="A252" s="170" t="str">
        <f>CONCATENATE(SP_ENV_Lib[[#This Row],[Environmental Tract No.]],"_",SP_ENV_Lib[[#This Row],[ACQ Document Type]])</f>
        <v>107_TITLE Tax Card</v>
      </c>
      <c r="B252" s="14" t="s">
        <v>3754</v>
      </c>
      <c r="C252" s="169" t="s">
        <v>3046</v>
      </c>
      <c r="D252" s="12" t="s">
        <v>3047</v>
      </c>
      <c r="E252" s="166" t="s">
        <v>861</v>
      </c>
      <c r="F252" s="8" t="s">
        <v>1150</v>
      </c>
      <c r="G252" s="8" t="s">
        <v>1149</v>
      </c>
      <c r="H252" s="52" t="s">
        <v>592</v>
      </c>
      <c r="I252" s="57"/>
      <c r="J252" s="57"/>
      <c r="K252" s="167"/>
      <c r="L252" s="8"/>
      <c r="M252" s="8" t="s">
        <v>4206</v>
      </c>
      <c r="N252" s="26">
        <v>43872.435104166667</v>
      </c>
      <c r="O252" s="8" t="s">
        <v>4206</v>
      </c>
      <c r="P252" s="26">
        <v>43871.529340277775</v>
      </c>
      <c r="Q252" s="65">
        <v>700639</v>
      </c>
      <c r="R252" s="14" t="s">
        <v>4067</v>
      </c>
      <c r="S252" s="168">
        <v>826</v>
      </c>
      <c r="T252" s="52" t="s">
        <v>3512</v>
      </c>
      <c r="U252" s="8" t="s">
        <v>3564</v>
      </c>
    </row>
    <row r="253" spans="1:21" ht="15" x14ac:dyDescent="0.2">
      <c r="A253" s="170" t="str">
        <f>CONCATENATE(SP_ENV_Lib[[#This Row],[Environmental Tract No.]],"_",SP_ENV_Lib[[#This Row],[ACQ Document Type]])</f>
        <v>108_CONTACT Negotiator Report</v>
      </c>
      <c r="B253" s="14" t="s">
        <v>3755</v>
      </c>
      <c r="C253" s="169" t="s">
        <v>3051</v>
      </c>
      <c r="D253" s="12" t="s">
        <v>3052</v>
      </c>
      <c r="E253" s="166" t="s">
        <v>865</v>
      </c>
      <c r="F253" s="8" t="s">
        <v>1068</v>
      </c>
      <c r="G253" s="8" t="s">
        <v>1067</v>
      </c>
      <c r="H253" s="52" t="s">
        <v>592</v>
      </c>
      <c r="I253" s="57"/>
      <c r="J253" s="57"/>
      <c r="K253" s="167"/>
      <c r="L253" s="8"/>
      <c r="M253" s="8" t="s">
        <v>4206</v>
      </c>
      <c r="N253" s="26">
        <v>43872.449814814812</v>
      </c>
      <c r="O253" s="8" t="s">
        <v>1744</v>
      </c>
      <c r="P253" s="26">
        <v>43868.60497685185</v>
      </c>
      <c r="Q253" s="65">
        <v>40728</v>
      </c>
      <c r="R253" s="14" t="s">
        <v>4068</v>
      </c>
      <c r="S253" s="168">
        <v>738</v>
      </c>
      <c r="T253" s="52" t="s">
        <v>3512</v>
      </c>
      <c r="U253" s="8" t="s">
        <v>3564</v>
      </c>
    </row>
    <row r="254" spans="1:21" ht="15" hidden="1" x14ac:dyDescent="0.2">
      <c r="A254" s="170" t="str">
        <f>CONCATENATE(SP_ENV_Lib[[#This Row],[Environmental Tract No.]],"_",SP_ENV_Lib[[#This Row],[ACQ Document Type]])</f>
        <v>108_ENVIRONMENTAL Right-of-Entry Executed</v>
      </c>
      <c r="B254" s="14" t="s">
        <v>4242</v>
      </c>
      <c r="C254" s="169" t="s">
        <v>3051</v>
      </c>
      <c r="D254" s="12" t="s">
        <v>3052</v>
      </c>
      <c r="E254" s="166" t="s">
        <v>2682</v>
      </c>
      <c r="F254" s="8" t="s">
        <v>2683</v>
      </c>
      <c r="G254" s="8" t="s">
        <v>2681</v>
      </c>
      <c r="H254" s="52" t="s">
        <v>592</v>
      </c>
      <c r="I254" s="57">
        <v>43880</v>
      </c>
      <c r="J254" s="57"/>
      <c r="K254" s="167"/>
      <c r="L254" s="8"/>
      <c r="M254" s="8" t="s">
        <v>4205</v>
      </c>
      <c r="N254" s="26">
        <v>43892.835162037038</v>
      </c>
      <c r="O254" s="8" t="s">
        <v>4205</v>
      </c>
      <c r="P254" s="26">
        <v>43892.834502314814</v>
      </c>
      <c r="Q254" s="65">
        <v>2182621</v>
      </c>
      <c r="R254" s="14" t="s">
        <v>4301</v>
      </c>
      <c r="S254" s="168">
        <v>1205</v>
      </c>
      <c r="T254" s="52" t="s">
        <v>3512</v>
      </c>
      <c r="U254" s="8" t="s">
        <v>3564</v>
      </c>
    </row>
    <row r="255" spans="1:21" ht="15" hidden="1" x14ac:dyDescent="0.2">
      <c r="A255" s="170" t="str">
        <f>CONCATENATE(SP_ENV_Lib[[#This Row],[Environmental Tract No.]],"_",SP_ENV_Lib[[#This Row],[ACQ Document Type]])</f>
        <v>108_ENVIRONMENTAL Right-of-Entry Package</v>
      </c>
      <c r="B255" s="14" t="s">
        <v>3756</v>
      </c>
      <c r="C255" s="169" t="s">
        <v>3051</v>
      </c>
      <c r="D255" s="12" t="s">
        <v>3052</v>
      </c>
      <c r="E255" s="166" t="s">
        <v>2682</v>
      </c>
      <c r="F255" s="8" t="s">
        <v>2687</v>
      </c>
      <c r="G255" s="8" t="s">
        <v>2686</v>
      </c>
      <c r="H255" s="52" t="s">
        <v>592</v>
      </c>
      <c r="I255" s="57">
        <v>43845</v>
      </c>
      <c r="J255" s="57">
        <v>43851</v>
      </c>
      <c r="K255" s="167"/>
      <c r="L255" s="8"/>
      <c r="M255" s="8" t="s">
        <v>4206</v>
      </c>
      <c r="N255" s="26">
        <v>43874.532094907408</v>
      </c>
      <c r="O255" s="8" t="s">
        <v>4206</v>
      </c>
      <c r="P255" s="26">
        <v>43873.521296296298</v>
      </c>
      <c r="Q255" s="65">
        <v>1042267</v>
      </c>
      <c r="R255" s="14" t="s">
        <v>4069</v>
      </c>
      <c r="S255" s="168">
        <v>966</v>
      </c>
      <c r="T255" s="52" t="s">
        <v>3512</v>
      </c>
      <c r="U255" s="8" t="s">
        <v>3564</v>
      </c>
    </row>
    <row r="256" spans="1:21" ht="15" x14ac:dyDescent="0.2">
      <c r="A256" s="170" t="str">
        <f>CONCATENATE(SP_ENV_Lib[[#This Row],[Environmental Tract No.]],"_",SP_ENV_Lib[[#This Row],[ACQ Document Type]])</f>
        <v>108_TITLE Tax Card</v>
      </c>
      <c r="B256" s="14" t="s">
        <v>3757</v>
      </c>
      <c r="C256" s="169" t="s">
        <v>3051</v>
      </c>
      <c r="D256" s="12" t="s">
        <v>3052</v>
      </c>
      <c r="E256" s="166" t="s">
        <v>861</v>
      </c>
      <c r="F256" s="8" t="s">
        <v>1150</v>
      </c>
      <c r="G256" s="8" t="s">
        <v>1149</v>
      </c>
      <c r="H256" s="52" t="s">
        <v>592</v>
      </c>
      <c r="I256" s="57"/>
      <c r="J256" s="57"/>
      <c r="K256" s="167"/>
      <c r="L256" s="8"/>
      <c r="M256" s="8" t="s">
        <v>4206</v>
      </c>
      <c r="N256" s="26">
        <v>43872.435208333336</v>
      </c>
      <c r="O256" s="8" t="s">
        <v>4206</v>
      </c>
      <c r="P256" s="26">
        <v>43871.529351851852</v>
      </c>
      <c r="Q256" s="65">
        <v>787504</v>
      </c>
      <c r="R256" s="14" t="s">
        <v>4070</v>
      </c>
      <c r="S256" s="168">
        <v>827</v>
      </c>
      <c r="T256" s="52" t="s">
        <v>3512</v>
      </c>
      <c r="U256" s="8" t="s">
        <v>3564</v>
      </c>
    </row>
    <row r="257" spans="1:21" ht="15" x14ac:dyDescent="0.2">
      <c r="A257" s="170" t="str">
        <f>CONCATENATE(SP_ENV_Lib[[#This Row],[Environmental Tract No.]],"_",SP_ENV_Lib[[#This Row],[ACQ Document Type]])</f>
        <v>109_CONTACT Negotiator Report</v>
      </c>
      <c r="B257" s="14" t="s">
        <v>3758</v>
      </c>
      <c r="C257" s="169" t="s">
        <v>3056</v>
      </c>
      <c r="D257" s="12" t="s">
        <v>3057</v>
      </c>
      <c r="E257" s="166" t="s">
        <v>865</v>
      </c>
      <c r="F257" s="8" t="s">
        <v>1068</v>
      </c>
      <c r="G257" s="8" t="s">
        <v>1067</v>
      </c>
      <c r="H257" s="52" t="s">
        <v>592</v>
      </c>
      <c r="I257" s="57"/>
      <c r="J257" s="57"/>
      <c r="K257" s="167"/>
      <c r="L257" s="8"/>
      <c r="M257" s="8" t="s">
        <v>1744</v>
      </c>
      <c r="N257" s="26">
        <v>43875.516979166663</v>
      </c>
      <c r="O257" s="8" t="s">
        <v>1744</v>
      </c>
      <c r="P257" s="26">
        <v>43868.60497685185</v>
      </c>
      <c r="Q257" s="65">
        <v>40392</v>
      </c>
      <c r="R257" s="14" t="s">
        <v>4071</v>
      </c>
      <c r="S257" s="168">
        <v>739</v>
      </c>
      <c r="T257" s="52" t="s">
        <v>3512</v>
      </c>
      <c r="U257" s="8" t="s">
        <v>3564</v>
      </c>
    </row>
    <row r="258" spans="1:21" ht="15" hidden="1" x14ac:dyDescent="0.2">
      <c r="A258" s="170" t="str">
        <f>CONCATENATE(SP_ENV_Lib[[#This Row],[Environmental Tract No.]],"_",SP_ENV_Lib[[#This Row],[ACQ Document Type]])</f>
        <v>109_ENVIRONMENTAL Right-of-Entry Executed</v>
      </c>
      <c r="B258" s="14" t="s">
        <v>4243</v>
      </c>
      <c r="C258" s="169" t="s">
        <v>3056</v>
      </c>
      <c r="D258" s="12" t="s">
        <v>3057</v>
      </c>
      <c r="E258" s="166" t="s">
        <v>2682</v>
      </c>
      <c r="F258" s="8" t="s">
        <v>2683</v>
      </c>
      <c r="G258" s="8" t="s">
        <v>2681</v>
      </c>
      <c r="H258" s="52" t="s">
        <v>592</v>
      </c>
      <c r="I258" s="57">
        <v>43867</v>
      </c>
      <c r="J258" s="57"/>
      <c r="K258" s="167"/>
      <c r="L258" s="8"/>
      <c r="M258" s="8" t="s">
        <v>4205</v>
      </c>
      <c r="N258" s="26">
        <v>43892.836562500001</v>
      </c>
      <c r="O258" s="8" t="s">
        <v>4205</v>
      </c>
      <c r="P258" s="26">
        <v>43892.835833333331</v>
      </c>
      <c r="Q258" s="65">
        <v>1338859</v>
      </c>
      <c r="R258" s="14" t="s">
        <v>4302</v>
      </c>
      <c r="S258" s="168">
        <v>1206</v>
      </c>
      <c r="T258" s="52" t="s">
        <v>3512</v>
      </c>
      <c r="U258" s="8" t="s">
        <v>3564</v>
      </c>
    </row>
    <row r="259" spans="1:21" ht="15" hidden="1" x14ac:dyDescent="0.2">
      <c r="A259" s="170" t="str">
        <f>CONCATENATE(SP_ENV_Lib[[#This Row],[Environmental Tract No.]],"_",SP_ENV_Lib[[#This Row],[ACQ Document Type]])</f>
        <v>109_ENVIRONMENTAL Right-of-Entry Package</v>
      </c>
      <c r="B259" s="14" t="s">
        <v>4378</v>
      </c>
      <c r="C259" s="169" t="s">
        <v>3056</v>
      </c>
      <c r="D259" s="12" t="s">
        <v>3057</v>
      </c>
      <c r="E259" s="166" t="s">
        <v>2682</v>
      </c>
      <c r="F259" s="8" t="s">
        <v>2687</v>
      </c>
      <c r="G259" s="8" t="s">
        <v>2686</v>
      </c>
      <c r="H259" s="52" t="s">
        <v>592</v>
      </c>
      <c r="I259" s="57">
        <v>43845</v>
      </c>
      <c r="J259" s="57">
        <v>43877</v>
      </c>
      <c r="K259" s="167"/>
      <c r="L259" s="8" t="s">
        <v>4346</v>
      </c>
      <c r="M259" s="8" t="s">
        <v>4206</v>
      </c>
      <c r="N259" s="26">
        <v>43979.368159722224</v>
      </c>
      <c r="O259" s="8" t="s">
        <v>4206</v>
      </c>
      <c r="P259" s="26">
        <v>43896.509293981479</v>
      </c>
      <c r="Q259" s="65">
        <v>1105994</v>
      </c>
      <c r="R259" s="14" t="s">
        <v>4422</v>
      </c>
      <c r="S259" s="168">
        <v>1284</v>
      </c>
      <c r="T259" s="52" t="s">
        <v>3512</v>
      </c>
      <c r="U259" s="8" t="s">
        <v>3564</v>
      </c>
    </row>
    <row r="260" spans="1:21" ht="15" x14ac:dyDescent="0.2">
      <c r="A260" s="170" t="str">
        <f>CONCATENATE(SP_ENV_Lib[[#This Row],[Environmental Tract No.]],"_",SP_ENV_Lib[[#This Row],[ACQ Document Type]])</f>
        <v>109_TITLE Tax Card</v>
      </c>
      <c r="B260" s="14" t="s">
        <v>3759</v>
      </c>
      <c r="C260" s="169" t="s">
        <v>3056</v>
      </c>
      <c r="D260" s="12" t="s">
        <v>3057</v>
      </c>
      <c r="E260" s="166" t="s">
        <v>861</v>
      </c>
      <c r="F260" s="8" t="s">
        <v>1150</v>
      </c>
      <c r="G260" s="8" t="s">
        <v>1149</v>
      </c>
      <c r="H260" s="52" t="s">
        <v>592</v>
      </c>
      <c r="I260" s="57"/>
      <c r="J260" s="57"/>
      <c r="K260" s="167"/>
      <c r="L260" s="8"/>
      <c r="M260" s="8" t="s">
        <v>4206</v>
      </c>
      <c r="N260" s="26">
        <v>43872.434988425928</v>
      </c>
      <c r="O260" s="8" t="s">
        <v>4206</v>
      </c>
      <c r="P260" s="26">
        <v>43871.529363425929</v>
      </c>
      <c r="Q260" s="65">
        <v>801152</v>
      </c>
      <c r="R260" s="14" t="s">
        <v>4072</v>
      </c>
      <c r="S260" s="168">
        <v>828</v>
      </c>
      <c r="T260" s="52" t="s">
        <v>3512</v>
      </c>
      <c r="U260" s="8" t="s">
        <v>3564</v>
      </c>
    </row>
    <row r="261" spans="1:21" ht="15" x14ac:dyDescent="0.2">
      <c r="A261" s="170" t="str">
        <f>CONCATENATE(SP_ENV_Lib[[#This Row],[Environmental Tract No.]],"_",SP_ENV_Lib[[#This Row],[ACQ Document Type]])</f>
        <v>110_CONTACT Negotiator Report</v>
      </c>
      <c r="B261" s="14" t="s">
        <v>3760</v>
      </c>
      <c r="C261" s="169" t="s">
        <v>3061</v>
      </c>
      <c r="D261" s="12" t="s">
        <v>3062</v>
      </c>
      <c r="E261" s="166" t="s">
        <v>865</v>
      </c>
      <c r="F261" s="8" t="s">
        <v>1068</v>
      </c>
      <c r="G261" s="8" t="s">
        <v>1067</v>
      </c>
      <c r="H261" s="52" t="s">
        <v>592</v>
      </c>
      <c r="I261" s="57"/>
      <c r="J261" s="57"/>
      <c r="K261" s="167"/>
      <c r="L261" s="8"/>
      <c r="M261" s="8" t="s">
        <v>4206</v>
      </c>
      <c r="N261" s="26">
        <v>43872.449629629627</v>
      </c>
      <c r="O261" s="8" t="s">
        <v>1744</v>
      </c>
      <c r="P261" s="26">
        <v>43868.604988425926</v>
      </c>
      <c r="Q261" s="65">
        <v>42177</v>
      </c>
      <c r="R261" s="14" t="s">
        <v>4073</v>
      </c>
      <c r="S261" s="168">
        <v>740</v>
      </c>
      <c r="T261" s="52" t="s">
        <v>3512</v>
      </c>
      <c r="U261" s="8" t="s">
        <v>3564</v>
      </c>
    </row>
    <row r="262" spans="1:21" ht="15" hidden="1" x14ac:dyDescent="0.2">
      <c r="A262" s="170" t="str">
        <f>CONCATENATE(SP_ENV_Lib[[#This Row],[Environmental Tract No.]],"_",SP_ENV_Lib[[#This Row],[ACQ Document Type]])</f>
        <v>110_ENVIRONMENTAL Right-of-Entry Executed</v>
      </c>
      <c r="B262" s="14" t="s">
        <v>4244</v>
      </c>
      <c r="C262" s="169" t="s">
        <v>3061</v>
      </c>
      <c r="D262" s="12" t="s">
        <v>3062</v>
      </c>
      <c r="E262" s="166" t="s">
        <v>2682</v>
      </c>
      <c r="F262" s="8" t="s">
        <v>2683</v>
      </c>
      <c r="G262" s="8" t="s">
        <v>2681</v>
      </c>
      <c r="H262" s="52" t="s">
        <v>592</v>
      </c>
      <c r="I262" s="57">
        <v>43867</v>
      </c>
      <c r="J262" s="57"/>
      <c r="K262" s="167"/>
      <c r="L262" s="8"/>
      <c r="M262" s="8" t="s">
        <v>4205</v>
      </c>
      <c r="N262" s="26">
        <v>43892.837870370371</v>
      </c>
      <c r="O262" s="8" t="s">
        <v>4205</v>
      </c>
      <c r="P262" s="26">
        <v>43892.837268518517</v>
      </c>
      <c r="Q262" s="65">
        <v>1342801</v>
      </c>
      <c r="R262" s="14" t="s">
        <v>4303</v>
      </c>
      <c r="S262" s="168">
        <v>1207</v>
      </c>
      <c r="T262" s="52" t="s">
        <v>3512</v>
      </c>
      <c r="U262" s="8" t="s">
        <v>3564</v>
      </c>
    </row>
    <row r="263" spans="1:21" ht="15" hidden="1" x14ac:dyDescent="0.2">
      <c r="A263" s="170" t="str">
        <f>CONCATENATE(SP_ENV_Lib[[#This Row],[Environmental Tract No.]],"_",SP_ENV_Lib[[#This Row],[ACQ Document Type]])</f>
        <v>110_ENVIRONMENTAL Right-of-Entry Package</v>
      </c>
      <c r="B263" s="14" t="s">
        <v>3761</v>
      </c>
      <c r="C263" s="169" t="s">
        <v>3061</v>
      </c>
      <c r="D263" s="12" t="s">
        <v>3062</v>
      </c>
      <c r="E263" s="166" t="s">
        <v>2682</v>
      </c>
      <c r="F263" s="8" t="s">
        <v>2687</v>
      </c>
      <c r="G263" s="8" t="s">
        <v>2686</v>
      </c>
      <c r="H263" s="52" t="s">
        <v>592</v>
      </c>
      <c r="I263" s="57">
        <v>43845</v>
      </c>
      <c r="J263" s="57">
        <v>43848</v>
      </c>
      <c r="K263" s="167"/>
      <c r="L263" s="8"/>
      <c r="M263" s="8" t="s">
        <v>4206</v>
      </c>
      <c r="N263" s="26">
        <v>43874.531793981485</v>
      </c>
      <c r="O263" s="8" t="s">
        <v>4206</v>
      </c>
      <c r="P263" s="26">
        <v>43873.52134259259</v>
      </c>
      <c r="Q263" s="65">
        <v>1064803</v>
      </c>
      <c r="R263" s="14" t="s">
        <v>4074</v>
      </c>
      <c r="S263" s="168">
        <v>967</v>
      </c>
      <c r="T263" s="52" t="s">
        <v>3512</v>
      </c>
      <c r="U263" s="8" t="s">
        <v>3564</v>
      </c>
    </row>
    <row r="264" spans="1:21" ht="15" x14ac:dyDescent="0.2">
      <c r="A264" s="170" t="str">
        <f>CONCATENATE(SP_ENV_Lib[[#This Row],[Environmental Tract No.]],"_",SP_ENV_Lib[[#This Row],[ACQ Document Type]])</f>
        <v>110_TITLE Tax Card</v>
      </c>
      <c r="B264" s="14" t="s">
        <v>3762</v>
      </c>
      <c r="C264" s="169" t="s">
        <v>3061</v>
      </c>
      <c r="D264" s="12" t="s">
        <v>3062</v>
      </c>
      <c r="E264" s="166" t="s">
        <v>861</v>
      </c>
      <c r="F264" s="8" t="s">
        <v>1150</v>
      </c>
      <c r="G264" s="8" t="s">
        <v>1149</v>
      </c>
      <c r="H264" s="52" t="s">
        <v>592</v>
      </c>
      <c r="I264" s="57"/>
      <c r="J264" s="57"/>
      <c r="K264" s="167"/>
      <c r="L264" s="8"/>
      <c r="M264" s="8" t="s">
        <v>4206</v>
      </c>
      <c r="N264" s="26">
        <v>43872.434872685182</v>
      </c>
      <c r="O264" s="8" t="s">
        <v>4206</v>
      </c>
      <c r="P264" s="26">
        <v>43871.529374999998</v>
      </c>
      <c r="Q264" s="65">
        <v>811527</v>
      </c>
      <c r="R264" s="14" t="s">
        <v>4075</v>
      </c>
      <c r="S264" s="168">
        <v>829</v>
      </c>
      <c r="T264" s="52" t="s">
        <v>3512</v>
      </c>
      <c r="U264" s="8" t="s">
        <v>3564</v>
      </c>
    </row>
    <row r="265" spans="1:21" ht="15" x14ac:dyDescent="0.2">
      <c r="A265" s="170" t="str">
        <f>CONCATENATE(SP_ENV_Lib[[#This Row],[Environmental Tract No.]],"_",SP_ENV_Lib[[#This Row],[ACQ Document Type]])</f>
        <v>111_CONTACT Negotiator Report</v>
      </c>
      <c r="B265" s="14" t="s">
        <v>3763</v>
      </c>
      <c r="C265" s="169" t="s">
        <v>3066</v>
      </c>
      <c r="D265" s="12" t="s">
        <v>3067</v>
      </c>
      <c r="E265" s="166" t="s">
        <v>865</v>
      </c>
      <c r="F265" s="8" t="s">
        <v>1068</v>
      </c>
      <c r="G265" s="8" t="s">
        <v>1067</v>
      </c>
      <c r="H265" s="52" t="s">
        <v>592</v>
      </c>
      <c r="I265" s="57"/>
      <c r="J265" s="57"/>
      <c r="K265" s="167"/>
      <c r="L265" s="8"/>
      <c r="M265" s="8" t="s">
        <v>4206</v>
      </c>
      <c r="N265" s="26">
        <v>43872.449537037035</v>
      </c>
      <c r="O265" s="8" t="s">
        <v>1744</v>
      </c>
      <c r="P265" s="26">
        <v>43868.604988425926</v>
      </c>
      <c r="Q265" s="65">
        <v>42426</v>
      </c>
      <c r="R265" s="14" t="s">
        <v>4076</v>
      </c>
      <c r="S265" s="168">
        <v>741</v>
      </c>
      <c r="T265" s="52" t="s">
        <v>3512</v>
      </c>
      <c r="U265" s="8" t="s">
        <v>3564</v>
      </c>
    </row>
    <row r="266" spans="1:21" ht="15" hidden="1" x14ac:dyDescent="0.2">
      <c r="A266" s="170" t="str">
        <f>CONCATENATE(SP_ENV_Lib[[#This Row],[Environmental Tract No.]],"_",SP_ENV_Lib[[#This Row],[ACQ Document Type]])</f>
        <v>111_ENVIRONMENTAL Right-of-Entry Executed</v>
      </c>
      <c r="B266" s="14" t="s">
        <v>4245</v>
      </c>
      <c r="C266" s="169" t="s">
        <v>3066</v>
      </c>
      <c r="D266" s="12" t="s">
        <v>3067</v>
      </c>
      <c r="E266" s="166" t="s">
        <v>2682</v>
      </c>
      <c r="F266" s="8" t="s">
        <v>2683</v>
      </c>
      <c r="G266" s="8" t="s">
        <v>2681</v>
      </c>
      <c r="H266" s="52" t="s">
        <v>592</v>
      </c>
      <c r="I266" s="57">
        <v>43867</v>
      </c>
      <c r="J266" s="57"/>
      <c r="K266" s="167"/>
      <c r="L266" s="8"/>
      <c r="M266" s="8" t="s">
        <v>4205</v>
      </c>
      <c r="N266" s="26">
        <v>43892.838865740741</v>
      </c>
      <c r="O266" s="8" t="s">
        <v>4205</v>
      </c>
      <c r="P266" s="26">
        <v>43892.838379629633</v>
      </c>
      <c r="Q266" s="65">
        <v>1260308</v>
      </c>
      <c r="R266" s="14" t="s">
        <v>4304</v>
      </c>
      <c r="S266" s="168">
        <v>1208</v>
      </c>
      <c r="T266" s="52" t="s">
        <v>3512</v>
      </c>
      <c r="U266" s="8" t="s">
        <v>3564</v>
      </c>
    </row>
    <row r="267" spans="1:21" ht="15" hidden="1" x14ac:dyDescent="0.2">
      <c r="A267" s="170" t="str">
        <f>CONCATENATE(SP_ENV_Lib[[#This Row],[Environmental Tract No.]],"_",SP_ENV_Lib[[#This Row],[ACQ Document Type]])</f>
        <v>111_ENVIRONMENTAL Right-of-Entry Package</v>
      </c>
      <c r="B267" s="14" t="s">
        <v>3764</v>
      </c>
      <c r="C267" s="169" t="s">
        <v>3066</v>
      </c>
      <c r="D267" s="12" t="s">
        <v>3067</v>
      </c>
      <c r="E267" s="166" t="s">
        <v>2682</v>
      </c>
      <c r="F267" s="8" t="s">
        <v>2687</v>
      </c>
      <c r="G267" s="8" t="s">
        <v>2686</v>
      </c>
      <c r="H267" s="52" t="s">
        <v>592</v>
      </c>
      <c r="I267" s="57">
        <v>43845</v>
      </c>
      <c r="J267" s="57">
        <v>43848</v>
      </c>
      <c r="K267" s="167"/>
      <c r="L267" s="8"/>
      <c r="M267" s="8" t="s">
        <v>4206</v>
      </c>
      <c r="N267" s="26">
        <v>43874.531585648147</v>
      </c>
      <c r="O267" s="8" t="s">
        <v>4206</v>
      </c>
      <c r="P267" s="26">
        <v>43873.521377314813</v>
      </c>
      <c r="Q267" s="65">
        <v>979529</v>
      </c>
      <c r="R267" s="14" t="s">
        <v>4077</v>
      </c>
      <c r="S267" s="168">
        <v>968</v>
      </c>
      <c r="T267" s="52" t="s">
        <v>3512</v>
      </c>
      <c r="U267" s="8" t="s">
        <v>3564</v>
      </c>
    </row>
    <row r="268" spans="1:21" ht="15" x14ac:dyDescent="0.2">
      <c r="A268" s="170" t="str">
        <f>CONCATENATE(SP_ENV_Lib[[#This Row],[Environmental Tract No.]],"_",SP_ENV_Lib[[#This Row],[ACQ Document Type]])</f>
        <v>111_TITLE Tax Card</v>
      </c>
      <c r="B268" s="14" t="s">
        <v>3765</v>
      </c>
      <c r="C268" s="169" t="s">
        <v>3066</v>
      </c>
      <c r="D268" s="12" t="s">
        <v>3067</v>
      </c>
      <c r="E268" s="166" t="s">
        <v>861</v>
      </c>
      <c r="F268" s="8" t="s">
        <v>1150</v>
      </c>
      <c r="G268" s="8" t="s">
        <v>1149</v>
      </c>
      <c r="H268" s="52" t="s">
        <v>592</v>
      </c>
      <c r="I268" s="57"/>
      <c r="J268" s="57"/>
      <c r="K268" s="167"/>
      <c r="L268" s="8"/>
      <c r="M268" s="8" t="s">
        <v>4206</v>
      </c>
      <c r="N268" s="26">
        <v>43872.43476851852</v>
      </c>
      <c r="O268" s="8" t="s">
        <v>4206</v>
      </c>
      <c r="P268" s="26">
        <v>43871.529386574075</v>
      </c>
      <c r="Q268" s="65">
        <v>728881</v>
      </c>
      <c r="R268" s="14" t="s">
        <v>4078</v>
      </c>
      <c r="S268" s="168">
        <v>830</v>
      </c>
      <c r="T268" s="52" t="s">
        <v>3512</v>
      </c>
      <c r="U268" s="8" t="s">
        <v>3564</v>
      </c>
    </row>
    <row r="269" spans="1:21" ht="15" x14ac:dyDescent="0.2">
      <c r="A269" s="170" t="str">
        <f>CONCATENATE(SP_ENV_Lib[[#This Row],[Environmental Tract No.]],"_",SP_ENV_Lib[[#This Row],[ACQ Document Type]])</f>
        <v>112_CONTACT Negotiator Report</v>
      </c>
      <c r="B269" s="14" t="s">
        <v>3766</v>
      </c>
      <c r="C269" s="169" t="s">
        <v>3071</v>
      </c>
      <c r="D269" s="12" t="s">
        <v>3072</v>
      </c>
      <c r="E269" s="166" t="s">
        <v>865</v>
      </c>
      <c r="F269" s="8" t="s">
        <v>1068</v>
      </c>
      <c r="G269" s="8" t="s">
        <v>1067</v>
      </c>
      <c r="H269" s="52" t="s">
        <v>592</v>
      </c>
      <c r="I269" s="57"/>
      <c r="J269" s="57"/>
      <c r="K269" s="167"/>
      <c r="L269" s="8"/>
      <c r="M269" s="8" t="s">
        <v>4206</v>
      </c>
      <c r="N269" s="26">
        <v>43872.449386574073</v>
      </c>
      <c r="O269" s="8" t="s">
        <v>1744</v>
      </c>
      <c r="P269" s="26">
        <v>43868.605000000003</v>
      </c>
      <c r="Q269" s="65">
        <v>40170</v>
      </c>
      <c r="R269" s="14" t="s">
        <v>4079</v>
      </c>
      <c r="S269" s="168">
        <v>742</v>
      </c>
      <c r="T269" s="52" t="s">
        <v>3512</v>
      </c>
      <c r="U269" s="8" t="s">
        <v>3564</v>
      </c>
    </row>
    <row r="270" spans="1:21" ht="15" hidden="1" x14ac:dyDescent="0.2">
      <c r="A270" s="170" t="str">
        <f>CONCATENATE(SP_ENV_Lib[[#This Row],[Environmental Tract No.]],"_",SP_ENV_Lib[[#This Row],[ACQ Document Type]])</f>
        <v>112_ENVIRONMENTAL Right-of-Entry Package</v>
      </c>
      <c r="B270" s="14" t="s">
        <v>4379</v>
      </c>
      <c r="C270" s="169" t="s">
        <v>3071</v>
      </c>
      <c r="D270" s="12" t="s">
        <v>3072</v>
      </c>
      <c r="E270" s="166" t="s">
        <v>2682</v>
      </c>
      <c r="F270" s="8" t="s">
        <v>2687</v>
      </c>
      <c r="G270" s="8" t="s">
        <v>2686</v>
      </c>
      <c r="H270" s="52" t="s">
        <v>592</v>
      </c>
      <c r="I270" s="57">
        <v>43845</v>
      </c>
      <c r="J270" s="57">
        <v>43849</v>
      </c>
      <c r="K270" s="167"/>
      <c r="L270" s="8" t="s">
        <v>4346</v>
      </c>
      <c r="M270" s="8" t="s">
        <v>4206</v>
      </c>
      <c r="N270" s="26">
        <v>43896.56559027778</v>
      </c>
      <c r="O270" s="8" t="s">
        <v>4206</v>
      </c>
      <c r="P270" s="26">
        <v>43896.509305555555</v>
      </c>
      <c r="Q270" s="65">
        <v>1185022</v>
      </c>
      <c r="R270" s="14" t="s">
        <v>4423</v>
      </c>
      <c r="S270" s="168">
        <v>1285</v>
      </c>
      <c r="T270" s="52" t="s">
        <v>3512</v>
      </c>
      <c r="U270" s="8" t="s">
        <v>3564</v>
      </c>
    </row>
    <row r="271" spans="1:21" ht="15" x14ac:dyDescent="0.2">
      <c r="A271" s="170" t="str">
        <f>CONCATENATE(SP_ENV_Lib[[#This Row],[Environmental Tract No.]],"_",SP_ENV_Lib[[#This Row],[ACQ Document Type]])</f>
        <v>112_TITLE Tax Card</v>
      </c>
      <c r="B271" s="14" t="s">
        <v>3767</v>
      </c>
      <c r="C271" s="169" t="s">
        <v>3071</v>
      </c>
      <c r="D271" s="12" t="s">
        <v>3072</v>
      </c>
      <c r="E271" s="166" t="s">
        <v>861</v>
      </c>
      <c r="F271" s="8" t="s">
        <v>1150</v>
      </c>
      <c r="G271" s="8" t="s">
        <v>1149</v>
      </c>
      <c r="H271" s="52" t="s">
        <v>592</v>
      </c>
      <c r="I271" s="57"/>
      <c r="J271" s="57"/>
      <c r="K271" s="167"/>
      <c r="L271" s="8"/>
      <c r="M271" s="8" t="s">
        <v>4206</v>
      </c>
      <c r="N271" s="26">
        <v>43872.434652777774</v>
      </c>
      <c r="O271" s="8" t="s">
        <v>4206</v>
      </c>
      <c r="P271" s="26">
        <v>43871.529409722221</v>
      </c>
      <c r="Q271" s="65">
        <v>808525</v>
      </c>
      <c r="R271" s="14" t="s">
        <v>4080</v>
      </c>
      <c r="S271" s="168">
        <v>831</v>
      </c>
      <c r="T271" s="52" t="s">
        <v>3512</v>
      </c>
      <c r="U271" s="8" t="s">
        <v>3564</v>
      </c>
    </row>
    <row r="272" spans="1:21" ht="15" x14ac:dyDescent="0.2">
      <c r="A272" s="170" t="str">
        <f>CONCATENATE(SP_ENV_Lib[[#This Row],[Environmental Tract No.]],"_",SP_ENV_Lib[[#This Row],[ACQ Document Type]])</f>
        <v>113_CONTACT Negotiator Report</v>
      </c>
      <c r="B272" s="14" t="s">
        <v>3768</v>
      </c>
      <c r="C272" s="169" t="s">
        <v>3076</v>
      </c>
      <c r="D272" s="12" t="s">
        <v>3077</v>
      </c>
      <c r="E272" s="166" t="s">
        <v>865</v>
      </c>
      <c r="F272" s="8" t="s">
        <v>1068</v>
      </c>
      <c r="G272" s="8" t="s">
        <v>1067</v>
      </c>
      <c r="H272" s="52" t="s">
        <v>592</v>
      </c>
      <c r="I272" s="57"/>
      <c r="J272" s="57"/>
      <c r="K272" s="167"/>
      <c r="L272" s="8"/>
      <c r="M272" s="8" t="s">
        <v>1744</v>
      </c>
      <c r="N272" s="26">
        <v>43875.540532407409</v>
      </c>
      <c r="O272" s="8" t="s">
        <v>1744</v>
      </c>
      <c r="P272" s="26">
        <v>43868.605000000003</v>
      </c>
      <c r="Q272" s="65">
        <v>37864</v>
      </c>
      <c r="R272" s="14" t="s">
        <v>4081</v>
      </c>
      <c r="S272" s="168">
        <v>743</v>
      </c>
      <c r="T272" s="52" t="s">
        <v>3512</v>
      </c>
      <c r="U272" s="8" t="s">
        <v>3564</v>
      </c>
    </row>
    <row r="273" spans="1:21" ht="15" hidden="1" x14ac:dyDescent="0.2">
      <c r="A273" s="170" t="str">
        <f>CONCATENATE(SP_ENV_Lib[[#This Row],[Environmental Tract No.]],"_",SP_ENV_Lib[[#This Row],[ACQ Document Type]])</f>
        <v>113_ENVIRONMENTAL Right-of-Entry Executed</v>
      </c>
      <c r="B273" s="14" t="s">
        <v>4246</v>
      </c>
      <c r="C273" s="169" t="s">
        <v>3076</v>
      </c>
      <c r="D273" s="12" t="s">
        <v>3077</v>
      </c>
      <c r="E273" s="166" t="s">
        <v>2682</v>
      </c>
      <c r="F273" s="8" t="s">
        <v>2683</v>
      </c>
      <c r="G273" s="8" t="s">
        <v>2681</v>
      </c>
      <c r="H273" s="52" t="s">
        <v>592</v>
      </c>
      <c r="I273" s="57">
        <v>43871</v>
      </c>
      <c r="J273" s="57"/>
      <c r="K273" s="167"/>
      <c r="L273" s="8"/>
      <c r="M273" s="8" t="s">
        <v>4205</v>
      </c>
      <c r="N273" s="26">
        <v>43892.839803240742</v>
      </c>
      <c r="O273" s="8" t="s">
        <v>4205</v>
      </c>
      <c r="P273" s="26">
        <v>43892.839432870373</v>
      </c>
      <c r="Q273" s="65">
        <v>582403</v>
      </c>
      <c r="R273" s="14" t="s">
        <v>4305</v>
      </c>
      <c r="S273" s="168">
        <v>1209</v>
      </c>
      <c r="T273" s="52" t="s">
        <v>3512</v>
      </c>
      <c r="U273" s="8" t="s">
        <v>3564</v>
      </c>
    </row>
    <row r="274" spans="1:21" ht="15" hidden="1" x14ac:dyDescent="0.2">
      <c r="A274" s="170" t="str">
        <f>CONCATENATE(SP_ENV_Lib[[#This Row],[Environmental Tract No.]],"_",SP_ENV_Lib[[#This Row],[ACQ Document Type]])</f>
        <v>113_ENVIRONMENTAL Right-of-Entry Package</v>
      </c>
      <c r="B274" s="14" t="s">
        <v>3769</v>
      </c>
      <c r="C274" s="169" t="s">
        <v>3076</v>
      </c>
      <c r="D274" s="12" t="s">
        <v>3077</v>
      </c>
      <c r="E274" s="166" t="s">
        <v>2682</v>
      </c>
      <c r="F274" s="8" t="s">
        <v>2687</v>
      </c>
      <c r="G274" s="8" t="s">
        <v>2686</v>
      </c>
      <c r="H274" s="52" t="s">
        <v>592</v>
      </c>
      <c r="I274" s="57">
        <v>43845</v>
      </c>
      <c r="J274" s="57">
        <v>43851</v>
      </c>
      <c r="K274" s="167"/>
      <c r="L274" s="8"/>
      <c r="M274" s="8" t="s">
        <v>4206</v>
      </c>
      <c r="N274" s="26">
        <v>43874.53125</v>
      </c>
      <c r="O274" s="8" t="s">
        <v>4206</v>
      </c>
      <c r="P274" s="26">
        <v>43873.52140046296</v>
      </c>
      <c r="Q274" s="65">
        <v>986413</v>
      </c>
      <c r="R274" s="14" t="s">
        <v>4082</v>
      </c>
      <c r="S274" s="168">
        <v>969</v>
      </c>
      <c r="T274" s="52" t="s">
        <v>3512</v>
      </c>
      <c r="U274" s="8" t="s">
        <v>3564</v>
      </c>
    </row>
    <row r="275" spans="1:21" ht="15" x14ac:dyDescent="0.2">
      <c r="A275" s="170" t="str">
        <f>CONCATENATE(SP_ENV_Lib[[#This Row],[Environmental Tract No.]],"_",SP_ENV_Lib[[#This Row],[ACQ Document Type]])</f>
        <v>113_TITLE Tax Card</v>
      </c>
      <c r="B275" s="14" t="s">
        <v>3770</v>
      </c>
      <c r="C275" s="169" t="s">
        <v>3076</v>
      </c>
      <c r="D275" s="12" t="s">
        <v>3077</v>
      </c>
      <c r="E275" s="166" t="s">
        <v>861</v>
      </c>
      <c r="F275" s="8" t="s">
        <v>1150</v>
      </c>
      <c r="G275" s="8" t="s">
        <v>1149</v>
      </c>
      <c r="H275" s="52" t="s">
        <v>592</v>
      </c>
      <c r="I275" s="57"/>
      <c r="J275" s="57"/>
      <c r="K275" s="167"/>
      <c r="L275" s="8"/>
      <c r="M275" s="8" t="s">
        <v>4206</v>
      </c>
      <c r="N275" s="26">
        <v>43872.434537037036</v>
      </c>
      <c r="O275" s="8" t="s">
        <v>4206</v>
      </c>
      <c r="P275" s="26">
        <v>43871.529421296298</v>
      </c>
      <c r="Q275" s="65">
        <v>736599</v>
      </c>
      <c r="R275" s="14" t="s">
        <v>4083</v>
      </c>
      <c r="S275" s="168">
        <v>832</v>
      </c>
      <c r="T275" s="52" t="s">
        <v>3512</v>
      </c>
      <c r="U275" s="8" t="s">
        <v>3564</v>
      </c>
    </row>
    <row r="276" spans="1:21" ht="15" x14ac:dyDescent="0.2">
      <c r="A276" s="170" t="str">
        <f>CONCATENATE(SP_ENV_Lib[[#This Row],[Environmental Tract No.]],"_",SP_ENV_Lib[[#This Row],[ACQ Document Type]])</f>
        <v>114_CONTACT Negotiator Report</v>
      </c>
      <c r="B276" s="14" t="s">
        <v>3771</v>
      </c>
      <c r="C276" s="169" t="s">
        <v>3081</v>
      </c>
      <c r="D276" s="12" t="s">
        <v>3082</v>
      </c>
      <c r="E276" s="166" t="s">
        <v>865</v>
      </c>
      <c r="F276" s="8" t="s">
        <v>1068</v>
      </c>
      <c r="G276" s="8" t="s">
        <v>1067</v>
      </c>
      <c r="H276" s="52" t="s">
        <v>592</v>
      </c>
      <c r="I276" s="57"/>
      <c r="J276" s="57"/>
      <c r="K276" s="167"/>
      <c r="L276" s="8"/>
      <c r="M276" s="8" t="s">
        <v>4206</v>
      </c>
      <c r="N276" s="26">
        <v>43872.449201388888</v>
      </c>
      <c r="O276" s="8" t="s">
        <v>1744</v>
      </c>
      <c r="P276" s="26">
        <v>43868.605011574073</v>
      </c>
      <c r="Q276" s="65">
        <v>42368</v>
      </c>
      <c r="R276" s="14" t="s">
        <v>4084</v>
      </c>
      <c r="S276" s="168">
        <v>744</v>
      </c>
      <c r="T276" s="52" t="s">
        <v>3512</v>
      </c>
      <c r="U276" s="8" t="s">
        <v>3564</v>
      </c>
    </row>
    <row r="277" spans="1:21" ht="15" hidden="1" x14ac:dyDescent="0.2">
      <c r="A277" s="170" t="str">
        <f>CONCATENATE(SP_ENV_Lib[[#This Row],[Environmental Tract No.]],"_",SP_ENV_Lib[[#This Row],[ACQ Document Type]])</f>
        <v>114_ENVIRONMENTAL Right-of-Entry Executed</v>
      </c>
      <c r="B277" s="14" t="s">
        <v>4247</v>
      </c>
      <c r="C277" s="169" t="s">
        <v>3081</v>
      </c>
      <c r="D277" s="12" t="s">
        <v>3082</v>
      </c>
      <c r="E277" s="166" t="s">
        <v>2682</v>
      </c>
      <c r="F277" s="8" t="s">
        <v>2683</v>
      </c>
      <c r="G277" s="8" t="s">
        <v>2681</v>
      </c>
      <c r="H277" s="52" t="s">
        <v>592</v>
      </c>
      <c r="I277" s="57">
        <v>43860</v>
      </c>
      <c r="J277" s="57"/>
      <c r="K277" s="167"/>
      <c r="L277" s="8"/>
      <c r="M277" s="8" t="s">
        <v>4205</v>
      </c>
      <c r="N277" s="26">
        <v>43892.841122685182</v>
      </c>
      <c r="O277" s="8" t="s">
        <v>4205</v>
      </c>
      <c r="P277" s="26">
        <v>43892.840590277781</v>
      </c>
      <c r="Q277" s="65">
        <v>1809207</v>
      </c>
      <c r="R277" s="14" t="s">
        <v>4306</v>
      </c>
      <c r="S277" s="168">
        <v>1210</v>
      </c>
      <c r="T277" s="52" t="s">
        <v>3512</v>
      </c>
      <c r="U277" s="8" t="s">
        <v>3564</v>
      </c>
    </row>
    <row r="278" spans="1:21" ht="15" hidden="1" x14ac:dyDescent="0.2">
      <c r="A278" s="170" t="str">
        <f>CONCATENATE(SP_ENV_Lib[[#This Row],[Environmental Tract No.]],"_",SP_ENV_Lib[[#This Row],[ACQ Document Type]])</f>
        <v>114_ENVIRONMENTAL Right-of-Entry Package</v>
      </c>
      <c r="B278" s="14" t="s">
        <v>3772</v>
      </c>
      <c r="C278" s="169" t="s">
        <v>3081</v>
      </c>
      <c r="D278" s="12" t="s">
        <v>3082</v>
      </c>
      <c r="E278" s="166" t="s">
        <v>2682</v>
      </c>
      <c r="F278" s="8" t="s">
        <v>2687</v>
      </c>
      <c r="G278" s="8" t="s">
        <v>2686</v>
      </c>
      <c r="H278" s="52" t="s">
        <v>592</v>
      </c>
      <c r="I278" s="57">
        <v>43845</v>
      </c>
      <c r="J278" s="57">
        <v>43847</v>
      </c>
      <c r="K278" s="167"/>
      <c r="L278" s="8"/>
      <c r="M278" s="8" t="s">
        <v>4206</v>
      </c>
      <c r="N278" s="26">
        <v>43874.530949074076</v>
      </c>
      <c r="O278" s="8" t="s">
        <v>4206</v>
      </c>
      <c r="P278" s="26">
        <v>43873.521435185183</v>
      </c>
      <c r="Q278" s="65">
        <v>984248</v>
      </c>
      <c r="R278" s="14" t="s">
        <v>4085</v>
      </c>
      <c r="S278" s="168">
        <v>970</v>
      </c>
      <c r="T278" s="52" t="s">
        <v>3512</v>
      </c>
      <c r="U278" s="8" t="s">
        <v>3564</v>
      </c>
    </row>
    <row r="279" spans="1:21" ht="15" x14ac:dyDescent="0.2">
      <c r="A279" s="170" t="str">
        <f>CONCATENATE(SP_ENV_Lib[[#This Row],[Environmental Tract No.]],"_",SP_ENV_Lib[[#This Row],[ACQ Document Type]])</f>
        <v>114_TITLE Tax Card</v>
      </c>
      <c r="B279" s="14" t="s">
        <v>3773</v>
      </c>
      <c r="C279" s="169" t="s">
        <v>3081</v>
      </c>
      <c r="D279" s="12" t="s">
        <v>3082</v>
      </c>
      <c r="E279" s="166" t="s">
        <v>861</v>
      </c>
      <c r="F279" s="8" t="s">
        <v>1150</v>
      </c>
      <c r="G279" s="8" t="s">
        <v>1149</v>
      </c>
      <c r="H279" s="52" t="s">
        <v>592</v>
      </c>
      <c r="I279" s="57"/>
      <c r="J279" s="57"/>
      <c r="K279" s="167"/>
      <c r="L279" s="8"/>
      <c r="M279" s="8" t="s">
        <v>4206</v>
      </c>
      <c r="N279" s="26">
        <v>43872.434386574074</v>
      </c>
      <c r="O279" s="8" t="s">
        <v>4206</v>
      </c>
      <c r="P279" s="26">
        <v>43871.529432870368</v>
      </c>
      <c r="Q279" s="65">
        <v>731368</v>
      </c>
      <c r="R279" s="14" t="s">
        <v>4086</v>
      </c>
      <c r="S279" s="168">
        <v>833</v>
      </c>
      <c r="T279" s="52" t="s">
        <v>3512</v>
      </c>
      <c r="U279" s="8" t="s">
        <v>3564</v>
      </c>
    </row>
    <row r="280" spans="1:21" ht="15" x14ac:dyDescent="0.2">
      <c r="A280" s="170" t="str">
        <f>CONCATENATE(SP_ENV_Lib[[#This Row],[Environmental Tract No.]],"_",SP_ENV_Lib[[#This Row],[ACQ Document Type]])</f>
        <v>115_CONTACT Negotiator Report</v>
      </c>
      <c r="B280" s="14" t="s">
        <v>3774</v>
      </c>
      <c r="C280" s="169" t="s">
        <v>3086</v>
      </c>
      <c r="D280" s="12" t="s">
        <v>3087</v>
      </c>
      <c r="E280" s="166" t="s">
        <v>865</v>
      </c>
      <c r="F280" s="8" t="s">
        <v>1068</v>
      </c>
      <c r="G280" s="8" t="s">
        <v>1067</v>
      </c>
      <c r="H280" s="52" t="s">
        <v>592</v>
      </c>
      <c r="I280" s="57"/>
      <c r="J280" s="57"/>
      <c r="K280" s="167"/>
      <c r="L280" s="8"/>
      <c r="M280" s="8" t="s">
        <v>1744</v>
      </c>
      <c r="N280" s="26">
        <v>43908.703263888892</v>
      </c>
      <c r="O280" s="8" t="s">
        <v>1744</v>
      </c>
      <c r="P280" s="26">
        <v>43868.605011574073</v>
      </c>
      <c r="Q280" s="65">
        <v>42854</v>
      </c>
      <c r="R280" s="14" t="s">
        <v>4087</v>
      </c>
      <c r="S280" s="168">
        <v>745</v>
      </c>
      <c r="T280" s="52" t="s">
        <v>3512</v>
      </c>
      <c r="U280" s="8" t="s">
        <v>3564</v>
      </c>
    </row>
    <row r="281" spans="1:21" ht="15" hidden="1" x14ac:dyDescent="0.2">
      <c r="A281" s="170" t="str">
        <f>CONCATENATE(SP_ENV_Lib[[#This Row],[Environmental Tract No.]],"_",SP_ENV_Lib[[#This Row],[ACQ Document Type]])</f>
        <v>115_ENVIRONMENTAL Right-of-Entry Executed</v>
      </c>
      <c r="B281" s="14" t="s">
        <v>5047</v>
      </c>
      <c r="C281" s="169" t="s">
        <v>3086</v>
      </c>
      <c r="D281" s="12" t="s">
        <v>3087</v>
      </c>
      <c r="E281" s="166" t="s">
        <v>2682</v>
      </c>
      <c r="F281" s="8" t="s">
        <v>2683</v>
      </c>
      <c r="G281" s="8" t="s">
        <v>2681</v>
      </c>
      <c r="H281" s="52" t="s">
        <v>592</v>
      </c>
      <c r="I281" s="57">
        <v>43914</v>
      </c>
      <c r="J281" s="57"/>
      <c r="K281" s="167"/>
      <c r="L281" s="8"/>
      <c r="M281" s="8" t="s">
        <v>4205</v>
      </c>
      <c r="N281" s="26">
        <v>43956.735289351855</v>
      </c>
      <c r="O281" s="8" t="s">
        <v>4205</v>
      </c>
      <c r="P281" s="26">
        <v>43956.734606481485</v>
      </c>
      <c r="Q281" s="65">
        <v>1944778</v>
      </c>
      <c r="R281" s="14" t="s">
        <v>5049</v>
      </c>
      <c r="S281" s="168">
        <v>1352</v>
      </c>
      <c r="T281" s="52" t="s">
        <v>3512</v>
      </c>
      <c r="U281" s="8" t="s">
        <v>3564</v>
      </c>
    </row>
    <row r="282" spans="1:21" ht="15" hidden="1" x14ac:dyDescent="0.2">
      <c r="A282" s="170" t="str">
        <f>CONCATENATE(SP_ENV_Lib[[#This Row],[Environmental Tract No.]],"_",SP_ENV_Lib[[#This Row],[ACQ Document Type]])</f>
        <v>115_ENVIRONMENTAL Right-of-Entry Package</v>
      </c>
      <c r="B282" s="14" t="s">
        <v>3775</v>
      </c>
      <c r="C282" s="169" t="s">
        <v>3086</v>
      </c>
      <c r="D282" s="12" t="s">
        <v>3087</v>
      </c>
      <c r="E282" s="166" t="s">
        <v>2682</v>
      </c>
      <c r="F282" s="8" t="s">
        <v>2687</v>
      </c>
      <c r="G282" s="8" t="s">
        <v>2686</v>
      </c>
      <c r="H282" s="52" t="s">
        <v>592</v>
      </c>
      <c r="I282" s="57">
        <v>43845</v>
      </c>
      <c r="J282" s="57">
        <v>43846</v>
      </c>
      <c r="K282" s="167"/>
      <c r="L282" s="8"/>
      <c r="M282" s="8" t="s">
        <v>4206</v>
      </c>
      <c r="N282" s="26">
        <v>43874.530694444446</v>
      </c>
      <c r="O282" s="8" t="s">
        <v>4206</v>
      </c>
      <c r="P282" s="26">
        <v>43873.521469907406</v>
      </c>
      <c r="Q282" s="65">
        <v>960110</v>
      </c>
      <c r="R282" s="14" t="s">
        <v>4088</v>
      </c>
      <c r="S282" s="168">
        <v>971</v>
      </c>
      <c r="T282" s="52" t="s">
        <v>3512</v>
      </c>
      <c r="U282" s="8" t="s">
        <v>3564</v>
      </c>
    </row>
    <row r="283" spans="1:21" ht="15" x14ac:dyDescent="0.2">
      <c r="A283" s="170" t="str">
        <f>CONCATENATE(SP_ENV_Lib[[#This Row],[Environmental Tract No.]],"_",SP_ENV_Lib[[#This Row],[ACQ Document Type]])</f>
        <v>115_TITLE Tax Card</v>
      </c>
      <c r="B283" s="14" t="s">
        <v>3776</v>
      </c>
      <c r="C283" s="169" t="s">
        <v>3086</v>
      </c>
      <c r="D283" s="12" t="s">
        <v>3087</v>
      </c>
      <c r="E283" s="166" t="s">
        <v>861</v>
      </c>
      <c r="F283" s="8" t="s">
        <v>1150</v>
      </c>
      <c r="G283" s="8" t="s">
        <v>1149</v>
      </c>
      <c r="H283" s="52" t="s">
        <v>592</v>
      </c>
      <c r="I283" s="57"/>
      <c r="J283" s="57"/>
      <c r="K283" s="167"/>
      <c r="L283" s="8"/>
      <c r="M283" s="8" t="s">
        <v>4206</v>
      </c>
      <c r="N283" s="26">
        <v>43872.434282407405</v>
      </c>
      <c r="O283" s="8" t="s">
        <v>4206</v>
      </c>
      <c r="P283" s="26">
        <v>43871.529444444444</v>
      </c>
      <c r="Q283" s="65">
        <v>714171</v>
      </c>
      <c r="R283" s="14" t="s">
        <v>4089</v>
      </c>
      <c r="S283" s="168">
        <v>834</v>
      </c>
      <c r="T283" s="52" t="s">
        <v>3512</v>
      </c>
      <c r="U283" s="8" t="s">
        <v>3564</v>
      </c>
    </row>
    <row r="284" spans="1:21" ht="15" x14ac:dyDescent="0.2">
      <c r="A284" s="170" t="str">
        <f>CONCATENATE(SP_ENV_Lib[[#This Row],[Environmental Tract No.]],"_",SP_ENV_Lib[[#This Row],[ACQ Document Type]])</f>
        <v>116_CONTACT Negotiator Report</v>
      </c>
      <c r="B284" s="14" t="s">
        <v>3777</v>
      </c>
      <c r="C284" s="169" t="s">
        <v>3091</v>
      </c>
      <c r="D284" s="12" t="s">
        <v>3092</v>
      </c>
      <c r="E284" s="166" t="s">
        <v>865</v>
      </c>
      <c r="F284" s="8" t="s">
        <v>1068</v>
      </c>
      <c r="G284" s="8" t="s">
        <v>1067</v>
      </c>
      <c r="H284" s="52" t="s">
        <v>592</v>
      </c>
      <c r="I284" s="57"/>
      <c r="J284" s="57"/>
      <c r="K284" s="167"/>
      <c r="L284" s="8"/>
      <c r="M284" s="8" t="s">
        <v>1744</v>
      </c>
      <c r="N284" s="26">
        <v>43875.584872685184</v>
      </c>
      <c r="O284" s="8" t="s">
        <v>1744</v>
      </c>
      <c r="P284" s="26">
        <v>43868.605023148149</v>
      </c>
      <c r="Q284" s="65">
        <v>40113</v>
      </c>
      <c r="R284" s="14" t="s">
        <v>4090</v>
      </c>
      <c r="S284" s="168">
        <v>746</v>
      </c>
      <c r="T284" s="52" t="s">
        <v>3512</v>
      </c>
      <c r="U284" s="8" t="s">
        <v>3564</v>
      </c>
    </row>
    <row r="285" spans="1:21" ht="15" hidden="1" x14ac:dyDescent="0.2">
      <c r="A285" s="170" t="str">
        <f>CONCATENATE(SP_ENV_Lib[[#This Row],[Environmental Tract No.]],"_",SP_ENV_Lib[[#This Row],[ACQ Document Type]])</f>
        <v>116_ENVIRONMENTAL Right-of-Entry Executed</v>
      </c>
      <c r="B285" s="14" t="s">
        <v>4248</v>
      </c>
      <c r="C285" s="169" t="s">
        <v>3091</v>
      </c>
      <c r="D285" s="12" t="s">
        <v>3092</v>
      </c>
      <c r="E285" s="166" t="s">
        <v>2682</v>
      </c>
      <c r="F285" s="8" t="s">
        <v>2683</v>
      </c>
      <c r="G285" s="8" t="s">
        <v>2681</v>
      </c>
      <c r="H285" s="52" t="s">
        <v>592</v>
      </c>
      <c r="I285" s="57">
        <v>43887</v>
      </c>
      <c r="J285" s="57"/>
      <c r="K285" s="167"/>
      <c r="L285" s="8"/>
      <c r="M285" s="8" t="s">
        <v>4205</v>
      </c>
      <c r="N285" s="26">
        <v>43892.842210648145</v>
      </c>
      <c r="O285" s="8" t="s">
        <v>4205</v>
      </c>
      <c r="P285" s="26">
        <v>43892.841666666667</v>
      </c>
      <c r="Q285" s="65">
        <v>1872858</v>
      </c>
      <c r="R285" s="14" t="s">
        <v>4307</v>
      </c>
      <c r="S285" s="168">
        <v>1211</v>
      </c>
      <c r="T285" s="52" t="s">
        <v>3512</v>
      </c>
      <c r="U285" s="8" t="s">
        <v>3564</v>
      </c>
    </row>
    <row r="286" spans="1:21" ht="15" hidden="1" x14ac:dyDescent="0.2">
      <c r="A286" s="170" t="str">
        <f>CONCATENATE(SP_ENV_Lib[[#This Row],[Environmental Tract No.]],"_",SP_ENV_Lib[[#This Row],[ACQ Document Type]])</f>
        <v>116_ENVIRONMENTAL Right-of-Entry Package</v>
      </c>
      <c r="B286" s="14" t="s">
        <v>3778</v>
      </c>
      <c r="C286" s="169" t="s">
        <v>3091</v>
      </c>
      <c r="D286" s="12" t="s">
        <v>3092</v>
      </c>
      <c r="E286" s="166" t="s">
        <v>2682</v>
      </c>
      <c r="F286" s="8" t="s">
        <v>2687</v>
      </c>
      <c r="G286" s="8" t="s">
        <v>2686</v>
      </c>
      <c r="H286" s="52" t="s">
        <v>592</v>
      </c>
      <c r="I286" s="57">
        <v>43845</v>
      </c>
      <c r="J286" s="57">
        <v>43846</v>
      </c>
      <c r="K286" s="167"/>
      <c r="L286" s="8"/>
      <c r="M286" s="8" t="s">
        <v>4206</v>
      </c>
      <c r="N286" s="26">
        <v>43874.530451388891</v>
      </c>
      <c r="O286" s="8" t="s">
        <v>4206</v>
      </c>
      <c r="P286" s="26">
        <v>43873.521504629629</v>
      </c>
      <c r="Q286" s="65">
        <v>954725</v>
      </c>
      <c r="R286" s="14" t="s">
        <v>4091</v>
      </c>
      <c r="S286" s="168">
        <v>972</v>
      </c>
      <c r="T286" s="52" t="s">
        <v>3512</v>
      </c>
      <c r="U286" s="8" t="s">
        <v>3564</v>
      </c>
    </row>
    <row r="287" spans="1:21" ht="15" x14ac:dyDescent="0.2">
      <c r="A287" s="170" t="str">
        <f>CONCATENATE(SP_ENV_Lib[[#This Row],[Environmental Tract No.]],"_",SP_ENV_Lib[[#This Row],[ACQ Document Type]])</f>
        <v>116_TITLE Tax Card</v>
      </c>
      <c r="B287" s="14" t="s">
        <v>3779</v>
      </c>
      <c r="C287" s="169" t="s">
        <v>3091</v>
      </c>
      <c r="D287" s="12" t="s">
        <v>3092</v>
      </c>
      <c r="E287" s="166" t="s">
        <v>861</v>
      </c>
      <c r="F287" s="8" t="s">
        <v>1150</v>
      </c>
      <c r="G287" s="8" t="s">
        <v>1149</v>
      </c>
      <c r="H287" s="52" t="s">
        <v>592</v>
      </c>
      <c r="I287" s="57"/>
      <c r="J287" s="57"/>
      <c r="K287" s="167"/>
      <c r="L287" s="8"/>
      <c r="M287" s="8" t="s">
        <v>4206</v>
      </c>
      <c r="N287" s="26">
        <v>43872.434178240743</v>
      </c>
      <c r="O287" s="8" t="s">
        <v>4206</v>
      </c>
      <c r="P287" s="26">
        <v>43871.529456018521</v>
      </c>
      <c r="Q287" s="65">
        <v>708539</v>
      </c>
      <c r="R287" s="14" t="s">
        <v>4092</v>
      </c>
      <c r="S287" s="168">
        <v>835</v>
      </c>
      <c r="T287" s="52" t="s">
        <v>3512</v>
      </c>
      <c r="U287" s="8" t="s">
        <v>3564</v>
      </c>
    </row>
    <row r="288" spans="1:21" ht="15" x14ac:dyDescent="0.2">
      <c r="A288" s="170" t="str">
        <f>CONCATENATE(SP_ENV_Lib[[#This Row],[Environmental Tract No.]],"_",SP_ENV_Lib[[#This Row],[ACQ Document Type]])</f>
        <v>117_CONTACT Negotiator Report</v>
      </c>
      <c r="B288" s="14" t="s">
        <v>3780</v>
      </c>
      <c r="C288" s="169" t="s">
        <v>3096</v>
      </c>
      <c r="D288" s="12" t="s">
        <v>3097</v>
      </c>
      <c r="E288" s="166" t="s">
        <v>865</v>
      </c>
      <c r="F288" s="8" t="s">
        <v>1068</v>
      </c>
      <c r="G288" s="8" t="s">
        <v>1067</v>
      </c>
      <c r="H288" s="52" t="s">
        <v>592</v>
      </c>
      <c r="I288" s="57"/>
      <c r="J288" s="57"/>
      <c r="K288" s="167"/>
      <c r="L288" s="8"/>
      <c r="M288" s="8" t="s">
        <v>4206</v>
      </c>
      <c r="N288" s="26">
        <v>43872.448877314811</v>
      </c>
      <c r="O288" s="8" t="s">
        <v>1744</v>
      </c>
      <c r="P288" s="26">
        <v>43868.605023148149</v>
      </c>
      <c r="Q288" s="65">
        <v>41229</v>
      </c>
      <c r="R288" s="14" t="s">
        <v>4093</v>
      </c>
      <c r="S288" s="168">
        <v>747</v>
      </c>
      <c r="T288" s="52" t="s">
        <v>3512</v>
      </c>
      <c r="U288" s="8" t="s">
        <v>3564</v>
      </c>
    </row>
    <row r="289" spans="1:21" ht="15" hidden="1" x14ac:dyDescent="0.2">
      <c r="A289" s="170" t="str">
        <f>CONCATENATE(SP_ENV_Lib[[#This Row],[Environmental Tract No.]],"_",SP_ENV_Lib[[#This Row],[ACQ Document Type]])</f>
        <v>117_ENVIRONMENTAL Right-of-Entry Executed</v>
      </c>
      <c r="B289" s="14" t="s">
        <v>4249</v>
      </c>
      <c r="C289" s="169" t="s">
        <v>3096</v>
      </c>
      <c r="D289" s="12" t="s">
        <v>3097</v>
      </c>
      <c r="E289" s="166" t="s">
        <v>2682</v>
      </c>
      <c r="F289" s="8" t="s">
        <v>2683</v>
      </c>
      <c r="G289" s="8" t="s">
        <v>2681</v>
      </c>
      <c r="H289" s="52" t="s">
        <v>592</v>
      </c>
      <c r="I289" s="57">
        <v>43871</v>
      </c>
      <c r="J289" s="57"/>
      <c r="K289" s="167"/>
      <c r="L289" s="8"/>
      <c r="M289" s="8" t="s">
        <v>4205</v>
      </c>
      <c r="N289" s="26">
        <v>43892.843333333331</v>
      </c>
      <c r="O289" s="8" t="s">
        <v>4205</v>
      </c>
      <c r="P289" s="26">
        <v>43892.842847222222</v>
      </c>
      <c r="Q289" s="65">
        <v>1272809</v>
      </c>
      <c r="R289" s="14" t="s">
        <v>4308</v>
      </c>
      <c r="S289" s="168">
        <v>1212</v>
      </c>
      <c r="T289" s="52" t="s">
        <v>3512</v>
      </c>
      <c r="U289" s="8" t="s">
        <v>3564</v>
      </c>
    </row>
    <row r="290" spans="1:21" ht="15" hidden="1" x14ac:dyDescent="0.2">
      <c r="A290" s="170" t="str">
        <f>CONCATENATE(SP_ENV_Lib[[#This Row],[Environmental Tract No.]],"_",SP_ENV_Lib[[#This Row],[ACQ Document Type]])</f>
        <v>117_ENVIRONMENTAL Right-of-Entry Package</v>
      </c>
      <c r="B290" s="14" t="s">
        <v>3781</v>
      </c>
      <c r="C290" s="169" t="s">
        <v>3096</v>
      </c>
      <c r="D290" s="12" t="s">
        <v>3097</v>
      </c>
      <c r="E290" s="166" t="s">
        <v>2682</v>
      </c>
      <c r="F290" s="8" t="s">
        <v>2687</v>
      </c>
      <c r="G290" s="8" t="s">
        <v>2686</v>
      </c>
      <c r="H290" s="52" t="s">
        <v>592</v>
      </c>
      <c r="I290" s="57">
        <v>43846</v>
      </c>
      <c r="J290" s="57">
        <v>43848</v>
      </c>
      <c r="K290" s="167"/>
      <c r="L290" s="8"/>
      <c r="M290" s="8" t="s">
        <v>4206</v>
      </c>
      <c r="N290" s="26">
        <v>43874.53019675926</v>
      </c>
      <c r="O290" s="8" t="s">
        <v>4206</v>
      </c>
      <c r="P290" s="26">
        <v>43873.521539351852</v>
      </c>
      <c r="Q290" s="65">
        <v>974405</v>
      </c>
      <c r="R290" s="14" t="s">
        <v>4094</v>
      </c>
      <c r="S290" s="168">
        <v>973</v>
      </c>
      <c r="T290" s="52" t="s">
        <v>3512</v>
      </c>
      <c r="U290" s="8" t="s">
        <v>3564</v>
      </c>
    </row>
    <row r="291" spans="1:21" ht="15" x14ac:dyDescent="0.2">
      <c r="A291" s="170" t="str">
        <f>CONCATENATE(SP_ENV_Lib[[#This Row],[Environmental Tract No.]],"_",SP_ENV_Lib[[#This Row],[ACQ Document Type]])</f>
        <v>117_TITLE Tax Card</v>
      </c>
      <c r="B291" s="14" t="s">
        <v>3782</v>
      </c>
      <c r="C291" s="169" t="s">
        <v>3096</v>
      </c>
      <c r="D291" s="12" t="s">
        <v>3097</v>
      </c>
      <c r="E291" s="166" t="s">
        <v>861</v>
      </c>
      <c r="F291" s="8" t="s">
        <v>1150</v>
      </c>
      <c r="G291" s="8" t="s">
        <v>1149</v>
      </c>
      <c r="H291" s="52" t="s">
        <v>592</v>
      </c>
      <c r="I291" s="57"/>
      <c r="J291" s="57"/>
      <c r="K291" s="167"/>
      <c r="L291" s="8"/>
      <c r="M291" s="8" t="s">
        <v>4206</v>
      </c>
      <c r="N291" s="26">
        <v>43872.434062499997</v>
      </c>
      <c r="O291" s="8" t="s">
        <v>4206</v>
      </c>
      <c r="P291" s="26">
        <v>43871.529467592591</v>
      </c>
      <c r="Q291" s="65">
        <v>728541</v>
      </c>
      <c r="R291" s="14" t="s">
        <v>4095</v>
      </c>
      <c r="S291" s="168">
        <v>836</v>
      </c>
      <c r="T291" s="52" t="s">
        <v>3512</v>
      </c>
      <c r="U291" s="8" t="s">
        <v>3564</v>
      </c>
    </row>
    <row r="292" spans="1:21" ht="15" x14ac:dyDescent="0.2">
      <c r="A292" s="170" t="str">
        <f>CONCATENATE(SP_ENV_Lib[[#This Row],[Environmental Tract No.]],"_",SP_ENV_Lib[[#This Row],[ACQ Document Type]])</f>
        <v>118_CONTACT Negotiator Report</v>
      </c>
      <c r="B292" s="14" t="s">
        <v>3783</v>
      </c>
      <c r="C292" s="169" t="s">
        <v>3101</v>
      </c>
      <c r="D292" s="12" t="s">
        <v>3102</v>
      </c>
      <c r="E292" s="166" t="s">
        <v>865</v>
      </c>
      <c r="F292" s="8" t="s">
        <v>1068</v>
      </c>
      <c r="G292" s="8" t="s">
        <v>1067</v>
      </c>
      <c r="H292" s="52" t="s">
        <v>592</v>
      </c>
      <c r="I292" s="57"/>
      <c r="J292" s="57"/>
      <c r="K292" s="167"/>
      <c r="L292" s="8"/>
      <c r="M292" s="8" t="s">
        <v>4206</v>
      </c>
      <c r="N292" s="26">
        <v>43872.448553240742</v>
      </c>
      <c r="O292" s="8" t="s">
        <v>1744</v>
      </c>
      <c r="P292" s="26">
        <v>43868.605034722219</v>
      </c>
      <c r="Q292" s="65">
        <v>42298</v>
      </c>
      <c r="R292" s="14" t="s">
        <v>4096</v>
      </c>
      <c r="S292" s="168">
        <v>748</v>
      </c>
      <c r="T292" s="52" t="s">
        <v>3512</v>
      </c>
      <c r="U292" s="8" t="s">
        <v>3564</v>
      </c>
    </row>
    <row r="293" spans="1:21" ht="15" hidden="1" x14ac:dyDescent="0.2">
      <c r="A293" s="170" t="str">
        <f>CONCATENATE(SP_ENV_Lib[[#This Row],[Environmental Tract No.]],"_",SP_ENV_Lib[[#This Row],[ACQ Document Type]])</f>
        <v>118_ENVIRONMENTAL Right-of-Entry Executed</v>
      </c>
      <c r="B293" s="14" t="s">
        <v>4250</v>
      </c>
      <c r="C293" s="169" t="s">
        <v>3101</v>
      </c>
      <c r="D293" s="12" t="s">
        <v>3102</v>
      </c>
      <c r="E293" s="166" t="s">
        <v>2682</v>
      </c>
      <c r="F293" s="8" t="s">
        <v>2683</v>
      </c>
      <c r="G293" s="8" t="s">
        <v>2681</v>
      </c>
      <c r="H293" s="52" t="s">
        <v>592</v>
      </c>
      <c r="I293" s="57">
        <v>43887</v>
      </c>
      <c r="J293" s="57"/>
      <c r="K293" s="167"/>
      <c r="L293" s="8"/>
      <c r="M293" s="8" t="s">
        <v>4205</v>
      </c>
      <c r="N293" s="26">
        <v>43892.844259259262</v>
      </c>
      <c r="O293" s="8" t="s">
        <v>4205</v>
      </c>
      <c r="P293" s="26">
        <v>43892.843831018516</v>
      </c>
      <c r="Q293" s="65">
        <v>546337</v>
      </c>
      <c r="R293" s="14" t="s">
        <v>4309</v>
      </c>
      <c r="S293" s="168">
        <v>1213</v>
      </c>
      <c r="T293" s="52" t="s">
        <v>3512</v>
      </c>
      <c r="U293" s="8" t="s">
        <v>3564</v>
      </c>
    </row>
    <row r="294" spans="1:21" ht="15" hidden="1" x14ac:dyDescent="0.2">
      <c r="A294" s="170" t="str">
        <f>CONCATENATE(SP_ENV_Lib[[#This Row],[Environmental Tract No.]],"_",SP_ENV_Lib[[#This Row],[ACQ Document Type]])</f>
        <v>118_ENVIRONMENTAL Right-of-Entry Package</v>
      </c>
      <c r="B294" s="14" t="s">
        <v>3784</v>
      </c>
      <c r="C294" s="169" t="s">
        <v>3101</v>
      </c>
      <c r="D294" s="12" t="s">
        <v>3102</v>
      </c>
      <c r="E294" s="166" t="s">
        <v>2682</v>
      </c>
      <c r="F294" s="8" t="s">
        <v>2687</v>
      </c>
      <c r="G294" s="8" t="s">
        <v>2686</v>
      </c>
      <c r="H294" s="52" t="s">
        <v>592</v>
      </c>
      <c r="I294" s="57">
        <v>43846</v>
      </c>
      <c r="J294" s="57">
        <v>43848</v>
      </c>
      <c r="K294" s="167"/>
      <c r="L294" s="8"/>
      <c r="M294" s="8" t="s">
        <v>4206</v>
      </c>
      <c r="N294" s="26">
        <v>43874.529976851853</v>
      </c>
      <c r="O294" s="8" t="s">
        <v>4206</v>
      </c>
      <c r="P294" s="26">
        <v>43873.521562499998</v>
      </c>
      <c r="Q294" s="65">
        <v>978989</v>
      </c>
      <c r="R294" s="14" t="s">
        <v>4097</v>
      </c>
      <c r="S294" s="168">
        <v>974</v>
      </c>
      <c r="T294" s="52" t="s">
        <v>3512</v>
      </c>
      <c r="U294" s="8" t="s">
        <v>3564</v>
      </c>
    </row>
    <row r="295" spans="1:21" ht="15" x14ac:dyDescent="0.2">
      <c r="A295" s="170" t="str">
        <f>CONCATENATE(SP_ENV_Lib[[#This Row],[Environmental Tract No.]],"_",SP_ENV_Lib[[#This Row],[ACQ Document Type]])</f>
        <v>118_TITLE Tax Card</v>
      </c>
      <c r="B295" s="14" t="s">
        <v>3785</v>
      </c>
      <c r="C295" s="169" t="s">
        <v>3101</v>
      </c>
      <c r="D295" s="12" t="s">
        <v>3102</v>
      </c>
      <c r="E295" s="166" t="s">
        <v>861</v>
      </c>
      <c r="F295" s="8" t="s">
        <v>1150</v>
      </c>
      <c r="G295" s="8" t="s">
        <v>1149</v>
      </c>
      <c r="H295" s="52" t="s">
        <v>592</v>
      </c>
      <c r="I295" s="57"/>
      <c r="J295" s="57"/>
      <c r="K295" s="167"/>
      <c r="L295" s="8"/>
      <c r="M295" s="8" t="s">
        <v>4206</v>
      </c>
      <c r="N295" s="26">
        <v>43872.433923611112</v>
      </c>
      <c r="O295" s="8" t="s">
        <v>4206</v>
      </c>
      <c r="P295" s="26">
        <v>43871.529479166667</v>
      </c>
      <c r="Q295" s="65">
        <v>732523</v>
      </c>
      <c r="R295" s="14" t="s">
        <v>4098</v>
      </c>
      <c r="S295" s="168">
        <v>837</v>
      </c>
      <c r="T295" s="52" t="s">
        <v>3512</v>
      </c>
      <c r="U295" s="8" t="s">
        <v>3564</v>
      </c>
    </row>
    <row r="296" spans="1:21" ht="15" x14ac:dyDescent="0.2">
      <c r="A296" s="170" t="str">
        <f>CONCATENATE(SP_ENV_Lib[[#This Row],[Environmental Tract No.]],"_",SP_ENV_Lib[[#This Row],[ACQ Document Type]])</f>
        <v>119_CONTACT Negotiator Report</v>
      </c>
      <c r="B296" s="14" t="s">
        <v>3786</v>
      </c>
      <c r="C296" s="169" t="s">
        <v>3106</v>
      </c>
      <c r="D296" s="12" t="s">
        <v>3107</v>
      </c>
      <c r="E296" s="166" t="s">
        <v>865</v>
      </c>
      <c r="F296" s="8" t="s">
        <v>1068</v>
      </c>
      <c r="G296" s="8" t="s">
        <v>1067</v>
      </c>
      <c r="H296" s="52" t="s">
        <v>592</v>
      </c>
      <c r="I296" s="57"/>
      <c r="J296" s="57"/>
      <c r="K296" s="167"/>
      <c r="L296" s="8"/>
      <c r="M296" s="8" t="s">
        <v>4206</v>
      </c>
      <c r="N296" s="26">
        <v>43872.448310185187</v>
      </c>
      <c r="O296" s="8" t="s">
        <v>1744</v>
      </c>
      <c r="P296" s="26">
        <v>43868.605034722219</v>
      </c>
      <c r="Q296" s="65">
        <v>45290</v>
      </c>
      <c r="R296" s="14" t="s">
        <v>4099</v>
      </c>
      <c r="S296" s="168">
        <v>749</v>
      </c>
      <c r="T296" s="52" t="s">
        <v>3512</v>
      </c>
      <c r="U296" s="8" t="s">
        <v>3564</v>
      </c>
    </row>
    <row r="297" spans="1:21" ht="15" hidden="1" x14ac:dyDescent="0.2">
      <c r="A297" s="170" t="str">
        <f>CONCATENATE(SP_ENV_Lib[[#This Row],[Environmental Tract No.]],"_",SP_ENV_Lib[[#This Row],[ACQ Document Type]])</f>
        <v>119_ENVIRONMENTAL Right-of-Entry Executed</v>
      </c>
      <c r="B297" s="14" t="s">
        <v>4251</v>
      </c>
      <c r="C297" s="169" t="s">
        <v>3106</v>
      </c>
      <c r="D297" s="12" t="s">
        <v>3107</v>
      </c>
      <c r="E297" s="166" t="s">
        <v>2682</v>
      </c>
      <c r="F297" s="8" t="s">
        <v>2683</v>
      </c>
      <c r="G297" s="8" t="s">
        <v>2681</v>
      </c>
      <c r="H297" s="52" t="s">
        <v>592</v>
      </c>
      <c r="I297" s="57">
        <v>43867</v>
      </c>
      <c r="J297" s="57"/>
      <c r="K297" s="167"/>
      <c r="L297" s="8"/>
      <c r="M297" s="8" t="s">
        <v>4205</v>
      </c>
      <c r="N297" s="26">
        <v>43892.845300925925</v>
      </c>
      <c r="O297" s="8" t="s">
        <v>4205</v>
      </c>
      <c r="P297" s="26">
        <v>43892.844826388886</v>
      </c>
      <c r="Q297" s="65">
        <v>1799779</v>
      </c>
      <c r="R297" s="14" t="s">
        <v>4310</v>
      </c>
      <c r="S297" s="168">
        <v>1214</v>
      </c>
      <c r="T297" s="52" t="s">
        <v>3512</v>
      </c>
      <c r="U297" s="8" t="s">
        <v>3564</v>
      </c>
    </row>
    <row r="298" spans="1:21" ht="15" hidden="1" x14ac:dyDescent="0.2">
      <c r="A298" s="170" t="str">
        <f>CONCATENATE(SP_ENV_Lib[[#This Row],[Environmental Tract No.]],"_",SP_ENV_Lib[[#This Row],[ACQ Document Type]])</f>
        <v>119_ENVIRONMENTAL Right-of-Entry Package</v>
      </c>
      <c r="B298" s="14" t="s">
        <v>3787</v>
      </c>
      <c r="C298" s="169" t="s">
        <v>3106</v>
      </c>
      <c r="D298" s="12" t="s">
        <v>3107</v>
      </c>
      <c r="E298" s="166" t="s">
        <v>2682</v>
      </c>
      <c r="F298" s="8" t="s">
        <v>2687</v>
      </c>
      <c r="G298" s="8" t="s">
        <v>2686</v>
      </c>
      <c r="H298" s="52" t="s">
        <v>592</v>
      </c>
      <c r="I298" s="57">
        <v>43846</v>
      </c>
      <c r="J298" s="57">
        <v>43851</v>
      </c>
      <c r="K298" s="167"/>
      <c r="L298" s="8"/>
      <c r="M298" s="8" t="s">
        <v>4206</v>
      </c>
      <c r="N298" s="26">
        <v>43874.529722222222</v>
      </c>
      <c r="O298" s="8" t="s">
        <v>4206</v>
      </c>
      <c r="P298" s="26">
        <v>43873.521597222221</v>
      </c>
      <c r="Q298" s="65">
        <v>989315</v>
      </c>
      <c r="R298" s="14" t="s">
        <v>4100</v>
      </c>
      <c r="S298" s="168">
        <v>975</v>
      </c>
      <c r="T298" s="52" t="s">
        <v>3512</v>
      </c>
      <c r="U298" s="8" t="s">
        <v>3564</v>
      </c>
    </row>
    <row r="299" spans="1:21" ht="15" x14ac:dyDescent="0.2">
      <c r="A299" s="170" t="str">
        <f>CONCATENATE(SP_ENV_Lib[[#This Row],[Environmental Tract No.]],"_",SP_ENV_Lib[[#This Row],[ACQ Document Type]])</f>
        <v>119_TITLE Tax Card</v>
      </c>
      <c r="B299" s="14" t="s">
        <v>3788</v>
      </c>
      <c r="C299" s="169" t="s">
        <v>3106</v>
      </c>
      <c r="D299" s="12" t="s">
        <v>3107</v>
      </c>
      <c r="E299" s="166" t="s">
        <v>861</v>
      </c>
      <c r="F299" s="8" t="s">
        <v>1150</v>
      </c>
      <c r="G299" s="8" t="s">
        <v>1149</v>
      </c>
      <c r="H299" s="52" t="s">
        <v>592</v>
      </c>
      <c r="I299" s="57"/>
      <c r="J299" s="57"/>
      <c r="K299" s="167"/>
      <c r="L299" s="8"/>
      <c r="M299" s="8" t="s">
        <v>4206</v>
      </c>
      <c r="N299" s="26">
        <v>43872.433807870373</v>
      </c>
      <c r="O299" s="8" t="s">
        <v>4206</v>
      </c>
      <c r="P299" s="26">
        <v>43871.529490740744</v>
      </c>
      <c r="Q299" s="65">
        <v>740513</v>
      </c>
      <c r="R299" s="14" t="s">
        <v>4101</v>
      </c>
      <c r="S299" s="168">
        <v>838</v>
      </c>
      <c r="T299" s="52" t="s">
        <v>3512</v>
      </c>
      <c r="U299" s="8" t="s">
        <v>3564</v>
      </c>
    </row>
    <row r="300" spans="1:21" ht="15" x14ac:dyDescent="0.2">
      <c r="A300" s="170" t="str">
        <f>CONCATENATE(SP_ENV_Lib[[#This Row],[Environmental Tract No.]],"_",SP_ENV_Lib[[#This Row],[ACQ Document Type]])</f>
        <v>120_CONTACT Negotiator Report</v>
      </c>
      <c r="B300" s="14" t="s">
        <v>3789</v>
      </c>
      <c r="C300" s="169" t="s">
        <v>3111</v>
      </c>
      <c r="D300" s="12" t="s">
        <v>3573</v>
      </c>
      <c r="E300" s="166" t="s">
        <v>865</v>
      </c>
      <c r="F300" s="8" t="s">
        <v>1068</v>
      </c>
      <c r="G300" s="8" t="s">
        <v>1067</v>
      </c>
      <c r="H300" s="52" t="s">
        <v>592</v>
      </c>
      <c r="I300" s="57"/>
      <c r="J300" s="57"/>
      <c r="K300" s="167"/>
      <c r="L300" s="8" t="s">
        <v>3572</v>
      </c>
      <c r="M300" s="8" t="s">
        <v>1744</v>
      </c>
      <c r="N300" s="26">
        <v>43878.500555555554</v>
      </c>
      <c r="O300" s="8" t="s">
        <v>1744</v>
      </c>
      <c r="P300" s="26">
        <v>43868.605046296296</v>
      </c>
      <c r="Q300" s="65">
        <v>39103</v>
      </c>
      <c r="R300" s="14" t="s">
        <v>4102</v>
      </c>
      <c r="S300" s="168">
        <v>750</v>
      </c>
      <c r="T300" s="52" t="s">
        <v>3512</v>
      </c>
      <c r="U300" s="8" t="s">
        <v>3564</v>
      </c>
    </row>
    <row r="301" spans="1:21" ht="15" hidden="1" x14ac:dyDescent="0.2">
      <c r="A301" s="170" t="str">
        <f>CONCATENATE(SP_ENV_Lib[[#This Row],[Environmental Tract No.]],"_",SP_ENV_Lib[[#This Row],[ACQ Document Type]])</f>
        <v>120_ENVIRONMENTAL Right-of-Entry Executed</v>
      </c>
      <c r="B301" s="14" t="s">
        <v>4380</v>
      </c>
      <c r="C301" s="169" t="s">
        <v>3111</v>
      </c>
      <c r="D301" s="12" t="s">
        <v>3112</v>
      </c>
      <c r="E301" s="166" t="s">
        <v>2682</v>
      </c>
      <c r="F301" s="8" t="s">
        <v>2683</v>
      </c>
      <c r="G301" s="8" t="s">
        <v>2681</v>
      </c>
      <c r="H301" s="52" t="s">
        <v>592</v>
      </c>
      <c r="I301" s="57">
        <v>43899</v>
      </c>
      <c r="J301" s="57"/>
      <c r="K301" s="167"/>
      <c r="L301" s="8"/>
      <c r="M301" s="8" t="s">
        <v>4205</v>
      </c>
      <c r="N301" s="26">
        <v>43903.86478009259</v>
      </c>
      <c r="O301" s="8" t="s">
        <v>4205</v>
      </c>
      <c r="P301" s="26">
        <v>43903.864340277774</v>
      </c>
      <c r="Q301" s="65">
        <v>2413060</v>
      </c>
      <c r="R301" s="14" t="s">
        <v>4424</v>
      </c>
      <c r="S301" s="168">
        <v>1304</v>
      </c>
      <c r="T301" s="52" t="s">
        <v>3512</v>
      </c>
      <c r="U301" s="8" t="s">
        <v>3564</v>
      </c>
    </row>
    <row r="302" spans="1:21" ht="15" hidden="1" x14ac:dyDescent="0.2">
      <c r="A302" s="170" t="str">
        <f>CONCATENATE(SP_ENV_Lib[[#This Row],[Environmental Tract No.]],"_",SP_ENV_Lib[[#This Row],[ACQ Document Type]])</f>
        <v>120_ENVIRONMENTAL Right-of-Entry Package</v>
      </c>
      <c r="B302" s="14" t="s">
        <v>3790</v>
      </c>
      <c r="C302" s="169" t="s">
        <v>3111</v>
      </c>
      <c r="D302" s="12" t="s">
        <v>3112</v>
      </c>
      <c r="E302" s="166" t="s">
        <v>2682</v>
      </c>
      <c r="F302" s="8" t="s">
        <v>2687</v>
      </c>
      <c r="G302" s="8" t="s">
        <v>2686</v>
      </c>
      <c r="H302" s="52" t="s">
        <v>592</v>
      </c>
      <c r="I302" s="57">
        <v>43846</v>
      </c>
      <c r="J302" s="57">
        <v>43851</v>
      </c>
      <c r="K302" s="167"/>
      <c r="L302" s="8"/>
      <c r="M302" s="8" t="s">
        <v>4206</v>
      </c>
      <c r="N302" s="26">
        <v>43874.529479166667</v>
      </c>
      <c r="O302" s="8" t="s">
        <v>4206</v>
      </c>
      <c r="P302" s="26">
        <v>43873.521631944444</v>
      </c>
      <c r="Q302" s="65">
        <v>993589</v>
      </c>
      <c r="R302" s="14" t="s">
        <v>4103</v>
      </c>
      <c r="S302" s="168">
        <v>976</v>
      </c>
      <c r="T302" s="52" t="s">
        <v>3512</v>
      </c>
      <c r="U302" s="8" t="s">
        <v>3564</v>
      </c>
    </row>
    <row r="303" spans="1:21" ht="15" x14ac:dyDescent="0.2">
      <c r="A303" s="170" t="str">
        <f>CONCATENATE(SP_ENV_Lib[[#This Row],[Environmental Tract No.]],"_",SP_ENV_Lib[[#This Row],[ACQ Document Type]])</f>
        <v>120_TITLE Tax Card</v>
      </c>
      <c r="B303" s="14" t="s">
        <v>3791</v>
      </c>
      <c r="C303" s="169" t="s">
        <v>3111</v>
      </c>
      <c r="D303" s="12" t="s">
        <v>3112</v>
      </c>
      <c r="E303" s="166" t="s">
        <v>861</v>
      </c>
      <c r="F303" s="8" t="s">
        <v>1150</v>
      </c>
      <c r="G303" s="8" t="s">
        <v>1149</v>
      </c>
      <c r="H303" s="52" t="s">
        <v>592</v>
      </c>
      <c r="I303" s="57"/>
      <c r="J303" s="57"/>
      <c r="K303" s="167"/>
      <c r="L303" s="8"/>
      <c r="M303" s="8" t="s">
        <v>4206</v>
      </c>
      <c r="N303" s="26">
        <v>43872.433703703704</v>
      </c>
      <c r="O303" s="8" t="s">
        <v>4206</v>
      </c>
      <c r="P303" s="26">
        <v>43871.529502314814</v>
      </c>
      <c r="Q303" s="65">
        <v>745879</v>
      </c>
      <c r="R303" s="14" t="s">
        <v>4104</v>
      </c>
      <c r="S303" s="168">
        <v>839</v>
      </c>
      <c r="T303" s="52" t="s">
        <v>3512</v>
      </c>
      <c r="U303" s="8" t="s">
        <v>3564</v>
      </c>
    </row>
    <row r="304" spans="1:21" ht="15" x14ac:dyDescent="0.2">
      <c r="A304" s="170" t="str">
        <f>CONCATENATE(SP_ENV_Lib[[#This Row],[Environmental Tract No.]],"_",SP_ENV_Lib[[#This Row],[ACQ Document Type]])</f>
        <v>121_CONTACT Negotiator Report</v>
      </c>
      <c r="B304" s="14" t="s">
        <v>3792</v>
      </c>
      <c r="C304" s="169" t="s">
        <v>3116</v>
      </c>
      <c r="D304" s="12" t="s">
        <v>3117</v>
      </c>
      <c r="E304" s="166" t="s">
        <v>865</v>
      </c>
      <c r="F304" s="8" t="s">
        <v>1068</v>
      </c>
      <c r="G304" s="8" t="s">
        <v>1067</v>
      </c>
      <c r="H304" s="52" t="s">
        <v>592</v>
      </c>
      <c r="I304" s="57"/>
      <c r="J304" s="57"/>
      <c r="K304" s="167"/>
      <c r="L304" s="8"/>
      <c r="M304" s="8" t="s">
        <v>4206</v>
      </c>
      <c r="N304" s="26">
        <v>43872.447141203702</v>
      </c>
      <c r="O304" s="8" t="s">
        <v>1744</v>
      </c>
      <c r="P304" s="26">
        <v>43868.605046296296</v>
      </c>
      <c r="Q304" s="65">
        <v>40436</v>
      </c>
      <c r="R304" s="14" t="s">
        <v>4105</v>
      </c>
      <c r="S304" s="168">
        <v>751</v>
      </c>
      <c r="T304" s="52" t="s">
        <v>3512</v>
      </c>
      <c r="U304" s="8" t="s">
        <v>3564</v>
      </c>
    </row>
    <row r="305" spans="1:21" ht="15" hidden="1" x14ac:dyDescent="0.2">
      <c r="A305" s="170" t="str">
        <f>CONCATENATE(SP_ENV_Lib[[#This Row],[Environmental Tract No.]],"_",SP_ENV_Lib[[#This Row],[ACQ Document Type]])</f>
        <v>121_ENVIRONMENTAL Right-of-Entry Executed</v>
      </c>
      <c r="B305" s="14" t="s">
        <v>4381</v>
      </c>
      <c r="C305" s="169" t="s">
        <v>3116</v>
      </c>
      <c r="D305" s="12" t="s">
        <v>3117</v>
      </c>
      <c r="E305" s="166" t="s">
        <v>2682</v>
      </c>
      <c r="F305" s="8" t="s">
        <v>2683</v>
      </c>
      <c r="G305" s="8" t="s">
        <v>2681</v>
      </c>
      <c r="H305" s="52" t="s">
        <v>592</v>
      </c>
      <c r="I305" s="57">
        <v>43899</v>
      </c>
      <c r="J305" s="57"/>
      <c r="K305" s="167"/>
      <c r="L305" s="8"/>
      <c r="M305" s="8" t="s">
        <v>4205</v>
      </c>
      <c r="N305" s="26">
        <v>43903.867002314815</v>
      </c>
      <c r="O305" s="8" t="s">
        <v>4205</v>
      </c>
      <c r="P305" s="26">
        <v>43903.866620370369</v>
      </c>
      <c r="Q305" s="65">
        <v>2429898</v>
      </c>
      <c r="R305" s="14" t="s">
        <v>4425</v>
      </c>
      <c r="S305" s="168">
        <v>1305</v>
      </c>
      <c r="T305" s="52" t="s">
        <v>3512</v>
      </c>
      <c r="U305" s="8" t="s">
        <v>3564</v>
      </c>
    </row>
    <row r="306" spans="1:21" ht="15" hidden="1" x14ac:dyDescent="0.2">
      <c r="A306" s="170" t="str">
        <f>CONCATENATE(SP_ENV_Lib[[#This Row],[Environmental Tract No.]],"_",SP_ENV_Lib[[#This Row],[ACQ Document Type]])</f>
        <v>121_ENVIRONMENTAL Right-of-Entry Package</v>
      </c>
      <c r="B306" s="14" t="s">
        <v>3793</v>
      </c>
      <c r="C306" s="169" t="s">
        <v>3116</v>
      </c>
      <c r="D306" s="12" t="s">
        <v>3117</v>
      </c>
      <c r="E306" s="166" t="s">
        <v>2682</v>
      </c>
      <c r="F306" s="8" t="s">
        <v>2687</v>
      </c>
      <c r="G306" s="8" t="s">
        <v>2686</v>
      </c>
      <c r="H306" s="52" t="s">
        <v>592</v>
      </c>
      <c r="I306" s="57">
        <v>43846</v>
      </c>
      <c r="J306" s="57">
        <v>43848</v>
      </c>
      <c r="K306" s="167"/>
      <c r="L306" s="8"/>
      <c r="M306" s="8" t="s">
        <v>4206</v>
      </c>
      <c r="N306" s="26">
        <v>43874.529224537036</v>
      </c>
      <c r="O306" s="8" t="s">
        <v>4206</v>
      </c>
      <c r="P306" s="26">
        <v>43873.521655092591</v>
      </c>
      <c r="Q306" s="65">
        <v>994042</v>
      </c>
      <c r="R306" s="14" t="s">
        <v>4106</v>
      </c>
      <c r="S306" s="168">
        <v>977</v>
      </c>
      <c r="T306" s="52" t="s">
        <v>3512</v>
      </c>
      <c r="U306" s="8" t="s">
        <v>3564</v>
      </c>
    </row>
    <row r="307" spans="1:21" ht="15" x14ac:dyDescent="0.2">
      <c r="A307" s="170" t="str">
        <f>CONCATENATE(SP_ENV_Lib[[#This Row],[Environmental Tract No.]],"_",SP_ENV_Lib[[#This Row],[ACQ Document Type]])</f>
        <v>121_TITLE Tax Card</v>
      </c>
      <c r="B307" s="14" t="s">
        <v>3794</v>
      </c>
      <c r="C307" s="169" t="s">
        <v>3116</v>
      </c>
      <c r="D307" s="12" t="s">
        <v>3117</v>
      </c>
      <c r="E307" s="166" t="s">
        <v>861</v>
      </c>
      <c r="F307" s="8" t="s">
        <v>1150</v>
      </c>
      <c r="G307" s="8" t="s">
        <v>1149</v>
      </c>
      <c r="H307" s="52" t="s">
        <v>592</v>
      </c>
      <c r="I307" s="57"/>
      <c r="J307" s="57"/>
      <c r="K307" s="167"/>
      <c r="L307" s="8"/>
      <c r="M307" s="8" t="s">
        <v>4206</v>
      </c>
      <c r="N307" s="26">
        <v>43872.433587962965</v>
      </c>
      <c r="O307" s="8" t="s">
        <v>4206</v>
      </c>
      <c r="P307" s="26">
        <v>43871.529513888891</v>
      </c>
      <c r="Q307" s="65">
        <v>745017</v>
      </c>
      <c r="R307" s="14" t="s">
        <v>4107</v>
      </c>
      <c r="S307" s="168">
        <v>840</v>
      </c>
      <c r="T307" s="52" t="s">
        <v>3512</v>
      </c>
      <c r="U307" s="8" t="s">
        <v>3564</v>
      </c>
    </row>
    <row r="308" spans="1:21" ht="15" x14ac:dyDescent="0.2">
      <c r="A308" s="170" t="str">
        <f>CONCATENATE(SP_ENV_Lib[[#This Row],[Environmental Tract No.]],"_",SP_ENV_Lib[[#This Row],[ACQ Document Type]])</f>
        <v>122_CONTACT Negotiator Report</v>
      </c>
      <c r="B308" s="14" t="s">
        <v>3795</v>
      </c>
      <c r="C308" s="169" t="s">
        <v>3121</v>
      </c>
      <c r="D308" s="12" t="s">
        <v>3122</v>
      </c>
      <c r="E308" s="166" t="s">
        <v>865</v>
      </c>
      <c r="F308" s="8" t="s">
        <v>1068</v>
      </c>
      <c r="G308" s="8" t="s">
        <v>1067</v>
      </c>
      <c r="H308" s="52" t="s">
        <v>592</v>
      </c>
      <c r="I308" s="57"/>
      <c r="J308" s="57"/>
      <c r="K308" s="167"/>
      <c r="L308" s="8"/>
      <c r="M308" s="8" t="s">
        <v>4206</v>
      </c>
      <c r="N308" s="26">
        <v>43872.447013888886</v>
      </c>
      <c r="O308" s="8" t="s">
        <v>1744</v>
      </c>
      <c r="P308" s="26">
        <v>43868.605057870373</v>
      </c>
      <c r="Q308" s="65">
        <v>40336</v>
      </c>
      <c r="R308" s="14" t="s">
        <v>4108</v>
      </c>
      <c r="S308" s="168">
        <v>752</v>
      </c>
      <c r="T308" s="52" t="s">
        <v>3512</v>
      </c>
      <c r="U308" s="8" t="s">
        <v>3564</v>
      </c>
    </row>
    <row r="309" spans="1:21" ht="15" hidden="1" x14ac:dyDescent="0.2">
      <c r="A309" s="170" t="str">
        <f>CONCATENATE(SP_ENV_Lib[[#This Row],[Environmental Tract No.]],"_",SP_ENV_Lib[[#This Row],[ACQ Document Type]])</f>
        <v>122_ENVIRONMENTAL Right-of-Entry Executed</v>
      </c>
      <c r="B309" s="14" t="s">
        <v>4382</v>
      </c>
      <c r="C309" s="169" t="s">
        <v>3121</v>
      </c>
      <c r="D309" s="12" t="s">
        <v>3122</v>
      </c>
      <c r="E309" s="166" t="s">
        <v>2682</v>
      </c>
      <c r="F309" s="8" t="s">
        <v>2683</v>
      </c>
      <c r="G309" s="8" t="s">
        <v>2681</v>
      </c>
      <c r="H309" s="52" t="s">
        <v>592</v>
      </c>
      <c r="I309" s="57">
        <v>43899</v>
      </c>
      <c r="J309" s="57"/>
      <c r="K309" s="167"/>
      <c r="L309" s="8"/>
      <c r="M309" s="8" t="s">
        <v>4205</v>
      </c>
      <c r="N309" s="26">
        <v>43903.867858796293</v>
      </c>
      <c r="O309" s="8" t="s">
        <v>4205</v>
      </c>
      <c r="P309" s="26">
        <v>43903.867442129631</v>
      </c>
      <c r="Q309" s="65">
        <v>2467215</v>
      </c>
      <c r="R309" s="14" t="s">
        <v>4426</v>
      </c>
      <c r="S309" s="168">
        <v>1306</v>
      </c>
      <c r="T309" s="52" t="s">
        <v>3512</v>
      </c>
      <c r="U309" s="8" t="s">
        <v>3564</v>
      </c>
    </row>
    <row r="310" spans="1:21" ht="15" hidden="1" x14ac:dyDescent="0.2">
      <c r="A310" s="170" t="str">
        <f>CONCATENATE(SP_ENV_Lib[[#This Row],[Environmental Tract No.]],"_",SP_ENV_Lib[[#This Row],[ACQ Document Type]])</f>
        <v>122_ENVIRONMENTAL Right-of-Entry Package</v>
      </c>
      <c r="B310" s="14" t="s">
        <v>3796</v>
      </c>
      <c r="C310" s="169" t="s">
        <v>3121</v>
      </c>
      <c r="D310" s="12" t="s">
        <v>3122</v>
      </c>
      <c r="E310" s="166" t="s">
        <v>2682</v>
      </c>
      <c r="F310" s="8" t="s">
        <v>2687</v>
      </c>
      <c r="G310" s="8" t="s">
        <v>2686</v>
      </c>
      <c r="H310" s="52" t="s">
        <v>592</v>
      </c>
      <c r="I310" s="57">
        <v>43846</v>
      </c>
      <c r="J310" s="57">
        <v>43853</v>
      </c>
      <c r="K310" s="167"/>
      <c r="L310" s="8"/>
      <c r="M310" s="8" t="s">
        <v>4206</v>
      </c>
      <c r="N310" s="26">
        <v>43874.529004629629</v>
      </c>
      <c r="O310" s="8" t="s">
        <v>4206</v>
      </c>
      <c r="P310" s="26">
        <v>43873.52171296296</v>
      </c>
      <c r="Q310" s="65">
        <v>991869</v>
      </c>
      <c r="R310" s="14" t="s">
        <v>4109</v>
      </c>
      <c r="S310" s="168">
        <v>978</v>
      </c>
      <c r="T310" s="52" t="s">
        <v>3512</v>
      </c>
      <c r="U310" s="8" t="s">
        <v>3564</v>
      </c>
    </row>
    <row r="311" spans="1:21" ht="15" x14ac:dyDescent="0.2">
      <c r="A311" s="170" t="str">
        <f>CONCATENATE(SP_ENV_Lib[[#This Row],[Environmental Tract No.]],"_",SP_ENV_Lib[[#This Row],[ACQ Document Type]])</f>
        <v>122_TITLE Tax Card</v>
      </c>
      <c r="B311" s="14" t="s">
        <v>3797</v>
      </c>
      <c r="C311" s="169" t="s">
        <v>3121</v>
      </c>
      <c r="D311" s="12" t="s">
        <v>3122</v>
      </c>
      <c r="E311" s="166" t="s">
        <v>861</v>
      </c>
      <c r="F311" s="8" t="s">
        <v>1150</v>
      </c>
      <c r="G311" s="8" t="s">
        <v>1149</v>
      </c>
      <c r="H311" s="52" t="s">
        <v>592</v>
      </c>
      <c r="I311" s="57"/>
      <c r="J311" s="57"/>
      <c r="K311" s="167"/>
      <c r="L311" s="8"/>
      <c r="M311" s="8" t="s">
        <v>4206</v>
      </c>
      <c r="N311" s="26">
        <v>43872.43346064815</v>
      </c>
      <c r="O311" s="8" t="s">
        <v>4206</v>
      </c>
      <c r="P311" s="26">
        <v>43871.52952546296</v>
      </c>
      <c r="Q311" s="65">
        <v>745095</v>
      </c>
      <c r="R311" s="14" t="s">
        <v>4110</v>
      </c>
      <c r="S311" s="168">
        <v>841</v>
      </c>
      <c r="T311" s="52" t="s">
        <v>3512</v>
      </c>
      <c r="U311" s="8" t="s">
        <v>3564</v>
      </c>
    </row>
    <row r="312" spans="1:21" ht="15" hidden="1" x14ac:dyDescent="0.2">
      <c r="A312" s="170" t="str">
        <f>CONCATENATE(SP_ENV_Lib[[#This Row],[Environmental Tract No.]],"_",SP_ENV_Lib[[#This Row],[ACQ Document Type]])</f>
        <v>123_ENVIRONMENTAL Right-of-Entry Package</v>
      </c>
      <c r="B312" s="14" t="s">
        <v>4383</v>
      </c>
      <c r="C312" s="169" t="s">
        <v>3126</v>
      </c>
      <c r="D312" s="12" t="s">
        <v>3127</v>
      </c>
      <c r="E312" s="166" t="s">
        <v>2682</v>
      </c>
      <c r="F312" s="8" t="s">
        <v>2687</v>
      </c>
      <c r="G312" s="8" t="s">
        <v>2686</v>
      </c>
      <c r="H312" s="52" t="s">
        <v>592</v>
      </c>
      <c r="I312" s="57">
        <v>43845</v>
      </c>
      <c r="J312" s="57">
        <v>43885</v>
      </c>
      <c r="K312" s="167"/>
      <c r="L312" s="8" t="s">
        <v>4346</v>
      </c>
      <c r="M312" s="8" t="s">
        <v>4206</v>
      </c>
      <c r="N312" s="26">
        <v>43896.567175925928</v>
      </c>
      <c r="O312" s="8" t="s">
        <v>4206</v>
      </c>
      <c r="P312" s="26">
        <v>43896.509328703702</v>
      </c>
      <c r="Q312" s="65">
        <v>455478</v>
      </c>
      <c r="R312" s="14" t="s">
        <v>4427</v>
      </c>
      <c r="S312" s="168">
        <v>1286</v>
      </c>
      <c r="T312" s="52" t="s">
        <v>3512</v>
      </c>
      <c r="U312" s="8" t="s">
        <v>3564</v>
      </c>
    </row>
    <row r="313" spans="1:21" ht="15" x14ac:dyDescent="0.2">
      <c r="A313" s="170" t="str">
        <f>CONCATENATE(SP_ENV_Lib[[#This Row],[Environmental Tract No.]],"_",SP_ENV_Lib[[#This Row],[ACQ Document Type]])</f>
        <v>123_TITLE Tax Card</v>
      </c>
      <c r="B313" s="14" t="s">
        <v>3798</v>
      </c>
      <c r="C313" s="169" t="s">
        <v>3126</v>
      </c>
      <c r="D313" s="12" t="s">
        <v>3127</v>
      </c>
      <c r="E313" s="166" t="s">
        <v>861</v>
      </c>
      <c r="F313" s="8" t="s">
        <v>1150</v>
      </c>
      <c r="G313" s="8" t="s">
        <v>1149</v>
      </c>
      <c r="H313" s="52" t="s">
        <v>592</v>
      </c>
      <c r="I313" s="57"/>
      <c r="J313" s="57"/>
      <c r="K313" s="167"/>
      <c r="L313" s="8"/>
      <c r="M313" s="8" t="s">
        <v>4206</v>
      </c>
      <c r="N313" s="26">
        <v>43872.433298611111</v>
      </c>
      <c r="O313" s="8" t="s">
        <v>4206</v>
      </c>
      <c r="P313" s="26">
        <v>43871.529548611114</v>
      </c>
      <c r="Q313" s="65">
        <v>894848</v>
      </c>
      <c r="R313" s="14" t="s">
        <v>4111</v>
      </c>
      <c r="S313" s="168">
        <v>842</v>
      </c>
      <c r="T313" s="52" t="s">
        <v>3512</v>
      </c>
      <c r="U313" s="8" t="s">
        <v>3564</v>
      </c>
    </row>
    <row r="314" spans="1:21" ht="15" hidden="1" x14ac:dyDescent="0.2">
      <c r="A314" s="170" t="str">
        <f>CONCATENATE(SP_ENV_Lib[[#This Row],[Environmental Tract No.]],"_",SP_ENV_Lib[[#This Row],[ACQ Document Type]])</f>
        <v>124_ENVIRONMENTAL Right-of-Entry Package</v>
      </c>
      <c r="B314" s="14" t="s">
        <v>4384</v>
      </c>
      <c r="C314" s="169" t="s">
        <v>3131</v>
      </c>
      <c r="D314" s="12" t="s">
        <v>3132</v>
      </c>
      <c r="E314" s="166" t="s">
        <v>2682</v>
      </c>
      <c r="F314" s="8" t="s">
        <v>2687</v>
      </c>
      <c r="G314" s="8" t="s">
        <v>2686</v>
      </c>
      <c r="H314" s="52" t="s">
        <v>592</v>
      </c>
      <c r="I314" s="57">
        <v>43846</v>
      </c>
      <c r="J314" s="57">
        <v>43861</v>
      </c>
      <c r="K314" s="167"/>
      <c r="L314" s="8" t="s">
        <v>4346</v>
      </c>
      <c r="M314" s="8" t="s">
        <v>4206</v>
      </c>
      <c r="N314" s="26">
        <v>43896.568159722221</v>
      </c>
      <c r="O314" s="8" t="s">
        <v>4206</v>
      </c>
      <c r="P314" s="26">
        <v>43896.509340277778</v>
      </c>
      <c r="Q314" s="65">
        <v>1113826</v>
      </c>
      <c r="R314" s="14" t="s">
        <v>4428</v>
      </c>
      <c r="S314" s="168">
        <v>1287</v>
      </c>
      <c r="T314" s="52" t="s">
        <v>3512</v>
      </c>
      <c r="U314" s="8" t="s">
        <v>3564</v>
      </c>
    </row>
    <row r="315" spans="1:21" ht="15" x14ac:dyDescent="0.2">
      <c r="A315" s="170" t="str">
        <f>CONCATENATE(SP_ENV_Lib[[#This Row],[Environmental Tract No.]],"_",SP_ENV_Lib[[#This Row],[ACQ Document Type]])</f>
        <v>124_TITLE Tax Card</v>
      </c>
      <c r="B315" s="14" t="s">
        <v>3799</v>
      </c>
      <c r="C315" s="169" t="s">
        <v>3131</v>
      </c>
      <c r="D315" s="12" t="s">
        <v>3132</v>
      </c>
      <c r="E315" s="166" t="s">
        <v>861</v>
      </c>
      <c r="F315" s="8" t="s">
        <v>1150</v>
      </c>
      <c r="G315" s="8" t="s">
        <v>1149</v>
      </c>
      <c r="H315" s="52" t="s">
        <v>592</v>
      </c>
      <c r="I315" s="57"/>
      <c r="J315" s="57"/>
      <c r="K315" s="167"/>
      <c r="L315" s="8"/>
      <c r="M315" s="8" t="s">
        <v>4206</v>
      </c>
      <c r="N315" s="26">
        <v>43872.433194444442</v>
      </c>
      <c r="O315" s="8" t="s">
        <v>4206</v>
      </c>
      <c r="P315" s="26">
        <v>43871.529560185183</v>
      </c>
      <c r="Q315" s="65">
        <v>819189</v>
      </c>
      <c r="R315" s="14" t="s">
        <v>4112</v>
      </c>
      <c r="S315" s="168">
        <v>843</v>
      </c>
      <c r="T315" s="52" t="s">
        <v>3512</v>
      </c>
      <c r="U315" s="8" t="s">
        <v>3564</v>
      </c>
    </row>
    <row r="316" spans="1:21" ht="15" x14ac:dyDescent="0.2">
      <c r="A316" s="170" t="str">
        <f>CONCATENATE(SP_ENV_Lib[[#This Row],[Environmental Tract No.]],"_",SP_ENV_Lib[[#This Row],[ACQ Document Type]])</f>
        <v>125_CONTACT Negotiator Report</v>
      </c>
      <c r="B316" s="14" t="s">
        <v>3800</v>
      </c>
      <c r="C316" s="169" t="s">
        <v>3136</v>
      </c>
      <c r="D316" s="12" t="s">
        <v>3137</v>
      </c>
      <c r="E316" s="166" t="s">
        <v>865</v>
      </c>
      <c r="F316" s="8" t="s">
        <v>1068</v>
      </c>
      <c r="G316" s="8" t="s">
        <v>1067</v>
      </c>
      <c r="H316" s="52" t="s">
        <v>592</v>
      </c>
      <c r="I316" s="57"/>
      <c r="J316" s="57"/>
      <c r="K316" s="167"/>
      <c r="L316" s="8"/>
      <c r="M316" s="8" t="s">
        <v>4206</v>
      </c>
      <c r="N316" s="26">
        <v>43872.446342592593</v>
      </c>
      <c r="O316" s="8" t="s">
        <v>1744</v>
      </c>
      <c r="P316" s="26">
        <v>43868.605069444442</v>
      </c>
      <c r="Q316" s="65">
        <v>40422</v>
      </c>
      <c r="R316" s="14" t="s">
        <v>4113</v>
      </c>
      <c r="S316" s="168">
        <v>753</v>
      </c>
      <c r="T316" s="52" t="s">
        <v>3512</v>
      </c>
      <c r="U316" s="8" t="s">
        <v>3564</v>
      </c>
    </row>
    <row r="317" spans="1:21" ht="15" hidden="1" x14ac:dyDescent="0.2">
      <c r="A317" s="170" t="str">
        <f>CONCATENATE(SP_ENV_Lib[[#This Row],[Environmental Tract No.]],"_",SP_ENV_Lib[[#This Row],[ACQ Document Type]])</f>
        <v>125_ENVIRONMENTAL Right-of-Entry Package</v>
      </c>
      <c r="B317" s="14" t="s">
        <v>4385</v>
      </c>
      <c r="C317" s="169" t="s">
        <v>3136</v>
      </c>
      <c r="D317" s="12" t="s">
        <v>3137</v>
      </c>
      <c r="E317" s="166" t="s">
        <v>2682</v>
      </c>
      <c r="F317" s="8" t="s">
        <v>2687</v>
      </c>
      <c r="G317" s="8" t="s">
        <v>2686</v>
      </c>
      <c r="H317" s="52" t="s">
        <v>592</v>
      </c>
      <c r="I317" s="57">
        <v>43846</v>
      </c>
      <c r="J317" s="57">
        <v>43891</v>
      </c>
      <c r="K317" s="167"/>
      <c r="L317" s="8" t="s">
        <v>4346</v>
      </c>
      <c r="M317" s="8" t="s">
        <v>4206</v>
      </c>
      <c r="N317" s="26">
        <v>43896.569097222222</v>
      </c>
      <c r="O317" s="8" t="s">
        <v>4206</v>
      </c>
      <c r="P317" s="26">
        <v>43896.508819444447</v>
      </c>
      <c r="Q317" s="65">
        <v>1034935</v>
      </c>
      <c r="R317" s="14" t="s">
        <v>4429</v>
      </c>
      <c r="S317" s="168">
        <v>1259</v>
      </c>
      <c r="T317" s="52" t="s">
        <v>3512</v>
      </c>
      <c r="U317" s="8" t="s">
        <v>3564</v>
      </c>
    </row>
    <row r="318" spans="1:21" ht="15" x14ac:dyDescent="0.2">
      <c r="A318" s="170" t="str">
        <f>CONCATENATE(SP_ENV_Lib[[#This Row],[Environmental Tract No.]],"_",SP_ENV_Lib[[#This Row],[ACQ Document Type]])</f>
        <v>125_TITLE Tax Card</v>
      </c>
      <c r="B318" s="14" t="s">
        <v>3801</v>
      </c>
      <c r="C318" s="169" t="s">
        <v>3136</v>
      </c>
      <c r="D318" s="12" t="s">
        <v>3137</v>
      </c>
      <c r="E318" s="166" t="s">
        <v>861</v>
      </c>
      <c r="F318" s="8" t="s">
        <v>1150</v>
      </c>
      <c r="G318" s="8" t="s">
        <v>1149</v>
      </c>
      <c r="H318" s="52" t="s">
        <v>592</v>
      </c>
      <c r="I318" s="57"/>
      <c r="J318" s="57"/>
      <c r="K318" s="167"/>
      <c r="L318" s="8"/>
      <c r="M318" s="8" t="s">
        <v>4206</v>
      </c>
      <c r="N318" s="26">
        <v>43872.433067129627</v>
      </c>
      <c r="O318" s="8" t="s">
        <v>4206</v>
      </c>
      <c r="P318" s="26">
        <v>43871.52957175926</v>
      </c>
      <c r="Q318" s="65">
        <v>811904</v>
      </c>
      <c r="R318" s="14" t="s">
        <v>4114</v>
      </c>
      <c r="S318" s="168">
        <v>844</v>
      </c>
      <c r="T318" s="52" t="s">
        <v>3512</v>
      </c>
      <c r="U318" s="8" t="s">
        <v>3564</v>
      </c>
    </row>
    <row r="319" spans="1:21" ht="15" x14ac:dyDescent="0.2">
      <c r="A319" s="170" t="str">
        <f>CONCATENATE(SP_ENV_Lib[[#This Row],[Environmental Tract No.]],"_",SP_ENV_Lib[[#This Row],[ACQ Document Type]])</f>
        <v>126_CONTACT Negotiator Report</v>
      </c>
      <c r="B319" s="14" t="s">
        <v>3802</v>
      </c>
      <c r="C319" s="169" t="s">
        <v>3141</v>
      </c>
      <c r="D319" s="12" t="s">
        <v>3142</v>
      </c>
      <c r="E319" s="166" t="s">
        <v>865</v>
      </c>
      <c r="F319" s="8" t="s">
        <v>1068</v>
      </c>
      <c r="G319" s="8" t="s">
        <v>1067</v>
      </c>
      <c r="H319" s="52" t="s">
        <v>592</v>
      </c>
      <c r="I319" s="57"/>
      <c r="J319" s="57"/>
      <c r="K319" s="167"/>
      <c r="L319" s="8"/>
      <c r="M319" s="8" t="s">
        <v>4206</v>
      </c>
      <c r="N319" s="26">
        <v>43872.446770833332</v>
      </c>
      <c r="O319" s="8" t="s">
        <v>1744</v>
      </c>
      <c r="P319" s="26">
        <v>43868.605069444442</v>
      </c>
      <c r="Q319" s="65">
        <v>40513</v>
      </c>
      <c r="R319" s="14" t="s">
        <v>4115</v>
      </c>
      <c r="S319" s="168">
        <v>754</v>
      </c>
      <c r="T319" s="52" t="s">
        <v>3512</v>
      </c>
      <c r="U319" s="8" t="s">
        <v>3564</v>
      </c>
    </row>
    <row r="320" spans="1:21" ht="15" hidden="1" x14ac:dyDescent="0.2">
      <c r="A320" s="170" t="str">
        <f>CONCATENATE(SP_ENV_Lib[[#This Row],[Environmental Tract No.]],"_",SP_ENV_Lib[[#This Row],[ACQ Document Type]])</f>
        <v>126_ENVIRONMENTAL Right-of-Entry Package</v>
      </c>
      <c r="B320" s="14" t="s">
        <v>3803</v>
      </c>
      <c r="C320" s="169" t="s">
        <v>3141</v>
      </c>
      <c r="D320" s="12" t="s">
        <v>3142</v>
      </c>
      <c r="E320" s="166" t="s">
        <v>2682</v>
      </c>
      <c r="F320" s="8" t="s">
        <v>2687</v>
      </c>
      <c r="G320" s="8" t="s">
        <v>2686</v>
      </c>
      <c r="H320" s="52" t="s">
        <v>592</v>
      </c>
      <c r="I320" s="57">
        <v>43846</v>
      </c>
      <c r="J320" s="57">
        <v>43853</v>
      </c>
      <c r="K320" s="167"/>
      <c r="L320" s="8"/>
      <c r="M320" s="8" t="s">
        <v>4206</v>
      </c>
      <c r="N320" s="26">
        <v>43874.528761574074</v>
      </c>
      <c r="O320" s="8" t="s">
        <v>4206</v>
      </c>
      <c r="P320" s="26">
        <v>43873.52175925926</v>
      </c>
      <c r="Q320" s="65">
        <v>964345</v>
      </c>
      <c r="R320" s="14" t="s">
        <v>4116</v>
      </c>
      <c r="S320" s="168">
        <v>979</v>
      </c>
      <c r="T320" s="52" t="s">
        <v>3512</v>
      </c>
      <c r="U320" s="8" t="s">
        <v>3564</v>
      </c>
    </row>
    <row r="321" spans="1:21" ht="15" x14ac:dyDescent="0.2">
      <c r="A321" s="170" t="str">
        <f>CONCATENATE(SP_ENV_Lib[[#This Row],[Environmental Tract No.]],"_",SP_ENV_Lib[[#This Row],[ACQ Document Type]])</f>
        <v>126_TITLE Tax Card</v>
      </c>
      <c r="B321" s="14" t="s">
        <v>3804</v>
      </c>
      <c r="C321" s="169" t="s">
        <v>3141</v>
      </c>
      <c r="D321" s="12" t="s">
        <v>3142</v>
      </c>
      <c r="E321" s="166" t="s">
        <v>861</v>
      </c>
      <c r="F321" s="8" t="s">
        <v>1150</v>
      </c>
      <c r="G321" s="8" t="s">
        <v>1149</v>
      </c>
      <c r="H321" s="52" t="s">
        <v>592</v>
      </c>
      <c r="I321" s="57"/>
      <c r="J321" s="57"/>
      <c r="K321" s="167"/>
      <c r="L321" s="8"/>
      <c r="M321" s="8" t="s">
        <v>4206</v>
      </c>
      <c r="N321" s="26">
        <v>43872.432939814818</v>
      </c>
      <c r="O321" s="8" t="s">
        <v>4206</v>
      </c>
      <c r="P321" s="26">
        <v>43871.529583333337</v>
      </c>
      <c r="Q321" s="65">
        <v>891774</v>
      </c>
      <c r="R321" s="14" t="s">
        <v>4117</v>
      </c>
      <c r="S321" s="168">
        <v>845</v>
      </c>
      <c r="T321" s="52" t="s">
        <v>3512</v>
      </c>
      <c r="U321" s="8" t="s">
        <v>3564</v>
      </c>
    </row>
    <row r="322" spans="1:21" ht="15" x14ac:dyDescent="0.2">
      <c r="A322" s="170" t="str">
        <f>CONCATENATE(SP_ENV_Lib[[#This Row],[Environmental Tract No.]],"_",SP_ENV_Lib[[#This Row],[ACQ Document Type]])</f>
        <v>128_CONTACT Negotiator Report</v>
      </c>
      <c r="B322" s="14" t="s">
        <v>3805</v>
      </c>
      <c r="C322" s="169" t="s">
        <v>3146</v>
      </c>
      <c r="D322" s="12" t="s">
        <v>3147</v>
      </c>
      <c r="E322" s="166" t="s">
        <v>865</v>
      </c>
      <c r="F322" s="8" t="s">
        <v>1068</v>
      </c>
      <c r="G322" s="8" t="s">
        <v>1067</v>
      </c>
      <c r="H322" s="52" t="s">
        <v>592</v>
      </c>
      <c r="I322" s="57"/>
      <c r="J322" s="57"/>
      <c r="K322" s="167"/>
      <c r="L322" s="8"/>
      <c r="M322" s="8" t="s">
        <v>1744</v>
      </c>
      <c r="N322" s="26">
        <v>43875.643576388888</v>
      </c>
      <c r="O322" s="8" t="s">
        <v>1744</v>
      </c>
      <c r="P322" s="26">
        <v>43868.605081018519</v>
      </c>
      <c r="Q322" s="65">
        <v>38014</v>
      </c>
      <c r="R322" s="14" t="s">
        <v>4118</v>
      </c>
      <c r="S322" s="168">
        <v>755</v>
      </c>
      <c r="T322" s="52" t="s">
        <v>3512</v>
      </c>
      <c r="U322" s="8" t="s">
        <v>3564</v>
      </c>
    </row>
    <row r="323" spans="1:21" ht="15" hidden="1" x14ac:dyDescent="0.2">
      <c r="A323" s="170" t="str">
        <f>CONCATENATE(SP_ENV_Lib[[#This Row],[Environmental Tract No.]],"_",SP_ENV_Lib[[#This Row],[ACQ Document Type]])</f>
        <v>128_ENVIRONMENTAL Right-of-Entry Executed</v>
      </c>
      <c r="B323" s="14" t="s">
        <v>4252</v>
      </c>
      <c r="C323" s="169" t="s">
        <v>3146</v>
      </c>
      <c r="D323" s="12" t="s">
        <v>3147</v>
      </c>
      <c r="E323" s="166" t="s">
        <v>2682</v>
      </c>
      <c r="F323" s="8" t="s">
        <v>2683</v>
      </c>
      <c r="G323" s="8" t="s">
        <v>2681</v>
      </c>
      <c r="H323" s="52" t="s">
        <v>592</v>
      </c>
      <c r="I323" s="57">
        <v>43872</v>
      </c>
      <c r="J323" s="57"/>
      <c r="K323" s="167"/>
      <c r="L323" s="8"/>
      <c r="M323" s="8" t="s">
        <v>4205</v>
      </c>
      <c r="N323" s="26">
        <v>43892.846388888887</v>
      </c>
      <c r="O323" s="8" t="s">
        <v>4205</v>
      </c>
      <c r="P323" s="26">
        <v>43892.845949074072</v>
      </c>
      <c r="Q323" s="65">
        <v>1858330</v>
      </c>
      <c r="R323" s="14" t="s">
        <v>4311</v>
      </c>
      <c r="S323" s="168">
        <v>1215</v>
      </c>
      <c r="T323" s="52" t="s">
        <v>3512</v>
      </c>
      <c r="U323" s="8" t="s">
        <v>3564</v>
      </c>
    </row>
    <row r="324" spans="1:21" ht="15" hidden="1" x14ac:dyDescent="0.2">
      <c r="A324" s="170" t="str">
        <f>CONCATENATE(SP_ENV_Lib[[#This Row],[Environmental Tract No.]],"_",SP_ENV_Lib[[#This Row],[ACQ Document Type]])</f>
        <v>128_ENVIRONMENTAL Right-of-Entry Package</v>
      </c>
      <c r="B324" s="14" t="s">
        <v>3806</v>
      </c>
      <c r="C324" s="169" t="s">
        <v>3146</v>
      </c>
      <c r="D324" s="12" t="s">
        <v>3147</v>
      </c>
      <c r="E324" s="166" t="s">
        <v>2682</v>
      </c>
      <c r="F324" s="8" t="s">
        <v>2687</v>
      </c>
      <c r="G324" s="8" t="s">
        <v>2686</v>
      </c>
      <c r="H324" s="52" t="s">
        <v>592</v>
      </c>
      <c r="I324" s="57">
        <v>43846</v>
      </c>
      <c r="J324" s="57">
        <v>43854</v>
      </c>
      <c r="K324" s="167"/>
      <c r="L324" s="8"/>
      <c r="M324" s="8" t="s">
        <v>4206</v>
      </c>
      <c r="N324" s="26">
        <v>43874.528483796297</v>
      </c>
      <c r="O324" s="8" t="s">
        <v>4206</v>
      </c>
      <c r="P324" s="26">
        <v>43873.521793981483</v>
      </c>
      <c r="Q324" s="65">
        <v>986311</v>
      </c>
      <c r="R324" s="14" t="s">
        <v>4119</v>
      </c>
      <c r="S324" s="168">
        <v>980</v>
      </c>
      <c r="T324" s="52" t="s">
        <v>3512</v>
      </c>
      <c r="U324" s="8" t="s">
        <v>3564</v>
      </c>
    </row>
    <row r="325" spans="1:21" ht="15" x14ac:dyDescent="0.2">
      <c r="A325" s="170" t="str">
        <f>CONCATENATE(SP_ENV_Lib[[#This Row],[Environmental Tract No.]],"_",SP_ENV_Lib[[#This Row],[ACQ Document Type]])</f>
        <v>128_TITLE Tax Card</v>
      </c>
      <c r="B325" s="14" t="s">
        <v>3807</v>
      </c>
      <c r="C325" s="169" t="s">
        <v>3146</v>
      </c>
      <c r="D325" s="12" t="s">
        <v>3147</v>
      </c>
      <c r="E325" s="166" t="s">
        <v>861</v>
      </c>
      <c r="F325" s="8" t="s">
        <v>1150</v>
      </c>
      <c r="G325" s="8" t="s">
        <v>1149</v>
      </c>
      <c r="H325" s="52" t="s">
        <v>592</v>
      </c>
      <c r="I325" s="57"/>
      <c r="J325" s="57"/>
      <c r="K325" s="167"/>
      <c r="L325" s="8"/>
      <c r="M325" s="8" t="s">
        <v>4206</v>
      </c>
      <c r="N325" s="26">
        <v>43872.432835648149</v>
      </c>
      <c r="O325" s="8" t="s">
        <v>4206</v>
      </c>
      <c r="P325" s="26">
        <v>43871.529606481483</v>
      </c>
      <c r="Q325" s="65">
        <v>739576</v>
      </c>
      <c r="R325" s="14" t="s">
        <v>4120</v>
      </c>
      <c r="S325" s="168">
        <v>846</v>
      </c>
      <c r="T325" s="52" t="s">
        <v>3512</v>
      </c>
      <c r="U325" s="8" t="s">
        <v>3564</v>
      </c>
    </row>
    <row r="326" spans="1:21" ht="15" x14ac:dyDescent="0.2">
      <c r="A326" s="170" t="str">
        <f>CONCATENATE(SP_ENV_Lib[[#This Row],[Environmental Tract No.]],"_",SP_ENV_Lib[[#This Row],[ACQ Document Type]])</f>
        <v>129_CONTACT Negotiator Report</v>
      </c>
      <c r="B326" s="14" t="s">
        <v>3808</v>
      </c>
      <c r="C326" s="169" t="s">
        <v>3151</v>
      </c>
      <c r="D326" s="12" t="s">
        <v>1742</v>
      </c>
      <c r="E326" s="166" t="s">
        <v>865</v>
      </c>
      <c r="F326" s="8" t="s">
        <v>1068</v>
      </c>
      <c r="G326" s="8" t="s">
        <v>1067</v>
      </c>
      <c r="H326" s="52" t="s">
        <v>592</v>
      </c>
      <c r="I326" s="57"/>
      <c r="J326" s="57"/>
      <c r="K326" s="167"/>
      <c r="L326" s="8"/>
      <c r="M326" s="8" t="s">
        <v>1744</v>
      </c>
      <c r="N326" s="26">
        <v>43875.648020833331</v>
      </c>
      <c r="O326" s="8" t="s">
        <v>1744</v>
      </c>
      <c r="P326" s="26">
        <v>43868.605081018519</v>
      </c>
      <c r="Q326" s="65">
        <v>40302</v>
      </c>
      <c r="R326" s="14" t="s">
        <v>4121</v>
      </c>
      <c r="S326" s="168">
        <v>756</v>
      </c>
      <c r="T326" s="52" t="s">
        <v>3512</v>
      </c>
      <c r="U326" s="8" t="s">
        <v>3564</v>
      </c>
    </row>
    <row r="327" spans="1:21" ht="15" hidden="1" x14ac:dyDescent="0.2">
      <c r="A327" s="170" t="str">
        <f>CONCATENATE(SP_ENV_Lib[[#This Row],[Environmental Tract No.]],"_",SP_ENV_Lib[[#This Row],[ACQ Document Type]])</f>
        <v>129_ENVIRONMENTAL Right-of-Entry Executed</v>
      </c>
      <c r="B327" s="14" t="s">
        <v>4253</v>
      </c>
      <c r="C327" s="169" t="s">
        <v>3151</v>
      </c>
      <c r="D327" s="12" t="s">
        <v>1742</v>
      </c>
      <c r="E327" s="166" t="s">
        <v>2682</v>
      </c>
      <c r="F327" s="8" t="s">
        <v>2683</v>
      </c>
      <c r="G327" s="8" t="s">
        <v>2681</v>
      </c>
      <c r="H327" s="52" t="s">
        <v>592</v>
      </c>
      <c r="I327" s="57">
        <v>43867</v>
      </c>
      <c r="J327" s="57"/>
      <c r="K327" s="167"/>
      <c r="L327" s="8"/>
      <c r="M327" s="8" t="s">
        <v>4205</v>
      </c>
      <c r="N327" s="26">
        <v>43892.847314814811</v>
      </c>
      <c r="O327" s="8" t="s">
        <v>4205</v>
      </c>
      <c r="P327" s="26">
        <v>43892.846898148149</v>
      </c>
      <c r="Q327" s="65">
        <v>1462493</v>
      </c>
      <c r="R327" s="14" t="s">
        <v>4312</v>
      </c>
      <c r="S327" s="168">
        <v>1216</v>
      </c>
      <c r="T327" s="52" t="s">
        <v>3512</v>
      </c>
      <c r="U327" s="8" t="s">
        <v>3564</v>
      </c>
    </row>
    <row r="328" spans="1:21" ht="15" hidden="1" x14ac:dyDescent="0.2">
      <c r="A328" s="170" t="str">
        <f>CONCATENATE(SP_ENV_Lib[[#This Row],[Environmental Tract No.]],"_",SP_ENV_Lib[[#This Row],[ACQ Document Type]])</f>
        <v>129_ENVIRONMENTAL Right-of-Entry Package</v>
      </c>
      <c r="B328" s="14" t="s">
        <v>3809</v>
      </c>
      <c r="C328" s="169" t="s">
        <v>3151</v>
      </c>
      <c r="D328" s="12" t="s">
        <v>1742</v>
      </c>
      <c r="E328" s="166" t="s">
        <v>2682</v>
      </c>
      <c r="F328" s="8" t="s">
        <v>2687</v>
      </c>
      <c r="G328" s="8" t="s">
        <v>2686</v>
      </c>
      <c r="H328" s="52" t="s">
        <v>592</v>
      </c>
      <c r="I328" s="57">
        <v>43846</v>
      </c>
      <c r="J328" s="57">
        <v>43851</v>
      </c>
      <c r="K328" s="167"/>
      <c r="L328" s="8"/>
      <c r="M328" s="8" t="s">
        <v>4206</v>
      </c>
      <c r="N328" s="26">
        <v>43874.528240740743</v>
      </c>
      <c r="O328" s="8" t="s">
        <v>4206</v>
      </c>
      <c r="P328" s="26">
        <v>43873.521828703706</v>
      </c>
      <c r="Q328" s="65">
        <v>988144</v>
      </c>
      <c r="R328" s="14" t="s">
        <v>4122</v>
      </c>
      <c r="S328" s="168">
        <v>981</v>
      </c>
      <c r="T328" s="52" t="s">
        <v>3512</v>
      </c>
      <c r="U328" s="8" t="s">
        <v>3564</v>
      </c>
    </row>
    <row r="329" spans="1:21" ht="15" x14ac:dyDescent="0.2">
      <c r="A329" s="170" t="str">
        <f>CONCATENATE(SP_ENV_Lib[[#This Row],[Environmental Tract No.]],"_",SP_ENV_Lib[[#This Row],[ACQ Document Type]])</f>
        <v>129_TITLE Tax Card</v>
      </c>
      <c r="B329" s="14" t="s">
        <v>3810</v>
      </c>
      <c r="C329" s="169" t="s">
        <v>3151</v>
      </c>
      <c r="D329" s="12" t="s">
        <v>1742</v>
      </c>
      <c r="E329" s="166" t="s">
        <v>861</v>
      </c>
      <c r="F329" s="8" t="s">
        <v>1150</v>
      </c>
      <c r="G329" s="8" t="s">
        <v>1149</v>
      </c>
      <c r="H329" s="52" t="s">
        <v>592</v>
      </c>
      <c r="I329" s="57"/>
      <c r="J329" s="57"/>
      <c r="K329" s="167"/>
      <c r="L329" s="8"/>
      <c r="M329" s="8" t="s">
        <v>4206</v>
      </c>
      <c r="N329" s="26">
        <v>43872.43273148148</v>
      </c>
      <c r="O329" s="8" t="s">
        <v>4207</v>
      </c>
      <c r="P329" s="26">
        <v>43864.658009259256</v>
      </c>
      <c r="Q329" s="65">
        <v>740733</v>
      </c>
      <c r="R329" s="14" t="s">
        <v>4123</v>
      </c>
      <c r="S329" s="168">
        <v>726</v>
      </c>
      <c r="T329" s="52" t="s">
        <v>3512</v>
      </c>
      <c r="U329" s="8" t="s">
        <v>3564</v>
      </c>
    </row>
    <row r="330" spans="1:21" ht="15" x14ac:dyDescent="0.2">
      <c r="A330" s="170" t="str">
        <f>CONCATENATE(SP_ENV_Lib[[#This Row],[Environmental Tract No.]],"_",SP_ENV_Lib[[#This Row],[ACQ Document Type]])</f>
        <v>130_CONTACT Negotiator Report</v>
      </c>
      <c r="B330" s="14" t="s">
        <v>3811</v>
      </c>
      <c r="C330" s="169" t="s">
        <v>2700</v>
      </c>
      <c r="D330" s="12" t="s">
        <v>2699</v>
      </c>
      <c r="E330" s="166" t="s">
        <v>865</v>
      </c>
      <c r="F330" s="8" t="s">
        <v>1068</v>
      </c>
      <c r="G330" s="8" t="s">
        <v>1067</v>
      </c>
      <c r="H330" s="52" t="s">
        <v>592</v>
      </c>
      <c r="I330" s="57"/>
      <c r="J330" s="57"/>
      <c r="K330" s="167"/>
      <c r="L330" s="8"/>
      <c r="M330" s="8" t="s">
        <v>1744</v>
      </c>
      <c r="N330" s="26">
        <v>43871.721099537041</v>
      </c>
      <c r="O330" s="8" t="s">
        <v>1744</v>
      </c>
      <c r="P330" s="26">
        <v>43871.710428240738</v>
      </c>
      <c r="Q330" s="65">
        <v>44418</v>
      </c>
      <c r="R330" s="14" t="s">
        <v>4124</v>
      </c>
      <c r="S330" s="168">
        <v>938</v>
      </c>
      <c r="T330" s="52" t="s">
        <v>3512</v>
      </c>
      <c r="U330" s="8" t="s">
        <v>3564</v>
      </c>
    </row>
    <row r="331" spans="1:21" ht="15" hidden="1" x14ac:dyDescent="0.2">
      <c r="A331" s="170" t="str">
        <f>CONCATENATE(SP_ENV_Lib[[#This Row],[Environmental Tract No.]],"_",SP_ENV_Lib[[#This Row],[ACQ Document Type]])</f>
        <v>130_ENVIRONMENTAL Right-of-Entry Executed</v>
      </c>
      <c r="B331" s="14" t="s">
        <v>4254</v>
      </c>
      <c r="C331" s="169" t="s">
        <v>2700</v>
      </c>
      <c r="D331" s="12" t="s">
        <v>2699</v>
      </c>
      <c r="E331" s="166" t="s">
        <v>2682</v>
      </c>
      <c r="F331" s="8" t="s">
        <v>2683</v>
      </c>
      <c r="G331" s="8" t="s">
        <v>2681</v>
      </c>
      <c r="H331" s="52" t="s">
        <v>592</v>
      </c>
      <c r="I331" s="57">
        <v>43867</v>
      </c>
      <c r="J331" s="57"/>
      <c r="K331" s="167"/>
      <c r="L331" s="8"/>
      <c r="M331" s="8" t="s">
        <v>4205</v>
      </c>
      <c r="N331" s="26">
        <v>43892.848368055558</v>
      </c>
      <c r="O331" s="8" t="s">
        <v>4205</v>
      </c>
      <c r="P331" s="26">
        <v>43892.847928240742</v>
      </c>
      <c r="Q331" s="65">
        <v>1810320</v>
      </c>
      <c r="R331" s="14" t="s">
        <v>4313</v>
      </c>
      <c r="S331" s="168">
        <v>1217</v>
      </c>
      <c r="T331" s="52" t="s">
        <v>3512</v>
      </c>
      <c r="U331" s="8" t="s">
        <v>3564</v>
      </c>
    </row>
    <row r="332" spans="1:21" ht="15" hidden="1" x14ac:dyDescent="0.2">
      <c r="A332" s="170" t="str">
        <f>CONCATENATE(SP_ENV_Lib[[#This Row],[Environmental Tract No.]],"_",SP_ENV_Lib[[#This Row],[ACQ Document Type]])</f>
        <v>130_ENVIRONMENTAL Right-of-Entry Package</v>
      </c>
      <c r="B332" s="14" t="s">
        <v>3812</v>
      </c>
      <c r="C332" s="169" t="s">
        <v>2700</v>
      </c>
      <c r="D332" s="12" t="s">
        <v>2699</v>
      </c>
      <c r="E332" s="166" t="s">
        <v>2682</v>
      </c>
      <c r="F332" s="8" t="s">
        <v>2687</v>
      </c>
      <c r="G332" s="8" t="s">
        <v>2686</v>
      </c>
      <c r="H332" s="52" t="s">
        <v>592</v>
      </c>
      <c r="I332" s="57">
        <v>43846</v>
      </c>
      <c r="J332" s="57">
        <v>43851</v>
      </c>
      <c r="K332" s="167"/>
      <c r="L332" s="8"/>
      <c r="M332" s="8" t="s">
        <v>4206</v>
      </c>
      <c r="N332" s="26">
        <v>43874.527951388889</v>
      </c>
      <c r="O332" s="8" t="s">
        <v>4206</v>
      </c>
      <c r="P332" s="26">
        <v>43873.521863425929</v>
      </c>
      <c r="Q332" s="65">
        <v>1004589</v>
      </c>
      <c r="R332" s="14" t="s">
        <v>4125</v>
      </c>
      <c r="S332" s="168">
        <v>982</v>
      </c>
      <c r="T332" s="52" t="s">
        <v>3512</v>
      </c>
      <c r="U332" s="8" t="s">
        <v>3564</v>
      </c>
    </row>
    <row r="333" spans="1:21" ht="15" x14ac:dyDescent="0.2">
      <c r="A333" s="170" t="str">
        <f>CONCATENATE(SP_ENV_Lib[[#This Row],[Environmental Tract No.]],"_",SP_ENV_Lib[[#This Row],[ACQ Document Type]])</f>
        <v>130_TITLE Tax Card</v>
      </c>
      <c r="B333" s="14" t="s">
        <v>3813</v>
      </c>
      <c r="C333" s="169" t="s">
        <v>2700</v>
      </c>
      <c r="D333" s="12" t="s">
        <v>2699</v>
      </c>
      <c r="E333" s="166" t="s">
        <v>861</v>
      </c>
      <c r="F333" s="8" t="s">
        <v>1150</v>
      </c>
      <c r="G333" s="8" t="s">
        <v>1149</v>
      </c>
      <c r="H333" s="52" t="s">
        <v>592</v>
      </c>
      <c r="I333" s="57"/>
      <c r="J333" s="57"/>
      <c r="K333" s="167"/>
      <c r="L333" s="8"/>
      <c r="M333" s="8" t="s">
        <v>4207</v>
      </c>
      <c r="N333" s="26">
        <v>43861.501354166663</v>
      </c>
      <c r="O333" s="8" t="s">
        <v>4207</v>
      </c>
      <c r="P333" s="26">
        <v>43823.60864583333</v>
      </c>
      <c r="Q333" s="65">
        <v>754787</v>
      </c>
      <c r="R333" s="14" t="s">
        <v>4126</v>
      </c>
      <c r="S333" s="168">
        <v>683</v>
      </c>
      <c r="T333" s="52" t="s">
        <v>3512</v>
      </c>
      <c r="U333" s="8" t="s">
        <v>3564</v>
      </c>
    </row>
    <row r="334" spans="1:21" ht="15" x14ac:dyDescent="0.2">
      <c r="A334" s="170" t="str">
        <f>CONCATENATE(SP_ENV_Lib[[#This Row],[Environmental Tract No.]],"_",SP_ENV_Lib[[#This Row],[ACQ Document Type]])</f>
        <v>131_CONTACT Negotiator Report</v>
      </c>
      <c r="B334" s="14" t="s">
        <v>3814</v>
      </c>
      <c r="C334" s="169" t="s">
        <v>2702</v>
      </c>
      <c r="D334" s="12" t="s">
        <v>2701</v>
      </c>
      <c r="E334" s="166" t="s">
        <v>865</v>
      </c>
      <c r="F334" s="8" t="s">
        <v>1068</v>
      </c>
      <c r="G334" s="8" t="s">
        <v>1067</v>
      </c>
      <c r="H334" s="52" t="s">
        <v>592</v>
      </c>
      <c r="I334" s="57"/>
      <c r="J334" s="57"/>
      <c r="K334" s="167"/>
      <c r="L334" s="8"/>
      <c r="M334" s="8" t="s">
        <v>1744</v>
      </c>
      <c r="N334" s="26">
        <v>43875.65556712963</v>
      </c>
      <c r="O334" s="8" t="s">
        <v>1744</v>
      </c>
      <c r="P334" s="26">
        <v>43871.710428240738</v>
      </c>
      <c r="Q334" s="65">
        <v>39205</v>
      </c>
      <c r="R334" s="14" t="s">
        <v>4127</v>
      </c>
      <c r="S334" s="168">
        <v>939</v>
      </c>
      <c r="T334" s="52" t="s">
        <v>3512</v>
      </c>
      <c r="U334" s="8" t="s">
        <v>3564</v>
      </c>
    </row>
    <row r="335" spans="1:21" ht="15" hidden="1" x14ac:dyDescent="0.2">
      <c r="A335" s="170" t="str">
        <f>CONCATENATE(SP_ENV_Lib[[#This Row],[Environmental Tract No.]],"_",SP_ENV_Lib[[#This Row],[ACQ Document Type]])</f>
        <v>131_ENVIRONMENTAL Right-of-Entry Executed</v>
      </c>
      <c r="B335" s="14" t="s">
        <v>4255</v>
      </c>
      <c r="C335" s="169" t="s">
        <v>2702</v>
      </c>
      <c r="D335" s="12" t="s">
        <v>2701</v>
      </c>
      <c r="E335" s="166" t="s">
        <v>2682</v>
      </c>
      <c r="F335" s="8" t="s">
        <v>2683</v>
      </c>
      <c r="G335" s="8" t="s">
        <v>2681</v>
      </c>
      <c r="H335" s="52" t="s">
        <v>592</v>
      </c>
      <c r="I335" s="57">
        <v>43872</v>
      </c>
      <c r="J335" s="57"/>
      <c r="K335" s="167"/>
      <c r="L335" s="8" t="s">
        <v>4348</v>
      </c>
      <c r="M335" s="8" t="s">
        <v>4206</v>
      </c>
      <c r="N335" s="26">
        <v>43907.649074074077</v>
      </c>
      <c r="O335" s="8" t="s">
        <v>4205</v>
      </c>
      <c r="P335" s="26">
        <v>43892.849629629629</v>
      </c>
      <c r="Q335" s="65">
        <v>2651402</v>
      </c>
      <c r="R335" s="14" t="s">
        <v>4314</v>
      </c>
      <c r="S335" s="168">
        <v>1218</v>
      </c>
      <c r="T335" s="52" t="s">
        <v>3512</v>
      </c>
      <c r="U335" s="8" t="s">
        <v>3564</v>
      </c>
    </row>
    <row r="336" spans="1:21" ht="15" hidden="1" x14ac:dyDescent="0.2">
      <c r="A336" s="170" t="str">
        <f>CONCATENATE(SP_ENV_Lib[[#This Row],[Environmental Tract No.]],"_",SP_ENV_Lib[[#This Row],[ACQ Document Type]])</f>
        <v>131_ENVIRONMENTAL Right-of-Entry Package</v>
      </c>
      <c r="B336" s="14" t="s">
        <v>3815</v>
      </c>
      <c r="C336" s="169" t="s">
        <v>2702</v>
      </c>
      <c r="D336" s="12" t="s">
        <v>2701</v>
      </c>
      <c r="E336" s="166" t="s">
        <v>2682</v>
      </c>
      <c r="F336" s="8" t="s">
        <v>2687</v>
      </c>
      <c r="G336" s="8" t="s">
        <v>2686</v>
      </c>
      <c r="H336" s="52" t="s">
        <v>592</v>
      </c>
      <c r="I336" s="57">
        <v>43846</v>
      </c>
      <c r="J336" s="57">
        <v>43851</v>
      </c>
      <c r="K336" s="167"/>
      <c r="L336" s="8"/>
      <c r="M336" s="8" t="s">
        <v>4206</v>
      </c>
      <c r="N336" s="26">
        <v>43874.527662037035</v>
      </c>
      <c r="O336" s="8" t="s">
        <v>4206</v>
      </c>
      <c r="P336" s="26">
        <v>43873.521898148145</v>
      </c>
      <c r="Q336" s="65">
        <v>1004676</v>
      </c>
      <c r="R336" s="14" t="s">
        <v>4128</v>
      </c>
      <c r="S336" s="168">
        <v>983</v>
      </c>
      <c r="T336" s="52" t="s">
        <v>3512</v>
      </c>
      <c r="U336" s="8" t="s">
        <v>3564</v>
      </c>
    </row>
    <row r="337" spans="1:21" ht="15" x14ac:dyDescent="0.2">
      <c r="A337" s="170" t="str">
        <f>CONCATENATE(SP_ENV_Lib[[#This Row],[Environmental Tract No.]],"_",SP_ENV_Lib[[#This Row],[ACQ Document Type]])</f>
        <v>131_TITLE Tax Card</v>
      </c>
      <c r="B337" s="14" t="s">
        <v>3816</v>
      </c>
      <c r="C337" s="169" t="s">
        <v>2702</v>
      </c>
      <c r="D337" s="12" t="s">
        <v>2701</v>
      </c>
      <c r="E337" s="166" t="s">
        <v>861</v>
      </c>
      <c r="F337" s="8" t="s">
        <v>1150</v>
      </c>
      <c r="G337" s="8" t="s">
        <v>1149</v>
      </c>
      <c r="H337" s="52" t="s">
        <v>592</v>
      </c>
      <c r="I337" s="57"/>
      <c r="J337" s="57"/>
      <c r="K337" s="167"/>
      <c r="L337" s="8"/>
      <c r="M337" s="8" t="s">
        <v>4207</v>
      </c>
      <c r="N337" s="26">
        <v>43861.513356481482</v>
      </c>
      <c r="O337" s="8" t="s">
        <v>4207</v>
      </c>
      <c r="P337" s="26">
        <v>43823.60864583333</v>
      </c>
      <c r="Q337" s="65">
        <v>755827</v>
      </c>
      <c r="R337" s="14" t="s">
        <v>4129</v>
      </c>
      <c r="S337" s="168">
        <v>684</v>
      </c>
      <c r="T337" s="52" t="s">
        <v>3512</v>
      </c>
      <c r="U337" s="8" t="s">
        <v>3564</v>
      </c>
    </row>
    <row r="338" spans="1:21" ht="15" hidden="1" x14ac:dyDescent="0.2">
      <c r="A338" s="170" t="str">
        <f>CONCATENATE(SP_ENV_Lib[[#This Row],[Environmental Tract No.]],"_",SP_ENV_Lib[[#This Row],[ACQ Document Type]])</f>
        <v>132_ENVIRONMENTAL Right-of-Entry Package</v>
      </c>
      <c r="B338" s="14" t="s">
        <v>4386</v>
      </c>
      <c r="C338" s="169" t="s">
        <v>2704</v>
      </c>
      <c r="D338" s="12" t="s">
        <v>2703</v>
      </c>
      <c r="E338" s="166" t="s">
        <v>2682</v>
      </c>
      <c r="F338" s="8" t="s">
        <v>2687</v>
      </c>
      <c r="G338" s="8" t="s">
        <v>2686</v>
      </c>
      <c r="H338" s="52" t="s">
        <v>592</v>
      </c>
      <c r="I338" s="57">
        <v>43846</v>
      </c>
      <c r="J338" s="57">
        <v>43866</v>
      </c>
      <c r="K338" s="167"/>
      <c r="L338" s="8" t="s">
        <v>4346</v>
      </c>
      <c r="M338" s="8" t="s">
        <v>4206</v>
      </c>
      <c r="N338" s="26">
        <v>43896.585138888891</v>
      </c>
      <c r="O338" s="8" t="s">
        <v>4206</v>
      </c>
      <c r="P338" s="26">
        <v>43896.50885416667</v>
      </c>
      <c r="Q338" s="65">
        <v>1065104</v>
      </c>
      <c r="R338" s="14" t="s">
        <v>4430</v>
      </c>
      <c r="S338" s="168">
        <v>1260</v>
      </c>
      <c r="T338" s="52" t="s">
        <v>3512</v>
      </c>
      <c r="U338" s="8" t="s">
        <v>3564</v>
      </c>
    </row>
    <row r="339" spans="1:21" ht="15" x14ac:dyDescent="0.2">
      <c r="A339" s="170" t="str">
        <f>CONCATENATE(SP_ENV_Lib[[#This Row],[Environmental Tract No.]],"_",SP_ENV_Lib[[#This Row],[ACQ Document Type]])</f>
        <v>132_TITLE Tax Card</v>
      </c>
      <c r="B339" s="14" t="s">
        <v>3817</v>
      </c>
      <c r="C339" s="169" t="s">
        <v>2704</v>
      </c>
      <c r="D339" s="12" t="s">
        <v>2703</v>
      </c>
      <c r="E339" s="166" t="s">
        <v>861</v>
      </c>
      <c r="F339" s="8" t="s">
        <v>1150</v>
      </c>
      <c r="G339" s="8" t="s">
        <v>1149</v>
      </c>
      <c r="H339" s="52" t="s">
        <v>592</v>
      </c>
      <c r="I339" s="57"/>
      <c r="J339" s="57"/>
      <c r="K339" s="167"/>
      <c r="L339" s="8"/>
      <c r="M339" s="8" t="s">
        <v>4207</v>
      </c>
      <c r="N339" s="26">
        <v>43861.518333333333</v>
      </c>
      <c r="O339" s="8" t="s">
        <v>4207</v>
      </c>
      <c r="P339" s="26">
        <v>43823.60864583333</v>
      </c>
      <c r="Q339" s="65">
        <v>751811</v>
      </c>
      <c r="R339" s="14" t="s">
        <v>4130</v>
      </c>
      <c r="S339" s="168">
        <v>685</v>
      </c>
      <c r="T339" s="52" t="s">
        <v>3512</v>
      </c>
      <c r="U339" s="8" t="s">
        <v>3564</v>
      </c>
    </row>
    <row r="340" spans="1:21" ht="15" x14ac:dyDescent="0.2">
      <c r="A340" s="170" t="str">
        <f>CONCATENATE(SP_ENV_Lib[[#This Row],[Environmental Tract No.]],"_",SP_ENV_Lib[[#This Row],[ACQ Document Type]])</f>
        <v>133_CONTACT Negotiator Report</v>
      </c>
      <c r="B340" s="14" t="s">
        <v>3818</v>
      </c>
      <c r="C340" s="169" t="s">
        <v>2708</v>
      </c>
      <c r="D340" s="12" t="s">
        <v>3164</v>
      </c>
      <c r="E340" s="166" t="s">
        <v>865</v>
      </c>
      <c r="F340" s="8" t="s">
        <v>1068</v>
      </c>
      <c r="G340" s="8" t="s">
        <v>1067</v>
      </c>
      <c r="H340" s="52" t="s">
        <v>592</v>
      </c>
      <c r="I340" s="57"/>
      <c r="J340" s="57"/>
      <c r="K340" s="167"/>
      <c r="L340" s="8"/>
      <c r="M340" s="8" t="s">
        <v>1744</v>
      </c>
      <c r="N340" s="26">
        <v>43871.728321759256</v>
      </c>
      <c r="O340" s="8" t="s">
        <v>1744</v>
      </c>
      <c r="P340" s="26">
        <v>43871.710416666669</v>
      </c>
      <c r="Q340" s="65">
        <v>42446</v>
      </c>
      <c r="R340" s="14" t="s">
        <v>4131</v>
      </c>
      <c r="S340" s="168">
        <v>936</v>
      </c>
      <c r="T340" s="52" t="s">
        <v>3512</v>
      </c>
      <c r="U340" s="8" t="s">
        <v>3564</v>
      </c>
    </row>
    <row r="341" spans="1:21" ht="15" hidden="1" x14ac:dyDescent="0.2">
      <c r="A341" s="170" t="str">
        <f>CONCATENATE(SP_ENV_Lib[[#This Row],[Environmental Tract No.]],"_",SP_ENV_Lib[[#This Row],[ACQ Document Type]])</f>
        <v>133_ENVIRONMENTAL Right-of-Entry Executed</v>
      </c>
      <c r="B341" s="14" t="s">
        <v>4256</v>
      </c>
      <c r="C341" s="169" t="s">
        <v>2708</v>
      </c>
      <c r="D341" s="12" t="s">
        <v>3164</v>
      </c>
      <c r="E341" s="166" t="s">
        <v>2682</v>
      </c>
      <c r="F341" s="8" t="s">
        <v>2683</v>
      </c>
      <c r="G341" s="8" t="s">
        <v>2681</v>
      </c>
      <c r="H341" s="52" t="s">
        <v>592</v>
      </c>
      <c r="I341" s="57">
        <v>43871</v>
      </c>
      <c r="J341" s="57"/>
      <c r="K341" s="167"/>
      <c r="L341" s="8"/>
      <c r="M341" s="8" t="s">
        <v>4205</v>
      </c>
      <c r="N341" s="26">
        <v>43892.851354166669</v>
      </c>
      <c r="O341" s="8" t="s">
        <v>4205</v>
      </c>
      <c r="P341" s="26">
        <v>43892.850868055553</v>
      </c>
      <c r="Q341" s="65">
        <v>2145768</v>
      </c>
      <c r="R341" s="14" t="s">
        <v>4315</v>
      </c>
      <c r="S341" s="168">
        <v>1219</v>
      </c>
      <c r="T341" s="52" t="s">
        <v>3512</v>
      </c>
      <c r="U341" s="8" t="s">
        <v>3564</v>
      </c>
    </row>
    <row r="342" spans="1:21" ht="15" hidden="1" x14ac:dyDescent="0.2">
      <c r="A342" s="170" t="str">
        <f>CONCATENATE(SP_ENV_Lib[[#This Row],[Environmental Tract No.]],"_",SP_ENV_Lib[[#This Row],[ACQ Document Type]])</f>
        <v>133_ENVIRONMENTAL Right-of-Entry Package</v>
      </c>
      <c r="B342" s="14" t="s">
        <v>3819</v>
      </c>
      <c r="C342" s="169" t="s">
        <v>2708</v>
      </c>
      <c r="D342" s="12" t="s">
        <v>3164</v>
      </c>
      <c r="E342" s="166" t="s">
        <v>2682</v>
      </c>
      <c r="F342" s="8" t="s">
        <v>2687</v>
      </c>
      <c r="G342" s="8" t="s">
        <v>2686</v>
      </c>
      <c r="H342" s="52" t="s">
        <v>592</v>
      </c>
      <c r="I342" s="57">
        <v>43846</v>
      </c>
      <c r="J342" s="57">
        <v>43852</v>
      </c>
      <c r="K342" s="167"/>
      <c r="L342" s="8"/>
      <c r="M342" s="8" t="s">
        <v>4206</v>
      </c>
      <c r="N342" s="26">
        <v>43874.527337962965</v>
      </c>
      <c r="O342" s="8" t="s">
        <v>4206</v>
      </c>
      <c r="P342" s="26">
        <v>43873.674398148149</v>
      </c>
      <c r="Q342" s="65">
        <v>995055</v>
      </c>
      <c r="R342" s="14" t="s">
        <v>4132</v>
      </c>
      <c r="S342" s="168">
        <v>1053</v>
      </c>
      <c r="T342" s="52" t="s">
        <v>3512</v>
      </c>
      <c r="U342" s="8" t="s">
        <v>3564</v>
      </c>
    </row>
    <row r="343" spans="1:21" ht="15" x14ac:dyDescent="0.2">
      <c r="A343" s="170" t="str">
        <f>CONCATENATE(SP_ENV_Lib[[#This Row],[Environmental Tract No.]],"_",SP_ENV_Lib[[#This Row],[ACQ Document Type]])</f>
        <v>133_TITLE Tax Card</v>
      </c>
      <c r="B343" s="14" t="s">
        <v>3820</v>
      </c>
      <c r="C343" s="169" t="s">
        <v>2708</v>
      </c>
      <c r="D343" s="12" t="s">
        <v>3164</v>
      </c>
      <c r="E343" s="166" t="s">
        <v>861</v>
      </c>
      <c r="F343" s="8" t="s">
        <v>1150</v>
      </c>
      <c r="G343" s="8" t="s">
        <v>1149</v>
      </c>
      <c r="H343" s="52" t="s">
        <v>592</v>
      </c>
      <c r="I343" s="57"/>
      <c r="J343" s="57"/>
      <c r="K343" s="167"/>
      <c r="L343" s="8"/>
      <c r="M343" s="8" t="s">
        <v>4206</v>
      </c>
      <c r="N343" s="26">
        <v>43872.432604166665</v>
      </c>
      <c r="O343" s="8" t="s">
        <v>4207</v>
      </c>
      <c r="P343" s="26">
        <v>43823.608657407407</v>
      </c>
      <c r="Q343" s="65">
        <v>745869</v>
      </c>
      <c r="R343" s="14" t="s">
        <v>4133</v>
      </c>
      <c r="S343" s="168">
        <v>686</v>
      </c>
      <c r="T343" s="52" t="s">
        <v>3512</v>
      </c>
      <c r="U343" s="8" t="s">
        <v>3564</v>
      </c>
    </row>
    <row r="344" spans="1:21" ht="15" x14ac:dyDescent="0.2">
      <c r="A344" s="170" t="str">
        <f>CONCATENATE(SP_ENV_Lib[[#This Row],[Environmental Tract No.]],"_",SP_ENV_Lib[[#This Row],[ACQ Document Type]])</f>
        <v>134_CONTACT Negotiator Report</v>
      </c>
      <c r="B344" s="14" t="s">
        <v>3821</v>
      </c>
      <c r="C344" s="169" t="s">
        <v>2709</v>
      </c>
      <c r="D344" s="12" t="s">
        <v>3168</v>
      </c>
      <c r="E344" s="166" t="s">
        <v>865</v>
      </c>
      <c r="F344" s="8" t="s">
        <v>1068</v>
      </c>
      <c r="G344" s="8" t="s">
        <v>1067</v>
      </c>
      <c r="H344" s="52" t="s">
        <v>592</v>
      </c>
      <c r="I344" s="57"/>
      <c r="J344" s="57"/>
      <c r="K344" s="167"/>
      <c r="L344" s="8"/>
      <c r="M344" s="8" t="s">
        <v>1744</v>
      </c>
      <c r="N344" s="26">
        <v>43871.728842592594</v>
      </c>
      <c r="O344" s="8" t="s">
        <v>1744</v>
      </c>
      <c r="P344" s="26">
        <v>43871.710416666669</v>
      </c>
      <c r="Q344" s="65">
        <v>42331</v>
      </c>
      <c r="R344" s="14" t="s">
        <v>4134</v>
      </c>
      <c r="S344" s="168">
        <v>937</v>
      </c>
      <c r="T344" s="52" t="s">
        <v>3512</v>
      </c>
      <c r="U344" s="8" t="s">
        <v>3564</v>
      </c>
    </row>
    <row r="345" spans="1:21" ht="15" hidden="1" x14ac:dyDescent="0.2">
      <c r="A345" s="170" t="str">
        <f>CONCATENATE(SP_ENV_Lib[[#This Row],[Environmental Tract No.]],"_",SP_ENV_Lib[[#This Row],[ACQ Document Type]])</f>
        <v>134_ENVIRONMENTAL Right-of-Entry Executed</v>
      </c>
      <c r="B345" s="14" t="s">
        <v>4257</v>
      </c>
      <c r="C345" s="169" t="s">
        <v>2709</v>
      </c>
      <c r="D345" s="12" t="s">
        <v>3168</v>
      </c>
      <c r="E345" s="166" t="s">
        <v>2682</v>
      </c>
      <c r="F345" s="8" t="s">
        <v>2683</v>
      </c>
      <c r="G345" s="8" t="s">
        <v>2681</v>
      </c>
      <c r="H345" s="52" t="s">
        <v>592</v>
      </c>
      <c r="I345" s="57">
        <v>43871</v>
      </c>
      <c r="J345" s="57"/>
      <c r="K345" s="167"/>
      <c r="L345" s="8"/>
      <c r="M345" s="8" t="s">
        <v>4205</v>
      </c>
      <c r="N345" s="26">
        <v>43892.853946759256</v>
      </c>
      <c r="O345" s="8" t="s">
        <v>4205</v>
      </c>
      <c r="P345" s="26">
        <v>43892.853078703702</v>
      </c>
      <c r="Q345" s="65">
        <v>1745049</v>
      </c>
      <c r="R345" s="14" t="s">
        <v>4316</v>
      </c>
      <c r="S345" s="168">
        <v>1220</v>
      </c>
      <c r="T345" s="52" t="s">
        <v>3512</v>
      </c>
      <c r="U345" s="8" t="s">
        <v>3564</v>
      </c>
    </row>
    <row r="346" spans="1:21" ht="15" hidden="1" x14ac:dyDescent="0.2">
      <c r="A346" s="170" t="str">
        <f>CONCATENATE(SP_ENV_Lib[[#This Row],[Environmental Tract No.]],"_",SP_ENV_Lib[[#This Row],[ACQ Document Type]])</f>
        <v>134_ENVIRONMENTAL Right-of-Entry Package</v>
      </c>
      <c r="B346" s="14" t="s">
        <v>3822</v>
      </c>
      <c r="C346" s="169" t="s">
        <v>2709</v>
      </c>
      <c r="D346" s="12" t="s">
        <v>3168</v>
      </c>
      <c r="E346" s="166" t="s">
        <v>2682</v>
      </c>
      <c r="F346" s="8" t="s">
        <v>2687</v>
      </c>
      <c r="G346" s="8" t="s">
        <v>2686</v>
      </c>
      <c r="H346" s="52" t="s">
        <v>592</v>
      </c>
      <c r="I346" s="57">
        <v>43846</v>
      </c>
      <c r="J346" s="57">
        <v>43852</v>
      </c>
      <c r="K346" s="167"/>
      <c r="L346" s="8"/>
      <c r="M346" s="8" t="s">
        <v>4206</v>
      </c>
      <c r="N346" s="26">
        <v>43874.527083333334</v>
      </c>
      <c r="O346" s="8" t="s">
        <v>4206</v>
      </c>
      <c r="P346" s="26">
        <v>43873.674432870372</v>
      </c>
      <c r="Q346" s="65">
        <v>973450</v>
      </c>
      <c r="R346" s="14" t="s">
        <v>4135</v>
      </c>
      <c r="S346" s="168">
        <v>1054</v>
      </c>
      <c r="T346" s="52" t="s">
        <v>3512</v>
      </c>
      <c r="U346" s="8" t="s">
        <v>3564</v>
      </c>
    </row>
    <row r="347" spans="1:21" ht="15" x14ac:dyDescent="0.2">
      <c r="A347" s="170" t="str">
        <f>CONCATENATE(SP_ENV_Lib[[#This Row],[Environmental Tract No.]],"_",SP_ENV_Lib[[#This Row],[ACQ Document Type]])</f>
        <v>134_TITLE Tax Card</v>
      </c>
      <c r="B347" s="14" t="s">
        <v>3823</v>
      </c>
      <c r="C347" s="169" t="s">
        <v>2709</v>
      </c>
      <c r="D347" s="12" t="s">
        <v>3168</v>
      </c>
      <c r="E347" s="166" t="s">
        <v>861</v>
      </c>
      <c r="F347" s="8" t="s">
        <v>1150</v>
      </c>
      <c r="G347" s="8" t="s">
        <v>1149</v>
      </c>
      <c r="H347" s="52" t="s">
        <v>592</v>
      </c>
      <c r="I347" s="57"/>
      <c r="J347" s="57"/>
      <c r="K347" s="167"/>
      <c r="L347" s="8"/>
      <c r="M347" s="8" t="s">
        <v>4206</v>
      </c>
      <c r="N347" s="26">
        <v>43872.432442129626</v>
      </c>
      <c r="O347" s="8" t="s">
        <v>4207</v>
      </c>
      <c r="P347" s="26">
        <v>43823.608657407407</v>
      </c>
      <c r="Q347" s="65">
        <v>727271</v>
      </c>
      <c r="R347" s="14" t="s">
        <v>4136</v>
      </c>
      <c r="S347" s="168">
        <v>687</v>
      </c>
      <c r="T347" s="52" t="s">
        <v>3512</v>
      </c>
      <c r="U347" s="8" t="s">
        <v>3564</v>
      </c>
    </row>
    <row r="348" spans="1:21" ht="15" hidden="1" x14ac:dyDescent="0.2">
      <c r="A348" s="170" t="str">
        <f>CONCATENATE(SP_ENV_Lib[[#This Row],[Environmental Tract No.]],"_",SP_ENV_Lib[[#This Row],[ACQ Document Type]])</f>
        <v>135_ENVIRONMENTAL Right-of-Entry Executed</v>
      </c>
      <c r="B348" s="14" t="s">
        <v>4258</v>
      </c>
      <c r="C348" s="169" t="s">
        <v>2710</v>
      </c>
      <c r="D348" s="12" t="s">
        <v>3172</v>
      </c>
      <c r="E348" s="166" t="s">
        <v>2682</v>
      </c>
      <c r="F348" s="8" t="s">
        <v>2683</v>
      </c>
      <c r="G348" s="8" t="s">
        <v>2681</v>
      </c>
      <c r="H348" s="52" t="s">
        <v>592</v>
      </c>
      <c r="I348" s="57">
        <v>43871</v>
      </c>
      <c r="J348" s="57"/>
      <c r="K348" s="167"/>
      <c r="L348" s="8"/>
      <c r="M348" s="8" t="s">
        <v>4205</v>
      </c>
      <c r="N348" s="26">
        <v>43892.854988425926</v>
      </c>
      <c r="O348" s="8" t="s">
        <v>4205</v>
      </c>
      <c r="P348" s="26">
        <v>43892.854351851849</v>
      </c>
      <c r="Q348" s="65">
        <v>1265017</v>
      </c>
      <c r="R348" s="14" t="s">
        <v>4317</v>
      </c>
      <c r="S348" s="168">
        <v>1221</v>
      </c>
      <c r="T348" s="52" t="s">
        <v>3512</v>
      </c>
      <c r="U348" s="8" t="s">
        <v>3564</v>
      </c>
    </row>
    <row r="349" spans="1:21" ht="15" hidden="1" x14ac:dyDescent="0.2">
      <c r="A349" s="170" t="str">
        <f>CONCATENATE(SP_ENV_Lib[[#This Row],[Environmental Tract No.]],"_",SP_ENV_Lib[[#This Row],[ACQ Document Type]])</f>
        <v>135_ENVIRONMENTAL Right-of-Entry Package</v>
      </c>
      <c r="B349" s="14" t="s">
        <v>3824</v>
      </c>
      <c r="C349" s="169" t="s">
        <v>2710</v>
      </c>
      <c r="D349" s="12" t="s">
        <v>3172</v>
      </c>
      <c r="E349" s="166" t="s">
        <v>2682</v>
      </c>
      <c r="F349" s="8" t="s">
        <v>2687</v>
      </c>
      <c r="G349" s="8" t="s">
        <v>2686</v>
      </c>
      <c r="H349" s="52" t="s">
        <v>592</v>
      </c>
      <c r="I349" s="57">
        <v>43846</v>
      </c>
      <c r="J349" s="57">
        <v>43851</v>
      </c>
      <c r="K349" s="167"/>
      <c r="L349" s="8"/>
      <c r="M349" s="8" t="s">
        <v>4206</v>
      </c>
      <c r="N349" s="26">
        <v>43874.52685185185</v>
      </c>
      <c r="O349" s="8" t="s">
        <v>4206</v>
      </c>
      <c r="P349" s="26">
        <v>43873.674467592595</v>
      </c>
      <c r="Q349" s="65">
        <v>966168</v>
      </c>
      <c r="R349" s="14" t="s">
        <v>4137</v>
      </c>
      <c r="S349" s="168">
        <v>1055</v>
      </c>
      <c r="T349" s="52" t="s">
        <v>3512</v>
      </c>
      <c r="U349" s="8" t="s">
        <v>3564</v>
      </c>
    </row>
    <row r="350" spans="1:21" ht="15" x14ac:dyDescent="0.2">
      <c r="A350" s="170" t="str">
        <f>CONCATENATE(SP_ENV_Lib[[#This Row],[Environmental Tract No.]],"_",SP_ENV_Lib[[#This Row],[ACQ Document Type]])</f>
        <v>135_TITLE Tax Card</v>
      </c>
      <c r="B350" s="14" t="s">
        <v>3825</v>
      </c>
      <c r="C350" s="169" t="s">
        <v>2710</v>
      </c>
      <c r="D350" s="12" t="s">
        <v>3172</v>
      </c>
      <c r="E350" s="166" t="s">
        <v>861</v>
      </c>
      <c r="F350" s="8" t="s">
        <v>1150</v>
      </c>
      <c r="G350" s="8" t="s">
        <v>1149</v>
      </c>
      <c r="H350" s="52" t="s">
        <v>592</v>
      </c>
      <c r="I350" s="57"/>
      <c r="J350" s="57"/>
      <c r="K350" s="167"/>
      <c r="L350" s="8"/>
      <c r="M350" s="8" t="s">
        <v>4206</v>
      </c>
      <c r="N350" s="26">
        <v>43872.432326388887</v>
      </c>
      <c r="O350" s="8" t="s">
        <v>4207</v>
      </c>
      <c r="P350" s="26">
        <v>43823.608657407407</v>
      </c>
      <c r="Q350" s="65">
        <v>722304</v>
      </c>
      <c r="R350" s="14" t="s">
        <v>4138</v>
      </c>
      <c r="S350" s="168">
        <v>688</v>
      </c>
      <c r="T350" s="52" t="s">
        <v>3512</v>
      </c>
      <c r="U350" s="8" t="s">
        <v>3564</v>
      </c>
    </row>
    <row r="351" spans="1:21" ht="15" x14ac:dyDescent="0.2">
      <c r="A351" s="170" t="str">
        <f>CONCATENATE(SP_ENV_Lib[[#This Row],[Environmental Tract No.]],"_",SP_ENV_Lib[[#This Row],[ACQ Document Type]])</f>
        <v>136_CONTACT Negotiator Report</v>
      </c>
      <c r="B351" s="14" t="s">
        <v>3826</v>
      </c>
      <c r="C351" s="169" t="s">
        <v>2711</v>
      </c>
      <c r="D351" s="12" t="s">
        <v>3176</v>
      </c>
      <c r="E351" s="166" t="s">
        <v>865</v>
      </c>
      <c r="F351" s="8" t="s">
        <v>1068</v>
      </c>
      <c r="G351" s="8" t="s">
        <v>1067</v>
      </c>
      <c r="H351" s="52" t="s">
        <v>592</v>
      </c>
      <c r="I351" s="57"/>
      <c r="J351" s="57"/>
      <c r="K351" s="167"/>
      <c r="L351" s="8"/>
      <c r="M351" s="8" t="s">
        <v>1744</v>
      </c>
      <c r="N351" s="26">
        <v>43875.661041666666</v>
      </c>
      <c r="O351" s="8" t="s">
        <v>1744</v>
      </c>
      <c r="P351" s="26">
        <v>43871.710405092592</v>
      </c>
      <c r="Q351" s="65">
        <v>40137</v>
      </c>
      <c r="R351" s="14" t="s">
        <v>4139</v>
      </c>
      <c r="S351" s="168">
        <v>934</v>
      </c>
      <c r="T351" s="52" t="s">
        <v>3512</v>
      </c>
      <c r="U351" s="8" t="s">
        <v>3564</v>
      </c>
    </row>
    <row r="352" spans="1:21" ht="15" x14ac:dyDescent="0.2">
      <c r="A352" s="170" t="str">
        <f>CONCATENATE(SP_ENV_Lib[[#This Row],[Environmental Tract No.]],"_",SP_ENV_Lib[[#This Row],[ACQ Document Type]])</f>
        <v>136_TITLE Tax Card</v>
      </c>
      <c r="B352" s="14" t="s">
        <v>3827</v>
      </c>
      <c r="C352" s="169" t="s">
        <v>2711</v>
      </c>
      <c r="D352" s="12" t="s">
        <v>3176</v>
      </c>
      <c r="E352" s="166" t="s">
        <v>861</v>
      </c>
      <c r="F352" s="8" t="s">
        <v>1150</v>
      </c>
      <c r="G352" s="8" t="s">
        <v>1149</v>
      </c>
      <c r="H352" s="52" t="s">
        <v>592</v>
      </c>
      <c r="I352" s="57"/>
      <c r="J352" s="57"/>
      <c r="K352" s="167"/>
      <c r="L352" s="8"/>
      <c r="M352" s="8" t="s">
        <v>4206</v>
      </c>
      <c r="N352" s="26">
        <v>43872.432199074072</v>
      </c>
      <c r="O352" s="8" t="s">
        <v>4207</v>
      </c>
      <c r="P352" s="26">
        <v>43823.608668981484</v>
      </c>
      <c r="Q352" s="65">
        <v>712418</v>
      </c>
      <c r="R352" s="14" t="s">
        <v>4140</v>
      </c>
      <c r="S352" s="168">
        <v>689</v>
      </c>
      <c r="T352" s="52" t="s">
        <v>3512</v>
      </c>
      <c r="U352" s="8" t="s">
        <v>3564</v>
      </c>
    </row>
    <row r="353" spans="1:21" ht="15" x14ac:dyDescent="0.2">
      <c r="A353" s="170" t="str">
        <f>CONCATENATE(SP_ENV_Lib[[#This Row],[Environmental Tract No.]],"_",SP_ENV_Lib[[#This Row],[ACQ Document Type]])</f>
        <v>151_CONTACT Negotiator Report</v>
      </c>
      <c r="B353" s="14" t="s">
        <v>3828</v>
      </c>
      <c r="C353" s="169" t="s">
        <v>2712</v>
      </c>
      <c r="D353" s="12" t="s">
        <v>3180</v>
      </c>
      <c r="E353" s="166" t="s">
        <v>865</v>
      </c>
      <c r="F353" s="8" t="s">
        <v>1068</v>
      </c>
      <c r="G353" s="8" t="s">
        <v>1067</v>
      </c>
      <c r="H353" s="52" t="s">
        <v>592</v>
      </c>
      <c r="I353" s="57"/>
      <c r="J353" s="57"/>
      <c r="K353" s="167"/>
      <c r="L353" s="8"/>
      <c r="M353" s="8" t="s">
        <v>1744</v>
      </c>
      <c r="N353" s="26">
        <v>43871.72997685185</v>
      </c>
      <c r="O353" s="8" t="s">
        <v>1744</v>
      </c>
      <c r="P353" s="26">
        <v>43871.710405092592</v>
      </c>
      <c r="Q353" s="65">
        <v>41734</v>
      </c>
      <c r="R353" s="14" t="s">
        <v>4141</v>
      </c>
      <c r="S353" s="168">
        <v>935</v>
      </c>
      <c r="T353" s="52" t="s">
        <v>3512</v>
      </c>
      <c r="U353" s="8" t="s">
        <v>3564</v>
      </c>
    </row>
    <row r="354" spans="1:21" ht="15" hidden="1" x14ac:dyDescent="0.2">
      <c r="A354" s="170" t="str">
        <f>CONCATENATE(SP_ENV_Lib[[#This Row],[Environmental Tract No.]],"_",SP_ENV_Lib[[#This Row],[ACQ Document Type]])</f>
        <v>151_ENVIRONMENTAL Right-of-Entry Executed</v>
      </c>
      <c r="B354" s="14" t="s">
        <v>4259</v>
      </c>
      <c r="C354" s="169" t="s">
        <v>2712</v>
      </c>
      <c r="D354" s="12" t="s">
        <v>3180</v>
      </c>
      <c r="E354" s="166" t="s">
        <v>2682</v>
      </c>
      <c r="F354" s="8" t="s">
        <v>2683</v>
      </c>
      <c r="G354" s="8" t="s">
        <v>2681</v>
      </c>
      <c r="H354" s="52" t="s">
        <v>592</v>
      </c>
      <c r="I354" s="57">
        <v>43871</v>
      </c>
      <c r="J354" s="57"/>
      <c r="K354" s="167"/>
      <c r="L354" s="8"/>
      <c r="M354" s="8" t="s">
        <v>4205</v>
      </c>
      <c r="N354" s="26">
        <v>43892.855983796297</v>
      </c>
      <c r="O354" s="8" t="s">
        <v>4205</v>
      </c>
      <c r="P354" s="26">
        <v>43892.855486111112</v>
      </c>
      <c r="Q354" s="65">
        <v>1547264</v>
      </c>
      <c r="R354" s="14" t="s">
        <v>4318</v>
      </c>
      <c r="S354" s="168">
        <v>1222</v>
      </c>
      <c r="T354" s="52" t="s">
        <v>3512</v>
      </c>
      <c r="U354" s="8" t="s">
        <v>3564</v>
      </c>
    </row>
    <row r="355" spans="1:21" ht="15" hidden="1" x14ac:dyDescent="0.2">
      <c r="A355" s="170" t="str">
        <f>CONCATENATE(SP_ENV_Lib[[#This Row],[Environmental Tract No.]],"_",SP_ENV_Lib[[#This Row],[ACQ Document Type]])</f>
        <v>151_ENVIRONMENTAL Right-of-Entry Package</v>
      </c>
      <c r="B355" s="14" t="s">
        <v>3829</v>
      </c>
      <c r="C355" s="169" t="s">
        <v>2712</v>
      </c>
      <c r="D355" s="12" t="s">
        <v>3180</v>
      </c>
      <c r="E355" s="166" t="s">
        <v>2682</v>
      </c>
      <c r="F355" s="8" t="s">
        <v>2687</v>
      </c>
      <c r="G355" s="8" t="s">
        <v>2686</v>
      </c>
      <c r="H355" s="52" t="s">
        <v>592</v>
      </c>
      <c r="I355" s="57">
        <v>43846</v>
      </c>
      <c r="J355" s="57">
        <v>43848</v>
      </c>
      <c r="K355" s="167"/>
      <c r="L355" s="8"/>
      <c r="M355" s="8" t="s">
        <v>4206</v>
      </c>
      <c r="N355" s="26">
        <v>43874.526597222219</v>
      </c>
      <c r="O355" s="8" t="s">
        <v>4206</v>
      </c>
      <c r="P355" s="26">
        <v>43873.674502314818</v>
      </c>
      <c r="Q355" s="65">
        <v>1013049</v>
      </c>
      <c r="R355" s="14" t="s">
        <v>4142</v>
      </c>
      <c r="S355" s="168">
        <v>1056</v>
      </c>
      <c r="T355" s="52" t="s">
        <v>3512</v>
      </c>
      <c r="U355" s="8" t="s">
        <v>3564</v>
      </c>
    </row>
    <row r="356" spans="1:21" ht="15" x14ac:dyDescent="0.2">
      <c r="A356" s="170" t="str">
        <f>CONCATENATE(SP_ENV_Lib[[#This Row],[Environmental Tract No.]],"_",SP_ENV_Lib[[#This Row],[ACQ Document Type]])</f>
        <v>151_TITLE Tax Card</v>
      </c>
      <c r="B356" s="14" t="s">
        <v>3830</v>
      </c>
      <c r="C356" s="169" t="s">
        <v>2712</v>
      </c>
      <c r="D356" s="12" t="s">
        <v>3180</v>
      </c>
      <c r="E356" s="166" t="s">
        <v>861</v>
      </c>
      <c r="F356" s="8" t="s">
        <v>1150</v>
      </c>
      <c r="G356" s="8" t="s">
        <v>1149</v>
      </c>
      <c r="H356" s="52" t="s">
        <v>592</v>
      </c>
      <c r="I356" s="57"/>
      <c r="J356" s="57"/>
      <c r="K356" s="167"/>
      <c r="L356" s="8"/>
      <c r="M356" s="8" t="s">
        <v>4206</v>
      </c>
      <c r="N356" s="26">
        <v>43872.432083333333</v>
      </c>
      <c r="O356" s="8" t="s">
        <v>4207</v>
      </c>
      <c r="P356" s="26">
        <v>43823.608668981484</v>
      </c>
      <c r="Q356" s="65">
        <v>764615</v>
      </c>
      <c r="R356" s="14" t="s">
        <v>4143</v>
      </c>
      <c r="S356" s="168">
        <v>690</v>
      </c>
      <c r="T356" s="52" t="s">
        <v>3512</v>
      </c>
      <c r="U356" s="8" t="s">
        <v>3564</v>
      </c>
    </row>
    <row r="357" spans="1:21" ht="15" hidden="1" x14ac:dyDescent="0.2">
      <c r="A357" s="170" t="str">
        <f>CONCATENATE(SP_ENV_Lib[[#This Row],[Environmental Tract No.]],"_",SP_ENV_Lib[[#This Row],[ACQ Document Type]])</f>
        <v>152_ENVIRONMENTAL Right-of-Entry Package</v>
      </c>
      <c r="B357" s="14" t="s">
        <v>3831</v>
      </c>
      <c r="C357" s="169" t="s">
        <v>2713</v>
      </c>
      <c r="D357" s="12" t="s">
        <v>3184</v>
      </c>
      <c r="E357" s="166" t="s">
        <v>2682</v>
      </c>
      <c r="F357" s="8" t="s">
        <v>2687</v>
      </c>
      <c r="G357" s="8" t="s">
        <v>2686</v>
      </c>
      <c r="H357" s="52" t="s">
        <v>592</v>
      </c>
      <c r="I357" s="57">
        <v>43846</v>
      </c>
      <c r="J357" s="57">
        <v>43848</v>
      </c>
      <c r="K357" s="167"/>
      <c r="L357" s="8"/>
      <c r="M357" s="8" t="s">
        <v>4206</v>
      </c>
      <c r="N357" s="26">
        <v>43874.526331018518</v>
      </c>
      <c r="O357" s="8" t="s">
        <v>4206</v>
      </c>
      <c r="P357" s="26">
        <v>43873.674537037034</v>
      </c>
      <c r="Q357" s="65">
        <v>1016508</v>
      </c>
      <c r="R357" s="14" t="s">
        <v>4144</v>
      </c>
      <c r="S357" s="168">
        <v>1057</v>
      </c>
      <c r="T357" s="52" t="s">
        <v>3512</v>
      </c>
      <c r="U357" s="8" t="s">
        <v>3564</v>
      </c>
    </row>
    <row r="358" spans="1:21" ht="15" x14ac:dyDescent="0.2">
      <c r="A358" s="170" t="str">
        <f>CONCATENATE(SP_ENV_Lib[[#This Row],[Environmental Tract No.]],"_",SP_ENV_Lib[[#This Row],[ACQ Document Type]])</f>
        <v>152_TITLE Tax Card</v>
      </c>
      <c r="B358" s="14" t="s">
        <v>3832</v>
      </c>
      <c r="C358" s="169" t="s">
        <v>2713</v>
      </c>
      <c r="D358" s="12" t="s">
        <v>3184</v>
      </c>
      <c r="E358" s="166" t="s">
        <v>861</v>
      </c>
      <c r="F358" s="8" t="s">
        <v>1150</v>
      </c>
      <c r="G358" s="8" t="s">
        <v>1149</v>
      </c>
      <c r="H358" s="52" t="s">
        <v>592</v>
      </c>
      <c r="I358" s="57"/>
      <c r="J358" s="57"/>
      <c r="K358" s="167"/>
      <c r="L358" s="8"/>
      <c r="M358" s="8" t="s">
        <v>4206</v>
      </c>
      <c r="N358" s="26">
        <v>43872.431990740741</v>
      </c>
      <c r="O358" s="8" t="s">
        <v>4207</v>
      </c>
      <c r="P358" s="26">
        <v>43823.608680555553</v>
      </c>
      <c r="Q358" s="65">
        <v>767183</v>
      </c>
      <c r="R358" s="14" t="s">
        <v>4145</v>
      </c>
      <c r="S358" s="168">
        <v>691</v>
      </c>
      <c r="T358" s="52" t="s">
        <v>3512</v>
      </c>
      <c r="U358" s="8" t="s">
        <v>3564</v>
      </c>
    </row>
    <row r="359" spans="1:21" ht="15" x14ac:dyDescent="0.2">
      <c r="A359" s="170" t="str">
        <f>CONCATENATE(SP_ENV_Lib[[#This Row],[Environmental Tract No.]],"_",SP_ENV_Lib[[#This Row],[ACQ Document Type]])</f>
        <v>153_CONTACT Negotiator Report</v>
      </c>
      <c r="B359" s="14" t="s">
        <v>3833</v>
      </c>
      <c r="C359" s="169" t="s">
        <v>2714</v>
      </c>
      <c r="D359" s="12" t="s">
        <v>3188</v>
      </c>
      <c r="E359" s="166" t="s">
        <v>865</v>
      </c>
      <c r="F359" s="8" t="s">
        <v>1068</v>
      </c>
      <c r="G359" s="8" t="s">
        <v>1067</v>
      </c>
      <c r="H359" s="52" t="s">
        <v>592</v>
      </c>
      <c r="I359" s="57"/>
      <c r="J359" s="57"/>
      <c r="K359" s="167"/>
      <c r="L359" s="8"/>
      <c r="M359" s="8" t="s">
        <v>1744</v>
      </c>
      <c r="N359" s="26">
        <v>43892.659039351849</v>
      </c>
      <c r="O359" s="8" t="s">
        <v>1744</v>
      </c>
      <c r="P359" s="26">
        <v>43871.710393518515</v>
      </c>
      <c r="Q359" s="65">
        <v>45545</v>
      </c>
      <c r="R359" s="14" t="s">
        <v>4146</v>
      </c>
      <c r="S359" s="168">
        <v>932</v>
      </c>
      <c r="T359" s="52" t="s">
        <v>3512</v>
      </c>
      <c r="U359" s="8" t="s">
        <v>3564</v>
      </c>
    </row>
    <row r="360" spans="1:21" ht="15" hidden="1" x14ac:dyDescent="0.2">
      <c r="A360" s="170" t="str">
        <f>CONCATENATE(SP_ENV_Lib[[#This Row],[Environmental Tract No.]],"_",SP_ENV_Lib[[#This Row],[ACQ Document Type]])</f>
        <v>153_ENVIRONMENTAL Right-of-Entry Executed</v>
      </c>
      <c r="B360" s="14" t="s">
        <v>4387</v>
      </c>
      <c r="C360" s="169" t="s">
        <v>2714</v>
      </c>
      <c r="D360" s="12" t="s">
        <v>3188</v>
      </c>
      <c r="E360" s="166" t="s">
        <v>2682</v>
      </c>
      <c r="F360" s="8" t="s">
        <v>2683</v>
      </c>
      <c r="G360" s="8" t="s">
        <v>2681</v>
      </c>
      <c r="H360" s="52" t="s">
        <v>592</v>
      </c>
      <c r="I360" s="57">
        <v>43900</v>
      </c>
      <c r="J360" s="57"/>
      <c r="K360" s="167"/>
      <c r="L360" s="8"/>
      <c r="M360" s="8" t="s">
        <v>4205</v>
      </c>
      <c r="N360" s="26">
        <v>43903.868703703702</v>
      </c>
      <c r="O360" s="8" t="s">
        <v>4205</v>
      </c>
      <c r="P360" s="26">
        <v>43903.868298611109</v>
      </c>
      <c r="Q360" s="65">
        <v>1782543</v>
      </c>
      <c r="R360" s="14" t="s">
        <v>4431</v>
      </c>
      <c r="S360" s="168">
        <v>1307</v>
      </c>
      <c r="T360" s="52" t="s">
        <v>3512</v>
      </c>
      <c r="U360" s="8" t="s">
        <v>3564</v>
      </c>
    </row>
    <row r="361" spans="1:21" ht="15" hidden="1" x14ac:dyDescent="0.2">
      <c r="A361" s="170" t="str">
        <f>CONCATENATE(SP_ENV_Lib[[#This Row],[Environmental Tract No.]],"_",SP_ENV_Lib[[#This Row],[ACQ Document Type]])</f>
        <v>153_ENVIRONMENTAL Right-of-Entry Package</v>
      </c>
      <c r="B361" s="14" t="s">
        <v>3834</v>
      </c>
      <c r="C361" s="169" t="s">
        <v>2714</v>
      </c>
      <c r="D361" s="12" t="s">
        <v>3188</v>
      </c>
      <c r="E361" s="166" t="s">
        <v>2682</v>
      </c>
      <c r="F361" s="8" t="s">
        <v>2687</v>
      </c>
      <c r="G361" s="8" t="s">
        <v>2686</v>
      </c>
      <c r="H361" s="52" t="s">
        <v>592</v>
      </c>
      <c r="I361" s="57">
        <v>43846</v>
      </c>
      <c r="J361" s="57">
        <v>43853</v>
      </c>
      <c r="K361" s="167"/>
      <c r="L361" s="8"/>
      <c r="M361" s="8" t="s">
        <v>4206</v>
      </c>
      <c r="N361" s="26">
        <v>43874.526030092595</v>
      </c>
      <c r="O361" s="8" t="s">
        <v>4206</v>
      </c>
      <c r="P361" s="26">
        <v>43873.674560185187</v>
      </c>
      <c r="Q361" s="65">
        <v>999454</v>
      </c>
      <c r="R361" s="14" t="s">
        <v>4147</v>
      </c>
      <c r="S361" s="168">
        <v>1058</v>
      </c>
      <c r="T361" s="52" t="s">
        <v>3512</v>
      </c>
      <c r="U361" s="8" t="s">
        <v>3564</v>
      </c>
    </row>
    <row r="362" spans="1:21" ht="15" x14ac:dyDescent="0.2">
      <c r="A362" s="170" t="str">
        <f>CONCATENATE(SP_ENV_Lib[[#This Row],[Environmental Tract No.]],"_",SP_ENV_Lib[[#This Row],[ACQ Document Type]])</f>
        <v>153_TITLE Tax Card</v>
      </c>
      <c r="B362" s="14" t="s">
        <v>3835</v>
      </c>
      <c r="C362" s="169" t="s">
        <v>2714</v>
      </c>
      <c r="D362" s="12" t="s">
        <v>3188</v>
      </c>
      <c r="E362" s="166" t="s">
        <v>861</v>
      </c>
      <c r="F362" s="8" t="s">
        <v>1150</v>
      </c>
      <c r="G362" s="8" t="s">
        <v>1149</v>
      </c>
      <c r="H362" s="52" t="s">
        <v>592</v>
      </c>
      <c r="I362" s="57"/>
      <c r="J362" s="57"/>
      <c r="K362" s="167"/>
      <c r="L362" s="8"/>
      <c r="M362" s="8" t="s">
        <v>4206</v>
      </c>
      <c r="N362" s="26">
        <v>43872.431863425925</v>
      </c>
      <c r="O362" s="8" t="s">
        <v>4207</v>
      </c>
      <c r="P362" s="26">
        <v>43823.608680555553</v>
      </c>
      <c r="Q362" s="65">
        <v>748595</v>
      </c>
      <c r="R362" s="14" t="s">
        <v>4148</v>
      </c>
      <c r="S362" s="168">
        <v>692</v>
      </c>
      <c r="T362" s="52" t="s">
        <v>3512</v>
      </c>
      <c r="U362" s="8" t="s">
        <v>3564</v>
      </c>
    </row>
    <row r="363" spans="1:21" ht="15" x14ac:dyDescent="0.2">
      <c r="A363" s="170" t="str">
        <f>CONCATENATE(SP_ENV_Lib[[#This Row],[Environmental Tract No.]],"_",SP_ENV_Lib[[#This Row],[ACQ Document Type]])</f>
        <v>154_CONTACT Negotiator Report</v>
      </c>
      <c r="B363" s="14" t="s">
        <v>3836</v>
      </c>
      <c r="C363" s="169" t="s">
        <v>2715</v>
      </c>
      <c r="D363" s="12" t="s">
        <v>3192</v>
      </c>
      <c r="E363" s="166" t="s">
        <v>865</v>
      </c>
      <c r="F363" s="8" t="s">
        <v>1068</v>
      </c>
      <c r="G363" s="8" t="s">
        <v>1067</v>
      </c>
      <c r="H363" s="52" t="s">
        <v>592</v>
      </c>
      <c r="I363" s="57"/>
      <c r="J363" s="57"/>
      <c r="K363" s="167"/>
      <c r="L363" s="8"/>
      <c r="M363" s="8" t="s">
        <v>1744</v>
      </c>
      <c r="N363" s="26">
        <v>43934.675868055558</v>
      </c>
      <c r="O363" s="8" t="s">
        <v>1744</v>
      </c>
      <c r="P363" s="26">
        <v>43871.710405092592</v>
      </c>
      <c r="Q363" s="65">
        <v>40266</v>
      </c>
      <c r="R363" s="14" t="s">
        <v>4149</v>
      </c>
      <c r="S363" s="168">
        <v>933</v>
      </c>
      <c r="T363" s="52" t="s">
        <v>3512</v>
      </c>
      <c r="U363" s="8" t="s">
        <v>3564</v>
      </c>
    </row>
    <row r="364" spans="1:21" ht="15" x14ac:dyDescent="0.2">
      <c r="A364" s="170" t="str">
        <f>CONCATENATE(SP_ENV_Lib[[#This Row],[Environmental Tract No.]],"_",SP_ENV_Lib[[#This Row],[ACQ Document Type]])</f>
        <v>154_ENVIRONMENTAL Right-of-Entry Executed</v>
      </c>
      <c r="B364" s="14" t="s">
        <v>5040</v>
      </c>
      <c r="C364" s="169" t="s">
        <v>2715</v>
      </c>
      <c r="D364" s="12" t="s">
        <v>3192</v>
      </c>
      <c r="E364" s="166" t="s">
        <v>2682</v>
      </c>
      <c r="F364" s="8" t="s">
        <v>2683</v>
      </c>
      <c r="G364" s="8" t="s">
        <v>2681</v>
      </c>
      <c r="H364" s="52" t="s">
        <v>592</v>
      </c>
      <c r="I364" s="57">
        <v>43943</v>
      </c>
      <c r="J364" s="57"/>
      <c r="K364" s="167"/>
      <c r="L364" s="8"/>
      <c r="M364" s="8" t="s">
        <v>4205</v>
      </c>
      <c r="N364" s="26">
        <v>43955.609791666669</v>
      </c>
      <c r="O364" s="8" t="s">
        <v>4205</v>
      </c>
      <c r="P364" s="26">
        <v>43955.608854166669</v>
      </c>
      <c r="Q364" s="65">
        <v>1911059</v>
      </c>
      <c r="R364" s="14" t="s">
        <v>5043</v>
      </c>
      <c r="S364" s="168">
        <v>1342</v>
      </c>
      <c r="T364" s="52" t="s">
        <v>3512</v>
      </c>
      <c r="U364" s="8" t="s">
        <v>3564</v>
      </c>
    </row>
    <row r="365" spans="1:21" ht="15" hidden="1" x14ac:dyDescent="0.2">
      <c r="A365" s="170" t="str">
        <f>CONCATENATE(SP_ENV_Lib[[#This Row],[Environmental Tract No.]],"_",SP_ENV_Lib[[#This Row],[ACQ Document Type]])</f>
        <v>154_ENVIRONMENTAL Right-of-Entry Package</v>
      </c>
      <c r="B365" s="14" t="s">
        <v>3837</v>
      </c>
      <c r="C365" s="169" t="s">
        <v>2715</v>
      </c>
      <c r="D365" s="12" t="s">
        <v>3192</v>
      </c>
      <c r="E365" s="166" t="s">
        <v>2682</v>
      </c>
      <c r="F365" s="8" t="s">
        <v>2687</v>
      </c>
      <c r="G365" s="8" t="s">
        <v>2686</v>
      </c>
      <c r="H365" s="52" t="s">
        <v>592</v>
      </c>
      <c r="I365" s="57">
        <v>43846</v>
      </c>
      <c r="J365" s="57">
        <v>43851</v>
      </c>
      <c r="K365" s="167"/>
      <c r="L365" s="8"/>
      <c r="M365" s="8" t="s">
        <v>4206</v>
      </c>
      <c r="N365" s="26">
        <v>43874.52579861111</v>
      </c>
      <c r="O365" s="8" t="s">
        <v>4206</v>
      </c>
      <c r="P365" s="26">
        <v>43873.67459490741</v>
      </c>
      <c r="Q365" s="65">
        <v>1000855</v>
      </c>
      <c r="R365" s="14" t="s">
        <v>4150</v>
      </c>
      <c r="S365" s="168">
        <v>1059</v>
      </c>
      <c r="T365" s="52" t="s">
        <v>3512</v>
      </c>
      <c r="U365" s="8" t="s">
        <v>3564</v>
      </c>
    </row>
    <row r="366" spans="1:21" ht="15" x14ac:dyDescent="0.2">
      <c r="A366" s="170" t="str">
        <f>CONCATENATE(SP_ENV_Lib[[#This Row],[Environmental Tract No.]],"_",SP_ENV_Lib[[#This Row],[ACQ Document Type]])</f>
        <v>154_TITLE Tax Card</v>
      </c>
      <c r="B366" s="14" t="s">
        <v>3838</v>
      </c>
      <c r="C366" s="169" t="s">
        <v>2715</v>
      </c>
      <c r="D366" s="12" t="s">
        <v>3192</v>
      </c>
      <c r="E366" s="166" t="s">
        <v>861</v>
      </c>
      <c r="F366" s="8" t="s">
        <v>1150</v>
      </c>
      <c r="G366" s="8" t="s">
        <v>1149</v>
      </c>
      <c r="H366" s="52" t="s">
        <v>592</v>
      </c>
      <c r="I366" s="57"/>
      <c r="J366" s="57"/>
      <c r="K366" s="167"/>
      <c r="L366" s="8"/>
      <c r="M366" s="8" t="s">
        <v>4206</v>
      </c>
      <c r="N366" s="26">
        <v>43872.431759259256</v>
      </c>
      <c r="O366" s="8" t="s">
        <v>4207</v>
      </c>
      <c r="P366" s="26">
        <v>43823.608680555553</v>
      </c>
      <c r="Q366" s="65">
        <v>753729</v>
      </c>
      <c r="R366" s="14" t="s">
        <v>4151</v>
      </c>
      <c r="S366" s="168">
        <v>693</v>
      </c>
      <c r="T366" s="52" t="s">
        <v>3512</v>
      </c>
      <c r="U366" s="8" t="s">
        <v>3564</v>
      </c>
    </row>
    <row r="367" spans="1:21" ht="15" x14ac:dyDescent="0.2">
      <c r="A367" s="170" t="str">
        <f>CONCATENATE(SP_ENV_Lib[[#This Row],[Environmental Tract No.]],"_",SP_ENV_Lib[[#This Row],[ACQ Document Type]])</f>
        <v>155_CONTACT Negotiator Report</v>
      </c>
      <c r="B367" s="14" t="s">
        <v>3839</v>
      </c>
      <c r="C367" s="169" t="s">
        <v>2716</v>
      </c>
      <c r="D367" s="12" t="s">
        <v>3196</v>
      </c>
      <c r="E367" s="166" t="s">
        <v>865</v>
      </c>
      <c r="F367" s="8" t="s">
        <v>1068</v>
      </c>
      <c r="G367" s="8" t="s">
        <v>1067</v>
      </c>
      <c r="H367" s="52" t="s">
        <v>592</v>
      </c>
      <c r="I367" s="57"/>
      <c r="J367" s="57"/>
      <c r="K367" s="167"/>
      <c r="L367" s="8"/>
      <c r="M367" s="8" t="s">
        <v>1744</v>
      </c>
      <c r="N367" s="26">
        <v>43878.466817129629</v>
      </c>
      <c r="O367" s="8" t="s">
        <v>1744</v>
      </c>
      <c r="P367" s="26">
        <v>43871.710381944446</v>
      </c>
      <c r="Q367" s="65">
        <v>42946</v>
      </c>
      <c r="R367" s="14" t="s">
        <v>4152</v>
      </c>
      <c r="S367" s="168">
        <v>930</v>
      </c>
      <c r="T367" s="52" t="s">
        <v>3512</v>
      </c>
      <c r="U367" s="8" t="s">
        <v>3564</v>
      </c>
    </row>
    <row r="368" spans="1:21" ht="15" hidden="1" x14ac:dyDescent="0.2">
      <c r="A368" s="170" t="str">
        <f>CONCATENATE(SP_ENV_Lib[[#This Row],[Environmental Tract No.]],"_",SP_ENV_Lib[[#This Row],[ACQ Document Type]])</f>
        <v>155_ENVIRONMENTAL Right-of-Entry Package</v>
      </c>
      <c r="B368" s="14" t="s">
        <v>3840</v>
      </c>
      <c r="C368" s="169" t="s">
        <v>2716</v>
      </c>
      <c r="D368" s="12" t="s">
        <v>3196</v>
      </c>
      <c r="E368" s="166" t="s">
        <v>2682</v>
      </c>
      <c r="F368" s="8" t="s">
        <v>2687</v>
      </c>
      <c r="G368" s="8" t="s">
        <v>2686</v>
      </c>
      <c r="H368" s="52" t="s">
        <v>592</v>
      </c>
      <c r="I368" s="57">
        <v>43846</v>
      </c>
      <c r="J368" s="57">
        <v>43853</v>
      </c>
      <c r="K368" s="167"/>
      <c r="L368" s="8"/>
      <c r="M368" s="8" t="s">
        <v>4206</v>
      </c>
      <c r="N368" s="26">
        <v>43874.525439814817</v>
      </c>
      <c r="O368" s="8" t="s">
        <v>4206</v>
      </c>
      <c r="P368" s="26">
        <v>43873.674629629626</v>
      </c>
      <c r="Q368" s="65">
        <v>1055029</v>
      </c>
      <c r="R368" s="14" t="s">
        <v>4153</v>
      </c>
      <c r="S368" s="168">
        <v>1060</v>
      </c>
      <c r="T368" s="52" t="s">
        <v>3512</v>
      </c>
      <c r="U368" s="8" t="s">
        <v>3564</v>
      </c>
    </row>
    <row r="369" spans="1:21" ht="15" x14ac:dyDescent="0.2">
      <c r="A369" s="170" t="str">
        <f>CONCATENATE(SP_ENV_Lib[[#This Row],[Environmental Tract No.]],"_",SP_ENV_Lib[[#This Row],[ACQ Document Type]])</f>
        <v>155_TITLE Tax Card</v>
      </c>
      <c r="B369" s="14" t="s">
        <v>3841</v>
      </c>
      <c r="C369" s="169" t="s">
        <v>2716</v>
      </c>
      <c r="D369" s="12" t="s">
        <v>3196</v>
      </c>
      <c r="E369" s="166" t="s">
        <v>861</v>
      </c>
      <c r="F369" s="8" t="s">
        <v>1150</v>
      </c>
      <c r="G369" s="8" t="s">
        <v>1149</v>
      </c>
      <c r="H369" s="52" t="s">
        <v>592</v>
      </c>
      <c r="I369" s="57"/>
      <c r="J369" s="57"/>
      <c r="K369" s="167"/>
      <c r="L369" s="8"/>
      <c r="M369" s="8" t="s">
        <v>4206</v>
      </c>
      <c r="N369" s="26">
        <v>43872.431643518517</v>
      </c>
      <c r="O369" s="8" t="s">
        <v>4207</v>
      </c>
      <c r="P369" s="26">
        <v>43823.60869212963</v>
      </c>
      <c r="Q369" s="65">
        <v>803422</v>
      </c>
      <c r="R369" s="14" t="s">
        <v>4154</v>
      </c>
      <c r="S369" s="168">
        <v>694</v>
      </c>
      <c r="T369" s="52" t="s">
        <v>3512</v>
      </c>
      <c r="U369" s="8" t="s">
        <v>3564</v>
      </c>
    </row>
    <row r="370" spans="1:21" ht="15" x14ac:dyDescent="0.2">
      <c r="A370" s="170" t="str">
        <f>CONCATENATE(SP_ENV_Lib[[#This Row],[Environmental Tract No.]],"_",SP_ENV_Lib[[#This Row],[ACQ Document Type]])</f>
        <v>156_CONTACT Negotiator Report</v>
      </c>
      <c r="B370" s="14" t="s">
        <v>3842</v>
      </c>
      <c r="C370" s="169" t="s">
        <v>2717</v>
      </c>
      <c r="D370" s="12" t="s">
        <v>3200</v>
      </c>
      <c r="E370" s="166" t="s">
        <v>865</v>
      </c>
      <c r="F370" s="8" t="s">
        <v>1068</v>
      </c>
      <c r="G370" s="8" t="s">
        <v>1067</v>
      </c>
      <c r="H370" s="52" t="s">
        <v>592</v>
      </c>
      <c r="I370" s="57"/>
      <c r="J370" s="57"/>
      <c r="K370" s="167"/>
      <c r="L370" s="8"/>
      <c r="M370" s="8" t="s">
        <v>1743</v>
      </c>
      <c r="N370" s="26">
        <v>43893.506851851853</v>
      </c>
      <c r="O370" s="8" t="s">
        <v>1744</v>
      </c>
      <c r="P370" s="26">
        <v>43871.710393518515</v>
      </c>
      <c r="Q370" s="65">
        <v>37771</v>
      </c>
      <c r="R370" s="14" t="s">
        <v>4155</v>
      </c>
      <c r="S370" s="168">
        <v>931</v>
      </c>
      <c r="T370" s="52" t="s">
        <v>3512</v>
      </c>
      <c r="U370" s="8" t="s">
        <v>3564</v>
      </c>
    </row>
    <row r="371" spans="1:21" ht="15" hidden="1" x14ac:dyDescent="0.2">
      <c r="A371" s="170" t="str">
        <f>CONCATENATE(SP_ENV_Lib[[#This Row],[Environmental Tract No.]],"_",SP_ENV_Lib[[#This Row],[ACQ Document Type]])</f>
        <v>156_ENVIRONMENTAL Right-of-Entry Executed</v>
      </c>
      <c r="B371" s="14" t="s">
        <v>4551</v>
      </c>
      <c r="C371" s="169" t="s">
        <v>2717</v>
      </c>
      <c r="D371" s="12" t="s">
        <v>3200</v>
      </c>
      <c r="E371" s="166" t="s">
        <v>2682</v>
      </c>
      <c r="F371" s="8" t="s">
        <v>2683</v>
      </c>
      <c r="G371" s="8" t="s">
        <v>2681</v>
      </c>
      <c r="H371" s="52" t="s">
        <v>592</v>
      </c>
      <c r="I371" s="57">
        <v>43920</v>
      </c>
      <c r="J371" s="57"/>
      <c r="K371" s="167"/>
      <c r="L371" s="8"/>
      <c r="M371" s="8" t="s">
        <v>4205</v>
      </c>
      <c r="N371" s="26">
        <v>43920.805393518516</v>
      </c>
      <c r="O371" s="8" t="s">
        <v>4205</v>
      </c>
      <c r="P371" s="26">
        <v>43920.802037037036</v>
      </c>
      <c r="Q371" s="65">
        <v>1755099</v>
      </c>
      <c r="R371" s="14" t="s">
        <v>4557</v>
      </c>
      <c r="S371" s="168">
        <v>1334</v>
      </c>
      <c r="T371" s="52" t="s">
        <v>3512</v>
      </c>
      <c r="U371" s="8" t="s">
        <v>3564</v>
      </c>
    </row>
    <row r="372" spans="1:21" ht="15" hidden="1" x14ac:dyDescent="0.2">
      <c r="A372" s="170" t="str">
        <f>CONCATENATE(SP_ENV_Lib[[#This Row],[Environmental Tract No.]],"_",SP_ENV_Lib[[#This Row],[ACQ Document Type]])</f>
        <v>156_ENVIRONMENTAL Right-of-Entry Package</v>
      </c>
      <c r="B372" s="14" t="s">
        <v>4388</v>
      </c>
      <c r="C372" s="169" t="s">
        <v>2717</v>
      </c>
      <c r="D372" s="12" t="s">
        <v>3200</v>
      </c>
      <c r="E372" s="166" t="s">
        <v>2682</v>
      </c>
      <c r="F372" s="8" t="s">
        <v>2687</v>
      </c>
      <c r="G372" s="8" t="s">
        <v>2686</v>
      </c>
      <c r="H372" s="52" t="s">
        <v>592</v>
      </c>
      <c r="I372" s="57">
        <v>43874</v>
      </c>
      <c r="J372" s="57">
        <v>43894</v>
      </c>
      <c r="K372" s="167"/>
      <c r="L372" s="8" t="s">
        <v>4545</v>
      </c>
      <c r="M372" s="8" t="s">
        <v>4206</v>
      </c>
      <c r="N372" s="26">
        <v>43909.871550925927</v>
      </c>
      <c r="O372" s="8" t="s">
        <v>4206</v>
      </c>
      <c r="P372" s="26">
        <v>43896.572175925925</v>
      </c>
      <c r="Q372" s="65">
        <v>1823123</v>
      </c>
      <c r="R372" s="14" t="s">
        <v>4432</v>
      </c>
      <c r="S372" s="168">
        <v>1290</v>
      </c>
      <c r="T372" s="52" t="s">
        <v>3512</v>
      </c>
      <c r="U372" s="8" t="s">
        <v>3564</v>
      </c>
    </row>
    <row r="373" spans="1:21" ht="15" x14ac:dyDescent="0.2">
      <c r="A373" s="170" t="str">
        <f>CONCATENATE(SP_ENV_Lib[[#This Row],[Environmental Tract No.]],"_",SP_ENV_Lib[[#This Row],[ACQ Document Type]])</f>
        <v>156_TITLE Tax Card</v>
      </c>
      <c r="B373" s="14" t="s">
        <v>3843</v>
      </c>
      <c r="C373" s="169" t="s">
        <v>2717</v>
      </c>
      <c r="D373" s="12" t="s">
        <v>3200</v>
      </c>
      <c r="E373" s="166" t="s">
        <v>861</v>
      </c>
      <c r="F373" s="8" t="s">
        <v>1150</v>
      </c>
      <c r="G373" s="8" t="s">
        <v>1149</v>
      </c>
      <c r="H373" s="52" t="s">
        <v>592</v>
      </c>
      <c r="I373" s="57"/>
      <c r="J373" s="57"/>
      <c r="K373" s="167"/>
      <c r="L373" s="8"/>
      <c r="M373" s="8" t="s">
        <v>4206</v>
      </c>
      <c r="N373" s="26">
        <v>43872.431527777779</v>
      </c>
      <c r="O373" s="8" t="s">
        <v>4207</v>
      </c>
      <c r="P373" s="26">
        <v>43823.60869212963</v>
      </c>
      <c r="Q373" s="65">
        <v>808552</v>
      </c>
      <c r="R373" s="14" t="s">
        <v>4156</v>
      </c>
      <c r="S373" s="168">
        <v>695</v>
      </c>
      <c r="T373" s="52" t="s">
        <v>3512</v>
      </c>
      <c r="U373" s="8" t="s">
        <v>3564</v>
      </c>
    </row>
    <row r="374" spans="1:21" ht="15" x14ac:dyDescent="0.2">
      <c r="A374" s="170" t="str">
        <f>CONCATENATE(SP_ENV_Lib[[#This Row],[Environmental Tract No.]],"_",SP_ENV_Lib[[#This Row],[ACQ Document Type]])</f>
        <v>160_CONTACT Negotiator Report</v>
      </c>
      <c r="B374" s="14" t="s">
        <v>3844</v>
      </c>
      <c r="C374" s="169" t="s">
        <v>2718</v>
      </c>
      <c r="D374" s="12" t="s">
        <v>3207</v>
      </c>
      <c r="E374" s="166" t="s">
        <v>865</v>
      </c>
      <c r="F374" s="8" t="s">
        <v>1068</v>
      </c>
      <c r="G374" s="8" t="s">
        <v>1067</v>
      </c>
      <c r="H374" s="52" t="s">
        <v>592</v>
      </c>
      <c r="I374" s="57"/>
      <c r="J374" s="57"/>
      <c r="K374" s="167"/>
      <c r="L374" s="8"/>
      <c r="M374" s="8" t="s">
        <v>1744</v>
      </c>
      <c r="N374" s="26">
        <v>43871.726550925923</v>
      </c>
      <c r="O374" s="8" t="s">
        <v>1744</v>
      </c>
      <c r="P374" s="26">
        <v>43871.710370370369</v>
      </c>
      <c r="Q374" s="65">
        <v>41385</v>
      </c>
      <c r="R374" s="14" t="s">
        <v>4157</v>
      </c>
      <c r="S374" s="168">
        <v>927</v>
      </c>
      <c r="T374" s="52" t="s">
        <v>3512</v>
      </c>
      <c r="U374" s="8" t="s">
        <v>3564</v>
      </c>
    </row>
    <row r="375" spans="1:21" ht="15" hidden="1" x14ac:dyDescent="0.2">
      <c r="A375" s="170" t="str">
        <f>CONCATENATE(SP_ENV_Lib[[#This Row],[Environmental Tract No.]],"_",SP_ENV_Lib[[#This Row],[ACQ Document Type]])</f>
        <v>160_ENVIRONMENTAL Right-of-Entry Executed</v>
      </c>
      <c r="B375" s="14" t="s">
        <v>4260</v>
      </c>
      <c r="C375" s="169" t="s">
        <v>2718</v>
      </c>
      <c r="D375" s="12" t="s">
        <v>3207</v>
      </c>
      <c r="E375" s="166" t="s">
        <v>2682</v>
      </c>
      <c r="F375" s="8" t="s">
        <v>2683</v>
      </c>
      <c r="G375" s="8" t="s">
        <v>2681</v>
      </c>
      <c r="H375" s="52" t="s">
        <v>592</v>
      </c>
      <c r="I375" s="57">
        <v>43860</v>
      </c>
      <c r="J375" s="57"/>
      <c r="K375" s="167"/>
      <c r="L375" s="8"/>
      <c r="M375" s="8" t="s">
        <v>4205</v>
      </c>
      <c r="N375" s="26">
        <v>43892.857106481482</v>
      </c>
      <c r="O375" s="8" t="s">
        <v>4205</v>
      </c>
      <c r="P375" s="26">
        <v>43892.856458333335</v>
      </c>
      <c r="Q375" s="65">
        <v>1760638</v>
      </c>
      <c r="R375" s="14" t="s">
        <v>4319</v>
      </c>
      <c r="S375" s="168">
        <v>1223</v>
      </c>
      <c r="T375" s="52" t="s">
        <v>3512</v>
      </c>
      <c r="U375" s="8" t="s">
        <v>3564</v>
      </c>
    </row>
    <row r="376" spans="1:21" ht="15" hidden="1" x14ac:dyDescent="0.2">
      <c r="A376" s="170" t="str">
        <f>CONCATENATE(SP_ENV_Lib[[#This Row],[Environmental Tract No.]],"_",SP_ENV_Lib[[#This Row],[ACQ Document Type]])</f>
        <v>160_ENVIRONMENTAL Right-of-Entry Package</v>
      </c>
      <c r="B376" s="14" t="s">
        <v>3845</v>
      </c>
      <c r="C376" s="169" t="s">
        <v>2718</v>
      </c>
      <c r="D376" s="12" t="s">
        <v>3207</v>
      </c>
      <c r="E376" s="166" t="s">
        <v>2682</v>
      </c>
      <c r="F376" s="8" t="s">
        <v>2687</v>
      </c>
      <c r="G376" s="8" t="s">
        <v>2686</v>
      </c>
      <c r="H376" s="52" t="s">
        <v>592</v>
      </c>
      <c r="I376" s="57">
        <v>43846</v>
      </c>
      <c r="J376" s="57">
        <v>43851</v>
      </c>
      <c r="K376" s="167"/>
      <c r="L376" s="8"/>
      <c r="M376" s="8" t="s">
        <v>4206</v>
      </c>
      <c r="N376" s="26">
        <v>43874.523981481485</v>
      </c>
      <c r="O376" s="8" t="s">
        <v>4206</v>
      </c>
      <c r="P376" s="26">
        <v>43873.674722222226</v>
      </c>
      <c r="Q376" s="65">
        <v>943265</v>
      </c>
      <c r="R376" s="14" t="s">
        <v>4158</v>
      </c>
      <c r="S376" s="168">
        <v>1064</v>
      </c>
      <c r="T376" s="52" t="s">
        <v>3512</v>
      </c>
      <c r="U376" s="8" t="s">
        <v>3564</v>
      </c>
    </row>
    <row r="377" spans="1:21" ht="15" x14ac:dyDescent="0.2">
      <c r="A377" s="170" t="str">
        <f>CONCATENATE(SP_ENV_Lib[[#This Row],[Environmental Tract No.]],"_",SP_ENV_Lib[[#This Row],[ACQ Document Type]])</f>
        <v>160_TITLE Tax Card</v>
      </c>
      <c r="B377" s="14" t="s">
        <v>3846</v>
      </c>
      <c r="C377" s="169" t="s">
        <v>2718</v>
      </c>
      <c r="D377" s="12" t="s">
        <v>3207</v>
      </c>
      <c r="E377" s="166" t="s">
        <v>861</v>
      </c>
      <c r="F377" s="8" t="s">
        <v>1150</v>
      </c>
      <c r="G377" s="8" t="s">
        <v>1149</v>
      </c>
      <c r="H377" s="52" t="s">
        <v>592</v>
      </c>
      <c r="I377" s="57"/>
      <c r="J377" s="57"/>
      <c r="K377" s="167"/>
      <c r="L377" s="8"/>
      <c r="M377" s="8" t="s">
        <v>4206</v>
      </c>
      <c r="N377" s="26">
        <v>43872.431076388886</v>
      </c>
      <c r="O377" s="8" t="s">
        <v>4207</v>
      </c>
      <c r="P377" s="26">
        <v>43823.608703703707</v>
      </c>
      <c r="Q377" s="65">
        <v>691822</v>
      </c>
      <c r="R377" s="14" t="s">
        <v>4159</v>
      </c>
      <c r="S377" s="168">
        <v>699</v>
      </c>
      <c r="T377" s="52" t="s">
        <v>3512</v>
      </c>
      <c r="U377" s="8" t="s">
        <v>3564</v>
      </c>
    </row>
    <row r="378" spans="1:21" ht="15" hidden="1" x14ac:dyDescent="0.2">
      <c r="A378" s="170" t="str">
        <f>CONCATENATE(SP_ENV_Lib[[#This Row],[Environmental Tract No.]],"_",SP_ENV_Lib[[#This Row],[ACQ Document Type]])</f>
        <v>166_CONTACT Negotiator Report</v>
      </c>
      <c r="B378" s="14" t="s">
        <v>3847</v>
      </c>
      <c r="C378" s="169" t="s">
        <v>3214</v>
      </c>
      <c r="D378" s="12" t="s">
        <v>3215</v>
      </c>
      <c r="E378" s="166" t="s">
        <v>865</v>
      </c>
      <c r="F378" s="8" t="s">
        <v>1068</v>
      </c>
      <c r="G378" s="8" t="s">
        <v>1067</v>
      </c>
      <c r="H378" s="52" t="s">
        <v>592</v>
      </c>
      <c r="I378" s="57">
        <v>43873</v>
      </c>
      <c r="J378" s="57"/>
      <c r="K378" s="167"/>
      <c r="L378" s="8"/>
      <c r="M378" s="8" t="s">
        <v>3574</v>
      </c>
      <c r="N378" s="26">
        <v>43873.383449074077</v>
      </c>
      <c r="O378" s="8" t="s">
        <v>3574</v>
      </c>
      <c r="P378" s="26">
        <v>43873.382974537039</v>
      </c>
      <c r="Q378" s="65">
        <v>62911</v>
      </c>
      <c r="R378" s="14" t="s">
        <v>4160</v>
      </c>
      <c r="S378" s="168">
        <v>950</v>
      </c>
      <c r="T378" s="52" t="s">
        <v>3512</v>
      </c>
      <c r="U378" s="8" t="s">
        <v>3564</v>
      </c>
    </row>
    <row r="379" spans="1:21" ht="15" hidden="1" x14ac:dyDescent="0.2">
      <c r="A379" s="170" t="str">
        <f>CONCATENATE(SP_ENV_Lib[[#This Row],[Environmental Tract No.]],"_",SP_ENV_Lib[[#This Row],[ACQ Document Type]])</f>
        <v>166_ENVIRONMENTAL Right-of-Entry Executed</v>
      </c>
      <c r="B379" s="14" t="s">
        <v>4389</v>
      </c>
      <c r="C379" s="169" t="s">
        <v>3214</v>
      </c>
      <c r="D379" s="12" t="s">
        <v>3215</v>
      </c>
      <c r="E379" s="166" t="s">
        <v>2682</v>
      </c>
      <c r="F379" s="8" t="s">
        <v>2683</v>
      </c>
      <c r="G379" s="8" t="s">
        <v>2681</v>
      </c>
      <c r="H379" s="52" t="s">
        <v>592</v>
      </c>
      <c r="I379" s="57">
        <v>43906</v>
      </c>
      <c r="J379" s="57"/>
      <c r="K379" s="167"/>
      <c r="L379" s="8"/>
      <c r="M379" s="8" t="s">
        <v>4206</v>
      </c>
      <c r="N379" s="26">
        <v>43907.627280092594</v>
      </c>
      <c r="O379" s="8" t="s">
        <v>4206</v>
      </c>
      <c r="P379" s="26">
        <v>43907.62667824074</v>
      </c>
      <c r="Q379" s="65">
        <v>1827473</v>
      </c>
      <c r="R379" s="14" t="s">
        <v>4433</v>
      </c>
      <c r="S379" s="168">
        <v>1320</v>
      </c>
      <c r="T379" s="52" t="s">
        <v>3512</v>
      </c>
      <c r="U379" s="8" t="s">
        <v>3564</v>
      </c>
    </row>
    <row r="380" spans="1:21" ht="15" hidden="1" x14ac:dyDescent="0.2">
      <c r="A380" s="170" t="str">
        <f>CONCATENATE(SP_ENV_Lib[[#This Row],[Environmental Tract No.]],"_",SP_ENV_Lib[[#This Row],[ACQ Document Type]])</f>
        <v>166_ENVIRONMENTAL Right-of-Entry Package</v>
      </c>
      <c r="B380" s="14" t="s">
        <v>3848</v>
      </c>
      <c r="C380" s="169" t="s">
        <v>3214</v>
      </c>
      <c r="D380" s="12" t="s">
        <v>3215</v>
      </c>
      <c r="E380" s="166" t="s">
        <v>2682</v>
      </c>
      <c r="F380" s="8" t="s">
        <v>2687</v>
      </c>
      <c r="G380" s="8" t="s">
        <v>2686</v>
      </c>
      <c r="H380" s="52" t="s">
        <v>592</v>
      </c>
      <c r="I380" s="57">
        <v>43850</v>
      </c>
      <c r="J380" s="57">
        <v>43853</v>
      </c>
      <c r="K380" s="167"/>
      <c r="L380" s="8"/>
      <c r="M380" s="8" t="s">
        <v>4206</v>
      </c>
      <c r="N380" s="26">
        <v>43874.523159722223</v>
      </c>
      <c r="O380" s="8" t="s">
        <v>4206</v>
      </c>
      <c r="P380" s="26">
        <v>43873.674814814818</v>
      </c>
      <c r="Q380" s="65">
        <v>900599</v>
      </c>
      <c r="R380" s="14" t="s">
        <v>4161</v>
      </c>
      <c r="S380" s="168">
        <v>1067</v>
      </c>
      <c r="T380" s="52" t="s">
        <v>3512</v>
      </c>
      <c r="U380" s="8" t="s">
        <v>3564</v>
      </c>
    </row>
    <row r="381" spans="1:21" ht="15" x14ac:dyDescent="0.2">
      <c r="A381" s="170" t="str">
        <f>CONCATENATE(SP_ENV_Lib[[#This Row],[Environmental Tract No.]],"_",SP_ENV_Lib[[#This Row],[ACQ Document Type]])</f>
        <v>166_TITLE Tax Card</v>
      </c>
      <c r="B381" s="14" t="s">
        <v>3849</v>
      </c>
      <c r="C381" s="169" t="s">
        <v>3214</v>
      </c>
      <c r="D381" s="12" t="s">
        <v>3215</v>
      </c>
      <c r="E381" s="166" t="s">
        <v>861</v>
      </c>
      <c r="F381" s="8" t="s">
        <v>1150</v>
      </c>
      <c r="G381" s="8" t="s">
        <v>1149</v>
      </c>
      <c r="H381" s="52" t="s">
        <v>592</v>
      </c>
      <c r="I381" s="57"/>
      <c r="J381" s="57"/>
      <c r="K381" s="167"/>
      <c r="L381" s="8"/>
      <c r="M381" s="8" t="s">
        <v>4206</v>
      </c>
      <c r="N381" s="26">
        <v>43872.430555555555</v>
      </c>
      <c r="O381" s="8" t="s">
        <v>4206</v>
      </c>
      <c r="P381" s="26">
        <v>43871.580057870371</v>
      </c>
      <c r="Q381" s="65">
        <v>797663</v>
      </c>
      <c r="R381" s="14" t="s">
        <v>4162</v>
      </c>
      <c r="S381" s="168">
        <v>876</v>
      </c>
      <c r="T381" s="52" t="s">
        <v>3512</v>
      </c>
      <c r="U381" s="8" t="s">
        <v>3564</v>
      </c>
    </row>
    <row r="382" spans="1:21" ht="15" hidden="1" x14ac:dyDescent="0.2">
      <c r="A382" s="170" t="str">
        <f>CONCATENATE(SP_ENV_Lib[[#This Row],[Environmental Tract No.]],"_",SP_ENV_Lib[[#This Row],[ACQ Document Type]])</f>
        <v>177_CONTACT Negotiator Report</v>
      </c>
      <c r="B382" s="14" t="s">
        <v>3850</v>
      </c>
      <c r="C382" s="169" t="s">
        <v>3222</v>
      </c>
      <c r="D382" s="12" t="s">
        <v>3223</v>
      </c>
      <c r="E382" s="166" t="s">
        <v>865</v>
      </c>
      <c r="F382" s="8" t="s">
        <v>1068</v>
      </c>
      <c r="G382" s="8" t="s">
        <v>1067</v>
      </c>
      <c r="H382" s="52" t="s">
        <v>592</v>
      </c>
      <c r="I382" s="57">
        <v>43873</v>
      </c>
      <c r="J382" s="57"/>
      <c r="K382" s="167"/>
      <c r="L382" s="8"/>
      <c r="M382" s="8" t="s">
        <v>1744</v>
      </c>
      <c r="N382" s="26">
        <v>43924.726840277777</v>
      </c>
      <c r="O382" s="8" t="s">
        <v>3574</v>
      </c>
      <c r="P382" s="26">
        <v>43873.390162037038</v>
      </c>
      <c r="Q382" s="65">
        <v>82917</v>
      </c>
      <c r="R382" s="14" t="s">
        <v>4163</v>
      </c>
      <c r="S382" s="168">
        <v>955</v>
      </c>
      <c r="T382" s="52" t="s">
        <v>3512</v>
      </c>
      <c r="U382" s="8" t="s">
        <v>3564</v>
      </c>
    </row>
    <row r="383" spans="1:21" ht="15" x14ac:dyDescent="0.2">
      <c r="A383" s="170" t="str">
        <f>CONCATENATE(SP_ENV_Lib[[#This Row],[Environmental Tract No.]],"_",SP_ENV_Lib[[#This Row],[ACQ Document Type]])</f>
        <v>177_ENVIRONMENTAL Right-of-Entry Executed</v>
      </c>
      <c r="B383" s="14" t="s">
        <v>5041</v>
      </c>
      <c r="C383" s="169" t="s">
        <v>3222</v>
      </c>
      <c r="D383" s="12" t="s">
        <v>3223</v>
      </c>
      <c r="E383" s="166" t="s">
        <v>2682</v>
      </c>
      <c r="F383" s="8" t="s">
        <v>2683</v>
      </c>
      <c r="G383" s="8" t="s">
        <v>2681</v>
      </c>
      <c r="H383" s="52" t="s">
        <v>592</v>
      </c>
      <c r="I383" s="57">
        <v>43949</v>
      </c>
      <c r="J383" s="57"/>
      <c r="K383" s="167"/>
      <c r="L383" s="8"/>
      <c r="M383" s="8" t="s">
        <v>4205</v>
      </c>
      <c r="N383" s="26">
        <v>43955.611134259256</v>
      </c>
      <c r="O383" s="8" t="s">
        <v>4205</v>
      </c>
      <c r="P383" s="26">
        <v>43955.610381944447</v>
      </c>
      <c r="Q383" s="65">
        <v>1853723</v>
      </c>
      <c r="R383" s="14" t="s">
        <v>5044</v>
      </c>
      <c r="S383" s="168">
        <v>1343</v>
      </c>
      <c r="T383" s="52" t="s">
        <v>3512</v>
      </c>
      <c r="U383" s="8" t="s">
        <v>3564</v>
      </c>
    </row>
    <row r="384" spans="1:21" ht="15" hidden="1" x14ac:dyDescent="0.2">
      <c r="A384" s="170" t="str">
        <f>CONCATENATE(SP_ENV_Lib[[#This Row],[Environmental Tract No.]],"_",SP_ENV_Lib[[#This Row],[ACQ Document Type]])</f>
        <v>177_ENVIRONMENTAL Right-of-Entry Package</v>
      </c>
      <c r="B384" s="14" t="s">
        <v>3851</v>
      </c>
      <c r="C384" s="169" t="s">
        <v>3222</v>
      </c>
      <c r="D384" s="12" t="s">
        <v>3223</v>
      </c>
      <c r="E384" s="166" t="s">
        <v>2682</v>
      </c>
      <c r="F384" s="8" t="s">
        <v>2687</v>
      </c>
      <c r="G384" s="8" t="s">
        <v>2686</v>
      </c>
      <c r="H384" s="52" t="s">
        <v>592</v>
      </c>
      <c r="I384" s="57">
        <v>43850</v>
      </c>
      <c r="J384" s="57">
        <v>43854</v>
      </c>
      <c r="K384" s="167"/>
      <c r="L384" s="8"/>
      <c r="M384" s="8" t="s">
        <v>4206</v>
      </c>
      <c r="N384" s="26">
        <v>43874.520648148151</v>
      </c>
      <c r="O384" s="8" t="s">
        <v>4206</v>
      </c>
      <c r="P384" s="26">
        <v>43873.674930555557</v>
      </c>
      <c r="Q384" s="65">
        <v>821693</v>
      </c>
      <c r="R384" s="14" t="s">
        <v>4164</v>
      </c>
      <c r="S384" s="168">
        <v>1071</v>
      </c>
      <c r="T384" s="52" t="s">
        <v>3512</v>
      </c>
      <c r="U384" s="8" t="s">
        <v>3564</v>
      </c>
    </row>
    <row r="385" spans="1:21" ht="15" x14ac:dyDescent="0.2">
      <c r="A385" s="170" t="str">
        <f>CONCATENATE(SP_ENV_Lib[[#This Row],[Environmental Tract No.]],"_",SP_ENV_Lib[[#This Row],[ACQ Document Type]])</f>
        <v>177_TITLE Tax Card</v>
      </c>
      <c r="B385" s="14" t="s">
        <v>3852</v>
      </c>
      <c r="C385" s="169" t="s">
        <v>3222</v>
      </c>
      <c r="D385" s="12" t="s">
        <v>3223</v>
      </c>
      <c r="E385" s="166" t="s">
        <v>861</v>
      </c>
      <c r="F385" s="8" t="s">
        <v>1150</v>
      </c>
      <c r="G385" s="8" t="s">
        <v>1149</v>
      </c>
      <c r="H385" s="52" t="s">
        <v>592</v>
      </c>
      <c r="I385" s="57"/>
      <c r="J385" s="57"/>
      <c r="K385" s="167"/>
      <c r="L385" s="8"/>
      <c r="M385" s="8" t="s">
        <v>4206</v>
      </c>
      <c r="N385" s="26">
        <v>43872.429976851854</v>
      </c>
      <c r="O385" s="8" t="s">
        <v>4206</v>
      </c>
      <c r="P385" s="26">
        <v>43871.580104166664</v>
      </c>
      <c r="Q385" s="65">
        <v>711210</v>
      </c>
      <c r="R385" s="14" t="s">
        <v>4165</v>
      </c>
      <c r="S385" s="168">
        <v>880</v>
      </c>
      <c r="T385" s="52" t="s">
        <v>3512</v>
      </c>
      <c r="U385" s="8" t="s">
        <v>3564</v>
      </c>
    </row>
    <row r="386" spans="1:21" ht="15" hidden="1" x14ac:dyDescent="0.2">
      <c r="A386" s="170" t="str">
        <f>CONCATENATE(SP_ENV_Lib[[#This Row],[Environmental Tract No.]],"_",SP_ENV_Lib[[#This Row],[ACQ Document Type]])</f>
        <v>178_CONTACT Negotiator Report</v>
      </c>
      <c r="B386" s="14" t="s">
        <v>3853</v>
      </c>
      <c r="C386" s="169" t="s">
        <v>3227</v>
      </c>
      <c r="D386" s="12" t="s">
        <v>3228</v>
      </c>
      <c r="E386" s="166" t="s">
        <v>865</v>
      </c>
      <c r="F386" s="8" t="s">
        <v>1068</v>
      </c>
      <c r="G386" s="8" t="s">
        <v>1067</v>
      </c>
      <c r="H386" s="52" t="s">
        <v>592</v>
      </c>
      <c r="I386" s="57">
        <v>43873</v>
      </c>
      <c r="J386" s="57"/>
      <c r="K386" s="167"/>
      <c r="L386" s="8"/>
      <c r="M386" s="8" t="s">
        <v>1744</v>
      </c>
      <c r="N386" s="26">
        <v>43964.728576388887</v>
      </c>
      <c r="O386" s="8" t="s">
        <v>3574</v>
      </c>
      <c r="P386" s="26">
        <v>43873.390879629631</v>
      </c>
      <c r="Q386" s="65">
        <v>1117580</v>
      </c>
      <c r="R386" s="14" t="s">
        <v>4166</v>
      </c>
      <c r="S386" s="168">
        <v>956</v>
      </c>
      <c r="T386" s="52" t="s">
        <v>3512</v>
      </c>
      <c r="U386" s="8" t="s">
        <v>3564</v>
      </c>
    </row>
    <row r="387" spans="1:21" ht="15" hidden="1" x14ac:dyDescent="0.2">
      <c r="A387" s="170" t="str">
        <f>CONCATENATE(SP_ENV_Lib[[#This Row],[Environmental Tract No.]],"_",SP_ENV_Lib[[#This Row],[ACQ Document Type]])</f>
        <v>178_ENVIRONMENTAL Right-of-Entry Executed</v>
      </c>
      <c r="B387" s="14" t="s">
        <v>5758</v>
      </c>
      <c r="C387" s="169" t="s">
        <v>3227</v>
      </c>
      <c r="D387" s="12" t="s">
        <v>3228</v>
      </c>
      <c r="E387" s="166" t="s">
        <v>2682</v>
      </c>
      <c r="F387" s="8" t="s">
        <v>2683</v>
      </c>
      <c r="G387" s="8" t="s">
        <v>2681</v>
      </c>
      <c r="H387" s="52" t="s">
        <v>592</v>
      </c>
      <c r="I387" s="57">
        <v>43977</v>
      </c>
      <c r="J387" s="57"/>
      <c r="K387" s="167"/>
      <c r="L387" s="8"/>
      <c r="M387" s="8" t="s">
        <v>4206</v>
      </c>
      <c r="N387" s="26">
        <v>43986.522870370369</v>
      </c>
      <c r="O387" s="8" t="s">
        <v>4206</v>
      </c>
      <c r="P387" s="26">
        <v>43986.520729166667</v>
      </c>
      <c r="Q387" s="65">
        <v>910900</v>
      </c>
      <c r="R387" s="14" t="s">
        <v>5759</v>
      </c>
      <c r="S387" s="168">
        <v>1354</v>
      </c>
      <c r="T387" s="52" t="s">
        <v>3512</v>
      </c>
      <c r="U387" s="8" t="s">
        <v>3564</v>
      </c>
    </row>
    <row r="388" spans="1:21" ht="15" hidden="1" x14ac:dyDescent="0.2">
      <c r="A388" s="170" t="str">
        <f>CONCATENATE(SP_ENV_Lib[[#This Row],[Environmental Tract No.]],"_",SP_ENV_Lib[[#This Row],[ACQ Document Type]])</f>
        <v>178_ENVIRONMENTAL Right-of-Entry Package</v>
      </c>
      <c r="B388" s="14" t="s">
        <v>3854</v>
      </c>
      <c r="C388" s="169" t="s">
        <v>3227</v>
      </c>
      <c r="D388" s="12" t="s">
        <v>3228</v>
      </c>
      <c r="E388" s="166" t="s">
        <v>2682</v>
      </c>
      <c r="F388" s="8" t="s">
        <v>2687</v>
      </c>
      <c r="G388" s="8" t="s">
        <v>2686</v>
      </c>
      <c r="H388" s="52" t="s">
        <v>592</v>
      </c>
      <c r="I388" s="57">
        <v>43850</v>
      </c>
      <c r="J388" s="57">
        <v>43865</v>
      </c>
      <c r="K388" s="167"/>
      <c r="L388" s="8"/>
      <c r="M388" s="8" t="s">
        <v>4206</v>
      </c>
      <c r="N388" s="26">
        <v>43874.519861111112</v>
      </c>
      <c r="O388" s="8" t="s">
        <v>4206</v>
      </c>
      <c r="P388" s="26">
        <v>43873.67496527778</v>
      </c>
      <c r="Q388" s="65">
        <v>801871</v>
      </c>
      <c r="R388" s="14" t="s">
        <v>4167</v>
      </c>
      <c r="S388" s="168">
        <v>1072</v>
      </c>
      <c r="T388" s="52" t="s">
        <v>3512</v>
      </c>
      <c r="U388" s="8" t="s">
        <v>3564</v>
      </c>
    </row>
    <row r="389" spans="1:21" ht="15" x14ac:dyDescent="0.2">
      <c r="A389" s="170" t="str">
        <f>CONCATENATE(SP_ENV_Lib[[#This Row],[Environmental Tract No.]],"_",SP_ENV_Lib[[#This Row],[ACQ Document Type]])</f>
        <v>178_TITLE Tax Card</v>
      </c>
      <c r="B389" s="14" t="s">
        <v>3855</v>
      </c>
      <c r="C389" s="169" t="s">
        <v>3227</v>
      </c>
      <c r="D389" s="12" t="s">
        <v>3228</v>
      </c>
      <c r="E389" s="166" t="s">
        <v>861</v>
      </c>
      <c r="F389" s="8" t="s">
        <v>1150</v>
      </c>
      <c r="G389" s="8" t="s">
        <v>1149</v>
      </c>
      <c r="H389" s="52" t="s">
        <v>592</v>
      </c>
      <c r="I389" s="57"/>
      <c r="J389" s="57"/>
      <c r="K389" s="167"/>
      <c r="L389" s="8"/>
      <c r="M389" s="8" t="s">
        <v>4206</v>
      </c>
      <c r="N389" s="26">
        <v>43872.4296412037</v>
      </c>
      <c r="O389" s="8" t="s">
        <v>4206</v>
      </c>
      <c r="P389" s="26">
        <v>43871.580127314817</v>
      </c>
      <c r="Q389" s="65">
        <v>689761</v>
      </c>
      <c r="R389" s="14" t="s">
        <v>4168</v>
      </c>
      <c r="S389" s="168">
        <v>881</v>
      </c>
      <c r="T389" s="52" t="s">
        <v>3512</v>
      </c>
      <c r="U389" s="8" t="s">
        <v>3564</v>
      </c>
    </row>
    <row r="390" spans="1:21" ht="15" hidden="1" x14ac:dyDescent="0.2">
      <c r="A390" s="170" t="str">
        <f>CONCATENATE(SP_ENV_Lib[[#This Row],[Environmental Tract No.]],"_",SP_ENV_Lib[[#This Row],[ACQ Document Type]])</f>
        <v>179_CONTACT Negotiator Report</v>
      </c>
      <c r="B390" s="14" t="s">
        <v>3856</v>
      </c>
      <c r="C390" s="169" t="s">
        <v>3232</v>
      </c>
      <c r="D390" s="12" t="s">
        <v>3233</v>
      </c>
      <c r="E390" s="166" t="s">
        <v>865</v>
      </c>
      <c r="F390" s="8" t="s">
        <v>1068</v>
      </c>
      <c r="G390" s="8" t="s">
        <v>1067</v>
      </c>
      <c r="H390" s="52" t="s">
        <v>592</v>
      </c>
      <c r="I390" s="57">
        <v>43873</v>
      </c>
      <c r="J390" s="57"/>
      <c r="K390" s="167"/>
      <c r="L390" s="8"/>
      <c r="M390" s="8" t="s">
        <v>3574</v>
      </c>
      <c r="N390" s="26">
        <v>43895.440462962964</v>
      </c>
      <c r="O390" s="8" t="s">
        <v>3574</v>
      </c>
      <c r="P390" s="26">
        <v>43873.393368055556</v>
      </c>
      <c r="Q390" s="65">
        <v>132745</v>
      </c>
      <c r="R390" s="14" t="s">
        <v>4169</v>
      </c>
      <c r="S390" s="168">
        <v>957</v>
      </c>
      <c r="T390" s="52" t="s">
        <v>3512</v>
      </c>
      <c r="U390" s="8" t="s">
        <v>3564</v>
      </c>
    </row>
    <row r="391" spans="1:21" ht="15" hidden="1" x14ac:dyDescent="0.2">
      <c r="A391" s="170" t="str">
        <f>CONCATENATE(SP_ENV_Lib[[#This Row],[Environmental Tract No.]],"_",SP_ENV_Lib[[#This Row],[ACQ Document Type]])</f>
        <v>179_ENVIRONMENTAL Right-of-Entry Executed</v>
      </c>
      <c r="B391" s="14" t="s">
        <v>4261</v>
      </c>
      <c r="C391" s="169" t="s">
        <v>3232</v>
      </c>
      <c r="D391" s="12" t="s">
        <v>3233</v>
      </c>
      <c r="E391" s="166" t="s">
        <v>2682</v>
      </c>
      <c r="F391" s="8" t="s">
        <v>2683</v>
      </c>
      <c r="G391" s="8" t="s">
        <v>2681</v>
      </c>
      <c r="H391" s="52" t="s">
        <v>592</v>
      </c>
      <c r="I391" s="57">
        <v>43887</v>
      </c>
      <c r="J391" s="57"/>
      <c r="K391" s="167"/>
      <c r="L391" s="8"/>
      <c r="M391" s="8" t="s">
        <v>4205</v>
      </c>
      <c r="N391" s="26">
        <v>43892.863009259258</v>
      </c>
      <c r="O391" s="8" t="s">
        <v>4205</v>
      </c>
      <c r="P391" s="26">
        <v>43892.862164351849</v>
      </c>
      <c r="Q391" s="65">
        <v>2004779</v>
      </c>
      <c r="R391" s="14" t="s">
        <v>4320</v>
      </c>
      <c r="S391" s="168">
        <v>1227</v>
      </c>
      <c r="T391" s="52" t="s">
        <v>3512</v>
      </c>
      <c r="U391" s="8" t="s">
        <v>3564</v>
      </c>
    </row>
    <row r="392" spans="1:21" ht="15" x14ac:dyDescent="0.2">
      <c r="A392" s="170" t="str">
        <f>CONCATENATE(SP_ENV_Lib[[#This Row],[Environmental Tract No.]],"_",SP_ENV_Lib[[#This Row],[ACQ Document Type]])</f>
        <v>179_TITLE Tax Card</v>
      </c>
      <c r="B392" s="14" t="s">
        <v>3857</v>
      </c>
      <c r="C392" s="169" t="s">
        <v>3232</v>
      </c>
      <c r="D392" s="12" t="s">
        <v>3233</v>
      </c>
      <c r="E392" s="166" t="s">
        <v>861</v>
      </c>
      <c r="F392" s="8" t="s">
        <v>1150</v>
      </c>
      <c r="G392" s="8" t="s">
        <v>1149</v>
      </c>
      <c r="H392" s="52" t="s">
        <v>592</v>
      </c>
      <c r="I392" s="57"/>
      <c r="J392" s="57"/>
      <c r="K392" s="167"/>
      <c r="L392" s="8"/>
      <c r="M392" s="8" t="s">
        <v>4206</v>
      </c>
      <c r="N392" s="26">
        <v>43872.429247685184</v>
      </c>
      <c r="O392" s="8" t="s">
        <v>4206</v>
      </c>
      <c r="P392" s="26">
        <v>43871.580138888887</v>
      </c>
      <c r="Q392" s="65">
        <v>674121</v>
      </c>
      <c r="R392" s="14" t="s">
        <v>4170</v>
      </c>
      <c r="S392" s="168">
        <v>882</v>
      </c>
      <c r="T392" s="52" t="s">
        <v>3512</v>
      </c>
      <c r="U392" s="8" t="s">
        <v>3564</v>
      </c>
    </row>
    <row r="393" spans="1:21" ht="15" x14ac:dyDescent="0.2">
      <c r="A393" s="170" t="str">
        <f>CONCATENATE(SP_ENV_Lib[[#This Row],[Environmental Tract No.]],"_",SP_ENV_Lib[[#This Row],[ACQ Document Type]])</f>
        <v>180_CONTACT Negotiator Report</v>
      </c>
      <c r="B393" s="14" t="s">
        <v>4390</v>
      </c>
      <c r="C393" s="169" t="s">
        <v>3237</v>
      </c>
      <c r="D393" s="12" t="s">
        <v>3242</v>
      </c>
      <c r="E393" s="166" t="s">
        <v>865</v>
      </c>
      <c r="F393" s="8" t="s">
        <v>1068</v>
      </c>
      <c r="G393" s="8" t="s">
        <v>1067</v>
      </c>
      <c r="H393" s="52" t="s">
        <v>592</v>
      </c>
      <c r="I393" s="57"/>
      <c r="J393" s="57"/>
      <c r="K393" s="167"/>
      <c r="L393" s="8"/>
      <c r="M393" s="8" t="s">
        <v>1744</v>
      </c>
      <c r="N393" s="26">
        <v>43924.733391203707</v>
      </c>
      <c r="O393" s="8" t="s">
        <v>1744</v>
      </c>
      <c r="P393" s="26">
        <v>43896.56653935185</v>
      </c>
      <c r="Q393" s="65">
        <v>118459</v>
      </c>
      <c r="R393" s="14" t="s">
        <v>4434</v>
      </c>
      <c r="S393" s="168">
        <v>1289</v>
      </c>
      <c r="T393" s="52" t="s">
        <v>3512</v>
      </c>
      <c r="U393" s="8" t="s">
        <v>3564</v>
      </c>
    </row>
    <row r="394" spans="1:21" ht="15" hidden="1" x14ac:dyDescent="0.2">
      <c r="A394" s="170" t="str">
        <f>CONCATENATE(SP_ENV_Lib[[#This Row],[Environmental Tract No.]],"_",SP_ENV_Lib[[#This Row],[ACQ Document Type]])</f>
        <v>199_CONTACT Negotiator Report</v>
      </c>
      <c r="B394" s="14" t="s">
        <v>3858</v>
      </c>
      <c r="C394" s="169" t="s">
        <v>3261</v>
      </c>
      <c r="D394" s="12" t="s">
        <v>609</v>
      </c>
      <c r="E394" s="166" t="s">
        <v>865</v>
      </c>
      <c r="F394" s="8" t="s">
        <v>1068</v>
      </c>
      <c r="G394" s="8" t="s">
        <v>1067</v>
      </c>
      <c r="H394" s="52" t="s">
        <v>592</v>
      </c>
      <c r="I394" s="57">
        <v>43874</v>
      </c>
      <c r="J394" s="57"/>
      <c r="K394" s="167"/>
      <c r="L394" s="8"/>
      <c r="M394" s="8" t="s">
        <v>3574</v>
      </c>
      <c r="N394" s="26">
        <v>43895.563969907409</v>
      </c>
      <c r="O394" s="8" t="s">
        <v>3574</v>
      </c>
      <c r="P394" s="26">
        <v>43874.367488425924</v>
      </c>
      <c r="Q394" s="65">
        <v>56237</v>
      </c>
      <c r="R394" s="14" t="s">
        <v>4171</v>
      </c>
      <c r="S394" s="168">
        <v>1101</v>
      </c>
      <c r="T394" s="52" t="s">
        <v>3512</v>
      </c>
      <c r="U394" s="8" t="s">
        <v>3564</v>
      </c>
    </row>
    <row r="395" spans="1:21" ht="15" x14ac:dyDescent="0.2">
      <c r="A395" s="170" t="str">
        <f>CONCATENATE(SP_ENV_Lib[[#This Row],[Environmental Tract No.]],"_",SP_ENV_Lib[[#This Row],[ACQ Document Type]])</f>
        <v>199_ENVIRONMENTAL Right-of-Entry Executed</v>
      </c>
      <c r="B395" s="14" t="s">
        <v>5042</v>
      </c>
      <c r="C395" s="169" t="s">
        <v>3261</v>
      </c>
      <c r="D395" s="12" t="s">
        <v>609</v>
      </c>
      <c r="E395" s="166" t="s">
        <v>2682</v>
      </c>
      <c r="F395" s="8" t="s">
        <v>2683</v>
      </c>
      <c r="G395" s="8" t="s">
        <v>2681</v>
      </c>
      <c r="H395" s="52" t="s">
        <v>592</v>
      </c>
      <c r="I395" s="57">
        <v>43935</v>
      </c>
      <c r="J395" s="57"/>
      <c r="K395" s="167"/>
      <c r="L395" s="8"/>
      <c r="M395" s="8" t="s">
        <v>4205</v>
      </c>
      <c r="N395" s="26">
        <v>43955.618125000001</v>
      </c>
      <c r="O395" s="8" t="s">
        <v>4205</v>
      </c>
      <c r="P395" s="26">
        <v>43955.616111111114</v>
      </c>
      <c r="Q395" s="65">
        <v>3903346</v>
      </c>
      <c r="R395" s="14" t="s">
        <v>5045</v>
      </c>
      <c r="S395" s="168">
        <v>1347</v>
      </c>
      <c r="T395" s="52" t="s">
        <v>3512</v>
      </c>
      <c r="U395" s="8" t="s">
        <v>3564</v>
      </c>
    </row>
    <row r="396" spans="1:21" ht="15" hidden="1" x14ac:dyDescent="0.2">
      <c r="A396" s="170" t="str">
        <f>CONCATENATE(SP_ENV_Lib[[#This Row],[Environmental Tract No.]],"_",SP_ENV_Lib[[#This Row],[ACQ Document Type]])</f>
        <v>199_ENVIRONMENTAL Right-of-Entry Package</v>
      </c>
      <c r="B396" s="14" t="s">
        <v>3859</v>
      </c>
      <c r="C396" s="169" t="s">
        <v>3261</v>
      </c>
      <c r="D396" s="12" t="s">
        <v>609</v>
      </c>
      <c r="E396" s="166" t="s">
        <v>2682</v>
      </c>
      <c r="F396" s="8" t="s">
        <v>2687</v>
      </c>
      <c r="G396" s="8" t="s">
        <v>2686</v>
      </c>
      <c r="H396" s="52" t="s">
        <v>592</v>
      </c>
      <c r="I396" s="57">
        <v>43850</v>
      </c>
      <c r="J396" s="57">
        <v>43853</v>
      </c>
      <c r="K396" s="167"/>
      <c r="L396" s="8"/>
      <c r="M396" s="8" t="s">
        <v>4206</v>
      </c>
      <c r="N396" s="26">
        <v>43874.517754629633</v>
      </c>
      <c r="O396" s="8" t="s">
        <v>4206</v>
      </c>
      <c r="P396" s="26">
        <v>43873.675243055557</v>
      </c>
      <c r="Q396" s="65">
        <v>957260</v>
      </c>
      <c r="R396" s="14" t="s">
        <v>4172</v>
      </c>
      <c r="S396" s="168">
        <v>1081</v>
      </c>
      <c r="T396" s="52" t="s">
        <v>3512</v>
      </c>
      <c r="U396" s="8" t="s">
        <v>3564</v>
      </c>
    </row>
    <row r="397" spans="1:21" ht="15" x14ac:dyDescent="0.2">
      <c r="A397" s="170" t="str">
        <f>CONCATENATE(SP_ENV_Lib[[#This Row],[Environmental Tract No.]],"_",SP_ENV_Lib[[#This Row],[ACQ Document Type]])</f>
        <v>199_TITLE Tax Card</v>
      </c>
      <c r="B397" s="14" t="s">
        <v>3860</v>
      </c>
      <c r="C397" s="169" t="s">
        <v>3261</v>
      </c>
      <c r="D397" s="12" t="s">
        <v>609</v>
      </c>
      <c r="E397" s="166" t="s">
        <v>861</v>
      </c>
      <c r="F397" s="8" t="s">
        <v>1150</v>
      </c>
      <c r="G397" s="8" t="s">
        <v>1149</v>
      </c>
      <c r="H397" s="52" t="s">
        <v>592</v>
      </c>
      <c r="I397" s="57"/>
      <c r="J397" s="57"/>
      <c r="K397" s="167"/>
      <c r="L397" s="8"/>
      <c r="M397" s="8" t="s">
        <v>4206</v>
      </c>
      <c r="N397" s="26">
        <v>43872.425659722219</v>
      </c>
      <c r="O397" s="8" t="s">
        <v>4206</v>
      </c>
      <c r="P397" s="26">
        <v>43871.579965277779</v>
      </c>
      <c r="Q397" s="65">
        <v>847032</v>
      </c>
      <c r="R397" s="14" t="s">
        <v>4173</v>
      </c>
      <c r="S397" s="168">
        <v>872</v>
      </c>
      <c r="T397" s="52" t="s">
        <v>3512</v>
      </c>
      <c r="U397" s="8" t="s">
        <v>3564</v>
      </c>
    </row>
    <row r="398" spans="1:21" ht="15" hidden="1" x14ac:dyDescent="0.2">
      <c r="A398" s="170" t="str">
        <f>CONCATENATE(SP_ENV_Lib[[#This Row],[Environmental Tract No.]],"_",SP_ENV_Lib[[#This Row],[ACQ Document Type]])</f>
        <v>202_CONTACT Negotiator Report</v>
      </c>
      <c r="B398" s="14" t="s">
        <v>3367</v>
      </c>
      <c r="C398" s="169" t="s">
        <v>31</v>
      </c>
      <c r="D398" s="12" t="s">
        <v>3265</v>
      </c>
      <c r="E398" s="166" t="s">
        <v>865</v>
      </c>
      <c r="F398" s="8" t="s">
        <v>1068</v>
      </c>
      <c r="G398" s="8" t="s">
        <v>1067</v>
      </c>
      <c r="H398" s="52" t="s">
        <v>592</v>
      </c>
      <c r="I398" s="57">
        <v>43840</v>
      </c>
      <c r="J398" s="57"/>
      <c r="K398" s="167"/>
      <c r="L398" s="8"/>
      <c r="M398" s="8" t="s">
        <v>4205</v>
      </c>
      <c r="N398" s="26">
        <v>43917.6328587963</v>
      </c>
      <c r="O398" s="8" t="s">
        <v>4205</v>
      </c>
      <c r="P398" s="26">
        <v>43917.629537037035</v>
      </c>
      <c r="Q398" s="65">
        <v>29789</v>
      </c>
      <c r="R398" s="14" t="s">
        <v>4558</v>
      </c>
      <c r="S398" s="168">
        <v>1324</v>
      </c>
      <c r="T398" s="52" t="s">
        <v>3512</v>
      </c>
      <c r="U398" s="8" t="s">
        <v>3564</v>
      </c>
    </row>
    <row r="399" spans="1:21" ht="15" hidden="1" x14ac:dyDescent="0.2">
      <c r="A399" s="170" t="str">
        <f>CONCATENATE(SP_ENV_Lib[[#This Row],[Environmental Tract No.]],"_",SP_ENV_Lib[[#This Row],[ACQ Document Type]])</f>
        <v>202_ENVIRONMENTAL Right-of-Entry Executed</v>
      </c>
      <c r="B399" s="14" t="s">
        <v>4391</v>
      </c>
      <c r="C399" s="169" t="s">
        <v>31</v>
      </c>
      <c r="D399" s="12" t="s">
        <v>3265</v>
      </c>
      <c r="E399" s="166" t="s">
        <v>2682</v>
      </c>
      <c r="F399" s="8" t="s">
        <v>2683</v>
      </c>
      <c r="G399" s="8" t="s">
        <v>2681</v>
      </c>
      <c r="H399" s="52" t="s">
        <v>592</v>
      </c>
      <c r="I399" s="57">
        <v>43899</v>
      </c>
      <c r="J399" s="57"/>
      <c r="K399" s="167"/>
      <c r="L399" s="8"/>
      <c r="M399" s="8" t="s">
        <v>4205</v>
      </c>
      <c r="N399" s="26">
        <v>43903.873148148145</v>
      </c>
      <c r="O399" s="8" t="s">
        <v>4205</v>
      </c>
      <c r="P399" s="26">
        <v>43903.87263888889</v>
      </c>
      <c r="Q399" s="65">
        <v>2435258</v>
      </c>
      <c r="R399" s="14" t="s">
        <v>4435</v>
      </c>
      <c r="S399" s="168">
        <v>1312</v>
      </c>
      <c r="T399" s="52" t="s">
        <v>3512</v>
      </c>
      <c r="U399" s="8" t="s">
        <v>3564</v>
      </c>
    </row>
    <row r="400" spans="1:21" ht="15" hidden="1" x14ac:dyDescent="0.2">
      <c r="A400" s="170" t="str">
        <f>CONCATENATE(SP_ENV_Lib[[#This Row],[Environmental Tract No.]],"_",SP_ENV_Lib[[#This Row],[ACQ Document Type]])</f>
        <v>202_ENVIRONMENTAL Right-of-Entry Package</v>
      </c>
      <c r="B400" s="14" t="s">
        <v>3861</v>
      </c>
      <c r="C400" s="169" t="s">
        <v>31</v>
      </c>
      <c r="D400" s="12" t="s">
        <v>3265</v>
      </c>
      <c r="E400" s="166" t="s">
        <v>2682</v>
      </c>
      <c r="F400" s="8" t="s">
        <v>2687</v>
      </c>
      <c r="G400" s="8" t="s">
        <v>2686</v>
      </c>
      <c r="H400" s="52" t="s">
        <v>592</v>
      </c>
      <c r="I400" s="57">
        <v>43850</v>
      </c>
      <c r="J400" s="57">
        <v>43853</v>
      </c>
      <c r="K400" s="167"/>
      <c r="L400" s="8"/>
      <c r="M400" s="8" t="s">
        <v>4206</v>
      </c>
      <c r="N400" s="26">
        <v>43874.517569444448</v>
      </c>
      <c r="O400" s="8" t="s">
        <v>4206</v>
      </c>
      <c r="P400" s="26">
        <v>43873.67527777778</v>
      </c>
      <c r="Q400" s="65">
        <v>904493</v>
      </c>
      <c r="R400" s="14" t="s">
        <v>4174</v>
      </c>
      <c r="S400" s="168">
        <v>1082</v>
      </c>
      <c r="T400" s="52" t="s">
        <v>3512</v>
      </c>
      <c r="U400" s="8" t="s">
        <v>3564</v>
      </c>
    </row>
    <row r="401" spans="1:21" ht="15" x14ac:dyDescent="0.2">
      <c r="A401" s="170" t="str">
        <f>CONCATENATE(SP_ENV_Lib[[#This Row],[Environmental Tract No.]],"_",SP_ENV_Lib[[#This Row],[ACQ Document Type]])</f>
        <v>202_TITLE Tax Card</v>
      </c>
      <c r="B401" s="14" t="s">
        <v>3426</v>
      </c>
      <c r="C401" s="169" t="s">
        <v>31</v>
      </c>
      <c r="D401" s="12" t="s">
        <v>3265</v>
      </c>
      <c r="E401" s="166" t="s">
        <v>861</v>
      </c>
      <c r="F401" s="8" t="s">
        <v>1150</v>
      </c>
      <c r="G401" s="8" t="s">
        <v>1149</v>
      </c>
      <c r="H401" s="52" t="s">
        <v>592</v>
      </c>
      <c r="I401" s="57"/>
      <c r="J401" s="57"/>
      <c r="K401" s="167"/>
      <c r="L401" s="8"/>
      <c r="M401" s="8" t="s">
        <v>4206</v>
      </c>
      <c r="N401" s="26">
        <v>43872.425300925926</v>
      </c>
      <c r="O401" s="8" t="s">
        <v>4206</v>
      </c>
      <c r="P401" s="26">
        <v>43871.580648148149</v>
      </c>
      <c r="Q401" s="65">
        <v>799134</v>
      </c>
      <c r="R401" s="14" t="s">
        <v>4175</v>
      </c>
      <c r="S401" s="168">
        <v>903</v>
      </c>
      <c r="T401" s="52" t="s">
        <v>3512</v>
      </c>
      <c r="U401" s="8" t="s">
        <v>3564</v>
      </c>
    </row>
    <row r="402" spans="1:21" ht="15" hidden="1" x14ac:dyDescent="0.2">
      <c r="A402" s="170" t="str">
        <f>CONCATENATE(SP_ENV_Lib[[#This Row],[Environmental Tract No.]],"_",SP_ENV_Lib[[#This Row],[ACQ Document Type]])</f>
        <v>203_CONTACT Negotiator Report</v>
      </c>
      <c r="B402" s="14" t="s">
        <v>3368</v>
      </c>
      <c r="C402" s="169" t="s">
        <v>32</v>
      </c>
      <c r="D402" s="12" t="s">
        <v>3268</v>
      </c>
      <c r="E402" s="166" t="s">
        <v>865</v>
      </c>
      <c r="F402" s="8" t="s">
        <v>1068</v>
      </c>
      <c r="G402" s="8" t="s">
        <v>1067</v>
      </c>
      <c r="H402" s="52" t="s">
        <v>592</v>
      </c>
      <c r="I402" s="57">
        <v>43840</v>
      </c>
      <c r="J402" s="57"/>
      <c r="K402" s="167"/>
      <c r="L402" s="8"/>
      <c r="M402" s="8" t="s">
        <v>4205</v>
      </c>
      <c r="N402" s="26">
        <v>43917.632256944446</v>
      </c>
      <c r="O402" s="8" t="s">
        <v>4205</v>
      </c>
      <c r="P402" s="26">
        <v>43917.629548611112</v>
      </c>
      <c r="Q402" s="65">
        <v>29803</v>
      </c>
      <c r="R402" s="14" t="s">
        <v>4559</v>
      </c>
      <c r="S402" s="168">
        <v>1325</v>
      </c>
      <c r="T402" s="52" t="s">
        <v>3512</v>
      </c>
      <c r="U402" s="8" t="s">
        <v>3564</v>
      </c>
    </row>
    <row r="403" spans="1:21" ht="15" hidden="1" x14ac:dyDescent="0.2">
      <c r="A403" s="170" t="str">
        <f>CONCATENATE(SP_ENV_Lib[[#This Row],[Environmental Tract No.]],"_",SP_ENV_Lib[[#This Row],[ACQ Document Type]])</f>
        <v>203_ENVIRONMENTAL Right-of-Entry Package</v>
      </c>
      <c r="B403" s="14" t="s">
        <v>3862</v>
      </c>
      <c r="C403" s="169" t="s">
        <v>32</v>
      </c>
      <c r="D403" s="12" t="s">
        <v>3268</v>
      </c>
      <c r="E403" s="166" t="s">
        <v>2682</v>
      </c>
      <c r="F403" s="8" t="s">
        <v>2687</v>
      </c>
      <c r="G403" s="8" t="s">
        <v>2686</v>
      </c>
      <c r="H403" s="52" t="s">
        <v>592</v>
      </c>
      <c r="I403" s="57">
        <v>43850</v>
      </c>
      <c r="J403" s="57">
        <v>43853</v>
      </c>
      <c r="K403" s="167"/>
      <c r="L403" s="8"/>
      <c r="M403" s="8" t="s">
        <v>4206</v>
      </c>
      <c r="N403" s="26">
        <v>43874.517442129632</v>
      </c>
      <c r="O403" s="8" t="s">
        <v>4206</v>
      </c>
      <c r="P403" s="26">
        <v>43873.675300925926</v>
      </c>
      <c r="Q403" s="65">
        <v>891398</v>
      </c>
      <c r="R403" s="14" t="s">
        <v>4176</v>
      </c>
      <c r="S403" s="168">
        <v>1083</v>
      </c>
      <c r="T403" s="52" t="s">
        <v>3512</v>
      </c>
      <c r="U403" s="8" t="s">
        <v>3564</v>
      </c>
    </row>
    <row r="404" spans="1:21" ht="15" x14ac:dyDescent="0.2">
      <c r="A404" s="170" t="str">
        <f>CONCATENATE(SP_ENV_Lib[[#This Row],[Environmental Tract No.]],"_",SP_ENV_Lib[[#This Row],[ACQ Document Type]])</f>
        <v>203_TITLE Tax Card</v>
      </c>
      <c r="B404" s="14" t="s">
        <v>3428</v>
      </c>
      <c r="C404" s="169" t="s">
        <v>32</v>
      </c>
      <c r="D404" s="12" t="s">
        <v>3268</v>
      </c>
      <c r="E404" s="166" t="s">
        <v>861</v>
      </c>
      <c r="F404" s="8" t="s">
        <v>1150</v>
      </c>
      <c r="G404" s="8" t="s">
        <v>1149</v>
      </c>
      <c r="H404" s="52" t="s">
        <v>592</v>
      </c>
      <c r="I404" s="57"/>
      <c r="J404" s="57"/>
      <c r="K404" s="167"/>
      <c r="L404" s="8"/>
      <c r="M404" s="8" t="s">
        <v>4206</v>
      </c>
      <c r="N404" s="26">
        <v>43872.425185185188</v>
      </c>
      <c r="O404" s="8" t="s">
        <v>4206</v>
      </c>
      <c r="P404" s="26">
        <v>43871.580659722225</v>
      </c>
      <c r="Q404" s="65">
        <v>779618</v>
      </c>
      <c r="R404" s="14" t="s">
        <v>4177</v>
      </c>
      <c r="S404" s="168">
        <v>904</v>
      </c>
      <c r="T404" s="52" t="s">
        <v>3512</v>
      </c>
      <c r="U404" s="8" t="s">
        <v>3564</v>
      </c>
    </row>
    <row r="405" spans="1:21" ht="15" hidden="1" x14ac:dyDescent="0.2">
      <c r="A405" s="170" t="str">
        <f>CONCATENATE(SP_ENV_Lib[[#This Row],[Environmental Tract No.]],"_",SP_ENV_Lib[[#This Row],[ACQ Document Type]])</f>
        <v>214_CONTACT Negotiator Report</v>
      </c>
      <c r="B405" s="14" t="s">
        <v>3381</v>
      </c>
      <c r="C405" s="169" t="s">
        <v>41</v>
      </c>
      <c r="D405" s="12" t="s">
        <v>3278</v>
      </c>
      <c r="E405" s="166" t="s">
        <v>865</v>
      </c>
      <c r="F405" s="8" t="s">
        <v>1068</v>
      </c>
      <c r="G405" s="8" t="s">
        <v>1067</v>
      </c>
      <c r="H405" s="52" t="s">
        <v>592</v>
      </c>
      <c r="I405" s="57">
        <v>43896</v>
      </c>
      <c r="J405" s="57"/>
      <c r="K405" s="167"/>
      <c r="L405" s="8"/>
      <c r="M405" s="8" t="s">
        <v>1744</v>
      </c>
      <c r="N405" s="26">
        <v>43966.750810185185</v>
      </c>
      <c r="O405" s="8" t="s">
        <v>3574</v>
      </c>
      <c r="P405" s="26">
        <v>43896.332141203704</v>
      </c>
      <c r="Q405" s="65">
        <v>53907</v>
      </c>
      <c r="R405" s="14" t="s">
        <v>4436</v>
      </c>
      <c r="S405" s="168">
        <v>1255</v>
      </c>
      <c r="T405" s="52" t="s">
        <v>3512</v>
      </c>
      <c r="U405" s="8" t="s">
        <v>3564</v>
      </c>
    </row>
    <row r="406" spans="1:21" ht="15" hidden="1" x14ac:dyDescent="0.2">
      <c r="A406" s="170" t="str">
        <f>CONCATENATE(SP_ENV_Lib[[#This Row],[Environmental Tract No.]],"_",SP_ENV_Lib[[#This Row],[ACQ Document Type]])</f>
        <v>214_ENVIRONMENTAL Right-of-Entry Package</v>
      </c>
      <c r="B406" s="14" t="s">
        <v>3865</v>
      </c>
      <c r="C406" s="169" t="s">
        <v>41</v>
      </c>
      <c r="D406" s="12" t="s">
        <v>3278</v>
      </c>
      <c r="E406" s="166" t="s">
        <v>2682</v>
      </c>
      <c r="F406" s="8" t="s">
        <v>2687</v>
      </c>
      <c r="G406" s="8" t="s">
        <v>2686</v>
      </c>
      <c r="H406" s="52" t="s">
        <v>592</v>
      </c>
      <c r="I406" s="57">
        <v>43850</v>
      </c>
      <c r="J406" s="57">
        <v>43860</v>
      </c>
      <c r="K406" s="167"/>
      <c r="L406" s="8"/>
      <c r="M406" s="8" t="s">
        <v>4206</v>
      </c>
      <c r="N406" s="26">
        <v>43874.516701388886</v>
      </c>
      <c r="O406" s="8" t="s">
        <v>4206</v>
      </c>
      <c r="P406" s="26">
        <v>43873.675439814811</v>
      </c>
      <c r="Q406" s="65">
        <v>874031</v>
      </c>
      <c r="R406" s="14" t="s">
        <v>4178</v>
      </c>
      <c r="S406" s="168">
        <v>1088</v>
      </c>
      <c r="T406" s="52" t="s">
        <v>3512</v>
      </c>
      <c r="U406" s="8" t="s">
        <v>3564</v>
      </c>
    </row>
    <row r="407" spans="1:21" ht="15" x14ac:dyDescent="0.2">
      <c r="A407" s="170" t="str">
        <f>CONCATENATE(SP_ENV_Lib[[#This Row],[Environmental Tract No.]],"_",SP_ENV_Lib[[#This Row],[ACQ Document Type]])</f>
        <v>214_TITLE Tax Card</v>
      </c>
      <c r="B407" s="14" t="s">
        <v>3442</v>
      </c>
      <c r="C407" s="169" t="s">
        <v>41</v>
      </c>
      <c r="D407" s="12" t="s">
        <v>3278</v>
      </c>
      <c r="E407" s="166" t="s">
        <v>861</v>
      </c>
      <c r="F407" s="8" t="s">
        <v>1150</v>
      </c>
      <c r="G407" s="8" t="s">
        <v>1149</v>
      </c>
      <c r="H407" s="52" t="s">
        <v>592</v>
      </c>
      <c r="I407" s="57"/>
      <c r="J407" s="57"/>
      <c r="K407" s="167"/>
      <c r="L407" s="8"/>
      <c r="M407" s="8" t="s">
        <v>4206</v>
      </c>
      <c r="N407" s="26">
        <v>43872.424178240741</v>
      </c>
      <c r="O407" s="8" t="s">
        <v>4206</v>
      </c>
      <c r="P407" s="26">
        <v>43871.580752314818</v>
      </c>
      <c r="Q407" s="65">
        <v>760243</v>
      </c>
      <c r="R407" s="14" t="s">
        <v>4179</v>
      </c>
      <c r="S407" s="168">
        <v>912</v>
      </c>
      <c r="T407" s="52" t="s">
        <v>3512</v>
      </c>
      <c r="U407" s="8" t="s">
        <v>3564</v>
      </c>
    </row>
    <row r="408" spans="1:21" ht="15" hidden="1" x14ac:dyDescent="0.2">
      <c r="A408" s="170" t="str">
        <f>CONCATENATE(SP_ENV_Lib[[#This Row],[Environmental Tract No.]],"_",SP_ENV_Lib[[#This Row],[ACQ Document Type]])</f>
        <v>219_CONTACT Negotiator Report</v>
      </c>
      <c r="B408" s="14" t="s">
        <v>3389</v>
      </c>
      <c r="C408" s="169" t="s">
        <v>141</v>
      </c>
      <c r="D408" s="12" t="s">
        <v>3282</v>
      </c>
      <c r="E408" s="166" t="s">
        <v>865</v>
      </c>
      <c r="F408" s="8" t="s">
        <v>1068</v>
      </c>
      <c r="G408" s="8" t="s">
        <v>1067</v>
      </c>
      <c r="H408" s="52" t="s">
        <v>592</v>
      </c>
      <c r="I408" s="57">
        <v>43896</v>
      </c>
      <c r="J408" s="57"/>
      <c r="K408" s="167"/>
      <c r="L408" s="8"/>
      <c r="M408" s="8" t="s">
        <v>1744</v>
      </c>
      <c r="N408" s="26">
        <v>43920.606157407405</v>
      </c>
      <c r="O408" s="8" t="s">
        <v>3574</v>
      </c>
      <c r="P408" s="26">
        <v>43896.414803240739</v>
      </c>
      <c r="Q408" s="65">
        <v>486551</v>
      </c>
      <c r="R408" s="14" t="s">
        <v>4437</v>
      </c>
      <c r="S408" s="168">
        <v>1257</v>
      </c>
      <c r="T408" s="52" t="s">
        <v>3512</v>
      </c>
      <c r="U408" s="8" t="s">
        <v>3564</v>
      </c>
    </row>
    <row r="409" spans="1:21" ht="15" hidden="1" x14ac:dyDescent="0.2">
      <c r="A409" s="170" t="str">
        <f>CONCATENATE(SP_ENV_Lib[[#This Row],[Environmental Tract No.]],"_",SP_ENV_Lib[[#This Row],[ACQ Document Type]])</f>
        <v>219_ENVIRONMENTAL Right-of-Entry Package</v>
      </c>
      <c r="B409" s="14" t="s">
        <v>3866</v>
      </c>
      <c r="C409" s="169" t="s">
        <v>141</v>
      </c>
      <c r="D409" s="12" t="s">
        <v>3282</v>
      </c>
      <c r="E409" s="166" t="s">
        <v>2682</v>
      </c>
      <c r="F409" s="8" t="s">
        <v>2687</v>
      </c>
      <c r="G409" s="8" t="s">
        <v>2686</v>
      </c>
      <c r="H409" s="52" t="s">
        <v>592</v>
      </c>
      <c r="I409" s="57">
        <v>43850</v>
      </c>
      <c r="J409" s="57">
        <v>43854</v>
      </c>
      <c r="K409" s="167"/>
      <c r="L409" s="8"/>
      <c r="M409" s="8" t="s">
        <v>4206</v>
      </c>
      <c r="N409" s="26">
        <v>43874.516400462962</v>
      </c>
      <c r="O409" s="8" t="s">
        <v>4206</v>
      </c>
      <c r="P409" s="26">
        <v>43873.675509259258</v>
      </c>
      <c r="Q409" s="65">
        <v>942556</v>
      </c>
      <c r="R409" s="14" t="s">
        <v>4180</v>
      </c>
      <c r="S409" s="168">
        <v>1090</v>
      </c>
      <c r="T409" s="52" t="s">
        <v>3512</v>
      </c>
      <c r="U409" s="8" t="s">
        <v>3564</v>
      </c>
    </row>
    <row r="410" spans="1:21" ht="15" x14ac:dyDescent="0.2">
      <c r="A410" s="170" t="str">
        <f>CONCATENATE(SP_ENV_Lib[[#This Row],[Environmental Tract No.]],"_",SP_ENV_Lib[[#This Row],[ACQ Document Type]])</f>
        <v>219_TITLE Tax Card</v>
      </c>
      <c r="B410" s="14" t="s">
        <v>3867</v>
      </c>
      <c r="C410" s="169" t="s">
        <v>141</v>
      </c>
      <c r="D410" s="12" t="s">
        <v>3282</v>
      </c>
      <c r="E410" s="166" t="s">
        <v>861</v>
      </c>
      <c r="F410" s="8" t="s">
        <v>1150</v>
      </c>
      <c r="G410" s="8" t="s">
        <v>1149</v>
      </c>
      <c r="H410" s="52" t="s">
        <v>592</v>
      </c>
      <c r="I410" s="57"/>
      <c r="J410" s="57"/>
      <c r="K410" s="167"/>
      <c r="L410" s="8"/>
      <c r="M410" s="8" t="s">
        <v>4206</v>
      </c>
      <c r="N410" s="26">
        <v>43872.423819444448</v>
      </c>
      <c r="O410" s="8" t="s">
        <v>4206</v>
      </c>
      <c r="P410" s="26">
        <v>43871.580775462964</v>
      </c>
      <c r="Q410" s="65">
        <v>829961</v>
      </c>
      <c r="R410" s="14" t="s">
        <v>4181</v>
      </c>
      <c r="S410" s="168">
        <v>914</v>
      </c>
      <c r="T410" s="52" t="s">
        <v>3512</v>
      </c>
      <c r="U410" s="8" t="s">
        <v>3564</v>
      </c>
    </row>
    <row r="411" spans="1:21" ht="15" hidden="1" x14ac:dyDescent="0.2">
      <c r="A411" s="170" t="str">
        <f>CONCATENATE(SP_ENV_Lib[[#This Row],[Environmental Tract No.]],"_",SP_ENV_Lib[[#This Row],[ACQ Document Type]])</f>
        <v>220_</v>
      </c>
      <c r="B411" s="14" t="s">
        <v>3868</v>
      </c>
      <c r="C411" s="169" t="s">
        <v>147</v>
      </c>
      <c r="D411" s="12" t="s">
        <v>3285</v>
      </c>
      <c r="E411" s="166" t="s">
        <v>22</v>
      </c>
      <c r="F411" s="8" t="s">
        <v>22</v>
      </c>
      <c r="G411" s="8" t="s">
        <v>22</v>
      </c>
      <c r="H411" s="52" t="s">
        <v>592</v>
      </c>
      <c r="I411" s="57">
        <v>43850</v>
      </c>
      <c r="J411" s="57"/>
      <c r="K411" s="167"/>
      <c r="L411" s="8"/>
      <c r="M411" s="8" t="s">
        <v>4206</v>
      </c>
      <c r="N411" s="26">
        <v>43874.484826388885</v>
      </c>
      <c r="O411" s="8" t="s">
        <v>4206</v>
      </c>
      <c r="P411" s="26">
        <v>43873.675543981481</v>
      </c>
      <c r="Q411" s="65">
        <v>840799</v>
      </c>
      <c r="R411" s="14" t="s">
        <v>4182</v>
      </c>
      <c r="S411" s="168">
        <v>1091</v>
      </c>
      <c r="T411" s="52" t="s">
        <v>3512</v>
      </c>
      <c r="U411" s="8" t="s">
        <v>3564</v>
      </c>
    </row>
    <row r="412" spans="1:21" ht="15" hidden="1" x14ac:dyDescent="0.2">
      <c r="A412" s="170" t="str">
        <f>CONCATENATE(SP_ENV_Lib[[#This Row],[Environmental Tract No.]],"_",SP_ENV_Lib[[#This Row],[ACQ Document Type]])</f>
        <v>220_CONTACT Negotiator Report</v>
      </c>
      <c r="B412" s="14" t="s">
        <v>3390</v>
      </c>
      <c r="C412" s="169" t="s">
        <v>147</v>
      </c>
      <c r="D412" s="12" t="s">
        <v>3285</v>
      </c>
      <c r="E412" s="166" t="s">
        <v>865</v>
      </c>
      <c r="F412" s="8" t="s">
        <v>1068</v>
      </c>
      <c r="G412" s="8" t="s">
        <v>1067</v>
      </c>
      <c r="H412" s="52" t="s">
        <v>592</v>
      </c>
      <c r="I412" s="57">
        <v>43896</v>
      </c>
      <c r="J412" s="57"/>
      <c r="K412" s="167"/>
      <c r="L412" s="8"/>
      <c r="M412" s="8" t="s">
        <v>1744</v>
      </c>
      <c r="N412" s="26">
        <v>43916.857928240737</v>
      </c>
      <c r="O412" s="8" t="s">
        <v>3574</v>
      </c>
      <c r="P412" s="26">
        <v>43896.415520833332</v>
      </c>
      <c r="Q412" s="65">
        <v>710245</v>
      </c>
      <c r="R412" s="14" t="s">
        <v>4438</v>
      </c>
      <c r="S412" s="168">
        <v>1258</v>
      </c>
      <c r="T412" s="52" t="s">
        <v>3512</v>
      </c>
      <c r="U412" s="8" t="s">
        <v>3564</v>
      </c>
    </row>
    <row r="413" spans="1:21" ht="15" x14ac:dyDescent="0.2">
      <c r="A413" s="170" t="str">
        <f>CONCATENATE(SP_ENV_Lib[[#This Row],[Environmental Tract No.]],"_",SP_ENV_Lib[[#This Row],[ACQ Document Type]])</f>
        <v>220_TITLE Tax Card</v>
      </c>
      <c r="B413" s="14" t="s">
        <v>3869</v>
      </c>
      <c r="C413" s="169" t="s">
        <v>147</v>
      </c>
      <c r="D413" s="12" t="s">
        <v>3285</v>
      </c>
      <c r="E413" s="166" t="s">
        <v>861</v>
      </c>
      <c r="F413" s="8" t="s">
        <v>1150</v>
      </c>
      <c r="G413" s="8" t="s">
        <v>1149</v>
      </c>
      <c r="H413" s="52" t="s">
        <v>592</v>
      </c>
      <c r="I413" s="57"/>
      <c r="J413" s="57"/>
      <c r="K413" s="167"/>
      <c r="L413" s="8"/>
      <c r="M413" s="8" t="s">
        <v>4206</v>
      </c>
      <c r="N413" s="26">
        <v>43872.423703703702</v>
      </c>
      <c r="O413" s="8" t="s">
        <v>4206</v>
      </c>
      <c r="P413" s="26">
        <v>43871.580787037034</v>
      </c>
      <c r="Q413" s="65">
        <v>733932</v>
      </c>
      <c r="R413" s="14" t="s">
        <v>4183</v>
      </c>
      <c r="S413" s="168">
        <v>915</v>
      </c>
      <c r="T413" s="52" t="s">
        <v>3512</v>
      </c>
      <c r="U413" s="8" t="s">
        <v>3564</v>
      </c>
    </row>
    <row r="414" spans="1:21" ht="15" x14ac:dyDescent="0.2">
      <c r="A414" s="170" t="str">
        <f>CONCATENATE(SP_ENV_Lib[[#This Row],[Environmental Tract No.]],"_",SP_ENV_Lib[[#This Row],[ACQ Document Type]])</f>
        <v>225_CONTACT Negotiator Report</v>
      </c>
      <c r="B414" s="14" t="s">
        <v>3870</v>
      </c>
      <c r="C414" s="169" t="s">
        <v>3289</v>
      </c>
      <c r="D414" s="12" t="s">
        <v>3295</v>
      </c>
      <c r="E414" s="166" t="s">
        <v>865</v>
      </c>
      <c r="F414" s="8" t="s">
        <v>1068</v>
      </c>
      <c r="G414" s="8" t="s">
        <v>1067</v>
      </c>
      <c r="H414" s="52" t="s">
        <v>592</v>
      </c>
      <c r="I414" s="57"/>
      <c r="J414" s="57"/>
      <c r="K414" s="167"/>
      <c r="L414" s="8"/>
      <c r="M414" s="8" t="s">
        <v>23</v>
      </c>
      <c r="N414" s="26">
        <v>43879.735601851855</v>
      </c>
      <c r="O414" s="8" t="s">
        <v>1743</v>
      </c>
      <c r="P414" s="26">
        <v>43879.613692129627</v>
      </c>
      <c r="Q414" s="65">
        <v>57437</v>
      </c>
      <c r="R414" s="14" t="s">
        <v>4184</v>
      </c>
      <c r="S414" s="168">
        <v>1163</v>
      </c>
      <c r="T414" s="52" t="s">
        <v>3512</v>
      </c>
      <c r="U414" s="8" t="s">
        <v>3564</v>
      </c>
    </row>
    <row r="415" spans="1:21" ht="15" hidden="1" x14ac:dyDescent="0.2">
      <c r="A415" s="170" t="str">
        <f>CONCATENATE(SP_ENV_Lib[[#This Row],[Environmental Tract No.]],"_",SP_ENV_Lib[[#This Row],[ACQ Document Type]])</f>
        <v>225_ENVIRONMENTAL Right-of-Entry Executed</v>
      </c>
      <c r="B415" s="14" t="s">
        <v>4262</v>
      </c>
      <c r="C415" s="169" t="s">
        <v>3289</v>
      </c>
      <c r="D415" s="12" t="s">
        <v>3290</v>
      </c>
      <c r="E415" s="166" t="s">
        <v>2682</v>
      </c>
      <c r="F415" s="8" t="s">
        <v>2683</v>
      </c>
      <c r="G415" s="8" t="s">
        <v>2681</v>
      </c>
      <c r="H415" s="52" t="s">
        <v>592</v>
      </c>
      <c r="I415" s="57">
        <v>43866</v>
      </c>
      <c r="J415" s="57"/>
      <c r="K415" s="167"/>
      <c r="L415" s="8"/>
      <c r="M415" s="8" t="s">
        <v>4205</v>
      </c>
      <c r="N415" s="26">
        <v>43892.876238425924</v>
      </c>
      <c r="O415" s="8" t="s">
        <v>4205</v>
      </c>
      <c r="P415" s="26">
        <v>43892.875509259262</v>
      </c>
      <c r="Q415" s="65">
        <v>1675542</v>
      </c>
      <c r="R415" s="14" t="s">
        <v>4321</v>
      </c>
      <c r="S415" s="168">
        <v>1236</v>
      </c>
      <c r="T415" s="52" t="s">
        <v>3512</v>
      </c>
      <c r="U415" s="8" t="s">
        <v>3564</v>
      </c>
    </row>
    <row r="416" spans="1:21" ht="15" hidden="1" x14ac:dyDescent="0.2">
      <c r="A416" s="170" t="str">
        <f>CONCATENATE(SP_ENV_Lib[[#This Row],[Environmental Tract No.]],"_",SP_ENV_Lib[[#This Row],[ACQ Document Type]])</f>
        <v>225_ENVIRONMENTAL Right-of-Entry Package</v>
      </c>
      <c r="B416" s="14" t="s">
        <v>3871</v>
      </c>
      <c r="C416" s="169" t="s">
        <v>3289</v>
      </c>
      <c r="D416" s="12" t="s">
        <v>3290</v>
      </c>
      <c r="E416" s="166" t="s">
        <v>2682</v>
      </c>
      <c r="F416" s="8" t="s">
        <v>2687</v>
      </c>
      <c r="G416" s="8" t="s">
        <v>2686</v>
      </c>
      <c r="H416" s="52" t="s">
        <v>592</v>
      </c>
      <c r="I416" s="57">
        <v>43850</v>
      </c>
      <c r="J416" s="57">
        <v>43861</v>
      </c>
      <c r="K416" s="167"/>
      <c r="L416" s="8"/>
      <c r="M416" s="8" t="s">
        <v>4206</v>
      </c>
      <c r="N416" s="26">
        <v>43874.516250000001</v>
      </c>
      <c r="O416" s="8" t="s">
        <v>4206</v>
      </c>
      <c r="P416" s="26">
        <v>43873.675578703704</v>
      </c>
      <c r="Q416" s="65">
        <v>837511</v>
      </c>
      <c r="R416" s="14" t="s">
        <v>4185</v>
      </c>
      <c r="S416" s="168">
        <v>1092</v>
      </c>
      <c r="T416" s="52" t="s">
        <v>3512</v>
      </c>
      <c r="U416" s="8" t="s">
        <v>3564</v>
      </c>
    </row>
    <row r="417" spans="1:21" ht="15" x14ac:dyDescent="0.2">
      <c r="A417" s="170" t="str">
        <f>CONCATENATE(SP_ENV_Lib[[#This Row],[Environmental Tract No.]],"_",SP_ENV_Lib[[#This Row],[ACQ Document Type]])</f>
        <v>225_TITLE Tax Card</v>
      </c>
      <c r="B417" s="14" t="s">
        <v>3872</v>
      </c>
      <c r="C417" s="169" t="s">
        <v>3289</v>
      </c>
      <c r="D417" s="12" t="s">
        <v>3290</v>
      </c>
      <c r="E417" s="166" t="s">
        <v>861</v>
      </c>
      <c r="F417" s="8" t="s">
        <v>1150</v>
      </c>
      <c r="G417" s="8" t="s">
        <v>1149</v>
      </c>
      <c r="H417" s="52" t="s">
        <v>592</v>
      </c>
      <c r="I417" s="57"/>
      <c r="J417" s="57"/>
      <c r="K417" s="167"/>
      <c r="L417" s="8"/>
      <c r="M417" s="8" t="s">
        <v>4206</v>
      </c>
      <c r="N417" s="26">
        <v>43872.423472222225</v>
      </c>
      <c r="O417" s="8" t="s">
        <v>4206</v>
      </c>
      <c r="P417" s="26">
        <v>43871.580810185187</v>
      </c>
      <c r="Q417" s="65">
        <v>728797</v>
      </c>
      <c r="R417" s="14" t="s">
        <v>4186</v>
      </c>
      <c r="S417" s="168">
        <v>917</v>
      </c>
      <c r="T417" s="52" t="s">
        <v>3512</v>
      </c>
      <c r="U417" s="8" t="s">
        <v>3564</v>
      </c>
    </row>
    <row r="418" spans="1:21" ht="15" x14ac:dyDescent="0.2">
      <c r="A418" s="170" t="str">
        <f>CONCATENATE(SP_ENV_Lib[[#This Row],[Environmental Tract No.]],"_",SP_ENV_Lib[[#This Row],[ACQ Document Type]])</f>
        <v>226_CONTACT Negotiator Report</v>
      </c>
      <c r="B418" s="14" t="s">
        <v>3873</v>
      </c>
      <c r="C418" s="169" t="s">
        <v>3294</v>
      </c>
      <c r="D418" s="12" t="s">
        <v>3290</v>
      </c>
      <c r="E418" s="166" t="s">
        <v>865</v>
      </c>
      <c r="F418" s="8" t="s">
        <v>1068</v>
      </c>
      <c r="G418" s="8" t="s">
        <v>1067</v>
      </c>
      <c r="H418" s="52" t="s">
        <v>592</v>
      </c>
      <c r="I418" s="57"/>
      <c r="J418" s="57"/>
      <c r="K418" s="167"/>
      <c r="L418" s="8"/>
      <c r="M418" s="8" t="s">
        <v>23</v>
      </c>
      <c r="N418" s="26">
        <v>43879.735601851855</v>
      </c>
      <c r="O418" s="8" t="s">
        <v>1743</v>
      </c>
      <c r="P418" s="26">
        <v>43879.614340277774</v>
      </c>
      <c r="Q418" s="65">
        <v>60928</v>
      </c>
      <c r="R418" s="14" t="s">
        <v>4187</v>
      </c>
      <c r="S418" s="168">
        <v>1164</v>
      </c>
      <c r="T418" s="52" t="s">
        <v>3512</v>
      </c>
      <c r="U418" s="8" t="s">
        <v>3564</v>
      </c>
    </row>
    <row r="419" spans="1:21" ht="15" hidden="1" x14ac:dyDescent="0.2">
      <c r="A419" s="170" t="str">
        <f>CONCATENATE(SP_ENV_Lib[[#This Row],[Environmental Tract No.]],"_",SP_ENV_Lib[[#This Row],[ACQ Document Type]])</f>
        <v>226_ENVIRONMENTAL Right-of-Entry Executed</v>
      </c>
      <c r="B419" s="14" t="s">
        <v>4263</v>
      </c>
      <c r="C419" s="169" t="s">
        <v>3294</v>
      </c>
      <c r="D419" s="12" t="s">
        <v>3295</v>
      </c>
      <c r="E419" s="166" t="s">
        <v>2682</v>
      </c>
      <c r="F419" s="8" t="s">
        <v>2683</v>
      </c>
      <c r="G419" s="8" t="s">
        <v>2681</v>
      </c>
      <c r="H419" s="52" t="s">
        <v>592</v>
      </c>
      <c r="I419" s="57">
        <v>43871</v>
      </c>
      <c r="J419" s="57"/>
      <c r="K419" s="167"/>
      <c r="L419" s="8"/>
      <c r="M419" s="8" t="s">
        <v>4205</v>
      </c>
      <c r="N419" s="26">
        <v>43892.877245370371</v>
      </c>
      <c r="O419" s="8" t="s">
        <v>4205</v>
      </c>
      <c r="P419" s="26">
        <v>43892.876805555556</v>
      </c>
      <c r="Q419" s="65">
        <v>1665725</v>
      </c>
      <c r="R419" s="14" t="s">
        <v>4322</v>
      </c>
      <c r="S419" s="168">
        <v>1237</v>
      </c>
      <c r="T419" s="52" t="s">
        <v>3512</v>
      </c>
      <c r="U419" s="8" t="s">
        <v>3564</v>
      </c>
    </row>
    <row r="420" spans="1:21" ht="15" hidden="1" x14ac:dyDescent="0.2">
      <c r="A420" s="170" t="str">
        <f>CONCATENATE(SP_ENV_Lib[[#This Row],[Environmental Tract No.]],"_",SP_ENV_Lib[[#This Row],[ACQ Document Type]])</f>
        <v>226_ENVIRONMENTAL Right-of-Entry Package</v>
      </c>
      <c r="B420" s="14" t="s">
        <v>3874</v>
      </c>
      <c r="C420" s="169" t="s">
        <v>3294</v>
      </c>
      <c r="D420" s="12" t="s">
        <v>3295</v>
      </c>
      <c r="E420" s="166" t="s">
        <v>2682</v>
      </c>
      <c r="F420" s="8" t="s">
        <v>2687</v>
      </c>
      <c r="G420" s="8" t="s">
        <v>2686</v>
      </c>
      <c r="H420" s="52" t="s">
        <v>592</v>
      </c>
      <c r="I420" s="57">
        <v>43850</v>
      </c>
      <c r="J420" s="57">
        <v>43861</v>
      </c>
      <c r="K420" s="167"/>
      <c r="L420" s="8"/>
      <c r="M420" s="8" t="s">
        <v>4206</v>
      </c>
      <c r="N420" s="26">
        <v>43874.516111111108</v>
      </c>
      <c r="O420" s="8" t="s">
        <v>4206</v>
      </c>
      <c r="P420" s="26">
        <v>43873.67560185185</v>
      </c>
      <c r="Q420" s="65">
        <v>825490</v>
      </c>
      <c r="R420" s="14" t="s">
        <v>4188</v>
      </c>
      <c r="S420" s="168">
        <v>1093</v>
      </c>
      <c r="T420" s="52" t="s">
        <v>3512</v>
      </c>
      <c r="U420" s="8" t="s">
        <v>3564</v>
      </c>
    </row>
    <row r="421" spans="1:21" ht="15" x14ac:dyDescent="0.2">
      <c r="A421" s="170" t="str">
        <f>CONCATENATE(SP_ENV_Lib[[#This Row],[Environmental Tract No.]],"_",SP_ENV_Lib[[#This Row],[ACQ Document Type]])</f>
        <v>226_TITLE Tax Card</v>
      </c>
      <c r="B421" s="14" t="s">
        <v>3875</v>
      </c>
      <c r="C421" s="169" t="s">
        <v>3294</v>
      </c>
      <c r="D421" s="12" t="s">
        <v>3295</v>
      </c>
      <c r="E421" s="166" t="s">
        <v>861</v>
      </c>
      <c r="F421" s="8" t="s">
        <v>1150</v>
      </c>
      <c r="G421" s="8" t="s">
        <v>1149</v>
      </c>
      <c r="H421" s="52" t="s">
        <v>592</v>
      </c>
      <c r="I421" s="57"/>
      <c r="J421" s="57"/>
      <c r="K421" s="167"/>
      <c r="L421" s="8"/>
      <c r="M421" s="8" t="s">
        <v>4206</v>
      </c>
      <c r="N421" s="26">
        <v>43872.423344907409</v>
      </c>
      <c r="O421" s="8" t="s">
        <v>4206</v>
      </c>
      <c r="P421" s="26">
        <v>43871.580821759257</v>
      </c>
      <c r="Q421" s="65">
        <v>714661</v>
      </c>
      <c r="R421" s="14" t="s">
        <v>4189</v>
      </c>
      <c r="S421" s="168">
        <v>918</v>
      </c>
      <c r="T421" s="52" t="s">
        <v>3512</v>
      </c>
      <c r="U421" s="8" t="s">
        <v>3564</v>
      </c>
    </row>
    <row r="422" spans="1:21" ht="15" x14ac:dyDescent="0.2">
      <c r="A422" s="170" t="str">
        <f>CONCATENATE(SP_ENV_Lib[[#This Row],[Environmental Tract No.]],"_",SP_ENV_Lib[[#This Row],[ACQ Document Type]])</f>
        <v>229_TITLE Tax Card</v>
      </c>
      <c r="B422" s="14" t="s">
        <v>3876</v>
      </c>
      <c r="C422" s="169" t="s">
        <v>3305</v>
      </c>
      <c r="D422" s="12" t="s">
        <v>3306</v>
      </c>
      <c r="E422" s="166" t="s">
        <v>861</v>
      </c>
      <c r="F422" s="8" t="s">
        <v>1150</v>
      </c>
      <c r="G422" s="8" t="s">
        <v>1149</v>
      </c>
      <c r="H422" s="52" t="s">
        <v>592</v>
      </c>
      <c r="I422" s="57"/>
      <c r="J422" s="57"/>
      <c r="K422" s="167"/>
      <c r="L422" s="8"/>
      <c r="M422" s="8" t="s">
        <v>4206</v>
      </c>
      <c r="N422" s="26">
        <v>43872.422812500001</v>
      </c>
      <c r="O422" s="8" t="s">
        <v>4206</v>
      </c>
      <c r="P422" s="26">
        <v>43871.58085648148</v>
      </c>
      <c r="Q422" s="65">
        <v>756375</v>
      </c>
      <c r="R422" s="14" t="s">
        <v>4190</v>
      </c>
      <c r="S422" s="168">
        <v>921</v>
      </c>
      <c r="T422" s="52" t="s">
        <v>3512</v>
      </c>
      <c r="U422" s="8" t="s">
        <v>3564</v>
      </c>
    </row>
    <row r="423" spans="1:21" ht="15" hidden="1" x14ac:dyDescent="0.2">
      <c r="A423" s="170" t="str">
        <f>CONCATENATE(SP_ENV_Lib[[#This Row],[Environmental Tract No.]],"_",SP_ENV_Lib[[#This Row],[ACQ Document Type]])</f>
        <v>230_ENVIRONMENTAL Right-of-Entry Executed</v>
      </c>
      <c r="B423" s="14" t="s">
        <v>4392</v>
      </c>
      <c r="C423" s="169" t="s">
        <v>3310</v>
      </c>
      <c r="D423" s="12" t="s">
        <v>3311</v>
      </c>
      <c r="E423" s="166" t="s">
        <v>2682</v>
      </c>
      <c r="F423" s="8" t="s">
        <v>2683</v>
      </c>
      <c r="G423" s="8" t="s">
        <v>2681</v>
      </c>
      <c r="H423" s="52" t="s">
        <v>592</v>
      </c>
      <c r="I423" s="57">
        <v>43895</v>
      </c>
      <c r="J423" s="57"/>
      <c r="K423" s="167"/>
      <c r="L423" s="8"/>
      <c r="M423" s="8" t="s">
        <v>4205</v>
      </c>
      <c r="N423" s="26">
        <v>43903.876134259262</v>
      </c>
      <c r="O423" s="8" t="s">
        <v>4205</v>
      </c>
      <c r="P423" s="26">
        <v>43903.874456018515</v>
      </c>
      <c r="Q423" s="65">
        <v>1819680</v>
      </c>
      <c r="R423" s="14" t="s">
        <v>4439</v>
      </c>
      <c r="S423" s="168">
        <v>1314</v>
      </c>
      <c r="T423" s="52" t="s">
        <v>3512</v>
      </c>
      <c r="U423" s="8" t="s">
        <v>3564</v>
      </c>
    </row>
    <row r="424" spans="1:21" ht="15" hidden="1" x14ac:dyDescent="0.2">
      <c r="A424" s="170" t="str">
        <f>CONCATENATE(SP_ENV_Lib[[#This Row],[Environmental Tract No.]],"_",SP_ENV_Lib[[#This Row],[ACQ Document Type]])</f>
        <v>230_ENVIRONMENTAL Right-of-Entry Package</v>
      </c>
      <c r="B424" s="14" t="s">
        <v>3877</v>
      </c>
      <c r="C424" s="169" t="s">
        <v>3310</v>
      </c>
      <c r="D424" s="12" t="s">
        <v>3311</v>
      </c>
      <c r="E424" s="166" t="s">
        <v>2682</v>
      </c>
      <c r="F424" s="8" t="s">
        <v>2687</v>
      </c>
      <c r="G424" s="8" t="s">
        <v>2686</v>
      </c>
      <c r="H424" s="52" t="s">
        <v>592</v>
      </c>
      <c r="I424" s="57">
        <v>43850</v>
      </c>
      <c r="J424" s="57">
        <v>43858</v>
      </c>
      <c r="K424" s="167"/>
      <c r="L424" s="8"/>
      <c r="M424" s="8" t="s">
        <v>4206</v>
      </c>
      <c r="N424" s="26">
        <v>43874.515543981484</v>
      </c>
      <c r="O424" s="8" t="s">
        <v>4206</v>
      </c>
      <c r="P424" s="26">
        <v>43873.675682870373</v>
      </c>
      <c r="Q424" s="65">
        <v>992796</v>
      </c>
      <c r="R424" s="14" t="s">
        <v>4191</v>
      </c>
      <c r="S424" s="168">
        <v>1096</v>
      </c>
      <c r="T424" s="52" t="s">
        <v>3512</v>
      </c>
      <c r="U424" s="8" t="s">
        <v>3564</v>
      </c>
    </row>
    <row r="425" spans="1:21" ht="15" x14ac:dyDescent="0.2">
      <c r="A425" s="170" t="str">
        <f>CONCATENATE(SP_ENV_Lib[[#This Row],[Environmental Tract No.]],"_",SP_ENV_Lib[[#This Row],[ACQ Document Type]])</f>
        <v>230_TITLE Tax Card</v>
      </c>
      <c r="B425" s="14" t="s">
        <v>3878</v>
      </c>
      <c r="C425" s="169" t="s">
        <v>3310</v>
      </c>
      <c r="D425" s="12" t="s">
        <v>3311</v>
      </c>
      <c r="E425" s="166" t="s">
        <v>861</v>
      </c>
      <c r="F425" s="8" t="s">
        <v>1150</v>
      </c>
      <c r="G425" s="8" t="s">
        <v>1149</v>
      </c>
      <c r="H425" s="52" t="s">
        <v>592</v>
      </c>
      <c r="I425" s="57"/>
      <c r="J425" s="57"/>
      <c r="K425" s="167"/>
      <c r="L425" s="8"/>
      <c r="M425" s="8" t="s">
        <v>4206</v>
      </c>
      <c r="N425" s="26">
        <v>43872.422939814816</v>
      </c>
      <c r="O425" s="8" t="s">
        <v>4206</v>
      </c>
      <c r="P425" s="26">
        <v>43871.580416666664</v>
      </c>
      <c r="Q425" s="65">
        <v>881071</v>
      </c>
      <c r="R425" s="14" t="s">
        <v>4192</v>
      </c>
      <c r="S425" s="168">
        <v>884</v>
      </c>
      <c r="T425" s="52" t="s">
        <v>3512</v>
      </c>
      <c r="U425" s="8" t="s">
        <v>3564</v>
      </c>
    </row>
    <row r="426" spans="1:21" ht="15" x14ac:dyDescent="0.2">
      <c r="A426" s="170" t="str">
        <f>CONCATENATE(SP_ENV_Lib[[#This Row],[Environmental Tract No.]],"_",SP_ENV_Lib[[#This Row],[ACQ Document Type]])</f>
        <v>231_CONTACT Negotiator Report</v>
      </c>
      <c r="B426" s="14" t="s">
        <v>4946</v>
      </c>
      <c r="C426" s="169" t="s">
        <v>3315</v>
      </c>
      <c r="D426" s="12" t="s">
        <v>3200</v>
      </c>
      <c r="E426" s="166" t="s">
        <v>865</v>
      </c>
      <c r="F426" s="8" t="s">
        <v>1068</v>
      </c>
      <c r="G426" s="8" t="s">
        <v>1067</v>
      </c>
      <c r="H426" s="52" t="s">
        <v>592</v>
      </c>
      <c r="I426" s="57"/>
      <c r="J426" s="57"/>
      <c r="K426" s="167"/>
      <c r="L426" s="8"/>
      <c r="M426" s="8" t="s">
        <v>1744</v>
      </c>
      <c r="N426" s="26">
        <v>43977.945625</v>
      </c>
      <c r="O426" s="8" t="s">
        <v>1744</v>
      </c>
      <c r="P426" s="26">
        <v>43958.79792824074</v>
      </c>
      <c r="Q426" s="65">
        <v>86917</v>
      </c>
      <c r="R426" s="14" t="s">
        <v>5050</v>
      </c>
      <c r="S426" s="168">
        <v>1353</v>
      </c>
      <c r="T426" s="52" t="s">
        <v>3512</v>
      </c>
      <c r="U426" s="8" t="s">
        <v>3564</v>
      </c>
    </row>
    <row r="427" spans="1:21" ht="15" hidden="1" x14ac:dyDescent="0.2">
      <c r="A427" s="170" t="str">
        <f>CONCATENATE(SP_ENV_Lib[[#This Row],[Environmental Tract No.]],"_",SP_ENV_Lib[[#This Row],[ACQ Document Type]])</f>
        <v>231_ENVIRONMENTAL Right-of-Entry Package</v>
      </c>
      <c r="B427" s="14" t="s">
        <v>3879</v>
      </c>
      <c r="C427" s="169" t="s">
        <v>3315</v>
      </c>
      <c r="D427" s="12" t="s">
        <v>3316</v>
      </c>
      <c r="E427" s="166" t="s">
        <v>2682</v>
      </c>
      <c r="F427" s="8" t="s">
        <v>2687</v>
      </c>
      <c r="G427" s="8" t="s">
        <v>2686</v>
      </c>
      <c r="H427" s="52" t="s">
        <v>592</v>
      </c>
      <c r="I427" s="57">
        <v>43850</v>
      </c>
      <c r="J427" s="57">
        <v>43853</v>
      </c>
      <c r="K427" s="167"/>
      <c r="L427" s="8"/>
      <c r="M427" s="8" t="s">
        <v>4206</v>
      </c>
      <c r="N427" s="26">
        <v>43874.515381944446</v>
      </c>
      <c r="O427" s="8" t="s">
        <v>4206</v>
      </c>
      <c r="P427" s="26">
        <v>43873.675717592596</v>
      </c>
      <c r="Q427" s="65">
        <v>971471</v>
      </c>
      <c r="R427" s="14" t="s">
        <v>4193</v>
      </c>
      <c r="S427" s="168">
        <v>1097</v>
      </c>
      <c r="T427" s="52" t="s">
        <v>3512</v>
      </c>
      <c r="U427" s="8" t="s">
        <v>3564</v>
      </c>
    </row>
    <row r="428" spans="1:21" ht="15" x14ac:dyDescent="0.2">
      <c r="A428" s="170" t="str">
        <f>CONCATENATE(SP_ENV_Lib[[#This Row],[Environmental Tract No.]],"_",SP_ENV_Lib[[#This Row],[ACQ Document Type]])</f>
        <v>231_TITLE Tax Card</v>
      </c>
      <c r="B428" s="14" t="s">
        <v>3880</v>
      </c>
      <c r="C428" s="169" t="s">
        <v>3315</v>
      </c>
      <c r="D428" s="12" t="s">
        <v>3316</v>
      </c>
      <c r="E428" s="166" t="s">
        <v>861</v>
      </c>
      <c r="F428" s="8" t="s">
        <v>1150</v>
      </c>
      <c r="G428" s="8" t="s">
        <v>1149</v>
      </c>
      <c r="H428" s="52" t="s">
        <v>592</v>
      </c>
      <c r="I428" s="57"/>
      <c r="J428" s="57"/>
      <c r="K428" s="167"/>
      <c r="L428" s="8"/>
      <c r="M428" s="8" t="s">
        <v>4206</v>
      </c>
      <c r="N428" s="26">
        <v>43872.422708333332</v>
      </c>
      <c r="O428" s="8" t="s">
        <v>4206</v>
      </c>
      <c r="P428" s="26">
        <v>43871.580428240741</v>
      </c>
      <c r="Q428" s="65">
        <v>860513</v>
      </c>
      <c r="R428" s="14" t="s">
        <v>4194</v>
      </c>
      <c r="S428" s="168">
        <v>885</v>
      </c>
      <c r="T428" s="52" t="s">
        <v>3512</v>
      </c>
      <c r="U428" s="8" t="s">
        <v>3564</v>
      </c>
    </row>
    <row r="429" spans="1:21" ht="15" hidden="1" x14ac:dyDescent="0.2">
      <c r="A429" s="170" t="str">
        <f>CONCATENATE(SP_ENV_Lib[[#This Row],[Environmental Tract No.]],"_",SP_ENV_Lib[[#This Row],[ACQ Document Type]])</f>
        <v>232_ENVIRONMENTAL Right-of-Entry Executed</v>
      </c>
      <c r="B429" s="14" t="s">
        <v>4264</v>
      </c>
      <c r="C429" s="169" t="s">
        <v>3320</v>
      </c>
      <c r="D429" s="12" t="s">
        <v>3321</v>
      </c>
      <c r="E429" s="166" t="s">
        <v>2682</v>
      </c>
      <c r="F429" s="8" t="s">
        <v>2683</v>
      </c>
      <c r="G429" s="8" t="s">
        <v>2681</v>
      </c>
      <c r="H429" s="52" t="s">
        <v>592</v>
      </c>
      <c r="I429" s="57">
        <v>43864</v>
      </c>
      <c r="J429" s="57"/>
      <c r="K429" s="167"/>
      <c r="L429" s="8"/>
      <c r="M429" s="8" t="s">
        <v>4205</v>
      </c>
      <c r="N429" s="26">
        <v>43892.879652777781</v>
      </c>
      <c r="O429" s="8" t="s">
        <v>4205</v>
      </c>
      <c r="P429" s="26">
        <v>43892.879224537035</v>
      </c>
      <c r="Q429" s="65">
        <v>2021023</v>
      </c>
      <c r="R429" s="14" t="s">
        <v>4323</v>
      </c>
      <c r="S429" s="168">
        <v>1239</v>
      </c>
      <c r="T429" s="52" t="s">
        <v>3512</v>
      </c>
      <c r="U429" s="8" t="s">
        <v>3564</v>
      </c>
    </row>
    <row r="430" spans="1:21" ht="15" hidden="1" x14ac:dyDescent="0.2">
      <c r="A430" s="170" t="str">
        <f>CONCATENATE(SP_ENV_Lib[[#This Row],[Environmental Tract No.]],"_",SP_ENV_Lib[[#This Row],[ACQ Document Type]])</f>
        <v>232_ENVIRONMENTAL Right-of-Entry Package</v>
      </c>
      <c r="B430" s="14" t="s">
        <v>3881</v>
      </c>
      <c r="C430" s="169" t="s">
        <v>3320</v>
      </c>
      <c r="D430" s="12" t="s">
        <v>3321</v>
      </c>
      <c r="E430" s="166" t="s">
        <v>2682</v>
      </c>
      <c r="F430" s="8" t="s">
        <v>2687</v>
      </c>
      <c r="G430" s="8" t="s">
        <v>2686</v>
      </c>
      <c r="H430" s="52" t="s">
        <v>592</v>
      </c>
      <c r="I430" s="57">
        <v>43850</v>
      </c>
      <c r="J430" s="57">
        <v>43854</v>
      </c>
      <c r="K430" s="167"/>
      <c r="L430" s="8"/>
      <c r="M430" s="8" t="s">
        <v>4206</v>
      </c>
      <c r="N430" s="26">
        <v>43874.515243055554</v>
      </c>
      <c r="O430" s="8" t="s">
        <v>4206</v>
      </c>
      <c r="P430" s="26">
        <v>43873.675752314812</v>
      </c>
      <c r="Q430" s="65">
        <v>854446</v>
      </c>
      <c r="R430" s="14" t="s">
        <v>4195</v>
      </c>
      <c r="S430" s="168">
        <v>1098</v>
      </c>
      <c r="T430" s="52" t="s">
        <v>3512</v>
      </c>
      <c r="U430" s="8" t="s">
        <v>3564</v>
      </c>
    </row>
    <row r="431" spans="1:21" ht="15" x14ac:dyDescent="0.2">
      <c r="A431" s="170" t="str">
        <f>CONCATENATE(SP_ENV_Lib[[#This Row],[Environmental Tract No.]],"_",SP_ENV_Lib[[#This Row],[ACQ Document Type]])</f>
        <v>232_TITLE Tax Card</v>
      </c>
      <c r="B431" s="14" t="s">
        <v>3580</v>
      </c>
      <c r="C431" s="169" t="s">
        <v>3320</v>
      </c>
      <c r="D431" s="12" t="s">
        <v>3321</v>
      </c>
      <c r="E431" s="166" t="s">
        <v>861</v>
      </c>
      <c r="F431" s="8" t="s">
        <v>1150</v>
      </c>
      <c r="G431" s="8" t="s">
        <v>1149</v>
      </c>
      <c r="H431" s="52" t="s">
        <v>592</v>
      </c>
      <c r="I431" s="57"/>
      <c r="J431" s="57"/>
      <c r="K431" s="167"/>
      <c r="L431" s="8"/>
      <c r="M431" s="8" t="s">
        <v>4205</v>
      </c>
      <c r="N431" s="26">
        <v>43892.882164351853</v>
      </c>
      <c r="O431" s="8" t="s">
        <v>4206</v>
      </c>
      <c r="P431" s="26">
        <v>43871.580439814818</v>
      </c>
      <c r="Q431" s="65">
        <v>692717</v>
      </c>
      <c r="R431" s="14" t="s">
        <v>3893</v>
      </c>
      <c r="S431" s="168">
        <v>886</v>
      </c>
      <c r="T431" s="52" t="s">
        <v>3512</v>
      </c>
      <c r="U431" s="8" t="s">
        <v>3564</v>
      </c>
    </row>
    <row r="432" spans="1:21" ht="15" hidden="1" x14ac:dyDescent="0.2">
      <c r="A432" s="170" t="str">
        <f>CONCATENATE(SP_ENV_Lib[[#This Row],[Environmental Tract No.]],"_",SP_ENV_Lib[[#This Row],[ACQ Document Type]])</f>
        <v>233_ENVIRONMENTAL Right-of-Entry Executed</v>
      </c>
      <c r="B432" s="14" t="s">
        <v>4393</v>
      </c>
      <c r="C432" s="169" t="s">
        <v>3325</v>
      </c>
      <c r="D432" s="12" t="s">
        <v>3326</v>
      </c>
      <c r="E432" s="166" t="s">
        <v>2682</v>
      </c>
      <c r="F432" s="8" t="s">
        <v>2683</v>
      </c>
      <c r="G432" s="8" t="s">
        <v>2681</v>
      </c>
      <c r="H432" s="52" t="s">
        <v>592</v>
      </c>
      <c r="I432" s="57">
        <v>43864</v>
      </c>
      <c r="J432" s="57"/>
      <c r="K432" s="167"/>
      <c r="L432" s="8"/>
      <c r="M432" s="8" t="s">
        <v>4206</v>
      </c>
      <c r="N432" s="26">
        <v>43979.36859953704</v>
      </c>
      <c r="O432" s="8" t="s">
        <v>4205</v>
      </c>
      <c r="P432" s="26">
        <v>43903.876921296294</v>
      </c>
      <c r="Q432" s="65">
        <v>554292</v>
      </c>
      <c r="R432" s="14" t="s">
        <v>4440</v>
      </c>
      <c r="S432" s="168">
        <v>1315</v>
      </c>
      <c r="T432" s="52" t="s">
        <v>3512</v>
      </c>
      <c r="U432" s="8" t="s">
        <v>3564</v>
      </c>
    </row>
    <row r="433" spans="1:21" ht="15" hidden="1" x14ac:dyDescent="0.2">
      <c r="A433" s="170" t="str">
        <f>CONCATENATE(SP_ENV_Lib[[#This Row],[Environmental Tract No.]],"_",SP_ENV_Lib[[#This Row],[ACQ Document Type]])</f>
        <v>233_ENVIRONMENTAL Right-of-Entry Package</v>
      </c>
      <c r="B433" s="14" t="s">
        <v>3882</v>
      </c>
      <c r="C433" s="169" t="s">
        <v>3325</v>
      </c>
      <c r="D433" s="12" t="s">
        <v>3326</v>
      </c>
      <c r="E433" s="166" t="s">
        <v>2682</v>
      </c>
      <c r="F433" s="8" t="s">
        <v>2687</v>
      </c>
      <c r="G433" s="8" t="s">
        <v>2686</v>
      </c>
      <c r="H433" s="52" t="s">
        <v>592</v>
      </c>
      <c r="I433" s="57">
        <v>43850</v>
      </c>
      <c r="J433" s="57">
        <v>43854</v>
      </c>
      <c r="K433" s="167"/>
      <c r="L433" s="8"/>
      <c r="M433" s="8" t="s">
        <v>4206</v>
      </c>
      <c r="N433" s="26">
        <v>43874.515092592592</v>
      </c>
      <c r="O433" s="8" t="s">
        <v>4206</v>
      </c>
      <c r="P433" s="26">
        <v>43873.675775462965</v>
      </c>
      <c r="Q433" s="65">
        <v>1000590</v>
      </c>
      <c r="R433" s="14" t="s">
        <v>4196</v>
      </c>
      <c r="S433" s="168">
        <v>1099</v>
      </c>
      <c r="T433" s="52" t="s">
        <v>3512</v>
      </c>
      <c r="U433" s="8" t="s">
        <v>3564</v>
      </c>
    </row>
    <row r="434" spans="1:21" ht="15" x14ac:dyDescent="0.2">
      <c r="A434" s="170" t="str">
        <f>CONCATENATE(SP_ENV_Lib[[#This Row],[Environmental Tract No.]],"_",SP_ENV_Lib[[#This Row],[ACQ Document Type]])</f>
        <v>233_TITLE Tax Card</v>
      </c>
      <c r="B434" s="14" t="s">
        <v>3883</v>
      </c>
      <c r="C434" s="169" t="s">
        <v>3325</v>
      </c>
      <c r="D434" s="12" t="s">
        <v>3326</v>
      </c>
      <c r="E434" s="166" t="s">
        <v>861</v>
      </c>
      <c r="F434" s="8" t="s">
        <v>1150</v>
      </c>
      <c r="G434" s="8" t="s">
        <v>1149</v>
      </c>
      <c r="H434" s="52" t="s">
        <v>592</v>
      </c>
      <c r="I434" s="57"/>
      <c r="J434" s="57"/>
      <c r="K434" s="167"/>
      <c r="L434" s="8"/>
      <c r="M434" s="8" t="s">
        <v>4206</v>
      </c>
      <c r="N434" s="26">
        <v>43872.422488425924</v>
      </c>
      <c r="O434" s="8" t="s">
        <v>4206</v>
      </c>
      <c r="P434" s="26">
        <v>43871.580451388887</v>
      </c>
      <c r="Q434" s="65">
        <v>885897</v>
      </c>
      <c r="R434" s="14" t="s">
        <v>4197</v>
      </c>
      <c r="S434" s="168">
        <v>887</v>
      </c>
      <c r="T434" s="52" t="s">
        <v>3512</v>
      </c>
      <c r="U434" s="8" t="s">
        <v>3564</v>
      </c>
    </row>
    <row r="435" spans="1:21" ht="15" hidden="1" x14ac:dyDescent="0.2">
      <c r="A435" s="170" t="str">
        <f>CONCATENATE(SP_ENV_Lib[[#This Row],[Environmental Tract No.]],"_",SP_ENV_Lib[[#This Row],[ACQ Document Type]])</f>
        <v>245_ENVIRONMENTAL Right-of-Entry Executed</v>
      </c>
      <c r="B435" s="14" t="s">
        <v>4265</v>
      </c>
      <c r="C435" s="169" t="s">
        <v>3337</v>
      </c>
      <c r="D435" s="12" t="s">
        <v>3338</v>
      </c>
      <c r="E435" s="166" t="s">
        <v>2682</v>
      </c>
      <c r="F435" s="8" t="s">
        <v>2683</v>
      </c>
      <c r="G435" s="8" t="s">
        <v>2681</v>
      </c>
      <c r="H435" s="52" t="s">
        <v>592</v>
      </c>
      <c r="I435" s="57">
        <v>43874</v>
      </c>
      <c r="J435" s="57"/>
      <c r="K435" s="167"/>
      <c r="L435" s="8"/>
      <c r="M435" s="8" t="s">
        <v>4205</v>
      </c>
      <c r="N435" s="26">
        <v>43893.352187500001</v>
      </c>
      <c r="O435" s="8" t="s">
        <v>4205</v>
      </c>
      <c r="P435" s="26">
        <v>43893.351782407408</v>
      </c>
      <c r="Q435" s="65">
        <v>1814927</v>
      </c>
      <c r="R435" s="14" t="s">
        <v>4324</v>
      </c>
      <c r="S435" s="168">
        <v>1244</v>
      </c>
      <c r="T435" s="52" t="s">
        <v>3512</v>
      </c>
      <c r="U435" s="8" t="s">
        <v>3564</v>
      </c>
    </row>
    <row r="436" spans="1:21" ht="15" x14ac:dyDescent="0.2">
      <c r="A436" s="170" t="str">
        <f>CONCATENATE(SP_ENV_Lib[[#This Row],[Environmental Tract No.]],"_",SP_ENV_Lib[[#This Row],[ACQ Document Type]])</f>
        <v>245_TITLE Tax Card</v>
      </c>
      <c r="B436" s="14" t="s">
        <v>3884</v>
      </c>
      <c r="C436" s="169" t="s">
        <v>3337</v>
      </c>
      <c r="D436" s="12" t="s">
        <v>3338</v>
      </c>
      <c r="E436" s="166" t="s">
        <v>861</v>
      </c>
      <c r="F436" s="8" t="s">
        <v>1150</v>
      </c>
      <c r="G436" s="8" t="s">
        <v>1149</v>
      </c>
      <c r="H436" s="52" t="s">
        <v>592</v>
      </c>
      <c r="I436" s="57"/>
      <c r="J436" s="57"/>
      <c r="K436" s="167"/>
      <c r="L436" s="8"/>
      <c r="M436" s="8" t="s">
        <v>4206</v>
      </c>
      <c r="N436" s="26">
        <v>43872.421585648146</v>
      </c>
      <c r="O436" s="8" t="s">
        <v>4206</v>
      </c>
      <c r="P436" s="26">
        <v>43871.580555555556</v>
      </c>
      <c r="Q436" s="65">
        <v>671168</v>
      </c>
      <c r="R436" s="14" t="s">
        <v>4198</v>
      </c>
      <c r="S436" s="168">
        <v>895</v>
      </c>
      <c r="T436" s="52" t="s">
        <v>3512</v>
      </c>
      <c r="U436" s="8" t="s">
        <v>3564</v>
      </c>
    </row>
    <row r="437" spans="1:21" ht="15" hidden="1" x14ac:dyDescent="0.2">
      <c r="A437" s="170" t="str">
        <f>CONCATENATE(SP_ENV_Lib[[#This Row],[Environmental Tract No.]],"_",SP_ENV_Lib[[#This Row],[ACQ Document Type]])</f>
        <v>250_ENVIRONMENTAL Right-of-Entry Executed</v>
      </c>
      <c r="B437" s="14" t="s">
        <v>4266</v>
      </c>
      <c r="C437" s="169" t="s">
        <v>3342</v>
      </c>
      <c r="D437" s="12" t="s">
        <v>3343</v>
      </c>
      <c r="E437" s="166" t="s">
        <v>2682</v>
      </c>
      <c r="F437" s="8" t="s">
        <v>2683</v>
      </c>
      <c r="G437" s="8" t="s">
        <v>2681</v>
      </c>
      <c r="H437" s="52" t="s">
        <v>592</v>
      </c>
      <c r="I437" s="57">
        <v>43889</v>
      </c>
      <c r="J437" s="57"/>
      <c r="K437" s="167"/>
      <c r="L437" s="8" t="s">
        <v>4348</v>
      </c>
      <c r="M437" s="8" t="s">
        <v>4206</v>
      </c>
      <c r="N437" s="26">
        <v>43907.641886574071</v>
      </c>
      <c r="O437" s="8" t="s">
        <v>4206</v>
      </c>
      <c r="P437" s="26">
        <v>43907.633217592593</v>
      </c>
      <c r="Q437" s="65">
        <v>2434952</v>
      </c>
      <c r="R437" s="14" t="s">
        <v>4441</v>
      </c>
      <c r="S437" s="168">
        <v>1321</v>
      </c>
      <c r="T437" s="52" t="s">
        <v>3512</v>
      </c>
      <c r="U437" s="8" t="s">
        <v>3564</v>
      </c>
    </row>
    <row r="438" spans="1:21" ht="15" hidden="1" x14ac:dyDescent="0.2">
      <c r="A438" s="170" t="str">
        <f>CONCATENATE(SP_ENV_Lib[[#This Row],[Environmental Tract No.]],"_",SP_ENV_Lib[[#This Row],[ACQ Document Type]])</f>
        <v>250_ENVIRONMENTAL Right-of-Entry Package</v>
      </c>
      <c r="B438" s="14" t="s">
        <v>3885</v>
      </c>
      <c r="C438" s="169" t="s">
        <v>3342</v>
      </c>
      <c r="D438" s="12" t="s">
        <v>3343</v>
      </c>
      <c r="E438" s="166" t="s">
        <v>2682</v>
      </c>
      <c r="F438" s="8" t="s">
        <v>2687</v>
      </c>
      <c r="G438" s="8" t="s">
        <v>2686</v>
      </c>
      <c r="H438" s="52" t="s">
        <v>592</v>
      </c>
      <c r="I438" s="57">
        <v>43850</v>
      </c>
      <c r="J438" s="57">
        <v>43861</v>
      </c>
      <c r="K438" s="167"/>
      <c r="L438" s="8" t="s">
        <v>3575</v>
      </c>
      <c r="M438" s="8" t="s">
        <v>4206</v>
      </c>
      <c r="N438" s="26">
        <v>43874.556527777779</v>
      </c>
      <c r="O438" s="8" t="s">
        <v>4206</v>
      </c>
      <c r="P438" s="26">
        <v>43873.674247685187</v>
      </c>
      <c r="Q438" s="65">
        <v>1138438</v>
      </c>
      <c r="R438" s="14" t="s">
        <v>4199</v>
      </c>
      <c r="S438" s="168">
        <v>1048</v>
      </c>
      <c r="T438" s="52" t="s">
        <v>3512</v>
      </c>
      <c r="U438" s="8" t="s">
        <v>3564</v>
      </c>
    </row>
    <row r="439" spans="1:21" ht="15" x14ac:dyDescent="0.2">
      <c r="A439" s="170" t="str">
        <f>CONCATENATE(SP_ENV_Lib[[#This Row],[Environmental Tract No.]],"_",SP_ENV_Lib[[#This Row],[ACQ Document Type]])</f>
        <v>250_TITLE Tax Card</v>
      </c>
      <c r="B439" s="14" t="s">
        <v>3886</v>
      </c>
      <c r="C439" s="169" t="s">
        <v>3342</v>
      </c>
      <c r="D439" s="12" t="s">
        <v>3343</v>
      </c>
      <c r="E439" s="166" t="s">
        <v>861</v>
      </c>
      <c r="F439" s="8" t="s">
        <v>1150</v>
      </c>
      <c r="G439" s="8" t="s">
        <v>1149</v>
      </c>
      <c r="H439" s="52" t="s">
        <v>592</v>
      </c>
      <c r="I439" s="57"/>
      <c r="J439" s="57"/>
      <c r="K439" s="167"/>
      <c r="L439" s="8"/>
      <c r="M439" s="8" t="s">
        <v>4206</v>
      </c>
      <c r="N439" s="26">
        <v>43872.421469907407</v>
      </c>
      <c r="O439" s="8" t="s">
        <v>4206</v>
      </c>
      <c r="P439" s="26">
        <v>43871.580567129633</v>
      </c>
      <c r="Q439" s="65">
        <v>692630</v>
      </c>
      <c r="R439" s="14" t="s">
        <v>4200</v>
      </c>
      <c r="S439" s="168">
        <v>896</v>
      </c>
      <c r="T439" s="52" t="s">
        <v>3512</v>
      </c>
      <c r="U439" s="8" t="s">
        <v>3564</v>
      </c>
    </row>
    <row r="440" spans="1:21" ht="15" hidden="1" x14ac:dyDescent="0.2">
      <c r="A440" s="170" t="str">
        <f>CONCATENATE(SP_ENV_Lib[[#This Row],[Environmental Tract No.]],"_",SP_ENV_Lib[[#This Row],[ACQ Document Type]])</f>
        <v>258_ENVIRONMENTAL Right-of-Entry Package</v>
      </c>
      <c r="B440" s="14" t="s">
        <v>3887</v>
      </c>
      <c r="C440" s="169" t="s">
        <v>3348</v>
      </c>
      <c r="D440" s="12" t="s">
        <v>3349</v>
      </c>
      <c r="E440" s="166" t="s">
        <v>2682</v>
      </c>
      <c r="F440" s="8" t="s">
        <v>2687</v>
      </c>
      <c r="G440" s="8" t="s">
        <v>2686</v>
      </c>
      <c r="H440" s="52" t="s">
        <v>592</v>
      </c>
      <c r="I440" s="57">
        <v>43850</v>
      </c>
      <c r="J440" s="57">
        <v>43868</v>
      </c>
      <c r="K440" s="167"/>
      <c r="L440" s="8"/>
      <c r="M440" s="8" t="s">
        <v>4206</v>
      </c>
      <c r="N440" s="26">
        <v>43874.513449074075</v>
      </c>
      <c r="O440" s="8" t="s">
        <v>4206</v>
      </c>
      <c r="P440" s="26">
        <v>43873.674375000002</v>
      </c>
      <c r="Q440" s="65">
        <v>848403</v>
      </c>
      <c r="R440" s="14" t="s">
        <v>4201</v>
      </c>
      <c r="S440" s="168">
        <v>1052</v>
      </c>
      <c r="T440" s="52" t="s">
        <v>3512</v>
      </c>
      <c r="U440" s="8" t="s">
        <v>3564</v>
      </c>
    </row>
    <row r="441" spans="1:21" ht="15" x14ac:dyDescent="0.2">
      <c r="A441" s="170" t="str">
        <f>CONCATENATE(SP_ENV_Lib[[#This Row],[Environmental Tract No.]],"_",SP_ENV_Lib[[#This Row],[ACQ Document Type]])</f>
        <v>258_TITLE Tax Card</v>
      </c>
      <c r="B441" s="14" t="s">
        <v>3888</v>
      </c>
      <c r="C441" s="169" t="s">
        <v>3348</v>
      </c>
      <c r="D441" s="12" t="s">
        <v>3349</v>
      </c>
      <c r="E441" s="166" t="s">
        <v>861</v>
      </c>
      <c r="F441" s="8" t="s">
        <v>1150</v>
      </c>
      <c r="G441" s="8" t="s">
        <v>1149</v>
      </c>
      <c r="H441" s="52" t="s">
        <v>592</v>
      </c>
      <c r="I441" s="57"/>
      <c r="J441" s="57"/>
      <c r="K441" s="167"/>
      <c r="L441" s="8"/>
      <c r="M441" s="8" t="s">
        <v>4206</v>
      </c>
      <c r="N441" s="26">
        <v>43872.420671296299</v>
      </c>
      <c r="O441" s="8" t="s">
        <v>4206</v>
      </c>
      <c r="P441" s="26">
        <v>43871.580613425926</v>
      </c>
      <c r="Q441" s="65">
        <v>738767</v>
      </c>
      <c r="R441" s="14" t="s">
        <v>4202</v>
      </c>
      <c r="S441" s="168">
        <v>900</v>
      </c>
      <c r="T441" s="52" t="s">
        <v>3512</v>
      </c>
      <c r="U441" s="8" t="s">
        <v>3564</v>
      </c>
    </row>
    <row r="442" spans="1:21" ht="15.75" x14ac:dyDescent="0.25">
      <c r="A442" s="254" t="s">
        <v>4204</v>
      </c>
      <c r="B442" s="255">
        <f>SUBTOTAL(103,SP_ENV_Lib[Name])</f>
        <v>222</v>
      </c>
      <c r="C442" s="256">
        <f>SUBTOTAL(103,SP_ENV_Lib[Environmental Tract No.])</f>
        <v>222</v>
      </c>
      <c r="D442" s="257"/>
      <c r="E442" s="257"/>
      <c r="F442" s="257"/>
      <c r="G442" s="257">
        <f>SUBTOTAL(103,SP_ENV_Lib[ACQ Document Type])</f>
        <v>222</v>
      </c>
      <c r="H442" s="257"/>
      <c r="I442" s="257"/>
      <c r="J442" s="257"/>
      <c r="K442" s="257"/>
      <c r="L442" s="257"/>
      <c r="M442" s="257"/>
      <c r="N442" s="258">
        <f>SUBTOTAL(104,SP_ENV_Lib[Modified])</f>
        <v>43977.945625</v>
      </c>
      <c r="O442" s="257"/>
      <c r="P442" s="258">
        <f>SUBTOTAL(104,SP_ENV_Lib[Created])</f>
        <v>43958.79792824074</v>
      </c>
      <c r="Q442" s="257"/>
      <c r="R442" s="257"/>
      <c r="S442" s="257"/>
      <c r="T442" s="257"/>
      <c r="U442" s="257"/>
    </row>
  </sheetData>
  <hyperlinks>
    <hyperlink ref="B2" r:id="rId1"/>
    <hyperlink ref="B3" r:id="rId2"/>
    <hyperlink ref="B4" r:id="rId3"/>
    <hyperlink ref="B5" r:id="rId4"/>
    <hyperlink ref="B6" r:id="rId5"/>
    <hyperlink ref="B7" r:id="rId6"/>
    <hyperlink ref="B8" r:id="rId7"/>
    <hyperlink ref="B9" r:id="rId8"/>
    <hyperlink ref="B10" r:id="rId9"/>
    <hyperlink ref="B11" r:id="rId10"/>
    <hyperlink ref="B12" r:id="rId11"/>
    <hyperlink ref="B13" r:id="rId12"/>
    <hyperlink ref="B14" r:id="rId13"/>
    <hyperlink ref="B15" r:id="rId14"/>
    <hyperlink ref="B16" r:id="rId15"/>
    <hyperlink ref="B17" r:id="rId16"/>
    <hyperlink ref="B18" r:id="rId17"/>
    <hyperlink ref="B19" r:id="rId18"/>
    <hyperlink ref="B20" r:id="rId19"/>
    <hyperlink ref="B21" r:id="rId20"/>
    <hyperlink ref="B22" r:id="rId21"/>
    <hyperlink ref="B23" r:id="rId22"/>
    <hyperlink ref="B24" r:id="rId23"/>
    <hyperlink ref="B25" r:id="rId24"/>
    <hyperlink ref="B26" r:id="rId25"/>
    <hyperlink ref="B27" r:id="rId26"/>
    <hyperlink ref="B28" r:id="rId27"/>
    <hyperlink ref="B29" r:id="rId28"/>
    <hyperlink ref="B30" r:id="rId29"/>
    <hyperlink ref="B31" r:id="rId30"/>
    <hyperlink ref="B32" r:id="rId31"/>
    <hyperlink ref="B33" r:id="rId32"/>
    <hyperlink ref="B34" r:id="rId33"/>
    <hyperlink ref="B35" r:id="rId34"/>
    <hyperlink ref="B36" r:id="rId35"/>
    <hyperlink ref="B37" r:id="rId36"/>
    <hyperlink ref="B38" r:id="rId37"/>
    <hyperlink ref="B39" r:id="rId38"/>
    <hyperlink ref="B40" r:id="rId39"/>
    <hyperlink ref="B41" r:id="rId40"/>
    <hyperlink ref="B42" r:id="rId41"/>
    <hyperlink ref="B43" r:id="rId42"/>
    <hyperlink ref="B44" r:id="rId43"/>
    <hyperlink ref="B45" r:id="rId44"/>
    <hyperlink ref="B46" r:id="rId45"/>
    <hyperlink ref="B47" r:id="rId46"/>
    <hyperlink ref="B48" r:id="rId47"/>
    <hyperlink ref="B49" r:id="rId48"/>
    <hyperlink ref="B50" r:id="rId49"/>
    <hyperlink ref="B51" r:id="rId50"/>
    <hyperlink ref="B52" r:id="rId51"/>
    <hyperlink ref="B53" r:id="rId52"/>
    <hyperlink ref="B54" r:id="rId53"/>
    <hyperlink ref="B55" r:id="rId54"/>
    <hyperlink ref="B56" r:id="rId55"/>
    <hyperlink ref="B57" r:id="rId56"/>
    <hyperlink ref="B58" r:id="rId57"/>
    <hyperlink ref="B59" r:id="rId58"/>
    <hyperlink ref="B60" r:id="rId59"/>
    <hyperlink ref="B61" r:id="rId60"/>
    <hyperlink ref="B62" r:id="rId61"/>
    <hyperlink ref="B63" r:id="rId62"/>
    <hyperlink ref="B64" r:id="rId63"/>
    <hyperlink ref="B65" r:id="rId64"/>
    <hyperlink ref="B66" r:id="rId65"/>
    <hyperlink ref="B67" r:id="rId66"/>
    <hyperlink ref="B68" r:id="rId67"/>
    <hyperlink ref="B69" r:id="rId68"/>
    <hyperlink ref="B70" r:id="rId69"/>
    <hyperlink ref="B71" r:id="rId70"/>
    <hyperlink ref="B72" r:id="rId71"/>
    <hyperlink ref="B73" r:id="rId72"/>
    <hyperlink ref="B74" r:id="rId73"/>
    <hyperlink ref="B75" r:id="rId74"/>
    <hyperlink ref="B76" r:id="rId75"/>
    <hyperlink ref="B77" r:id="rId76"/>
    <hyperlink ref="B78" r:id="rId77"/>
    <hyperlink ref="B79" r:id="rId78"/>
    <hyperlink ref="B80" r:id="rId79"/>
    <hyperlink ref="B81" r:id="rId80"/>
    <hyperlink ref="B82" r:id="rId81"/>
    <hyperlink ref="B83" r:id="rId82"/>
    <hyperlink ref="B84" r:id="rId83"/>
    <hyperlink ref="B85" r:id="rId84"/>
    <hyperlink ref="B86" r:id="rId85"/>
    <hyperlink ref="B87" r:id="rId86"/>
    <hyperlink ref="B88" r:id="rId87"/>
    <hyperlink ref="B89" r:id="rId88"/>
    <hyperlink ref="B90" r:id="rId89"/>
    <hyperlink ref="B91" r:id="rId90"/>
    <hyperlink ref="B92" r:id="rId91"/>
    <hyperlink ref="B93" r:id="rId92"/>
    <hyperlink ref="B94" r:id="rId93"/>
    <hyperlink ref="B95" r:id="rId94"/>
    <hyperlink ref="B96" r:id="rId95"/>
    <hyperlink ref="B97" r:id="rId96"/>
    <hyperlink ref="B98" r:id="rId97"/>
    <hyperlink ref="B99" r:id="rId98"/>
    <hyperlink ref="B100" r:id="rId99"/>
    <hyperlink ref="B101" r:id="rId100"/>
    <hyperlink ref="B102" r:id="rId101"/>
    <hyperlink ref="B103" r:id="rId102"/>
    <hyperlink ref="B104" r:id="rId103"/>
    <hyperlink ref="B105" r:id="rId104"/>
    <hyperlink ref="B106" r:id="rId105"/>
    <hyperlink ref="B107" r:id="rId106"/>
    <hyperlink ref="B108" r:id="rId107"/>
    <hyperlink ref="B109" r:id="rId108"/>
    <hyperlink ref="B110" r:id="rId109"/>
    <hyperlink ref="B111" r:id="rId110"/>
    <hyperlink ref="B112" r:id="rId111"/>
    <hyperlink ref="B113" r:id="rId112"/>
    <hyperlink ref="B114" r:id="rId113"/>
    <hyperlink ref="B115" r:id="rId114"/>
    <hyperlink ref="B116" r:id="rId115"/>
    <hyperlink ref="B117" r:id="rId116"/>
    <hyperlink ref="B118" r:id="rId117"/>
    <hyperlink ref="B119" r:id="rId118"/>
    <hyperlink ref="B120" r:id="rId119"/>
    <hyperlink ref="B121" r:id="rId120"/>
    <hyperlink ref="B122" r:id="rId121"/>
    <hyperlink ref="B123" r:id="rId122"/>
    <hyperlink ref="B124" r:id="rId123"/>
    <hyperlink ref="B125" r:id="rId124"/>
    <hyperlink ref="B126" r:id="rId125"/>
    <hyperlink ref="B127" r:id="rId126"/>
    <hyperlink ref="B128" r:id="rId127"/>
    <hyperlink ref="B129" r:id="rId128"/>
    <hyperlink ref="B130" r:id="rId129"/>
    <hyperlink ref="B131" r:id="rId130"/>
    <hyperlink ref="B132" r:id="rId131"/>
    <hyperlink ref="B133" r:id="rId132"/>
    <hyperlink ref="B134" r:id="rId133"/>
    <hyperlink ref="B135" r:id="rId134"/>
    <hyperlink ref="B136" r:id="rId135"/>
    <hyperlink ref="B137" r:id="rId136"/>
    <hyperlink ref="B138" r:id="rId137"/>
    <hyperlink ref="B139" r:id="rId138"/>
    <hyperlink ref="B140" r:id="rId139"/>
    <hyperlink ref="B141" r:id="rId140"/>
    <hyperlink ref="B142" r:id="rId141"/>
    <hyperlink ref="B143" r:id="rId142"/>
    <hyperlink ref="B144" r:id="rId143"/>
    <hyperlink ref="B145" r:id="rId144"/>
    <hyperlink ref="B146" r:id="rId145"/>
    <hyperlink ref="B147" r:id="rId146"/>
    <hyperlink ref="B148" r:id="rId147"/>
    <hyperlink ref="B149" r:id="rId148"/>
    <hyperlink ref="B150" r:id="rId149"/>
    <hyperlink ref="B151" r:id="rId150"/>
    <hyperlink ref="B152" r:id="rId151"/>
    <hyperlink ref="B153" r:id="rId152"/>
    <hyperlink ref="B154" r:id="rId153"/>
    <hyperlink ref="B155" r:id="rId154"/>
    <hyperlink ref="B156" r:id="rId155"/>
    <hyperlink ref="B157" r:id="rId156"/>
    <hyperlink ref="B158" r:id="rId157"/>
    <hyperlink ref="B159" r:id="rId158"/>
    <hyperlink ref="B160" r:id="rId159"/>
    <hyperlink ref="B161" r:id="rId160"/>
    <hyperlink ref="B162" r:id="rId161"/>
    <hyperlink ref="B163" r:id="rId162"/>
    <hyperlink ref="B164" r:id="rId163"/>
    <hyperlink ref="B165" r:id="rId164"/>
    <hyperlink ref="B166" r:id="rId165"/>
    <hyperlink ref="B167" r:id="rId166"/>
    <hyperlink ref="B168" r:id="rId167"/>
    <hyperlink ref="B169" r:id="rId168"/>
    <hyperlink ref="B170" r:id="rId169"/>
    <hyperlink ref="B171" r:id="rId170"/>
    <hyperlink ref="B172" r:id="rId171"/>
    <hyperlink ref="B173" r:id="rId172"/>
    <hyperlink ref="B174" r:id="rId173"/>
    <hyperlink ref="B175" r:id="rId174"/>
    <hyperlink ref="B176" r:id="rId175"/>
    <hyperlink ref="B177" r:id="rId176"/>
    <hyperlink ref="B178" r:id="rId177"/>
    <hyperlink ref="B179" r:id="rId178"/>
    <hyperlink ref="B180" r:id="rId179"/>
    <hyperlink ref="B181" r:id="rId180"/>
    <hyperlink ref="B182" r:id="rId181"/>
    <hyperlink ref="B183" r:id="rId182"/>
    <hyperlink ref="B184" r:id="rId183"/>
    <hyperlink ref="B185" r:id="rId184"/>
    <hyperlink ref="B186" r:id="rId185"/>
    <hyperlink ref="B187" r:id="rId186"/>
    <hyperlink ref="B188" r:id="rId187"/>
    <hyperlink ref="B189" r:id="rId188"/>
    <hyperlink ref="B190" r:id="rId189"/>
    <hyperlink ref="B191" r:id="rId190"/>
    <hyperlink ref="B192" r:id="rId191"/>
    <hyperlink ref="B193" r:id="rId192"/>
    <hyperlink ref="B194" r:id="rId193"/>
    <hyperlink ref="B195" r:id="rId194"/>
    <hyperlink ref="B196" r:id="rId195"/>
    <hyperlink ref="B197" r:id="rId196"/>
    <hyperlink ref="B198" r:id="rId197"/>
    <hyperlink ref="B199" r:id="rId198"/>
    <hyperlink ref="B200" r:id="rId199"/>
    <hyperlink ref="B201" r:id="rId200"/>
    <hyperlink ref="B202" r:id="rId201"/>
    <hyperlink ref="B203" r:id="rId202"/>
    <hyperlink ref="B204" r:id="rId203"/>
    <hyperlink ref="B205" r:id="rId204"/>
    <hyperlink ref="B206" r:id="rId205"/>
    <hyperlink ref="B207" r:id="rId206"/>
    <hyperlink ref="B208" r:id="rId207"/>
    <hyperlink ref="B209" r:id="rId208"/>
    <hyperlink ref="B210" r:id="rId209"/>
    <hyperlink ref="B211" r:id="rId210"/>
    <hyperlink ref="B212" r:id="rId211"/>
    <hyperlink ref="B213" r:id="rId212"/>
    <hyperlink ref="B214" r:id="rId213"/>
    <hyperlink ref="B215" r:id="rId214"/>
    <hyperlink ref="B216" r:id="rId215"/>
    <hyperlink ref="B217" r:id="rId216"/>
    <hyperlink ref="B218" r:id="rId217"/>
    <hyperlink ref="B219" r:id="rId218"/>
    <hyperlink ref="B220" r:id="rId219"/>
    <hyperlink ref="B221" r:id="rId220"/>
    <hyperlink ref="B222" r:id="rId221"/>
    <hyperlink ref="B223" r:id="rId222"/>
    <hyperlink ref="B224" r:id="rId223"/>
    <hyperlink ref="B225" r:id="rId224"/>
    <hyperlink ref="B226" r:id="rId225"/>
    <hyperlink ref="B227" r:id="rId226"/>
    <hyperlink ref="B228" r:id="rId227"/>
    <hyperlink ref="B229" r:id="rId228"/>
    <hyperlink ref="B230" r:id="rId229"/>
    <hyperlink ref="B231" r:id="rId230"/>
    <hyperlink ref="B232" r:id="rId231"/>
    <hyperlink ref="B233" r:id="rId232"/>
    <hyperlink ref="B234" r:id="rId233"/>
    <hyperlink ref="B235" r:id="rId234"/>
    <hyperlink ref="B236" r:id="rId235"/>
    <hyperlink ref="B237" r:id="rId236"/>
    <hyperlink ref="B238" r:id="rId237"/>
    <hyperlink ref="B239" r:id="rId238"/>
    <hyperlink ref="B240" r:id="rId239"/>
    <hyperlink ref="B241" r:id="rId240"/>
    <hyperlink ref="B242" r:id="rId241"/>
    <hyperlink ref="B243" r:id="rId242"/>
    <hyperlink ref="B244" r:id="rId243"/>
    <hyperlink ref="B245" r:id="rId244"/>
    <hyperlink ref="B246" r:id="rId245"/>
    <hyperlink ref="B247" r:id="rId246"/>
    <hyperlink ref="B248" r:id="rId247"/>
    <hyperlink ref="B249" r:id="rId248"/>
    <hyperlink ref="B250" r:id="rId249"/>
    <hyperlink ref="B251" r:id="rId250"/>
    <hyperlink ref="B252" r:id="rId251"/>
    <hyperlink ref="B253" r:id="rId252"/>
    <hyperlink ref="B254" r:id="rId253"/>
    <hyperlink ref="B255" r:id="rId254"/>
    <hyperlink ref="B256" r:id="rId255"/>
    <hyperlink ref="B257" r:id="rId256"/>
    <hyperlink ref="B258" r:id="rId257"/>
    <hyperlink ref="B259" r:id="rId258"/>
    <hyperlink ref="B260" r:id="rId259"/>
    <hyperlink ref="B261" r:id="rId260"/>
    <hyperlink ref="B262" r:id="rId261"/>
    <hyperlink ref="B263" r:id="rId262"/>
    <hyperlink ref="B264" r:id="rId263"/>
    <hyperlink ref="B265" r:id="rId264"/>
    <hyperlink ref="B266" r:id="rId265"/>
    <hyperlink ref="B267" r:id="rId266"/>
    <hyperlink ref="B268" r:id="rId267"/>
    <hyperlink ref="B269" r:id="rId268"/>
    <hyperlink ref="B270" r:id="rId269"/>
    <hyperlink ref="B271" r:id="rId270"/>
    <hyperlink ref="B272" r:id="rId271"/>
    <hyperlink ref="B273" r:id="rId272"/>
    <hyperlink ref="B274" r:id="rId273"/>
    <hyperlink ref="B275" r:id="rId274"/>
    <hyperlink ref="B276" r:id="rId275"/>
    <hyperlink ref="B277" r:id="rId276"/>
    <hyperlink ref="B278" r:id="rId277"/>
    <hyperlink ref="B279" r:id="rId278"/>
    <hyperlink ref="B280" r:id="rId279"/>
    <hyperlink ref="B281" r:id="rId280"/>
    <hyperlink ref="B282" r:id="rId281"/>
    <hyperlink ref="B283" r:id="rId282"/>
    <hyperlink ref="B284" r:id="rId283"/>
    <hyperlink ref="B285" r:id="rId284"/>
    <hyperlink ref="B286" r:id="rId285"/>
    <hyperlink ref="B287" r:id="rId286"/>
    <hyperlink ref="B288" r:id="rId287"/>
    <hyperlink ref="B289" r:id="rId288"/>
    <hyperlink ref="B290" r:id="rId289"/>
    <hyperlink ref="B291" r:id="rId290"/>
    <hyperlink ref="B292" r:id="rId291"/>
    <hyperlink ref="B293" r:id="rId292"/>
    <hyperlink ref="B294" r:id="rId293"/>
    <hyperlink ref="B295" r:id="rId294"/>
    <hyperlink ref="B296" r:id="rId295"/>
    <hyperlink ref="B297" r:id="rId296"/>
    <hyperlink ref="B298" r:id="rId297"/>
    <hyperlink ref="B299" r:id="rId298"/>
    <hyperlink ref="B300" r:id="rId299"/>
    <hyperlink ref="B301" r:id="rId300"/>
    <hyperlink ref="B302" r:id="rId301"/>
    <hyperlink ref="B303" r:id="rId302"/>
    <hyperlink ref="B304" r:id="rId303"/>
    <hyperlink ref="B305" r:id="rId304"/>
    <hyperlink ref="B306" r:id="rId305"/>
    <hyperlink ref="B307" r:id="rId306"/>
    <hyperlink ref="B308" r:id="rId307"/>
    <hyperlink ref="B309" r:id="rId308"/>
    <hyperlink ref="B310" r:id="rId309"/>
    <hyperlink ref="B311" r:id="rId310"/>
    <hyperlink ref="B312" r:id="rId311"/>
    <hyperlink ref="B313" r:id="rId312"/>
    <hyperlink ref="B314" r:id="rId313"/>
    <hyperlink ref="B315" r:id="rId314"/>
    <hyperlink ref="B316" r:id="rId315"/>
    <hyperlink ref="B317" r:id="rId316"/>
    <hyperlink ref="B318" r:id="rId317"/>
    <hyperlink ref="B319" r:id="rId318"/>
    <hyperlink ref="B320" r:id="rId319"/>
    <hyperlink ref="B321" r:id="rId320"/>
    <hyperlink ref="B322" r:id="rId321"/>
    <hyperlink ref="B323" r:id="rId322"/>
    <hyperlink ref="B324" r:id="rId323"/>
    <hyperlink ref="B325" r:id="rId324"/>
    <hyperlink ref="B326" r:id="rId325"/>
    <hyperlink ref="B327" r:id="rId326"/>
    <hyperlink ref="B328" r:id="rId327"/>
    <hyperlink ref="B329" r:id="rId328"/>
    <hyperlink ref="B330" r:id="rId329"/>
    <hyperlink ref="B331" r:id="rId330"/>
    <hyperlink ref="B332" r:id="rId331"/>
    <hyperlink ref="B333" r:id="rId332"/>
    <hyperlink ref="B334" r:id="rId333"/>
    <hyperlink ref="B335" r:id="rId334"/>
    <hyperlink ref="B336" r:id="rId335"/>
    <hyperlink ref="B337" r:id="rId336"/>
    <hyperlink ref="B338" r:id="rId337"/>
    <hyperlink ref="B339" r:id="rId338"/>
    <hyperlink ref="B340" r:id="rId339"/>
    <hyperlink ref="B341" r:id="rId340"/>
    <hyperlink ref="B342" r:id="rId341"/>
    <hyperlink ref="B343" r:id="rId342"/>
    <hyperlink ref="B344" r:id="rId343"/>
    <hyperlink ref="B345" r:id="rId344"/>
    <hyperlink ref="B346" r:id="rId345"/>
    <hyperlink ref="B347" r:id="rId346"/>
    <hyperlink ref="B348" r:id="rId347"/>
    <hyperlink ref="B349" r:id="rId348"/>
    <hyperlink ref="B350" r:id="rId349"/>
    <hyperlink ref="B351" r:id="rId350"/>
    <hyperlink ref="B352" r:id="rId351"/>
    <hyperlink ref="B353" r:id="rId352"/>
    <hyperlink ref="B354" r:id="rId353"/>
    <hyperlink ref="B355" r:id="rId354"/>
    <hyperlink ref="B356" r:id="rId355"/>
    <hyperlink ref="B357" r:id="rId356"/>
    <hyperlink ref="B358" r:id="rId357"/>
    <hyperlink ref="B359" r:id="rId358"/>
    <hyperlink ref="B360" r:id="rId359"/>
    <hyperlink ref="B361" r:id="rId360"/>
    <hyperlink ref="B362" r:id="rId361"/>
    <hyperlink ref="B363" r:id="rId362"/>
    <hyperlink ref="B364" r:id="rId363"/>
    <hyperlink ref="B365" r:id="rId364"/>
    <hyperlink ref="B366" r:id="rId365"/>
    <hyperlink ref="B367" r:id="rId366"/>
    <hyperlink ref="B368" r:id="rId367"/>
    <hyperlink ref="B369" r:id="rId368"/>
    <hyperlink ref="B370" r:id="rId369"/>
    <hyperlink ref="B371" r:id="rId370"/>
    <hyperlink ref="B372" r:id="rId371"/>
    <hyperlink ref="B373" r:id="rId372"/>
    <hyperlink ref="B374" r:id="rId373"/>
    <hyperlink ref="B375" r:id="rId374"/>
    <hyperlink ref="B376" r:id="rId375"/>
    <hyperlink ref="B377" r:id="rId376"/>
    <hyperlink ref="B378" r:id="rId377"/>
    <hyperlink ref="B379" r:id="rId378"/>
    <hyperlink ref="B380" r:id="rId379"/>
    <hyperlink ref="B381" r:id="rId380"/>
    <hyperlink ref="B382" r:id="rId381"/>
    <hyperlink ref="B383" r:id="rId382"/>
    <hyperlink ref="B384" r:id="rId383"/>
    <hyperlink ref="B385" r:id="rId384"/>
    <hyperlink ref="B386" r:id="rId385"/>
    <hyperlink ref="B387" r:id="rId386"/>
    <hyperlink ref="B388" r:id="rId387"/>
    <hyperlink ref="B389" r:id="rId388"/>
    <hyperlink ref="B390" r:id="rId389"/>
    <hyperlink ref="B391" r:id="rId390"/>
    <hyperlink ref="B392" r:id="rId391"/>
    <hyperlink ref="B393" r:id="rId392"/>
    <hyperlink ref="B394" r:id="rId393"/>
    <hyperlink ref="B395" r:id="rId394"/>
    <hyperlink ref="B396" r:id="rId395"/>
    <hyperlink ref="B397" r:id="rId396"/>
    <hyperlink ref="B398" r:id="rId397"/>
    <hyperlink ref="B399" r:id="rId398"/>
    <hyperlink ref="B400" r:id="rId399"/>
    <hyperlink ref="B401" r:id="rId400"/>
    <hyperlink ref="B402" r:id="rId401"/>
    <hyperlink ref="B403" r:id="rId402"/>
    <hyperlink ref="B404" r:id="rId403"/>
    <hyperlink ref="B405" r:id="rId404"/>
    <hyperlink ref="B406" r:id="rId405"/>
    <hyperlink ref="B407" r:id="rId406"/>
    <hyperlink ref="B408" r:id="rId407"/>
    <hyperlink ref="B409" r:id="rId408"/>
    <hyperlink ref="B410" r:id="rId409"/>
    <hyperlink ref="B411" r:id="rId410"/>
    <hyperlink ref="B412" r:id="rId411"/>
    <hyperlink ref="B413" r:id="rId412"/>
    <hyperlink ref="B414" r:id="rId413"/>
    <hyperlink ref="B415" r:id="rId414"/>
    <hyperlink ref="B416" r:id="rId415"/>
    <hyperlink ref="B417" r:id="rId416"/>
    <hyperlink ref="B418" r:id="rId417"/>
    <hyperlink ref="B419" r:id="rId418"/>
    <hyperlink ref="B420" r:id="rId419"/>
    <hyperlink ref="B421" r:id="rId420"/>
    <hyperlink ref="B422" r:id="rId421"/>
    <hyperlink ref="B423" r:id="rId422"/>
    <hyperlink ref="B424" r:id="rId423"/>
    <hyperlink ref="B425" r:id="rId424"/>
    <hyperlink ref="B426" r:id="rId425"/>
    <hyperlink ref="B427" r:id="rId426"/>
    <hyperlink ref="B428" r:id="rId427"/>
    <hyperlink ref="B429" r:id="rId428"/>
    <hyperlink ref="B430" r:id="rId429"/>
    <hyperlink ref="B431" r:id="rId430"/>
    <hyperlink ref="B432" r:id="rId431"/>
    <hyperlink ref="B433" r:id="rId432"/>
    <hyperlink ref="B434" r:id="rId433"/>
    <hyperlink ref="B435" r:id="rId434"/>
    <hyperlink ref="B436" r:id="rId435"/>
    <hyperlink ref="B437" r:id="rId436"/>
    <hyperlink ref="B438" r:id="rId437"/>
    <hyperlink ref="B439" r:id="rId438"/>
    <hyperlink ref="B440" r:id="rId439"/>
    <hyperlink ref="B441" r:id="rId440"/>
    <hyperlink ref="R2" r:id="rId441"/>
    <hyperlink ref="R3" r:id="rId442"/>
    <hyperlink ref="R4" r:id="rId443"/>
    <hyperlink ref="R5" r:id="rId444"/>
    <hyperlink ref="R6" r:id="rId445"/>
    <hyperlink ref="R7" r:id="rId446"/>
    <hyperlink ref="R8" r:id="rId447"/>
    <hyperlink ref="R9" r:id="rId448"/>
    <hyperlink ref="R10" r:id="rId449"/>
    <hyperlink ref="R11" r:id="rId450"/>
    <hyperlink ref="R12" r:id="rId451"/>
    <hyperlink ref="R13" r:id="rId452"/>
    <hyperlink ref="R14" r:id="rId453"/>
    <hyperlink ref="R15" r:id="rId454"/>
    <hyperlink ref="R16" r:id="rId455"/>
    <hyperlink ref="R17" r:id="rId456"/>
    <hyperlink ref="R18" r:id="rId457"/>
    <hyperlink ref="R19" r:id="rId458"/>
    <hyperlink ref="R20" r:id="rId459"/>
    <hyperlink ref="R21" r:id="rId460"/>
    <hyperlink ref="R22" r:id="rId461"/>
    <hyperlink ref="R23" r:id="rId462"/>
    <hyperlink ref="R24" r:id="rId463"/>
    <hyperlink ref="R25" r:id="rId464"/>
    <hyperlink ref="R26" r:id="rId465"/>
    <hyperlink ref="R27" r:id="rId466"/>
    <hyperlink ref="R28" r:id="rId467"/>
    <hyperlink ref="R29" r:id="rId468"/>
    <hyperlink ref="R30" r:id="rId469"/>
    <hyperlink ref="R31" r:id="rId470"/>
    <hyperlink ref="R32" r:id="rId471"/>
    <hyperlink ref="R33" r:id="rId472"/>
    <hyperlink ref="R34" r:id="rId473"/>
    <hyperlink ref="R35" r:id="rId474"/>
    <hyperlink ref="R36" r:id="rId475"/>
    <hyperlink ref="R37" r:id="rId476"/>
    <hyperlink ref="R38" r:id="rId477"/>
    <hyperlink ref="R39" r:id="rId478"/>
    <hyperlink ref="R40" r:id="rId479"/>
    <hyperlink ref="R41" r:id="rId480"/>
    <hyperlink ref="R42" r:id="rId481"/>
    <hyperlink ref="R43" r:id="rId482"/>
    <hyperlink ref="R44" r:id="rId483"/>
    <hyperlink ref="R45" r:id="rId484"/>
    <hyperlink ref="R46" r:id="rId485"/>
    <hyperlink ref="R47" r:id="rId486"/>
    <hyperlink ref="R48" r:id="rId487"/>
    <hyperlink ref="R49" r:id="rId488"/>
    <hyperlink ref="R50" r:id="rId489"/>
    <hyperlink ref="R51" r:id="rId490"/>
    <hyperlink ref="R52" r:id="rId491"/>
    <hyperlink ref="R53" r:id="rId492"/>
    <hyperlink ref="R54" r:id="rId493"/>
    <hyperlink ref="R55" r:id="rId494"/>
    <hyperlink ref="R56" r:id="rId495"/>
    <hyperlink ref="R57" r:id="rId496"/>
    <hyperlink ref="R58" r:id="rId497"/>
    <hyperlink ref="R59" r:id="rId498"/>
    <hyperlink ref="R60" r:id="rId499"/>
    <hyperlink ref="R61" r:id="rId500"/>
    <hyperlink ref="R62" r:id="rId501"/>
    <hyperlink ref="R63" r:id="rId502"/>
    <hyperlink ref="R64" r:id="rId503"/>
    <hyperlink ref="R65" r:id="rId504"/>
    <hyperlink ref="R66" r:id="rId505"/>
    <hyperlink ref="R67" r:id="rId506"/>
    <hyperlink ref="R68" r:id="rId507"/>
    <hyperlink ref="R69" r:id="rId508"/>
    <hyperlink ref="R70" r:id="rId509"/>
    <hyperlink ref="R71" r:id="rId510"/>
    <hyperlink ref="R72" r:id="rId511"/>
    <hyperlink ref="R73" r:id="rId512"/>
    <hyperlink ref="R74" r:id="rId513"/>
    <hyperlink ref="R75" r:id="rId514"/>
    <hyperlink ref="R76" r:id="rId515"/>
    <hyperlink ref="R77" r:id="rId516"/>
    <hyperlink ref="R78" r:id="rId517"/>
    <hyperlink ref="R79" r:id="rId518"/>
    <hyperlink ref="R80" r:id="rId519"/>
    <hyperlink ref="R81" r:id="rId520"/>
    <hyperlink ref="R82" r:id="rId521"/>
    <hyperlink ref="R83" r:id="rId522"/>
    <hyperlink ref="R84" r:id="rId523"/>
    <hyperlink ref="R85" r:id="rId524"/>
    <hyperlink ref="R86" r:id="rId525"/>
    <hyperlink ref="R87" r:id="rId526"/>
    <hyperlink ref="R88" r:id="rId527"/>
    <hyperlink ref="R89" r:id="rId528"/>
    <hyperlink ref="R90" r:id="rId529"/>
    <hyperlink ref="R91" r:id="rId530"/>
    <hyperlink ref="R92" r:id="rId531"/>
    <hyperlink ref="R93" r:id="rId532"/>
    <hyperlink ref="R94" r:id="rId533"/>
    <hyperlink ref="R95" r:id="rId534"/>
    <hyperlink ref="R96" r:id="rId535"/>
    <hyperlink ref="R97" r:id="rId536"/>
    <hyperlink ref="R98" r:id="rId537"/>
    <hyperlink ref="R99" r:id="rId538"/>
    <hyperlink ref="R100" r:id="rId539"/>
    <hyperlink ref="R101" r:id="rId540"/>
    <hyperlink ref="R102" r:id="rId541"/>
    <hyperlink ref="R103" r:id="rId542"/>
    <hyperlink ref="R104" r:id="rId543"/>
    <hyperlink ref="R105" r:id="rId544"/>
    <hyperlink ref="R106" r:id="rId545"/>
    <hyperlink ref="R107" r:id="rId546"/>
    <hyperlink ref="R108" r:id="rId547"/>
    <hyperlink ref="R109" r:id="rId548"/>
    <hyperlink ref="R110" r:id="rId549"/>
    <hyperlink ref="R111" r:id="rId550"/>
    <hyperlink ref="R112" r:id="rId551"/>
    <hyperlink ref="R113" r:id="rId552"/>
    <hyperlink ref="R114" r:id="rId553"/>
    <hyperlink ref="R115" r:id="rId554"/>
    <hyperlink ref="R116" r:id="rId555"/>
    <hyperlink ref="R117" r:id="rId556"/>
    <hyperlink ref="R118" r:id="rId557"/>
    <hyperlink ref="R119" r:id="rId558"/>
    <hyperlink ref="R120" r:id="rId559"/>
    <hyperlink ref="R121" r:id="rId560"/>
    <hyperlink ref="R122" r:id="rId561"/>
    <hyperlink ref="R123" r:id="rId562"/>
    <hyperlink ref="R124" r:id="rId563"/>
    <hyperlink ref="R125" r:id="rId564"/>
    <hyperlink ref="R126" r:id="rId565"/>
    <hyperlink ref="R127" r:id="rId566"/>
    <hyperlink ref="R128" r:id="rId567"/>
    <hyperlink ref="R129" r:id="rId568"/>
    <hyperlink ref="R130" r:id="rId569"/>
    <hyperlink ref="R131" r:id="rId570"/>
    <hyperlink ref="R132" r:id="rId571"/>
    <hyperlink ref="R133" r:id="rId572"/>
    <hyperlink ref="R134" r:id="rId573"/>
    <hyperlink ref="R135" r:id="rId574"/>
    <hyperlink ref="R136" r:id="rId575"/>
    <hyperlink ref="R137" r:id="rId576"/>
    <hyperlink ref="R138" r:id="rId577"/>
    <hyperlink ref="R139" r:id="rId578"/>
    <hyperlink ref="R140" r:id="rId579"/>
    <hyperlink ref="R141" r:id="rId580"/>
    <hyperlink ref="R142" r:id="rId581"/>
    <hyperlink ref="R143" r:id="rId582"/>
    <hyperlink ref="R144" r:id="rId583"/>
    <hyperlink ref="R145" r:id="rId584"/>
    <hyperlink ref="R146" r:id="rId585"/>
    <hyperlink ref="R147" r:id="rId586"/>
    <hyperlink ref="R148" r:id="rId587"/>
    <hyperlink ref="R149" r:id="rId588"/>
    <hyperlink ref="R150" r:id="rId589"/>
    <hyperlink ref="R151" r:id="rId590"/>
    <hyperlink ref="R152" r:id="rId591"/>
    <hyperlink ref="R153" r:id="rId592"/>
    <hyperlink ref="R154" r:id="rId593"/>
    <hyperlink ref="R155" r:id="rId594"/>
    <hyperlink ref="R156" r:id="rId595"/>
    <hyperlink ref="R157" r:id="rId596"/>
    <hyperlink ref="R158" r:id="rId597"/>
    <hyperlink ref="R159" r:id="rId598"/>
    <hyperlink ref="R160" r:id="rId599"/>
    <hyperlink ref="R161" r:id="rId600"/>
    <hyperlink ref="R162" r:id="rId601"/>
    <hyperlink ref="R163" r:id="rId602"/>
    <hyperlink ref="R164" r:id="rId603"/>
    <hyperlink ref="R165" r:id="rId604"/>
    <hyperlink ref="R166" r:id="rId605"/>
    <hyperlink ref="R167" r:id="rId606"/>
    <hyperlink ref="R168" r:id="rId607"/>
    <hyperlink ref="R169" r:id="rId608"/>
    <hyperlink ref="R170" r:id="rId609"/>
    <hyperlink ref="R171" r:id="rId610"/>
    <hyperlink ref="R172" r:id="rId611"/>
    <hyperlink ref="R173" r:id="rId612"/>
    <hyperlink ref="R174" r:id="rId613"/>
    <hyperlink ref="R175" r:id="rId614"/>
    <hyperlink ref="R176" r:id="rId615"/>
    <hyperlink ref="R177" r:id="rId616"/>
    <hyperlink ref="R178" r:id="rId617"/>
    <hyperlink ref="R179" r:id="rId618"/>
    <hyperlink ref="R180" r:id="rId619"/>
    <hyperlink ref="R181" r:id="rId620"/>
    <hyperlink ref="R182" r:id="rId621"/>
    <hyperlink ref="R183" r:id="rId622"/>
    <hyperlink ref="R184" r:id="rId623"/>
    <hyperlink ref="R185" r:id="rId624"/>
    <hyperlink ref="R186" r:id="rId625"/>
    <hyperlink ref="R187" r:id="rId626"/>
    <hyperlink ref="R188" r:id="rId627"/>
    <hyperlink ref="R189" r:id="rId628"/>
    <hyperlink ref="R190" r:id="rId629"/>
    <hyperlink ref="R191" r:id="rId630"/>
    <hyperlink ref="R192" r:id="rId631"/>
    <hyperlink ref="R193" r:id="rId632"/>
    <hyperlink ref="R194" r:id="rId633"/>
    <hyperlink ref="R195" r:id="rId634"/>
    <hyperlink ref="R196" r:id="rId635"/>
    <hyperlink ref="R197" r:id="rId636"/>
    <hyperlink ref="R198" r:id="rId637"/>
    <hyperlink ref="R199" r:id="rId638"/>
    <hyperlink ref="R200" r:id="rId639"/>
    <hyperlink ref="R201" r:id="rId640"/>
    <hyperlink ref="R202" r:id="rId641"/>
    <hyperlink ref="R203" r:id="rId642"/>
    <hyperlink ref="R204" r:id="rId643"/>
    <hyperlink ref="R205" r:id="rId644"/>
    <hyperlink ref="R206" r:id="rId645"/>
    <hyperlink ref="R207" r:id="rId646"/>
    <hyperlink ref="R208" r:id="rId647"/>
    <hyperlink ref="R209" r:id="rId648"/>
    <hyperlink ref="R210" r:id="rId649"/>
    <hyperlink ref="R211" r:id="rId650"/>
    <hyperlink ref="R212" r:id="rId651"/>
    <hyperlink ref="R213" r:id="rId652"/>
    <hyperlink ref="R214" r:id="rId653"/>
    <hyperlink ref="R215" r:id="rId654"/>
    <hyperlink ref="R216" r:id="rId655"/>
    <hyperlink ref="R217" r:id="rId656"/>
    <hyperlink ref="R218" r:id="rId657"/>
    <hyperlink ref="R219" r:id="rId658"/>
    <hyperlink ref="R220" r:id="rId659"/>
    <hyperlink ref="R221" r:id="rId660"/>
    <hyperlink ref="R222" r:id="rId661"/>
    <hyperlink ref="R223" r:id="rId662"/>
    <hyperlink ref="R224" r:id="rId663"/>
    <hyperlink ref="R225" r:id="rId664"/>
    <hyperlink ref="R226" r:id="rId665"/>
    <hyperlink ref="R227" r:id="rId666"/>
    <hyperlink ref="R228" r:id="rId667"/>
    <hyperlink ref="R229" r:id="rId668"/>
    <hyperlink ref="R230" r:id="rId669"/>
    <hyperlink ref="R231" r:id="rId670"/>
    <hyperlink ref="R232" r:id="rId671"/>
    <hyperlink ref="R233" r:id="rId672"/>
    <hyperlink ref="R234" r:id="rId673"/>
    <hyperlink ref="R235" r:id="rId674"/>
    <hyperlink ref="R236" r:id="rId675"/>
    <hyperlink ref="R237" r:id="rId676"/>
    <hyperlink ref="R238" r:id="rId677"/>
    <hyperlink ref="R239" r:id="rId678"/>
    <hyperlink ref="R240" r:id="rId679"/>
    <hyperlink ref="R241" r:id="rId680"/>
    <hyperlink ref="R242" r:id="rId681"/>
    <hyperlink ref="R243" r:id="rId682"/>
    <hyperlink ref="R244" r:id="rId683"/>
    <hyperlink ref="R245" r:id="rId684"/>
    <hyperlink ref="R246" r:id="rId685"/>
    <hyperlink ref="R247" r:id="rId686"/>
    <hyperlink ref="R248" r:id="rId687"/>
    <hyperlink ref="R249" r:id="rId688"/>
    <hyperlink ref="R250" r:id="rId689"/>
    <hyperlink ref="R251" r:id="rId690"/>
    <hyperlink ref="R252" r:id="rId691"/>
    <hyperlink ref="R253" r:id="rId692"/>
    <hyperlink ref="R254" r:id="rId693"/>
    <hyperlink ref="R255" r:id="rId694"/>
    <hyperlink ref="R256" r:id="rId695"/>
    <hyperlink ref="R257" r:id="rId696"/>
    <hyperlink ref="R258" r:id="rId697"/>
    <hyperlink ref="R259" r:id="rId698"/>
    <hyperlink ref="R260" r:id="rId699"/>
    <hyperlink ref="R261" r:id="rId700"/>
    <hyperlink ref="R262" r:id="rId701"/>
    <hyperlink ref="R263" r:id="rId702"/>
    <hyperlink ref="R264" r:id="rId703"/>
    <hyperlink ref="R265" r:id="rId704"/>
    <hyperlink ref="R266" r:id="rId705"/>
    <hyperlink ref="R267" r:id="rId706"/>
    <hyperlink ref="R268" r:id="rId707"/>
    <hyperlink ref="R269" r:id="rId708"/>
    <hyperlink ref="R270" r:id="rId709"/>
    <hyperlink ref="R271" r:id="rId710"/>
    <hyperlink ref="R272" r:id="rId711"/>
    <hyperlink ref="R273" r:id="rId712"/>
    <hyperlink ref="R274" r:id="rId713"/>
    <hyperlink ref="R275" r:id="rId714"/>
    <hyperlink ref="R276" r:id="rId715"/>
    <hyperlink ref="R277" r:id="rId716"/>
    <hyperlink ref="R278" r:id="rId717"/>
    <hyperlink ref="R279" r:id="rId718"/>
    <hyperlink ref="R280" r:id="rId719"/>
    <hyperlink ref="R281" r:id="rId720"/>
    <hyperlink ref="R282" r:id="rId721"/>
    <hyperlink ref="R283" r:id="rId722"/>
    <hyperlink ref="R284" r:id="rId723"/>
    <hyperlink ref="R285" r:id="rId724"/>
    <hyperlink ref="R286" r:id="rId725"/>
    <hyperlink ref="R287" r:id="rId726"/>
    <hyperlink ref="R288" r:id="rId727"/>
    <hyperlink ref="R289" r:id="rId728"/>
    <hyperlink ref="R290" r:id="rId729"/>
    <hyperlink ref="R291" r:id="rId730"/>
    <hyperlink ref="R292" r:id="rId731"/>
    <hyperlink ref="R293" r:id="rId732"/>
    <hyperlink ref="R294" r:id="rId733"/>
    <hyperlink ref="R295" r:id="rId734"/>
    <hyperlink ref="R296" r:id="rId735"/>
    <hyperlink ref="R297" r:id="rId736"/>
    <hyperlink ref="R298" r:id="rId737"/>
    <hyperlink ref="R299" r:id="rId738"/>
    <hyperlink ref="R300" r:id="rId739"/>
    <hyperlink ref="R301" r:id="rId740"/>
    <hyperlink ref="R302" r:id="rId741"/>
    <hyperlink ref="R303" r:id="rId742"/>
    <hyperlink ref="R304" r:id="rId743"/>
    <hyperlink ref="R305" r:id="rId744"/>
    <hyperlink ref="R306" r:id="rId745"/>
    <hyperlink ref="R307" r:id="rId746"/>
    <hyperlink ref="R308" r:id="rId747"/>
    <hyperlink ref="R309" r:id="rId748"/>
    <hyperlink ref="R310" r:id="rId749"/>
    <hyperlink ref="R311" r:id="rId750"/>
    <hyperlink ref="R312" r:id="rId751"/>
    <hyperlink ref="R313" r:id="rId752"/>
    <hyperlink ref="R314" r:id="rId753"/>
    <hyperlink ref="R315" r:id="rId754"/>
    <hyperlink ref="R316" r:id="rId755"/>
    <hyperlink ref="R317" r:id="rId756"/>
    <hyperlink ref="R318" r:id="rId757"/>
    <hyperlink ref="R319" r:id="rId758"/>
    <hyperlink ref="R320" r:id="rId759"/>
    <hyperlink ref="R321" r:id="rId760"/>
    <hyperlink ref="R322" r:id="rId761"/>
    <hyperlink ref="R323" r:id="rId762"/>
    <hyperlink ref="R324" r:id="rId763"/>
    <hyperlink ref="R325" r:id="rId764"/>
    <hyperlink ref="R326" r:id="rId765"/>
    <hyperlink ref="R327" r:id="rId766"/>
    <hyperlink ref="R328" r:id="rId767"/>
    <hyperlink ref="R329" r:id="rId768"/>
    <hyperlink ref="R330" r:id="rId769"/>
    <hyperlink ref="R331" r:id="rId770"/>
    <hyperlink ref="R332" r:id="rId771"/>
    <hyperlink ref="R333" r:id="rId772"/>
    <hyperlink ref="R334" r:id="rId773"/>
    <hyperlink ref="R335" r:id="rId774"/>
    <hyperlink ref="R336" r:id="rId775"/>
    <hyperlink ref="R337" r:id="rId776"/>
    <hyperlink ref="R338" r:id="rId777"/>
    <hyperlink ref="R339" r:id="rId778"/>
    <hyperlink ref="R340" r:id="rId779"/>
    <hyperlink ref="R341" r:id="rId780"/>
    <hyperlink ref="R342" r:id="rId781"/>
    <hyperlink ref="R343" r:id="rId782"/>
    <hyperlink ref="R344" r:id="rId783"/>
    <hyperlink ref="R345" r:id="rId784"/>
    <hyperlink ref="R346" r:id="rId785"/>
    <hyperlink ref="R347" r:id="rId786"/>
    <hyperlink ref="R348" r:id="rId787"/>
    <hyperlink ref="R349" r:id="rId788"/>
    <hyperlink ref="R350" r:id="rId789"/>
    <hyperlink ref="R351" r:id="rId790"/>
    <hyperlink ref="R352" r:id="rId791"/>
    <hyperlink ref="R353" r:id="rId792"/>
    <hyperlink ref="R354" r:id="rId793"/>
    <hyperlink ref="R355" r:id="rId794"/>
    <hyperlink ref="R356" r:id="rId795"/>
    <hyperlink ref="R357" r:id="rId796"/>
    <hyperlink ref="R358" r:id="rId797"/>
    <hyperlink ref="R359" r:id="rId798"/>
    <hyperlink ref="R360" r:id="rId799"/>
    <hyperlink ref="R361" r:id="rId800"/>
    <hyperlink ref="R362" r:id="rId801"/>
    <hyperlink ref="R363" r:id="rId802"/>
    <hyperlink ref="R364" r:id="rId803"/>
    <hyperlink ref="R365" r:id="rId804"/>
    <hyperlink ref="R366" r:id="rId805"/>
    <hyperlink ref="R367" r:id="rId806"/>
    <hyperlink ref="R368" r:id="rId807"/>
    <hyperlink ref="R369" r:id="rId808"/>
    <hyperlink ref="R370" r:id="rId809"/>
    <hyperlink ref="R371" r:id="rId810"/>
    <hyperlink ref="R372" r:id="rId811"/>
    <hyperlink ref="R373" r:id="rId812"/>
    <hyperlink ref="R374" r:id="rId813"/>
    <hyperlink ref="R375" r:id="rId814"/>
    <hyperlink ref="R376" r:id="rId815"/>
    <hyperlink ref="R377" r:id="rId816"/>
    <hyperlink ref="R378" r:id="rId817"/>
    <hyperlink ref="R379" r:id="rId818"/>
    <hyperlink ref="R380" r:id="rId819"/>
    <hyperlink ref="R381" r:id="rId820"/>
    <hyperlink ref="R382" r:id="rId821"/>
    <hyperlink ref="R383" r:id="rId822"/>
    <hyperlink ref="R384" r:id="rId823"/>
    <hyperlink ref="R385" r:id="rId824"/>
    <hyperlink ref="R386" r:id="rId825"/>
    <hyperlink ref="R387" r:id="rId826"/>
    <hyperlink ref="R388" r:id="rId827"/>
    <hyperlink ref="R389" r:id="rId828"/>
    <hyperlink ref="R390" r:id="rId829"/>
    <hyperlink ref="R391" r:id="rId830"/>
    <hyperlink ref="R392" r:id="rId831"/>
    <hyperlink ref="R393" r:id="rId832"/>
    <hyperlink ref="R394" r:id="rId833"/>
    <hyperlink ref="R395" r:id="rId834"/>
    <hyperlink ref="R396" r:id="rId835"/>
    <hyperlink ref="R397" r:id="rId836"/>
    <hyperlink ref="R398" r:id="rId837"/>
    <hyperlink ref="R399" r:id="rId838"/>
    <hyperlink ref="R400" r:id="rId839"/>
    <hyperlink ref="R401" r:id="rId840"/>
    <hyperlink ref="R402" r:id="rId841"/>
    <hyperlink ref="R403" r:id="rId842"/>
    <hyperlink ref="R404" r:id="rId843"/>
    <hyperlink ref="R405" r:id="rId844"/>
    <hyperlink ref="R406" r:id="rId845"/>
    <hyperlink ref="R407" r:id="rId846"/>
    <hyperlink ref="R408" r:id="rId847"/>
    <hyperlink ref="R409" r:id="rId848"/>
    <hyperlink ref="R410" r:id="rId849"/>
    <hyperlink ref="R411" r:id="rId850"/>
    <hyperlink ref="R412" r:id="rId851"/>
    <hyperlink ref="R413" r:id="rId852"/>
    <hyperlink ref="R414" r:id="rId853"/>
    <hyperlink ref="R415" r:id="rId854"/>
    <hyperlink ref="R416" r:id="rId855"/>
    <hyperlink ref="R417" r:id="rId856"/>
    <hyperlink ref="R418" r:id="rId857"/>
    <hyperlink ref="R419" r:id="rId858"/>
    <hyperlink ref="R420" r:id="rId859"/>
    <hyperlink ref="R421" r:id="rId860"/>
    <hyperlink ref="R422" r:id="rId861"/>
    <hyperlink ref="R423" r:id="rId862"/>
    <hyperlink ref="R424" r:id="rId863"/>
    <hyperlink ref="R425" r:id="rId864"/>
    <hyperlink ref="R426" r:id="rId865"/>
    <hyperlink ref="R427" r:id="rId866"/>
    <hyperlink ref="R428" r:id="rId867"/>
    <hyperlink ref="R429" r:id="rId868"/>
    <hyperlink ref="R430" r:id="rId869"/>
    <hyperlink ref="R431" r:id="rId870"/>
    <hyperlink ref="R432" r:id="rId871"/>
    <hyperlink ref="R433" r:id="rId872"/>
    <hyperlink ref="R434" r:id="rId873"/>
    <hyperlink ref="R435" r:id="rId874"/>
    <hyperlink ref="R436" r:id="rId875"/>
    <hyperlink ref="R437" r:id="rId876"/>
    <hyperlink ref="R438" r:id="rId877"/>
    <hyperlink ref="R439" r:id="rId878"/>
    <hyperlink ref="R440" r:id="rId879"/>
    <hyperlink ref="R441" r:id="rId880"/>
  </hyperlinks>
  <pageMargins left="0.7" right="0.7" top="0.75" bottom="0.75" header="0.3" footer="0.3"/>
  <pageSetup orientation="portrait" verticalDpi="0" r:id="rId881"/>
  <tableParts count="1">
    <tablePart r:id="rId882"/>
  </tablePart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4">
    <tabColor theme="7"/>
  </sheetPr>
  <dimension ref="A1:Y1015"/>
  <sheetViews>
    <sheetView topLeftCell="B1" workbookViewId="0">
      <pane ySplit="1" topLeftCell="A2" activePane="bottomLeft" state="frozen"/>
      <selection activeCell="AW132" sqref="AW132"/>
      <selection pane="bottomLeft" activeCell="AW132" sqref="AW132"/>
    </sheetView>
  </sheetViews>
  <sheetFormatPr defaultRowHeight="12.75" outlineLevelCol="1" x14ac:dyDescent="0.2"/>
  <cols>
    <col min="1" max="1" width="18" hidden="1" customWidth="1" outlineLevel="1"/>
    <col min="2" max="2" width="35.5703125" customWidth="1" collapsed="1"/>
    <col min="3" max="3" width="12.140625" customWidth="1"/>
    <col min="4" max="4" width="16.85546875" customWidth="1"/>
    <col min="5" max="5" width="11.42578125" hidden="1" customWidth="1" outlineLevel="1"/>
    <col min="6" max="6" width="25.85546875" hidden="1" customWidth="1" outlineLevel="1"/>
    <col min="7" max="7" width="22.85546875" customWidth="1" collapsed="1"/>
    <col min="8" max="8" width="11.140625" customWidth="1"/>
    <col min="9" max="9" width="8.5703125" customWidth="1"/>
    <col min="10" max="10" width="9.42578125" customWidth="1"/>
    <col min="11" max="11" width="11.42578125" hidden="1" customWidth="1" outlineLevel="1"/>
    <col min="12" max="12" width="13.5703125" customWidth="1" collapsed="1"/>
    <col min="13" max="13" width="13.85546875" hidden="1" customWidth="1" outlineLevel="1"/>
    <col min="14" max="14" width="14.42578125" bestFit="1" customWidth="1" collapsed="1"/>
    <col min="15" max="15" width="14.42578125" hidden="1" customWidth="1" outlineLevel="1"/>
    <col min="16" max="16" width="13.42578125" bestFit="1" customWidth="1" collapsed="1"/>
    <col min="18" max="18" width="8.85546875" hidden="1" customWidth="1" outlineLevel="1"/>
    <col min="19" max="19" width="11.5703125" hidden="1" customWidth="1" outlineLevel="1"/>
    <col min="20" max="20" width="7.42578125" customWidth="1" collapsed="1"/>
    <col min="21" max="21" width="20.5703125" customWidth="1"/>
    <col min="22" max="22" width="12.5703125" customWidth="1"/>
    <col min="23" max="23" width="8.5703125" customWidth="1"/>
    <col min="24" max="24" width="16.42578125" customWidth="1" outlineLevel="1"/>
    <col min="25" max="25" width="7.85546875" customWidth="1"/>
    <col min="27" max="27" width="12.42578125" bestFit="1" customWidth="1"/>
    <col min="28" max="28" width="28.140625" bestFit="1" customWidth="1"/>
  </cols>
  <sheetData>
    <row r="1" spans="1:25" ht="38.25" customHeight="1" thickBot="1" x14ac:dyDescent="0.25">
      <c r="A1" s="59" t="s">
        <v>1151</v>
      </c>
      <c r="B1" s="10" t="s">
        <v>590</v>
      </c>
      <c r="C1" s="9" t="s">
        <v>1281</v>
      </c>
      <c r="D1" s="9" t="s">
        <v>6</v>
      </c>
      <c r="E1" s="2" t="s">
        <v>856</v>
      </c>
      <c r="F1" s="2" t="s">
        <v>857</v>
      </c>
      <c r="G1" s="2" t="s">
        <v>584</v>
      </c>
      <c r="H1" s="2" t="s">
        <v>585</v>
      </c>
      <c r="I1" s="2" t="s">
        <v>1734</v>
      </c>
      <c r="J1" s="2" t="s">
        <v>1735</v>
      </c>
      <c r="K1" s="2" t="s">
        <v>586</v>
      </c>
      <c r="L1" s="2" t="s">
        <v>587</v>
      </c>
      <c r="M1" s="2" t="s">
        <v>18</v>
      </c>
      <c r="N1" s="2" t="s">
        <v>19</v>
      </c>
      <c r="O1" s="2" t="s">
        <v>17</v>
      </c>
      <c r="P1" s="2" t="s">
        <v>20</v>
      </c>
      <c r="Q1" s="2" t="s">
        <v>589</v>
      </c>
      <c r="R1" s="2" t="s">
        <v>21</v>
      </c>
      <c r="S1" s="2" t="s">
        <v>583</v>
      </c>
      <c r="T1" s="161" t="s">
        <v>588</v>
      </c>
      <c r="U1" s="162" t="s">
        <v>1392</v>
      </c>
      <c r="V1" s="51" t="s">
        <v>1390</v>
      </c>
      <c r="W1" s="51" t="s">
        <v>1391</v>
      </c>
      <c r="X1" s="51" t="s">
        <v>5132</v>
      </c>
      <c r="Y1" s="51" t="s">
        <v>5133</v>
      </c>
    </row>
    <row r="2" spans="1:25" ht="15.75" thickTop="1" x14ac:dyDescent="0.2">
      <c r="A2" s="157" t="str">
        <f>CONCATENATE(SP_ACQ_Lib[[#This Row],[Acquisition Tract No.]],"_",SP_ACQ_Lib[[#This Row],[ACQ Document Type]])</f>
        <v>_CONTACT Negotiator Report</v>
      </c>
      <c r="B2" s="14" t="s">
        <v>4712</v>
      </c>
      <c r="C2" s="15"/>
      <c r="D2" s="12" t="s">
        <v>3029</v>
      </c>
      <c r="E2" s="8" t="s">
        <v>865</v>
      </c>
      <c r="F2" s="8" t="s">
        <v>1068</v>
      </c>
      <c r="G2" s="8" t="s">
        <v>1067</v>
      </c>
      <c r="H2" s="7" t="s">
        <v>592</v>
      </c>
      <c r="I2" s="16"/>
      <c r="J2" s="16"/>
      <c r="K2" s="17"/>
      <c r="L2" s="3"/>
      <c r="M2" s="8" t="s">
        <v>1744</v>
      </c>
      <c r="N2" s="11">
        <v>43930.872557870367</v>
      </c>
      <c r="O2" s="8" t="s">
        <v>1744</v>
      </c>
      <c r="P2" s="11">
        <v>43930.870763888888</v>
      </c>
      <c r="Q2" s="13">
        <v>688214</v>
      </c>
      <c r="R2" s="19" t="s">
        <v>594</v>
      </c>
      <c r="S2" s="14" t="s">
        <v>4713</v>
      </c>
      <c r="T2" s="163">
        <v>808</v>
      </c>
      <c r="U2" s="164" t="str">
        <f>CONCATENATE(LEFT(SP_ACQ_Lib[[#This Row],[Tax Parcel ID]],7),"_",SP_ACQ_Lib[[#This Row],[ACQ Document Type]])</f>
        <v>R023655_CONTACT Negotiator Report</v>
      </c>
      <c r="V2" s="65" t="e">
        <f>INDEX(SP_AcqTract_DB[WCAD Tax Parcel ID],MATCH(SP_ACQ_Lib[[#This Row],[Acquisition Tract No.]],SP_AcqTract_DB[Acquisition Tract No.],0))</f>
        <v>#N/A</v>
      </c>
      <c r="W2" s="48" t="str">
        <f>INDEX(SP_TaxPar_DB[Acquisition Tract No.],MATCH(LEFT(SP_ACQ_Lib[[#This Row],[Tax Parcel ID]],7),SP_TaxPar_DB[Tax Parcel ID],0))</f>
        <v>230</v>
      </c>
      <c r="X2" s="238">
        <f>IF(OR(SP_ACQ_Lib[[#This Row],[Acquisition Tract No.]]="",SP_ACQ_Lib[[#This Row],[ACQ Document Type]]=""),0,CONCATENATE("COW-FRMP_TR-",SP_ACQ_Lib[[#This Row],[Acquisition Tract No.]]," ",SP_ACQ_Lib[[#This Row],[ACQ Document Type]]))</f>
        <v>0</v>
      </c>
      <c r="Y2" s="239">
        <f>IF(OR(SP_ACQ_Lib[[#This Row],[File Name Convention]]=0,LEFT(SP_ACQ_Lib[[#This Row],[Name]],LEN(SP_ACQ_Lib[[#This Row],[File Name Convention]]))&lt;&gt;SP_ACQ_Lib[[#This Row],[File Name Convention]],ISERROR(SEARCH(SP_ACQ_Lib[[#This Row],[ACQ Document Type]],SP_ACQ_Lib[[#This Row],[Name]]))),1,0)</f>
        <v>1</v>
      </c>
    </row>
    <row r="3" spans="1:25" ht="15" x14ac:dyDescent="0.2">
      <c r="A3" s="157" t="str">
        <f>CONCATENATE(SP_ACQ_Lib[[#This Row],[Acquisition Tract No.]],"_",SP_ACQ_Lib[[#This Row],[ACQ Document Type]])</f>
        <v>_SURVEY Right-of-Entry</v>
      </c>
      <c r="B3" s="14" t="s">
        <v>668</v>
      </c>
      <c r="C3" s="15" t="s">
        <v>22</v>
      </c>
      <c r="D3" s="12" t="s">
        <v>593</v>
      </c>
      <c r="E3" s="8" t="s">
        <v>858</v>
      </c>
      <c r="F3" s="8" t="s">
        <v>859</v>
      </c>
      <c r="G3" s="8" t="s">
        <v>591</v>
      </c>
      <c r="H3" s="7" t="s">
        <v>592</v>
      </c>
      <c r="I3" s="16">
        <v>43713</v>
      </c>
      <c r="J3" s="16"/>
      <c r="K3" s="17"/>
      <c r="L3" s="3"/>
      <c r="M3" s="8" t="s">
        <v>4325</v>
      </c>
      <c r="N3" s="11">
        <v>43720.692314814813</v>
      </c>
      <c r="O3" s="8" t="s">
        <v>4325</v>
      </c>
      <c r="P3" s="11">
        <v>43718.355486111112</v>
      </c>
      <c r="Q3" s="13">
        <v>1478687</v>
      </c>
      <c r="R3" s="19" t="s">
        <v>594</v>
      </c>
      <c r="S3" s="14" t="s">
        <v>681</v>
      </c>
      <c r="T3" s="163">
        <v>229</v>
      </c>
      <c r="U3" s="164" t="str">
        <f>CONCATENATE(LEFT(SP_ACQ_Lib[[#This Row],[Tax Parcel ID]],7),"_",SP_ACQ_Lib[[#This Row],[ACQ Document Type]])</f>
        <v>R027673_SURVEY Right-of-Entry</v>
      </c>
      <c r="V3" s="65" t="e">
        <f>INDEX(SP_AcqTract_DB[WCAD Tax Parcel ID],MATCH(SP_ACQ_Lib[[#This Row],[Acquisition Tract No.]],SP_AcqTract_DB[Acquisition Tract No.],0))</f>
        <v>#N/A</v>
      </c>
      <c r="W3" s="48">
        <f>INDEX(SP_TaxPar_DB[Acquisition Tract No.],MATCH(LEFT(SP_ACQ_Lib[[#This Row],[Tax Parcel ID]],7),SP_TaxPar_DB[Tax Parcel ID],0))</f>
        <v>0</v>
      </c>
      <c r="X3" s="238">
        <f>IF(OR(SP_ACQ_Lib[[#This Row],[Acquisition Tract No.]]="",SP_ACQ_Lib[[#This Row],[ACQ Document Type]]=""),0,CONCATENATE("COW-FRMP_TR-",SP_ACQ_Lib[[#This Row],[Acquisition Tract No.]]," ",SP_ACQ_Lib[[#This Row],[ACQ Document Type]]))</f>
        <v>0</v>
      </c>
      <c r="Y3" s="239">
        <f>IF(OR(SP_ACQ_Lib[[#This Row],[File Name Convention]]=0,LEFT(SP_ACQ_Lib[[#This Row],[Name]],LEN(SP_ACQ_Lib[[#This Row],[File Name Convention]]))&lt;&gt;SP_ACQ_Lib[[#This Row],[File Name Convention]],ISERROR(SEARCH(SP_ACQ_Lib[[#This Row],[ACQ Document Type]],SP_ACQ_Lib[[#This Row],[Name]]))),1,0)</f>
        <v>1</v>
      </c>
    </row>
    <row r="4" spans="1:25" ht="15" x14ac:dyDescent="0.2">
      <c r="A4" s="157" t="str">
        <f>CONCATENATE(SP_ACQ_Lib[[#This Row],[Acquisition Tract No.]],"_",SP_ACQ_Lib[[#This Row],[ACQ Document Type]])</f>
        <v>_SURVEY Right-of-Entry</v>
      </c>
      <c r="B4" s="14" t="s">
        <v>669</v>
      </c>
      <c r="C4" s="15" t="s">
        <v>22</v>
      </c>
      <c r="D4" s="12" t="s">
        <v>596</v>
      </c>
      <c r="E4" s="8" t="s">
        <v>858</v>
      </c>
      <c r="F4" s="8" t="s">
        <v>859</v>
      </c>
      <c r="G4" s="8" t="s">
        <v>591</v>
      </c>
      <c r="H4" s="7" t="s">
        <v>592</v>
      </c>
      <c r="I4" s="16">
        <v>43724</v>
      </c>
      <c r="J4" s="16"/>
      <c r="K4" s="17"/>
      <c r="L4" s="3"/>
      <c r="M4" s="8" t="s">
        <v>4325</v>
      </c>
      <c r="N4" s="11">
        <v>43724.541076388887</v>
      </c>
      <c r="O4" s="8" t="s">
        <v>4325</v>
      </c>
      <c r="P4" s="11">
        <v>43724.540844907409</v>
      </c>
      <c r="Q4" s="13">
        <v>762133</v>
      </c>
      <c r="R4" s="19" t="s">
        <v>594</v>
      </c>
      <c r="S4" s="14" t="s">
        <v>683</v>
      </c>
      <c r="T4" s="163">
        <v>244</v>
      </c>
      <c r="U4" s="164" t="str">
        <f>CONCATENATE(LEFT(SP_ACQ_Lib[[#This Row],[Tax Parcel ID]],7),"_",SP_ACQ_Lib[[#This Row],[ACQ Document Type]])</f>
        <v>R027676_SURVEY Right-of-Entry</v>
      </c>
      <c r="V4" s="65" t="e">
        <f>INDEX(SP_AcqTract_DB[WCAD Tax Parcel ID],MATCH(SP_ACQ_Lib[[#This Row],[Acquisition Tract No.]],SP_AcqTract_DB[Acquisition Tract No.],0))</f>
        <v>#N/A</v>
      </c>
      <c r="W4" s="48">
        <f>INDEX(SP_TaxPar_DB[Acquisition Tract No.],MATCH(LEFT(SP_ACQ_Lib[[#This Row],[Tax Parcel ID]],7),SP_TaxPar_DB[Tax Parcel ID],0))</f>
        <v>0</v>
      </c>
      <c r="X4" s="238">
        <f>IF(OR(SP_ACQ_Lib[[#This Row],[Acquisition Tract No.]]="",SP_ACQ_Lib[[#This Row],[ACQ Document Type]]=""),0,CONCATENATE("COW-FRMP_TR-",SP_ACQ_Lib[[#This Row],[Acquisition Tract No.]]," ",SP_ACQ_Lib[[#This Row],[ACQ Document Type]]))</f>
        <v>0</v>
      </c>
      <c r="Y4" s="239">
        <f>IF(OR(SP_ACQ_Lib[[#This Row],[File Name Convention]]=0,LEFT(SP_ACQ_Lib[[#This Row],[Name]],LEN(SP_ACQ_Lib[[#This Row],[File Name Convention]]))&lt;&gt;SP_ACQ_Lib[[#This Row],[File Name Convention]],ISERROR(SEARCH(SP_ACQ_Lib[[#This Row],[ACQ Document Type]],SP_ACQ_Lib[[#This Row],[Name]]))),1,0)</f>
        <v>1</v>
      </c>
    </row>
    <row r="5" spans="1:25" ht="15" x14ac:dyDescent="0.2">
      <c r="A5" s="157" t="str">
        <f>CONCATENATE(SP_ACQ_Lib[[#This Row],[Acquisition Tract No.]],"_",SP_ACQ_Lib[[#This Row],[ACQ Document Type]])</f>
        <v>_SURVEY Right-of-Entry</v>
      </c>
      <c r="B5" s="14" t="s">
        <v>1176</v>
      </c>
      <c r="C5" s="15" t="s">
        <v>22</v>
      </c>
      <c r="D5" s="12" t="s">
        <v>915</v>
      </c>
      <c r="E5" s="8" t="s">
        <v>858</v>
      </c>
      <c r="F5" s="8" t="s">
        <v>859</v>
      </c>
      <c r="G5" s="8" t="s">
        <v>591</v>
      </c>
      <c r="H5" s="7" t="s">
        <v>592</v>
      </c>
      <c r="I5" s="16">
        <v>43696</v>
      </c>
      <c r="J5" s="16"/>
      <c r="K5" s="17"/>
      <c r="L5" s="3"/>
      <c r="M5" s="8" t="s">
        <v>4325</v>
      </c>
      <c r="N5" s="11">
        <v>43747.603194444448</v>
      </c>
      <c r="O5" s="8" t="s">
        <v>4325</v>
      </c>
      <c r="P5" s="11">
        <v>43747.602847222224</v>
      </c>
      <c r="Q5" s="13">
        <v>881834</v>
      </c>
      <c r="R5" s="19" t="s">
        <v>594</v>
      </c>
      <c r="S5" s="14" t="s">
        <v>1179</v>
      </c>
      <c r="T5" s="163">
        <v>416</v>
      </c>
      <c r="U5" s="164" t="str">
        <f>CONCATENATE(LEFT(SP_ACQ_Lib[[#This Row],[Tax Parcel ID]],7),"_",SP_ACQ_Lib[[#This Row],[ACQ Document Type]])</f>
        <v>R027658_SURVEY Right-of-Entry</v>
      </c>
      <c r="V5" s="65" t="e">
        <f>INDEX(SP_AcqTract_DB[WCAD Tax Parcel ID],MATCH(SP_ACQ_Lib[[#This Row],[Acquisition Tract No.]],SP_AcqTract_DB[Acquisition Tract No.],0))</f>
        <v>#N/A</v>
      </c>
      <c r="W5" s="48">
        <f>INDEX(SP_TaxPar_DB[Acquisition Tract No.],MATCH(LEFT(SP_ACQ_Lib[[#This Row],[Tax Parcel ID]],7),SP_TaxPar_DB[Tax Parcel ID],0))</f>
        <v>0</v>
      </c>
      <c r="X5" s="238">
        <f>IF(OR(SP_ACQ_Lib[[#This Row],[Acquisition Tract No.]]="",SP_ACQ_Lib[[#This Row],[ACQ Document Type]]=""),0,CONCATENATE("COW-FRMP_TR-",SP_ACQ_Lib[[#This Row],[Acquisition Tract No.]]," ",SP_ACQ_Lib[[#This Row],[ACQ Document Type]]))</f>
        <v>0</v>
      </c>
      <c r="Y5" s="239">
        <f>IF(OR(SP_ACQ_Lib[[#This Row],[File Name Convention]]=0,LEFT(SP_ACQ_Lib[[#This Row],[Name]],LEN(SP_ACQ_Lib[[#This Row],[File Name Convention]]))&lt;&gt;SP_ACQ_Lib[[#This Row],[File Name Convention]],ISERROR(SEARCH(SP_ACQ_Lib[[#This Row],[ACQ Document Type]],SP_ACQ_Lib[[#This Row],[Name]]))),1,0)</f>
        <v>1</v>
      </c>
    </row>
    <row r="6" spans="1:25" ht="15" x14ac:dyDescent="0.2">
      <c r="A6" s="157" t="str">
        <f>CONCATENATE(SP_ACQ_Lib[[#This Row],[Acquisition Tract No.]],"_",SP_ACQ_Lib[[#This Row],[ACQ Document Type]])</f>
        <v>_SURVEY Right-of-Entry CMRR</v>
      </c>
      <c r="B6" s="14" t="s">
        <v>670</v>
      </c>
      <c r="C6" s="15" t="s">
        <v>22</v>
      </c>
      <c r="D6" s="12" t="s">
        <v>599</v>
      </c>
      <c r="E6" s="8" t="s">
        <v>858</v>
      </c>
      <c r="F6" s="8" t="s">
        <v>860</v>
      </c>
      <c r="G6" s="8" t="s">
        <v>598</v>
      </c>
      <c r="H6" s="7" t="s">
        <v>592</v>
      </c>
      <c r="I6" s="16">
        <v>43691</v>
      </c>
      <c r="J6" s="16">
        <v>43701</v>
      </c>
      <c r="K6" s="17"/>
      <c r="L6" s="3" t="s">
        <v>3499</v>
      </c>
      <c r="M6" s="8" t="s">
        <v>4206</v>
      </c>
      <c r="N6" s="11">
        <v>43885.414942129632</v>
      </c>
      <c r="O6" s="8" t="s">
        <v>4325</v>
      </c>
      <c r="P6" s="11">
        <v>43699.450879629629</v>
      </c>
      <c r="Q6" s="13">
        <v>278942</v>
      </c>
      <c r="R6" s="19" t="s">
        <v>594</v>
      </c>
      <c r="S6" s="14" t="s">
        <v>685</v>
      </c>
      <c r="T6" s="163">
        <v>117</v>
      </c>
      <c r="U6" s="164" t="str">
        <f>CONCATENATE(LEFT(SP_ACQ_Lib[[#This Row],[Tax Parcel ID]],7),"_",SP_ACQ_Lib[[#This Row],[ACQ Document Type]])</f>
        <v>R027683_SURVEY Right-of-Entry CMRR</v>
      </c>
      <c r="V6" s="65" t="e">
        <f>INDEX(SP_AcqTract_DB[WCAD Tax Parcel ID],MATCH(SP_ACQ_Lib[[#This Row],[Acquisition Tract No.]],SP_AcqTract_DB[Acquisition Tract No.],0))</f>
        <v>#N/A</v>
      </c>
      <c r="W6" s="48">
        <f>INDEX(SP_TaxPar_DB[Acquisition Tract No.],MATCH(LEFT(SP_ACQ_Lib[[#This Row],[Tax Parcel ID]],7),SP_TaxPar_DB[Tax Parcel ID],0))</f>
        <v>0</v>
      </c>
      <c r="X6" s="238">
        <f>IF(OR(SP_ACQ_Lib[[#This Row],[Acquisition Tract No.]]="",SP_ACQ_Lib[[#This Row],[ACQ Document Type]]=""),0,CONCATENATE("COW-FRMP_TR-",SP_ACQ_Lib[[#This Row],[Acquisition Tract No.]]," ",SP_ACQ_Lib[[#This Row],[ACQ Document Type]]))</f>
        <v>0</v>
      </c>
      <c r="Y6" s="239">
        <f>IF(OR(SP_ACQ_Lib[[#This Row],[File Name Convention]]=0,LEFT(SP_ACQ_Lib[[#This Row],[Name]],LEN(SP_ACQ_Lib[[#This Row],[File Name Convention]]))&lt;&gt;SP_ACQ_Lib[[#This Row],[File Name Convention]],ISERROR(SEARCH(SP_ACQ_Lib[[#This Row],[ACQ Document Type]],SP_ACQ_Lib[[#This Row],[Name]]))),1,0)</f>
        <v>1</v>
      </c>
    </row>
    <row r="7" spans="1:25" ht="15" x14ac:dyDescent="0.2">
      <c r="A7" s="157" t="str">
        <f>CONCATENATE(SP_ACQ_Lib[[#This Row],[Acquisition Tract No.]],"_",SP_ACQ_Lib[[#This Row],[ACQ Document Type]])</f>
        <v>_SURVEY Right-of-Entry CMRR</v>
      </c>
      <c r="B7" s="14" t="s">
        <v>671</v>
      </c>
      <c r="C7" s="15" t="s">
        <v>22</v>
      </c>
      <c r="D7" s="12" t="s">
        <v>600</v>
      </c>
      <c r="E7" s="8" t="s">
        <v>858</v>
      </c>
      <c r="F7" s="8" t="s">
        <v>860</v>
      </c>
      <c r="G7" s="8" t="s">
        <v>598</v>
      </c>
      <c r="H7" s="7" t="s">
        <v>592</v>
      </c>
      <c r="I7" s="16">
        <v>43697</v>
      </c>
      <c r="J7" s="16">
        <v>43701</v>
      </c>
      <c r="K7" s="17"/>
      <c r="L7" s="3" t="s">
        <v>3499</v>
      </c>
      <c r="M7" s="8" t="s">
        <v>4206</v>
      </c>
      <c r="N7" s="11">
        <v>43885.416273148148</v>
      </c>
      <c r="O7" s="8" t="s">
        <v>4325</v>
      </c>
      <c r="P7" s="11">
        <v>43699.460775462961</v>
      </c>
      <c r="Q7" s="13">
        <v>229376</v>
      </c>
      <c r="R7" s="19" t="s">
        <v>594</v>
      </c>
      <c r="S7" s="14" t="s">
        <v>686</v>
      </c>
      <c r="T7" s="163">
        <v>127</v>
      </c>
      <c r="U7" s="164" t="str">
        <f>CONCATENATE(LEFT(SP_ACQ_Lib[[#This Row],[Tax Parcel ID]],7),"_",SP_ACQ_Lib[[#This Row],[ACQ Document Type]])</f>
        <v>R071321_SURVEY Right-of-Entry CMRR</v>
      </c>
      <c r="V7" s="65" t="e">
        <f>INDEX(SP_AcqTract_DB[WCAD Tax Parcel ID],MATCH(SP_ACQ_Lib[[#This Row],[Acquisition Tract No.]],SP_AcqTract_DB[Acquisition Tract No.],0))</f>
        <v>#N/A</v>
      </c>
      <c r="W7" s="48">
        <f>INDEX(SP_TaxPar_DB[Acquisition Tract No.],MATCH(LEFT(SP_ACQ_Lib[[#This Row],[Tax Parcel ID]],7),SP_TaxPar_DB[Tax Parcel ID],0))</f>
        <v>0</v>
      </c>
      <c r="X7" s="238">
        <f>IF(OR(SP_ACQ_Lib[[#This Row],[Acquisition Tract No.]]="",SP_ACQ_Lib[[#This Row],[ACQ Document Type]]=""),0,CONCATENATE("COW-FRMP_TR-",SP_ACQ_Lib[[#This Row],[Acquisition Tract No.]]," ",SP_ACQ_Lib[[#This Row],[ACQ Document Type]]))</f>
        <v>0</v>
      </c>
      <c r="Y7" s="239">
        <f>IF(OR(SP_ACQ_Lib[[#This Row],[File Name Convention]]=0,LEFT(SP_ACQ_Lib[[#This Row],[Name]],LEN(SP_ACQ_Lib[[#This Row],[File Name Convention]]))&lt;&gt;SP_ACQ_Lib[[#This Row],[File Name Convention]],ISERROR(SEARCH(SP_ACQ_Lib[[#This Row],[ACQ Document Type]],SP_ACQ_Lib[[#This Row],[Name]]))),1,0)</f>
        <v>1</v>
      </c>
    </row>
    <row r="8" spans="1:25" ht="15" x14ac:dyDescent="0.2">
      <c r="A8" s="157" t="str">
        <f>CONCATENATE(SP_ACQ_Lib[[#This Row],[Acquisition Tract No.]],"_",SP_ACQ_Lib[[#This Row],[ACQ Document Type]])</f>
        <v>_SURVEY Right-of-Entry CMRR</v>
      </c>
      <c r="B8" s="14" t="s">
        <v>672</v>
      </c>
      <c r="C8" s="15" t="s">
        <v>22</v>
      </c>
      <c r="D8" s="12" t="s">
        <v>604</v>
      </c>
      <c r="E8" s="8" t="s">
        <v>858</v>
      </c>
      <c r="F8" s="8" t="s">
        <v>860</v>
      </c>
      <c r="G8" s="8" t="s">
        <v>598</v>
      </c>
      <c r="H8" s="7" t="s">
        <v>608</v>
      </c>
      <c r="I8" s="16">
        <v>43697</v>
      </c>
      <c r="J8" s="16"/>
      <c r="K8" s="17"/>
      <c r="L8" s="3" t="s">
        <v>3515</v>
      </c>
      <c r="M8" s="8" t="s">
        <v>4206</v>
      </c>
      <c r="N8" s="11">
        <v>43923.539270833331</v>
      </c>
      <c r="O8" s="8" t="s">
        <v>4325</v>
      </c>
      <c r="P8" s="11">
        <v>43699.469224537039</v>
      </c>
      <c r="Q8" s="13">
        <v>280029</v>
      </c>
      <c r="R8" s="19" t="s">
        <v>594</v>
      </c>
      <c r="S8" s="14" t="s">
        <v>689</v>
      </c>
      <c r="T8" s="163">
        <v>133</v>
      </c>
      <c r="U8" s="164" t="str">
        <f>CONCATENATE(LEFT(SP_ACQ_Lib[[#This Row],[Tax Parcel ID]],7),"_",SP_ACQ_Lib[[#This Row],[ACQ Document Type]])</f>
        <v>R027680_SURVEY Right-of-Entry CMRR</v>
      </c>
      <c r="V8" s="65" t="e">
        <f>INDEX(SP_AcqTract_DB[WCAD Tax Parcel ID],MATCH(SP_ACQ_Lib[[#This Row],[Acquisition Tract No.]],SP_AcqTract_DB[Acquisition Tract No.],0))</f>
        <v>#N/A</v>
      </c>
      <c r="W8" s="48">
        <f>INDEX(SP_TaxPar_DB[Acquisition Tract No.],MATCH(LEFT(SP_ACQ_Lib[[#This Row],[Tax Parcel ID]],7),SP_TaxPar_DB[Tax Parcel ID],0))</f>
        <v>0</v>
      </c>
      <c r="X8" s="238">
        <f>IF(OR(SP_ACQ_Lib[[#This Row],[Acquisition Tract No.]]="",SP_ACQ_Lib[[#This Row],[ACQ Document Type]]=""),0,CONCATENATE("COW-FRMP_TR-",SP_ACQ_Lib[[#This Row],[Acquisition Tract No.]]," ",SP_ACQ_Lib[[#This Row],[ACQ Document Type]]))</f>
        <v>0</v>
      </c>
      <c r="Y8" s="239">
        <f>IF(OR(SP_ACQ_Lib[[#This Row],[File Name Convention]]=0,LEFT(SP_ACQ_Lib[[#This Row],[Name]],LEN(SP_ACQ_Lib[[#This Row],[File Name Convention]]))&lt;&gt;SP_ACQ_Lib[[#This Row],[File Name Convention]],ISERROR(SEARCH(SP_ACQ_Lib[[#This Row],[ACQ Document Type]],SP_ACQ_Lib[[#This Row],[Name]]))),1,0)</f>
        <v>1</v>
      </c>
    </row>
    <row r="9" spans="1:25" ht="15" x14ac:dyDescent="0.2">
      <c r="A9" s="157" t="str">
        <f>CONCATENATE(SP_ACQ_Lib[[#This Row],[Acquisition Tract No.]],"_",SP_ACQ_Lib[[#This Row],[ACQ Document Type]])</f>
        <v>_SURVEY Right-of-Entry CMRR</v>
      </c>
      <c r="B9" s="14" t="s">
        <v>673</v>
      </c>
      <c r="C9" s="15" t="s">
        <v>22</v>
      </c>
      <c r="D9" s="12" t="s">
        <v>606</v>
      </c>
      <c r="E9" s="8" t="s">
        <v>858</v>
      </c>
      <c r="F9" s="8" t="s">
        <v>860</v>
      </c>
      <c r="G9" s="8" t="s">
        <v>598</v>
      </c>
      <c r="H9" s="7" t="s">
        <v>592</v>
      </c>
      <c r="I9" s="16">
        <v>43697</v>
      </c>
      <c r="J9" s="16">
        <v>43703</v>
      </c>
      <c r="K9" s="17"/>
      <c r="L9" s="3"/>
      <c r="M9" s="8" t="s">
        <v>4206</v>
      </c>
      <c r="N9" s="11">
        <v>43885.457025462965</v>
      </c>
      <c r="O9" s="8" t="s">
        <v>4325</v>
      </c>
      <c r="P9" s="11">
        <v>43699.474398148152</v>
      </c>
      <c r="Q9" s="13">
        <v>331768</v>
      </c>
      <c r="R9" s="19" t="s">
        <v>594</v>
      </c>
      <c r="S9" s="14" t="s">
        <v>692</v>
      </c>
      <c r="T9" s="163">
        <v>136</v>
      </c>
      <c r="U9" s="164" t="str">
        <f>CONCATENATE(LEFT(SP_ACQ_Lib[[#This Row],[Tax Parcel ID]],7),"_",SP_ACQ_Lib[[#This Row],[ACQ Document Type]])</f>
        <v>R027672_SURVEY Right-of-Entry CMRR</v>
      </c>
      <c r="V9" s="65" t="e">
        <f>INDEX(SP_AcqTract_DB[WCAD Tax Parcel ID],MATCH(SP_ACQ_Lib[[#This Row],[Acquisition Tract No.]],SP_AcqTract_DB[Acquisition Tract No.],0))</f>
        <v>#N/A</v>
      </c>
      <c r="W9" s="48">
        <f>INDEX(SP_TaxPar_DB[Acquisition Tract No.],MATCH(LEFT(SP_ACQ_Lib[[#This Row],[Tax Parcel ID]],7),SP_TaxPar_DB[Tax Parcel ID],0))</f>
        <v>0</v>
      </c>
      <c r="X9" s="238">
        <f>IF(OR(SP_ACQ_Lib[[#This Row],[Acquisition Tract No.]]="",SP_ACQ_Lib[[#This Row],[ACQ Document Type]]=""),0,CONCATENATE("COW-FRMP_TR-",SP_ACQ_Lib[[#This Row],[Acquisition Tract No.]]," ",SP_ACQ_Lib[[#This Row],[ACQ Document Type]]))</f>
        <v>0</v>
      </c>
      <c r="Y9" s="239">
        <f>IF(OR(SP_ACQ_Lib[[#This Row],[File Name Convention]]=0,LEFT(SP_ACQ_Lib[[#This Row],[Name]],LEN(SP_ACQ_Lib[[#This Row],[File Name Convention]]))&lt;&gt;SP_ACQ_Lib[[#This Row],[File Name Convention]],ISERROR(SEARCH(SP_ACQ_Lib[[#This Row],[ACQ Document Type]],SP_ACQ_Lib[[#This Row],[Name]]))),1,0)</f>
        <v>1</v>
      </c>
    </row>
    <row r="10" spans="1:25" ht="15" x14ac:dyDescent="0.2">
      <c r="A10" s="157" t="str">
        <f>CONCATENATE(SP_ACQ_Lib[[#This Row],[Acquisition Tract No.]],"_",SP_ACQ_Lib[[#This Row],[ACQ Document Type]])</f>
        <v>_SURVEY Right-of-Entry CMRR</v>
      </c>
      <c r="B10" s="14" t="s">
        <v>674</v>
      </c>
      <c r="C10" s="15" t="s">
        <v>22</v>
      </c>
      <c r="D10" s="12" t="s">
        <v>607</v>
      </c>
      <c r="E10" s="8" t="s">
        <v>858</v>
      </c>
      <c r="F10" s="8" t="s">
        <v>860</v>
      </c>
      <c r="G10" s="8" t="s">
        <v>598</v>
      </c>
      <c r="H10" s="7" t="s">
        <v>608</v>
      </c>
      <c r="I10" s="16">
        <v>43697</v>
      </c>
      <c r="J10" s="16"/>
      <c r="K10" s="17"/>
      <c r="L10" s="3" t="s">
        <v>3514</v>
      </c>
      <c r="M10" s="8" t="s">
        <v>4206</v>
      </c>
      <c r="N10" s="11">
        <v>43885.463356481479</v>
      </c>
      <c r="O10" s="8" t="s">
        <v>4325</v>
      </c>
      <c r="P10" s="11">
        <v>43699.474849537037</v>
      </c>
      <c r="Q10" s="13">
        <v>230209</v>
      </c>
      <c r="R10" s="19" t="s">
        <v>594</v>
      </c>
      <c r="S10" s="14" t="s">
        <v>693</v>
      </c>
      <c r="T10" s="163">
        <v>137</v>
      </c>
      <c r="U10" s="164" t="str">
        <f>CONCATENATE(LEFT(SP_ACQ_Lib[[#This Row],[Tax Parcel ID]],7),"_",SP_ACQ_Lib[[#This Row],[ACQ Document Type]])</f>
        <v>R027674_SURVEY Right-of-Entry CMRR</v>
      </c>
      <c r="V10" s="65" t="e">
        <f>INDEX(SP_AcqTract_DB[WCAD Tax Parcel ID],MATCH(SP_ACQ_Lib[[#This Row],[Acquisition Tract No.]],SP_AcqTract_DB[Acquisition Tract No.],0))</f>
        <v>#N/A</v>
      </c>
      <c r="W10" s="48" t="str">
        <f>INDEX(SP_TaxPar_DB[Acquisition Tract No.],MATCH(LEFT(SP_ACQ_Lib[[#This Row],[Tax Parcel ID]],7),SP_TaxPar_DB[Tax Parcel ID],0))</f>
        <v/>
      </c>
      <c r="X10" s="238">
        <f>IF(OR(SP_ACQ_Lib[[#This Row],[Acquisition Tract No.]]="",SP_ACQ_Lib[[#This Row],[ACQ Document Type]]=""),0,CONCATENATE("COW-FRMP_TR-",SP_ACQ_Lib[[#This Row],[Acquisition Tract No.]]," ",SP_ACQ_Lib[[#This Row],[ACQ Document Type]]))</f>
        <v>0</v>
      </c>
      <c r="Y10" s="239">
        <f>IF(OR(SP_ACQ_Lib[[#This Row],[File Name Convention]]=0,LEFT(SP_ACQ_Lib[[#This Row],[Name]],LEN(SP_ACQ_Lib[[#This Row],[File Name Convention]]))&lt;&gt;SP_ACQ_Lib[[#This Row],[File Name Convention]],ISERROR(SEARCH(SP_ACQ_Lib[[#This Row],[ACQ Document Type]],SP_ACQ_Lib[[#This Row],[Name]]))),1,0)</f>
        <v>1</v>
      </c>
    </row>
    <row r="11" spans="1:25" ht="15" x14ac:dyDescent="0.2">
      <c r="A11" s="157" t="str">
        <f>CONCATENATE(SP_ACQ_Lib[[#This Row],[Acquisition Tract No.]],"_",SP_ACQ_Lib[[#This Row],[ACQ Document Type]])</f>
        <v>_SURVEY Right-of-Entry CMRR</v>
      </c>
      <c r="B11" s="14" t="s">
        <v>675</v>
      </c>
      <c r="C11" s="15" t="s">
        <v>22</v>
      </c>
      <c r="D11" s="12" t="s">
        <v>596</v>
      </c>
      <c r="E11" s="8" t="s">
        <v>858</v>
      </c>
      <c r="F11" s="8" t="s">
        <v>860</v>
      </c>
      <c r="G11" s="8" t="s">
        <v>598</v>
      </c>
      <c r="H11" s="7" t="s">
        <v>592</v>
      </c>
      <c r="I11" s="16">
        <v>43697</v>
      </c>
      <c r="J11" s="16">
        <v>43707</v>
      </c>
      <c r="K11" s="17"/>
      <c r="L11" s="3"/>
      <c r="M11" s="8" t="s">
        <v>4206</v>
      </c>
      <c r="N11" s="11">
        <v>43885.474826388891</v>
      </c>
      <c r="O11" s="8" t="s">
        <v>4325</v>
      </c>
      <c r="P11" s="11">
        <v>43699.475462962961</v>
      </c>
      <c r="Q11" s="13">
        <v>310264</v>
      </c>
      <c r="R11" s="19" t="s">
        <v>594</v>
      </c>
      <c r="S11" s="14" t="s">
        <v>694</v>
      </c>
      <c r="T11" s="163">
        <v>138</v>
      </c>
      <c r="U11" s="164" t="str">
        <f>CONCATENATE(LEFT(SP_ACQ_Lib[[#This Row],[Tax Parcel ID]],7),"_",SP_ACQ_Lib[[#This Row],[ACQ Document Type]])</f>
        <v>R027676_SURVEY Right-of-Entry CMRR</v>
      </c>
      <c r="V11" s="65" t="e">
        <f>INDEX(SP_AcqTract_DB[WCAD Tax Parcel ID],MATCH(SP_ACQ_Lib[[#This Row],[Acquisition Tract No.]],SP_AcqTract_DB[Acquisition Tract No.],0))</f>
        <v>#N/A</v>
      </c>
      <c r="W11" s="48">
        <f>INDEX(SP_TaxPar_DB[Acquisition Tract No.],MATCH(LEFT(SP_ACQ_Lib[[#This Row],[Tax Parcel ID]],7),SP_TaxPar_DB[Tax Parcel ID],0))</f>
        <v>0</v>
      </c>
      <c r="X11" s="238">
        <f>IF(OR(SP_ACQ_Lib[[#This Row],[Acquisition Tract No.]]="",SP_ACQ_Lib[[#This Row],[ACQ Document Type]]=""),0,CONCATENATE("COW-FRMP_TR-",SP_ACQ_Lib[[#This Row],[Acquisition Tract No.]]," ",SP_ACQ_Lib[[#This Row],[ACQ Document Type]]))</f>
        <v>0</v>
      </c>
      <c r="Y11" s="239">
        <f>IF(OR(SP_ACQ_Lib[[#This Row],[File Name Convention]]=0,LEFT(SP_ACQ_Lib[[#This Row],[Name]],LEN(SP_ACQ_Lib[[#This Row],[File Name Convention]]))&lt;&gt;SP_ACQ_Lib[[#This Row],[File Name Convention]],ISERROR(SEARCH(SP_ACQ_Lib[[#This Row],[ACQ Document Type]],SP_ACQ_Lib[[#This Row],[Name]]))),1,0)</f>
        <v>1</v>
      </c>
    </row>
    <row r="12" spans="1:25" ht="15" x14ac:dyDescent="0.2">
      <c r="A12" s="157" t="str">
        <f>CONCATENATE(SP_ACQ_Lib[[#This Row],[Acquisition Tract No.]],"_",SP_ACQ_Lib[[#This Row],[ACQ Document Type]])</f>
        <v>_SURVEY Right-of-Entry CMRR</v>
      </c>
      <c r="B12" s="14" t="s">
        <v>676</v>
      </c>
      <c r="C12" s="15" t="s">
        <v>22</v>
      </c>
      <c r="D12" s="12" t="s">
        <v>609</v>
      </c>
      <c r="E12" s="8" t="s">
        <v>858</v>
      </c>
      <c r="F12" s="8" t="s">
        <v>860</v>
      </c>
      <c r="G12" s="8" t="s">
        <v>598</v>
      </c>
      <c r="H12" s="7" t="s">
        <v>592</v>
      </c>
      <c r="I12" s="16">
        <v>43697</v>
      </c>
      <c r="J12" s="16">
        <v>43701</v>
      </c>
      <c r="K12" s="17"/>
      <c r="L12" s="3" t="s">
        <v>3499</v>
      </c>
      <c r="M12" s="8" t="s">
        <v>4206</v>
      </c>
      <c r="N12" s="11">
        <v>43885.475115740737</v>
      </c>
      <c r="O12" s="8" t="s">
        <v>4325</v>
      </c>
      <c r="P12" s="11">
        <v>43699.476331018515</v>
      </c>
      <c r="Q12" s="13">
        <v>168787</v>
      </c>
      <c r="R12" s="19" t="s">
        <v>594</v>
      </c>
      <c r="S12" s="14" t="s">
        <v>695</v>
      </c>
      <c r="T12" s="163">
        <v>139</v>
      </c>
      <c r="U12" s="164" t="str">
        <f>CONCATENATE(LEFT(SP_ACQ_Lib[[#This Row],[Tax Parcel ID]],7),"_",SP_ACQ_Lib[[#This Row],[ACQ Document Type]])</f>
        <v>R027671_SURVEY Right-of-Entry CMRR</v>
      </c>
      <c r="V12" s="65" t="e">
        <f>INDEX(SP_AcqTract_DB[WCAD Tax Parcel ID],MATCH(SP_ACQ_Lib[[#This Row],[Acquisition Tract No.]],SP_AcqTract_DB[Acquisition Tract No.],0))</f>
        <v>#N/A</v>
      </c>
      <c r="W12" s="48" t="str">
        <f>INDEX(SP_TaxPar_DB[Acquisition Tract No.],MATCH(LEFT(SP_ACQ_Lib[[#This Row],[Tax Parcel ID]],7),SP_TaxPar_DB[Tax Parcel ID],0))</f>
        <v/>
      </c>
      <c r="X12" s="238">
        <f>IF(OR(SP_ACQ_Lib[[#This Row],[Acquisition Tract No.]]="",SP_ACQ_Lib[[#This Row],[ACQ Document Type]]=""),0,CONCATENATE("COW-FRMP_TR-",SP_ACQ_Lib[[#This Row],[Acquisition Tract No.]]," ",SP_ACQ_Lib[[#This Row],[ACQ Document Type]]))</f>
        <v>0</v>
      </c>
      <c r="Y12" s="239">
        <f>IF(OR(SP_ACQ_Lib[[#This Row],[File Name Convention]]=0,LEFT(SP_ACQ_Lib[[#This Row],[Name]],LEN(SP_ACQ_Lib[[#This Row],[File Name Convention]]))&lt;&gt;SP_ACQ_Lib[[#This Row],[File Name Convention]],ISERROR(SEARCH(SP_ACQ_Lib[[#This Row],[ACQ Document Type]],SP_ACQ_Lib[[#This Row],[Name]]))),1,0)</f>
        <v>1</v>
      </c>
    </row>
    <row r="13" spans="1:25" ht="15" x14ac:dyDescent="0.2">
      <c r="A13" s="157" t="str">
        <f>CONCATENATE(SP_ACQ_Lib[[#This Row],[Acquisition Tract No.]],"_",SP_ACQ_Lib[[#This Row],[ACQ Document Type]])</f>
        <v>_SURVEY Right-of-Entry CMRR</v>
      </c>
      <c r="B13" s="14" t="s">
        <v>677</v>
      </c>
      <c r="C13" s="15" t="s">
        <v>22</v>
      </c>
      <c r="D13" s="12" t="s">
        <v>611</v>
      </c>
      <c r="E13" s="8" t="s">
        <v>858</v>
      </c>
      <c r="F13" s="8" t="s">
        <v>860</v>
      </c>
      <c r="G13" s="8" t="s">
        <v>598</v>
      </c>
      <c r="H13" s="7" t="s">
        <v>592</v>
      </c>
      <c r="I13" s="16">
        <v>43697</v>
      </c>
      <c r="J13" s="16">
        <v>43700</v>
      </c>
      <c r="K13" s="17"/>
      <c r="L13" s="3"/>
      <c r="M13" s="8" t="s">
        <v>4206</v>
      </c>
      <c r="N13" s="11">
        <v>43885.473449074074</v>
      </c>
      <c r="O13" s="8" t="s">
        <v>4325</v>
      </c>
      <c r="P13" s="11">
        <v>43699.477256944447</v>
      </c>
      <c r="Q13" s="13">
        <v>375294</v>
      </c>
      <c r="R13" s="19" t="s">
        <v>594</v>
      </c>
      <c r="S13" s="14" t="s">
        <v>696</v>
      </c>
      <c r="T13" s="163">
        <v>141</v>
      </c>
      <c r="U13" s="164" t="str">
        <f>CONCATENATE(LEFT(SP_ACQ_Lib[[#This Row],[Tax Parcel ID]],7),"_",SP_ACQ_Lib[[#This Row],[ACQ Document Type]])</f>
        <v>R069705_SURVEY Right-of-Entry CMRR</v>
      </c>
      <c r="V13" s="65" t="e">
        <f>INDEX(SP_AcqTract_DB[WCAD Tax Parcel ID],MATCH(SP_ACQ_Lib[[#This Row],[Acquisition Tract No.]],SP_AcqTract_DB[Acquisition Tract No.],0))</f>
        <v>#N/A</v>
      </c>
      <c r="W13" s="48">
        <f>INDEX(SP_TaxPar_DB[Acquisition Tract No.],MATCH(LEFT(SP_ACQ_Lib[[#This Row],[Tax Parcel ID]],7),SP_TaxPar_DB[Tax Parcel ID],0))</f>
        <v>0</v>
      </c>
      <c r="X13" s="238">
        <f>IF(OR(SP_ACQ_Lib[[#This Row],[Acquisition Tract No.]]="",SP_ACQ_Lib[[#This Row],[ACQ Document Type]]=""),0,CONCATENATE("COW-FRMP_TR-",SP_ACQ_Lib[[#This Row],[Acquisition Tract No.]]," ",SP_ACQ_Lib[[#This Row],[ACQ Document Type]]))</f>
        <v>0</v>
      </c>
      <c r="Y13" s="239">
        <f>IF(OR(SP_ACQ_Lib[[#This Row],[File Name Convention]]=0,LEFT(SP_ACQ_Lib[[#This Row],[Name]],LEN(SP_ACQ_Lib[[#This Row],[File Name Convention]]))&lt;&gt;SP_ACQ_Lib[[#This Row],[File Name Convention]],ISERROR(SEARCH(SP_ACQ_Lib[[#This Row],[ACQ Document Type]],SP_ACQ_Lib[[#This Row],[Name]]))),1,0)</f>
        <v>1</v>
      </c>
    </row>
    <row r="14" spans="1:25" ht="15" x14ac:dyDescent="0.2">
      <c r="A14" s="157" t="str">
        <f>CONCATENATE(SP_ACQ_Lib[[#This Row],[Acquisition Tract No.]],"_",SP_ACQ_Lib[[#This Row],[ACQ Document Type]])</f>
        <v>_SURVEY Right-of-Entry CMRR</v>
      </c>
      <c r="B14" s="14" t="s">
        <v>678</v>
      </c>
      <c r="C14" s="15" t="s">
        <v>22</v>
      </c>
      <c r="D14" s="12" t="s">
        <v>593</v>
      </c>
      <c r="E14" s="8" t="s">
        <v>858</v>
      </c>
      <c r="F14" s="8" t="s">
        <v>860</v>
      </c>
      <c r="G14" s="8" t="s">
        <v>598</v>
      </c>
      <c r="H14" s="7" t="s">
        <v>592</v>
      </c>
      <c r="I14" s="16">
        <v>43697</v>
      </c>
      <c r="J14" s="16">
        <v>43703</v>
      </c>
      <c r="K14" s="17"/>
      <c r="L14" s="3"/>
      <c r="M14" s="8" t="s">
        <v>4206</v>
      </c>
      <c r="N14" s="11">
        <v>43885.474421296298</v>
      </c>
      <c r="O14" s="8" t="s">
        <v>4325</v>
      </c>
      <c r="P14" s="11">
        <v>43699.485046296293</v>
      </c>
      <c r="Q14" s="13">
        <v>396952</v>
      </c>
      <c r="R14" s="19" t="s">
        <v>594</v>
      </c>
      <c r="S14" s="14" t="s">
        <v>697</v>
      </c>
      <c r="T14" s="163">
        <v>142</v>
      </c>
      <c r="U14" s="164" t="str">
        <f>CONCATENATE(LEFT(SP_ACQ_Lib[[#This Row],[Tax Parcel ID]],7),"_",SP_ACQ_Lib[[#This Row],[ACQ Document Type]])</f>
        <v>R027673_SURVEY Right-of-Entry CMRR</v>
      </c>
      <c r="V14" s="65" t="e">
        <f>INDEX(SP_AcqTract_DB[WCAD Tax Parcel ID],MATCH(SP_ACQ_Lib[[#This Row],[Acquisition Tract No.]],SP_AcqTract_DB[Acquisition Tract No.],0))</f>
        <v>#N/A</v>
      </c>
      <c r="W14" s="48">
        <f>INDEX(SP_TaxPar_DB[Acquisition Tract No.],MATCH(LEFT(SP_ACQ_Lib[[#This Row],[Tax Parcel ID]],7),SP_TaxPar_DB[Tax Parcel ID],0))</f>
        <v>0</v>
      </c>
      <c r="X14" s="238">
        <f>IF(OR(SP_ACQ_Lib[[#This Row],[Acquisition Tract No.]]="",SP_ACQ_Lib[[#This Row],[ACQ Document Type]]=""),0,CONCATENATE("COW-FRMP_TR-",SP_ACQ_Lib[[#This Row],[Acquisition Tract No.]]," ",SP_ACQ_Lib[[#This Row],[ACQ Document Type]]))</f>
        <v>0</v>
      </c>
      <c r="Y14" s="239">
        <f>IF(OR(SP_ACQ_Lib[[#This Row],[File Name Convention]]=0,LEFT(SP_ACQ_Lib[[#This Row],[Name]],LEN(SP_ACQ_Lib[[#This Row],[File Name Convention]]))&lt;&gt;SP_ACQ_Lib[[#This Row],[File Name Convention]],ISERROR(SEARCH(SP_ACQ_Lib[[#This Row],[ACQ Document Type]],SP_ACQ_Lib[[#This Row],[Name]]))),1,0)</f>
        <v>1</v>
      </c>
    </row>
    <row r="15" spans="1:25" ht="15" x14ac:dyDescent="0.2">
      <c r="A15" s="157" t="str">
        <f>CONCATENATE(SP_ACQ_Lib[[#This Row],[Acquisition Tract No.]],"_",SP_ACQ_Lib[[#This Row],[ACQ Document Type]])</f>
        <v>_SURVEY Right-of-Entry CMRR</v>
      </c>
      <c r="B15" s="14" t="s">
        <v>679</v>
      </c>
      <c r="C15" s="15" t="s">
        <v>22</v>
      </c>
      <c r="D15" s="12" t="s">
        <v>612</v>
      </c>
      <c r="E15" s="8" t="s">
        <v>858</v>
      </c>
      <c r="F15" s="8" t="s">
        <v>860</v>
      </c>
      <c r="G15" s="8" t="s">
        <v>598</v>
      </c>
      <c r="H15" s="7" t="s">
        <v>592</v>
      </c>
      <c r="I15" s="16">
        <v>43697</v>
      </c>
      <c r="J15" s="16">
        <v>43712</v>
      </c>
      <c r="K15" s="17"/>
      <c r="L15" s="3"/>
      <c r="M15" s="8" t="s">
        <v>4206</v>
      </c>
      <c r="N15" s="11">
        <v>43885.476412037038</v>
      </c>
      <c r="O15" s="8" t="s">
        <v>4325</v>
      </c>
      <c r="P15" s="11">
        <v>43699.487615740742</v>
      </c>
      <c r="Q15" s="13">
        <v>346389</v>
      </c>
      <c r="R15" s="19" t="s">
        <v>594</v>
      </c>
      <c r="S15" s="14" t="s">
        <v>698</v>
      </c>
      <c r="T15" s="163">
        <v>143</v>
      </c>
      <c r="U15" s="164" t="str">
        <f>CONCATENATE(LEFT(SP_ACQ_Lib[[#This Row],[Tax Parcel ID]],7),"_",SP_ACQ_Lib[[#This Row],[ACQ Document Type]])</f>
        <v>R061704_SURVEY Right-of-Entry CMRR</v>
      </c>
      <c r="V15" s="65" t="e">
        <f>INDEX(SP_AcqTract_DB[WCAD Tax Parcel ID],MATCH(SP_ACQ_Lib[[#This Row],[Acquisition Tract No.]],SP_AcqTract_DB[Acquisition Tract No.],0))</f>
        <v>#N/A</v>
      </c>
      <c r="W15" s="48">
        <f>INDEX(SP_TaxPar_DB[Acquisition Tract No.],MATCH(LEFT(SP_ACQ_Lib[[#This Row],[Tax Parcel ID]],7),SP_TaxPar_DB[Tax Parcel ID],0))</f>
        <v>0</v>
      </c>
      <c r="X15" s="238">
        <f>IF(OR(SP_ACQ_Lib[[#This Row],[Acquisition Tract No.]]="",SP_ACQ_Lib[[#This Row],[ACQ Document Type]]=""),0,CONCATENATE("COW-FRMP_TR-",SP_ACQ_Lib[[#This Row],[Acquisition Tract No.]]," ",SP_ACQ_Lib[[#This Row],[ACQ Document Type]]))</f>
        <v>0</v>
      </c>
      <c r="Y15" s="239">
        <f>IF(OR(SP_ACQ_Lib[[#This Row],[File Name Convention]]=0,LEFT(SP_ACQ_Lib[[#This Row],[Name]],LEN(SP_ACQ_Lib[[#This Row],[File Name Convention]]))&lt;&gt;SP_ACQ_Lib[[#This Row],[File Name Convention]],ISERROR(SEARCH(SP_ACQ_Lib[[#This Row],[ACQ Document Type]],SP_ACQ_Lib[[#This Row],[Name]]))),1,0)</f>
        <v>1</v>
      </c>
    </row>
    <row r="16" spans="1:25" ht="15" x14ac:dyDescent="0.2">
      <c r="A16" s="157" t="str">
        <f>CONCATENATE(SP_ACQ_Lib[[#This Row],[Acquisition Tract No.]],"_",SP_ACQ_Lib[[#This Row],[ACQ Document Type]])</f>
        <v>_SURVEY Right-of-Entry CMRR</v>
      </c>
      <c r="B16" s="14" t="s">
        <v>680</v>
      </c>
      <c r="C16" s="15" t="s">
        <v>22</v>
      </c>
      <c r="D16" s="12" t="s">
        <v>613</v>
      </c>
      <c r="E16" s="8" t="s">
        <v>858</v>
      </c>
      <c r="F16" s="8" t="s">
        <v>860</v>
      </c>
      <c r="G16" s="8" t="s">
        <v>598</v>
      </c>
      <c r="H16" s="7" t="s">
        <v>592</v>
      </c>
      <c r="I16" s="16">
        <v>43697</v>
      </c>
      <c r="J16" s="16">
        <v>43705</v>
      </c>
      <c r="K16" s="17"/>
      <c r="L16" s="3"/>
      <c r="M16" s="8" t="s">
        <v>4206</v>
      </c>
      <c r="N16" s="11">
        <v>43885.477118055554</v>
      </c>
      <c r="O16" s="8" t="s">
        <v>4325</v>
      </c>
      <c r="P16" s="11">
        <v>43699.488125000003</v>
      </c>
      <c r="Q16" s="13">
        <v>339775</v>
      </c>
      <c r="R16" s="19" t="s">
        <v>594</v>
      </c>
      <c r="S16" s="14" t="s">
        <v>699</v>
      </c>
      <c r="T16" s="163">
        <v>144</v>
      </c>
      <c r="U16" s="164" t="str">
        <f>CONCATENATE(LEFT(SP_ACQ_Lib[[#This Row],[Tax Parcel ID]],7),"_",SP_ACQ_Lib[[#This Row],[ACQ Document Type]])</f>
        <v>R071705_SURVEY Right-of-Entry CMRR</v>
      </c>
      <c r="V16" s="65" t="e">
        <f>INDEX(SP_AcqTract_DB[WCAD Tax Parcel ID],MATCH(SP_ACQ_Lib[[#This Row],[Acquisition Tract No.]],SP_AcqTract_DB[Acquisition Tract No.],0))</f>
        <v>#N/A</v>
      </c>
      <c r="W16" s="48">
        <f>INDEX(SP_TaxPar_DB[Acquisition Tract No.],MATCH(LEFT(SP_ACQ_Lib[[#This Row],[Tax Parcel ID]],7),SP_TaxPar_DB[Tax Parcel ID],0))</f>
        <v>0</v>
      </c>
      <c r="X16" s="238">
        <f>IF(OR(SP_ACQ_Lib[[#This Row],[Acquisition Tract No.]]="",SP_ACQ_Lib[[#This Row],[ACQ Document Type]]=""),0,CONCATENATE("COW-FRMP_TR-",SP_ACQ_Lib[[#This Row],[Acquisition Tract No.]]," ",SP_ACQ_Lib[[#This Row],[ACQ Document Type]]))</f>
        <v>0</v>
      </c>
      <c r="Y16" s="239">
        <f>IF(OR(SP_ACQ_Lib[[#This Row],[File Name Convention]]=0,LEFT(SP_ACQ_Lib[[#This Row],[Name]],LEN(SP_ACQ_Lib[[#This Row],[File Name Convention]]))&lt;&gt;SP_ACQ_Lib[[#This Row],[File Name Convention]],ISERROR(SEARCH(SP_ACQ_Lib[[#This Row],[ACQ Document Type]],SP_ACQ_Lib[[#This Row],[Name]]))),1,0)</f>
        <v>1</v>
      </c>
    </row>
    <row r="17" spans="1:25" ht="15" x14ac:dyDescent="0.2">
      <c r="A17" s="157" t="str">
        <f>CONCATENATE(SP_ACQ_Lib[[#This Row],[Acquisition Tract No.]],"_",SP_ACQ_Lib[[#This Row],[ACQ Document Type]])</f>
        <v>100_APPRAISAL Final Appraisal</v>
      </c>
      <c r="B17" s="14" t="s">
        <v>6485</v>
      </c>
      <c r="C17" s="15" t="s">
        <v>24</v>
      </c>
      <c r="D17" s="12" t="s">
        <v>5876</v>
      </c>
      <c r="E17" s="8" t="s">
        <v>1131</v>
      </c>
      <c r="F17" s="8" t="s">
        <v>4755</v>
      </c>
      <c r="G17" s="8" t="s">
        <v>4754</v>
      </c>
      <c r="H17" s="7" t="s">
        <v>592</v>
      </c>
      <c r="I17" s="16">
        <v>43992</v>
      </c>
      <c r="J17" s="16"/>
      <c r="K17" s="17">
        <v>835549</v>
      </c>
      <c r="L17" s="3"/>
      <c r="M17" s="8" t="s">
        <v>4206</v>
      </c>
      <c r="N17" s="11">
        <v>44018.60869212963</v>
      </c>
      <c r="O17" s="8" t="s">
        <v>4206</v>
      </c>
      <c r="P17" s="11">
        <v>44018.606226851851</v>
      </c>
      <c r="Q17" s="13">
        <v>7317458</v>
      </c>
      <c r="R17" s="19" t="s">
        <v>594</v>
      </c>
      <c r="S17" s="14" t="s">
        <v>6548</v>
      </c>
      <c r="T17" s="163">
        <v>1338</v>
      </c>
      <c r="U17" s="164" t="str">
        <f>CONCATENATE(LEFT(SP_ACQ_Lib[[#This Row],[Tax Parcel ID]],7),"_",SP_ACQ_Lib[[#This Row],[ACQ Document Type]])</f>
        <v>R068875_APPRAISAL Final Appraisal</v>
      </c>
      <c r="V17" s="65" t="str">
        <f>INDEX(SP_AcqTract_DB[WCAD Tax Parcel ID],MATCH(SP_ACQ_Lib[[#This Row],[Acquisition Tract No.]],SP_AcqTract_DB[Acquisition Tract No.],0))</f>
        <v>R068875;#1;#R068876;#306</v>
      </c>
      <c r="W17" s="48" t="str">
        <f>INDEX(SP_TaxPar_DB[Acquisition Tract No.],MATCH(LEFT(SP_ACQ_Lib[[#This Row],[Tax Parcel ID]],7),SP_TaxPar_DB[Tax Parcel ID],0))</f>
        <v>100</v>
      </c>
      <c r="X17" s="238" t="str">
        <f>IF(OR(SP_ACQ_Lib[[#This Row],[Acquisition Tract No.]]="",SP_ACQ_Lib[[#This Row],[ACQ Document Type]]=""),0,CONCATENATE("COW-FRMP_TR-",SP_ACQ_Lib[[#This Row],[Acquisition Tract No.]]," ",SP_ACQ_Lib[[#This Row],[ACQ Document Type]]))</f>
        <v>COW-FRMP_TR-100 APPRAISAL Final Appraisal</v>
      </c>
      <c r="Y17" s="239">
        <f>IF(OR(SP_ACQ_Lib[[#This Row],[File Name Convention]]=0,LEFT(SP_ACQ_Lib[[#This Row],[Name]],LEN(SP_ACQ_Lib[[#This Row],[File Name Convention]]))&lt;&gt;SP_ACQ_Lib[[#This Row],[File Name Convention]],ISERROR(SEARCH(SP_ACQ_Lib[[#This Row],[ACQ Document Type]],SP_ACQ_Lib[[#This Row],[Name]]))),1,0)</f>
        <v>0</v>
      </c>
    </row>
    <row r="18" spans="1:25" ht="15" x14ac:dyDescent="0.2">
      <c r="A18" s="157" t="str">
        <f>CONCATENATE(SP_ACQ_Lib[[#This Row],[Acquisition Tract No.]],"_",SP_ACQ_Lib[[#This Row],[ACQ Document Type]])</f>
        <v>100_APPRAISAL Just Compensation Memo</v>
      </c>
      <c r="B18" s="14" t="s">
        <v>6486</v>
      </c>
      <c r="C18" s="15" t="s">
        <v>24</v>
      </c>
      <c r="D18" s="12" t="s">
        <v>5876</v>
      </c>
      <c r="E18" s="8" t="s">
        <v>1131</v>
      </c>
      <c r="F18" s="8" t="s">
        <v>4757</v>
      </c>
      <c r="G18" s="8" t="s">
        <v>4756</v>
      </c>
      <c r="H18" s="7" t="s">
        <v>592</v>
      </c>
      <c r="I18" s="16">
        <v>44018</v>
      </c>
      <c r="J18" s="16">
        <v>44018</v>
      </c>
      <c r="K18" s="17">
        <v>835549</v>
      </c>
      <c r="L18" s="3" t="s">
        <v>6479</v>
      </c>
      <c r="M18" s="8" t="s">
        <v>4206</v>
      </c>
      <c r="N18" s="11">
        <v>44025.394386574073</v>
      </c>
      <c r="O18" s="8" t="s">
        <v>4206</v>
      </c>
      <c r="P18" s="11">
        <v>44018.606226851851</v>
      </c>
      <c r="Q18" s="13">
        <v>26077</v>
      </c>
      <c r="R18" s="19" t="s">
        <v>594</v>
      </c>
      <c r="S18" s="14" t="s">
        <v>6549</v>
      </c>
      <c r="T18" s="163">
        <v>1339</v>
      </c>
      <c r="U18" s="164" t="str">
        <f>CONCATENATE(LEFT(SP_ACQ_Lib[[#This Row],[Tax Parcel ID]],7),"_",SP_ACQ_Lib[[#This Row],[ACQ Document Type]])</f>
        <v>R068875_APPRAISAL Just Compensation Memo</v>
      </c>
      <c r="V18" s="65" t="str">
        <f>INDEX(SP_AcqTract_DB[WCAD Tax Parcel ID],MATCH(SP_ACQ_Lib[[#This Row],[Acquisition Tract No.]],SP_AcqTract_DB[Acquisition Tract No.],0))</f>
        <v>R068875;#1;#R068876;#306</v>
      </c>
      <c r="W18" s="48" t="str">
        <f>INDEX(SP_TaxPar_DB[Acquisition Tract No.],MATCH(LEFT(SP_ACQ_Lib[[#This Row],[Tax Parcel ID]],7),SP_TaxPar_DB[Tax Parcel ID],0))</f>
        <v>100</v>
      </c>
      <c r="X18" s="238" t="str">
        <f>IF(OR(SP_ACQ_Lib[[#This Row],[Acquisition Tract No.]]="",SP_ACQ_Lib[[#This Row],[ACQ Document Type]]=""),0,CONCATENATE("COW-FRMP_TR-",SP_ACQ_Lib[[#This Row],[Acquisition Tract No.]]," ",SP_ACQ_Lib[[#This Row],[ACQ Document Type]]))</f>
        <v>COW-FRMP_TR-100 APPRAISAL Just Compensation Memo</v>
      </c>
      <c r="Y18" s="239">
        <f>IF(OR(SP_ACQ_Lib[[#This Row],[File Name Convention]]=0,LEFT(SP_ACQ_Lib[[#This Row],[Name]],LEN(SP_ACQ_Lib[[#This Row],[File Name Convention]]))&lt;&gt;SP_ACQ_Lib[[#This Row],[File Name Convention]],ISERROR(SEARCH(SP_ACQ_Lib[[#This Row],[ACQ Document Type]],SP_ACQ_Lib[[#This Row],[Name]]))),1,0)</f>
        <v>0</v>
      </c>
    </row>
    <row r="19" spans="1:25" ht="15" x14ac:dyDescent="0.2">
      <c r="A19" s="157" t="str">
        <f>CONCATENATE(SP_ACQ_Lib[[#This Row],[Acquisition Tract No.]],"_",SP_ACQ_Lib[[#This Row],[ACQ Document Type]])</f>
        <v>100_APPRAISAL USACOE Authorization to Proceed with Offer</v>
      </c>
      <c r="B19" s="14" t="s">
        <v>6487</v>
      </c>
      <c r="C19" s="15" t="s">
        <v>24</v>
      </c>
      <c r="D19" s="12" t="s">
        <v>5876</v>
      </c>
      <c r="E19" s="8" t="s">
        <v>1131</v>
      </c>
      <c r="F19" s="8" t="s">
        <v>4959</v>
      </c>
      <c r="G19" s="8" t="s">
        <v>4958</v>
      </c>
      <c r="H19" s="7" t="s">
        <v>592</v>
      </c>
      <c r="I19" s="16">
        <v>44018</v>
      </c>
      <c r="J19" s="16">
        <v>44018</v>
      </c>
      <c r="K19" s="17">
        <v>835549</v>
      </c>
      <c r="L19" s="3"/>
      <c r="M19" s="8" t="s">
        <v>4206</v>
      </c>
      <c r="N19" s="11">
        <v>44025.394513888888</v>
      </c>
      <c r="O19" s="8" t="s">
        <v>4206</v>
      </c>
      <c r="P19" s="11">
        <v>44018.606238425928</v>
      </c>
      <c r="Q19" s="13">
        <v>423757</v>
      </c>
      <c r="R19" s="19" t="s">
        <v>594</v>
      </c>
      <c r="S19" s="14" t="s">
        <v>6550</v>
      </c>
      <c r="T19" s="163">
        <v>1340</v>
      </c>
      <c r="U19" s="164" t="str">
        <f>CONCATENATE(LEFT(SP_ACQ_Lib[[#This Row],[Tax Parcel ID]],7),"_",SP_ACQ_Lib[[#This Row],[ACQ Document Type]])</f>
        <v>R068875_APPRAISAL USACOE Authorization to Proceed with Offer</v>
      </c>
      <c r="V19" s="65" t="str">
        <f>INDEX(SP_AcqTract_DB[WCAD Tax Parcel ID],MATCH(SP_ACQ_Lib[[#This Row],[Acquisition Tract No.]],SP_AcqTract_DB[Acquisition Tract No.],0))</f>
        <v>R068875;#1;#R068876;#306</v>
      </c>
      <c r="W19" s="48" t="str">
        <f>INDEX(SP_TaxPar_DB[Acquisition Tract No.],MATCH(LEFT(SP_ACQ_Lib[[#This Row],[Tax Parcel ID]],7),SP_TaxPar_DB[Tax Parcel ID],0))</f>
        <v>100</v>
      </c>
      <c r="X19" s="238" t="str">
        <f>IF(OR(SP_ACQ_Lib[[#This Row],[Acquisition Tract No.]]="",SP_ACQ_Lib[[#This Row],[ACQ Document Type]]=""),0,CONCATENATE("COW-FRMP_TR-",SP_ACQ_Lib[[#This Row],[Acquisition Tract No.]]," ",SP_ACQ_Lib[[#This Row],[ACQ Document Type]]))</f>
        <v>COW-FRMP_TR-100 APPRAISAL USACOE Authorization to Proceed with Offer</v>
      </c>
      <c r="Y19" s="239">
        <f>IF(OR(SP_ACQ_Lib[[#This Row],[File Name Convention]]=0,LEFT(SP_ACQ_Lib[[#This Row],[Name]],LEN(SP_ACQ_Lib[[#This Row],[File Name Convention]]))&lt;&gt;SP_ACQ_Lib[[#This Row],[File Name Convention]],ISERROR(SEARCH(SP_ACQ_Lib[[#This Row],[ACQ Document Type]],SP_ACQ_Lib[[#This Row],[Name]]))),1,0)</f>
        <v>0</v>
      </c>
    </row>
    <row r="20" spans="1:25" ht="15" x14ac:dyDescent="0.2">
      <c r="A20" s="157" t="str">
        <f>CONCATENATE(SP_ACQ_Lib[[#This Row],[Acquisition Tract No.]],"_",SP_ACQ_Lib[[#This Row],[ACQ Document Type]])</f>
        <v>100_CONTACT Initial Interview - Residential</v>
      </c>
      <c r="B20" s="14" t="s">
        <v>1405</v>
      </c>
      <c r="C20" s="15" t="s">
        <v>24</v>
      </c>
      <c r="D20" s="12" t="s">
        <v>5876</v>
      </c>
      <c r="E20" s="8" t="s">
        <v>865</v>
      </c>
      <c r="F20" s="8" t="s">
        <v>866</v>
      </c>
      <c r="G20" s="8" t="s">
        <v>618</v>
      </c>
      <c r="H20" s="7" t="s">
        <v>592</v>
      </c>
      <c r="I20" s="16">
        <v>43685</v>
      </c>
      <c r="J20" s="16"/>
      <c r="K20" s="17"/>
      <c r="L20" s="3"/>
      <c r="M20" s="8" t="s">
        <v>4206</v>
      </c>
      <c r="N20" s="11">
        <v>43990.959143518521</v>
      </c>
      <c r="O20" s="8" t="s">
        <v>4325</v>
      </c>
      <c r="P20" s="11">
        <v>43696.39403935185</v>
      </c>
      <c r="Q20" s="13">
        <v>184540</v>
      </c>
      <c r="R20" s="19" t="s">
        <v>594</v>
      </c>
      <c r="S20" s="14" t="s">
        <v>703</v>
      </c>
      <c r="T20" s="163">
        <v>99</v>
      </c>
      <c r="U20" s="164" t="str">
        <f>CONCATENATE(LEFT(SP_ACQ_Lib[[#This Row],[Tax Parcel ID]],7),"_",SP_ACQ_Lib[[#This Row],[ACQ Document Type]])</f>
        <v>R068875_CONTACT Initial Interview - Residential</v>
      </c>
      <c r="V20" s="65" t="str">
        <f>INDEX(SP_AcqTract_DB[WCAD Tax Parcel ID],MATCH(SP_ACQ_Lib[[#This Row],[Acquisition Tract No.]],SP_AcqTract_DB[Acquisition Tract No.],0))</f>
        <v>R068875;#1;#R068876;#306</v>
      </c>
      <c r="W20" s="48" t="str">
        <f>INDEX(SP_TaxPar_DB[Acquisition Tract No.],MATCH(LEFT(SP_ACQ_Lib[[#This Row],[Tax Parcel ID]],7),SP_TaxPar_DB[Tax Parcel ID],0))</f>
        <v>100</v>
      </c>
      <c r="X20" s="238" t="str">
        <f>IF(OR(SP_ACQ_Lib[[#This Row],[Acquisition Tract No.]]="",SP_ACQ_Lib[[#This Row],[ACQ Document Type]]=""),0,CONCATENATE("COW-FRMP_TR-",SP_ACQ_Lib[[#This Row],[Acquisition Tract No.]]," ",SP_ACQ_Lib[[#This Row],[ACQ Document Type]]))</f>
        <v>COW-FRMP_TR-100 CONTACT Initial Interview - Residential</v>
      </c>
      <c r="Y20" s="239">
        <f>IF(OR(SP_ACQ_Lib[[#This Row],[File Name Convention]]=0,LEFT(SP_ACQ_Lib[[#This Row],[Name]],LEN(SP_ACQ_Lib[[#This Row],[File Name Convention]]))&lt;&gt;SP_ACQ_Lib[[#This Row],[File Name Convention]],ISERROR(SEARCH(SP_ACQ_Lib[[#This Row],[ACQ Document Type]],SP_ACQ_Lib[[#This Row],[Name]]))),1,0)</f>
        <v>0</v>
      </c>
    </row>
    <row r="21" spans="1:25" ht="15" x14ac:dyDescent="0.2">
      <c r="A21" s="157" t="str">
        <f>CONCATENATE(SP_ACQ_Lib[[#This Row],[Acquisition Tract No.]],"_",SP_ACQ_Lib[[#This Row],[ACQ Document Type]])</f>
        <v>100_CONTACT Letter of Intent-HDR</v>
      </c>
      <c r="B21" s="14" t="s">
        <v>1406</v>
      </c>
      <c r="C21" s="15" t="s">
        <v>24</v>
      </c>
      <c r="D21" s="12" t="s">
        <v>5876</v>
      </c>
      <c r="E21" s="8" t="s">
        <v>865</v>
      </c>
      <c r="F21" s="8" t="s">
        <v>1401</v>
      </c>
      <c r="G21" s="8" t="s">
        <v>1400</v>
      </c>
      <c r="H21" s="7" t="s">
        <v>592</v>
      </c>
      <c r="I21" s="16">
        <v>43765</v>
      </c>
      <c r="J21" s="16"/>
      <c r="K21" s="17"/>
      <c r="L21" s="3"/>
      <c r="M21" s="8" t="s">
        <v>4206</v>
      </c>
      <c r="N21" s="11">
        <v>43990.959305555552</v>
      </c>
      <c r="O21" s="8" t="s">
        <v>1377</v>
      </c>
      <c r="P21" s="11">
        <v>43768.403101851851</v>
      </c>
      <c r="Q21" s="13">
        <v>324525</v>
      </c>
      <c r="R21" s="19" t="s">
        <v>594</v>
      </c>
      <c r="S21" s="14" t="s">
        <v>1614</v>
      </c>
      <c r="T21" s="163">
        <v>478</v>
      </c>
      <c r="U21" s="164" t="str">
        <f>CONCATENATE(LEFT(SP_ACQ_Lib[[#This Row],[Tax Parcel ID]],7),"_",SP_ACQ_Lib[[#This Row],[ACQ Document Type]])</f>
        <v>R068875_CONTACT Letter of Intent-HDR</v>
      </c>
      <c r="V21" s="65" t="str">
        <f>INDEX(SP_AcqTract_DB[WCAD Tax Parcel ID],MATCH(SP_ACQ_Lib[[#This Row],[Acquisition Tract No.]],SP_AcqTract_DB[Acquisition Tract No.],0))</f>
        <v>R068875;#1;#R068876;#306</v>
      </c>
      <c r="W21" s="48" t="str">
        <f>INDEX(SP_TaxPar_DB[Acquisition Tract No.],MATCH(LEFT(SP_ACQ_Lib[[#This Row],[Tax Parcel ID]],7),SP_TaxPar_DB[Tax Parcel ID],0))</f>
        <v>100</v>
      </c>
      <c r="X21" s="238" t="str">
        <f>IF(OR(SP_ACQ_Lib[[#This Row],[Acquisition Tract No.]]="",SP_ACQ_Lib[[#This Row],[ACQ Document Type]]=""),0,CONCATENATE("COW-FRMP_TR-",SP_ACQ_Lib[[#This Row],[Acquisition Tract No.]]," ",SP_ACQ_Lib[[#This Row],[ACQ Document Type]]))</f>
        <v>COW-FRMP_TR-100 CONTACT Letter of Intent-HDR</v>
      </c>
      <c r="Y21" s="239">
        <f>IF(OR(SP_ACQ_Lib[[#This Row],[File Name Convention]]=0,LEFT(SP_ACQ_Lib[[#This Row],[Name]],LEN(SP_ACQ_Lib[[#This Row],[File Name Convention]]))&lt;&gt;SP_ACQ_Lib[[#This Row],[File Name Convention]],ISERROR(SEARCH(SP_ACQ_Lib[[#This Row],[ACQ Document Type]],SP_ACQ_Lib[[#This Row],[Name]]))),1,0)</f>
        <v>0</v>
      </c>
    </row>
    <row r="22" spans="1:25" ht="15" x14ac:dyDescent="0.2">
      <c r="A22" s="157" t="str">
        <f>CONCATENATE(SP_ACQ_Lib[[#This Row],[Acquisition Tract No.]],"_",SP_ACQ_Lib[[#This Row],[ACQ Document Type]])</f>
        <v>100_CONTACT Negotiator Report</v>
      </c>
      <c r="B22" s="14" t="s">
        <v>3363</v>
      </c>
      <c r="C22" s="15" t="s">
        <v>24</v>
      </c>
      <c r="D22" s="12" t="s">
        <v>5876</v>
      </c>
      <c r="E22" s="8" t="s">
        <v>865</v>
      </c>
      <c r="F22" s="8" t="s">
        <v>1068</v>
      </c>
      <c r="G22" s="8" t="s">
        <v>1067</v>
      </c>
      <c r="H22" s="7" t="s">
        <v>592</v>
      </c>
      <c r="I22" s="16"/>
      <c r="J22" s="16"/>
      <c r="K22" s="17"/>
      <c r="L22" s="3"/>
      <c r="M22" s="8" t="s">
        <v>4206</v>
      </c>
      <c r="N22" s="11">
        <v>43990.959537037037</v>
      </c>
      <c r="O22" s="8" t="s">
        <v>4207</v>
      </c>
      <c r="P22" s="11">
        <v>43735.682268518518</v>
      </c>
      <c r="Q22" s="13">
        <v>60031</v>
      </c>
      <c r="R22" s="19" t="s">
        <v>1069</v>
      </c>
      <c r="S22" s="14" t="s">
        <v>1073</v>
      </c>
      <c r="T22" s="163">
        <v>356</v>
      </c>
      <c r="U22" s="164" t="str">
        <f>CONCATENATE(LEFT(SP_ACQ_Lib[[#This Row],[Tax Parcel ID]],7),"_",SP_ACQ_Lib[[#This Row],[ACQ Document Type]])</f>
        <v>R068875_CONTACT Negotiator Report</v>
      </c>
      <c r="V22" s="65" t="str">
        <f>INDEX(SP_AcqTract_DB[WCAD Tax Parcel ID],MATCH(SP_ACQ_Lib[[#This Row],[Acquisition Tract No.]],SP_AcqTract_DB[Acquisition Tract No.],0))</f>
        <v>R068875;#1;#R068876;#306</v>
      </c>
      <c r="W22" s="48" t="str">
        <f>INDEX(SP_TaxPar_DB[Acquisition Tract No.],MATCH(LEFT(SP_ACQ_Lib[[#This Row],[Tax Parcel ID]],7),SP_TaxPar_DB[Tax Parcel ID],0))</f>
        <v>100</v>
      </c>
      <c r="X22" s="238" t="str">
        <f>IF(OR(SP_ACQ_Lib[[#This Row],[Acquisition Tract No.]]="",SP_ACQ_Lib[[#This Row],[ACQ Document Type]]=""),0,CONCATENATE("COW-FRMP_TR-",SP_ACQ_Lib[[#This Row],[Acquisition Tract No.]]," ",SP_ACQ_Lib[[#This Row],[ACQ Document Type]]))</f>
        <v>COW-FRMP_TR-100 CONTACT Negotiator Report</v>
      </c>
      <c r="Y22" s="239">
        <f>IF(OR(SP_ACQ_Lib[[#This Row],[File Name Convention]]=0,LEFT(SP_ACQ_Lib[[#This Row],[Name]],LEN(SP_ACQ_Lib[[#This Row],[File Name Convention]]))&lt;&gt;SP_ACQ_Lib[[#This Row],[File Name Convention]],ISERROR(SEARCH(SP_ACQ_Lib[[#This Row],[ACQ Document Type]],SP_ACQ_Lib[[#This Row],[Name]]))),1,0)</f>
        <v>0</v>
      </c>
    </row>
    <row r="23" spans="1:25" ht="15" x14ac:dyDescent="0.2">
      <c r="A23" s="157" t="str">
        <f>CONCATENATE(SP_ACQ_Lib[[#This Row],[Acquisition Tract No.]],"_",SP_ACQ_Lib[[#This Row],[ACQ Document Type]])</f>
        <v>100_NEGOTIATION Landowner Bill of Rights Letter</v>
      </c>
      <c r="B23" s="14" t="s">
        <v>3420</v>
      </c>
      <c r="C23" s="15" t="s">
        <v>24</v>
      </c>
      <c r="D23" s="12" t="s">
        <v>5876</v>
      </c>
      <c r="E23" s="8" t="s">
        <v>1142</v>
      </c>
      <c r="F23" s="8" t="s">
        <v>1746</v>
      </c>
      <c r="G23" s="8" t="s">
        <v>1745</v>
      </c>
      <c r="H23" s="7" t="s">
        <v>592</v>
      </c>
      <c r="I23" s="16">
        <v>43748</v>
      </c>
      <c r="J23" s="16"/>
      <c r="K23" s="17"/>
      <c r="L23" s="3"/>
      <c r="M23" s="8" t="s">
        <v>4206</v>
      </c>
      <c r="N23" s="11">
        <v>43990.959849537037</v>
      </c>
      <c r="O23" s="8" t="s">
        <v>4325</v>
      </c>
      <c r="P23" s="11">
        <v>43752.449212962965</v>
      </c>
      <c r="Q23" s="13">
        <v>404458</v>
      </c>
      <c r="R23" s="19" t="s">
        <v>594</v>
      </c>
      <c r="S23" s="14" t="s">
        <v>1180</v>
      </c>
      <c r="T23" s="163">
        <v>417</v>
      </c>
      <c r="U23" s="164" t="str">
        <f>CONCATENATE(LEFT(SP_ACQ_Lib[[#This Row],[Tax Parcel ID]],7),"_",SP_ACQ_Lib[[#This Row],[ACQ Document Type]])</f>
        <v>R068875_NEGOTIATION Landowner Bill of Rights Letter</v>
      </c>
      <c r="V23" s="65" t="str">
        <f>INDEX(SP_AcqTract_DB[WCAD Tax Parcel ID],MATCH(SP_ACQ_Lib[[#This Row],[Acquisition Tract No.]],SP_AcqTract_DB[Acquisition Tract No.],0))</f>
        <v>R068875;#1;#R068876;#306</v>
      </c>
      <c r="W23" s="48" t="str">
        <f>INDEX(SP_TaxPar_DB[Acquisition Tract No.],MATCH(LEFT(SP_ACQ_Lib[[#This Row],[Tax Parcel ID]],7),SP_TaxPar_DB[Tax Parcel ID],0))</f>
        <v>100</v>
      </c>
      <c r="X23" s="238" t="str">
        <f>IF(OR(SP_ACQ_Lib[[#This Row],[Acquisition Tract No.]]="",SP_ACQ_Lib[[#This Row],[ACQ Document Type]]=""),0,CONCATENATE("COW-FRMP_TR-",SP_ACQ_Lib[[#This Row],[Acquisition Tract No.]]," ",SP_ACQ_Lib[[#This Row],[ACQ Document Type]]))</f>
        <v>COW-FRMP_TR-100 NEGOTIATION Landowner Bill of Rights Letter</v>
      </c>
      <c r="Y23" s="239">
        <f>IF(OR(SP_ACQ_Lib[[#This Row],[File Name Convention]]=0,LEFT(SP_ACQ_Lib[[#This Row],[Name]],LEN(SP_ACQ_Lib[[#This Row],[File Name Convention]]))&lt;&gt;SP_ACQ_Lib[[#This Row],[File Name Convention]],ISERROR(SEARCH(SP_ACQ_Lib[[#This Row],[ACQ Document Type]],SP_ACQ_Lib[[#This Row],[Name]]))),1,0)</f>
        <v>0</v>
      </c>
    </row>
    <row r="24" spans="1:25" ht="15" x14ac:dyDescent="0.2">
      <c r="A24" s="157" t="str">
        <f>CONCATENATE(SP_ACQ_Lib[[#This Row],[Acquisition Tract No.]],"_",SP_ACQ_Lib[[#This Row],[ACQ Document Type]])</f>
        <v>100_SURVEY Description-Plat_USACOE</v>
      </c>
      <c r="B24" s="14" t="s">
        <v>5052</v>
      </c>
      <c r="C24" s="15" t="s">
        <v>24</v>
      </c>
      <c r="D24" s="12" t="s">
        <v>5876</v>
      </c>
      <c r="E24" s="8" t="s">
        <v>858</v>
      </c>
      <c r="F24" s="8" t="s">
        <v>3510</v>
      </c>
      <c r="G24" s="8" t="s">
        <v>3509</v>
      </c>
      <c r="H24" s="7" t="s">
        <v>592</v>
      </c>
      <c r="I24" s="16">
        <v>43720</v>
      </c>
      <c r="J24" s="16">
        <v>43958</v>
      </c>
      <c r="K24" s="17"/>
      <c r="L24" s="3"/>
      <c r="M24" s="8" t="s">
        <v>4206</v>
      </c>
      <c r="N24" s="11">
        <v>43990.960034722222</v>
      </c>
      <c r="O24" s="8" t="s">
        <v>4206</v>
      </c>
      <c r="P24" s="11">
        <v>43958.480474537035</v>
      </c>
      <c r="Q24" s="13">
        <v>1917660</v>
      </c>
      <c r="R24" s="19" t="s">
        <v>594</v>
      </c>
      <c r="S24" s="14" t="s">
        <v>5058</v>
      </c>
      <c r="T24" s="163">
        <v>1022</v>
      </c>
      <c r="U24" s="164" t="str">
        <f>CONCATENATE(LEFT(SP_ACQ_Lib[[#This Row],[Tax Parcel ID]],7),"_",SP_ACQ_Lib[[#This Row],[ACQ Document Type]])</f>
        <v>R068875_SURVEY Description-Plat_USACOE</v>
      </c>
      <c r="V24" s="65" t="str">
        <f>INDEX(SP_AcqTract_DB[WCAD Tax Parcel ID],MATCH(SP_ACQ_Lib[[#This Row],[Acquisition Tract No.]],SP_AcqTract_DB[Acquisition Tract No.],0))</f>
        <v>R068875;#1;#R068876;#306</v>
      </c>
      <c r="W24" s="48" t="str">
        <f>INDEX(SP_TaxPar_DB[Acquisition Tract No.],MATCH(LEFT(SP_ACQ_Lib[[#This Row],[Tax Parcel ID]],7),SP_TaxPar_DB[Tax Parcel ID],0))</f>
        <v>100</v>
      </c>
      <c r="X24" s="238" t="str">
        <f>IF(OR(SP_ACQ_Lib[[#This Row],[Acquisition Tract No.]]="",SP_ACQ_Lib[[#This Row],[ACQ Document Type]]=""),0,CONCATENATE("COW-FRMP_TR-",SP_ACQ_Lib[[#This Row],[Acquisition Tract No.]]," ",SP_ACQ_Lib[[#This Row],[ACQ Document Type]]))</f>
        <v>COW-FRMP_TR-100 SURVEY Description-Plat_USACOE</v>
      </c>
      <c r="Y24" s="239">
        <f>IF(OR(SP_ACQ_Lib[[#This Row],[File Name Convention]]=0,LEFT(SP_ACQ_Lib[[#This Row],[Name]],LEN(SP_ACQ_Lib[[#This Row],[File Name Convention]]))&lt;&gt;SP_ACQ_Lib[[#This Row],[File Name Convention]],ISERROR(SEARCH(SP_ACQ_Lib[[#This Row],[ACQ Document Type]],SP_ACQ_Lib[[#This Row],[Name]]))),1,0)</f>
        <v>0</v>
      </c>
    </row>
    <row r="25" spans="1:25" ht="15" x14ac:dyDescent="0.2">
      <c r="A25" s="157" t="str">
        <f>CONCATENATE(SP_ACQ_Lib[[#This Row],[Acquisition Tract No.]],"_",SP_ACQ_Lib[[#This Row],[ACQ Document Type]])</f>
        <v>100_SURVEY Right-of-Entry</v>
      </c>
      <c r="B25" s="14" t="s">
        <v>1407</v>
      </c>
      <c r="C25" s="15" t="s">
        <v>24</v>
      </c>
      <c r="D25" s="12" t="s">
        <v>5876</v>
      </c>
      <c r="E25" s="8" t="s">
        <v>858</v>
      </c>
      <c r="F25" s="8" t="s">
        <v>859</v>
      </c>
      <c r="G25" s="8" t="s">
        <v>591</v>
      </c>
      <c r="H25" s="7" t="s">
        <v>592</v>
      </c>
      <c r="I25" s="16">
        <v>43600</v>
      </c>
      <c r="J25" s="16"/>
      <c r="K25" s="17"/>
      <c r="L25" s="3"/>
      <c r="M25" s="8" t="s">
        <v>4206</v>
      </c>
      <c r="N25" s="11">
        <v>43990.960196759261</v>
      </c>
      <c r="O25" s="8" t="s">
        <v>4325</v>
      </c>
      <c r="P25" s="11">
        <v>43692.467534722222</v>
      </c>
      <c r="Q25" s="13">
        <v>1419276</v>
      </c>
      <c r="R25" s="19" t="s">
        <v>594</v>
      </c>
      <c r="S25" s="14" t="s">
        <v>704</v>
      </c>
      <c r="T25" s="163">
        <v>80</v>
      </c>
      <c r="U25" s="164" t="str">
        <f>CONCATENATE(LEFT(SP_ACQ_Lib[[#This Row],[Tax Parcel ID]],7),"_",SP_ACQ_Lib[[#This Row],[ACQ Document Type]])</f>
        <v>R068875_SURVEY Right-of-Entry</v>
      </c>
      <c r="V25" s="65" t="str">
        <f>INDEX(SP_AcqTract_DB[WCAD Tax Parcel ID],MATCH(SP_ACQ_Lib[[#This Row],[Acquisition Tract No.]],SP_AcqTract_DB[Acquisition Tract No.],0))</f>
        <v>R068875;#1;#R068876;#306</v>
      </c>
      <c r="W25" s="48" t="str">
        <f>INDEX(SP_TaxPar_DB[Acquisition Tract No.],MATCH(LEFT(SP_ACQ_Lib[[#This Row],[Tax Parcel ID]],7),SP_TaxPar_DB[Tax Parcel ID],0))</f>
        <v>100</v>
      </c>
      <c r="X25" s="238" t="str">
        <f>IF(OR(SP_ACQ_Lib[[#This Row],[Acquisition Tract No.]]="",SP_ACQ_Lib[[#This Row],[ACQ Document Type]]=""),0,CONCATENATE("COW-FRMP_TR-",SP_ACQ_Lib[[#This Row],[Acquisition Tract No.]]," ",SP_ACQ_Lib[[#This Row],[ACQ Document Type]]))</f>
        <v>COW-FRMP_TR-100 SURVEY Right-of-Entry</v>
      </c>
      <c r="Y25" s="239">
        <f>IF(OR(SP_ACQ_Lib[[#This Row],[File Name Convention]]=0,LEFT(SP_ACQ_Lib[[#This Row],[Name]],LEN(SP_ACQ_Lib[[#This Row],[File Name Convention]]))&lt;&gt;SP_ACQ_Lib[[#This Row],[File Name Convention]],ISERROR(SEARCH(SP_ACQ_Lib[[#This Row],[ACQ Document Type]],SP_ACQ_Lib[[#This Row],[Name]]))),1,0)</f>
        <v>0</v>
      </c>
    </row>
    <row r="26" spans="1:25" ht="15" x14ac:dyDescent="0.2">
      <c r="A26" s="157" t="str">
        <f>CONCATENATE(SP_ACQ_Lib[[#This Row],[Acquisition Tract No.]],"_",SP_ACQ_Lib[[#This Row],[ACQ Document Type]])</f>
        <v>100_TITLE Commitment</v>
      </c>
      <c r="B26" s="14" t="s">
        <v>1408</v>
      </c>
      <c r="C26" s="15" t="s">
        <v>24</v>
      </c>
      <c r="D26" s="12" t="s">
        <v>5876</v>
      </c>
      <c r="E26" s="8" t="s">
        <v>861</v>
      </c>
      <c r="F26" s="8" t="s">
        <v>862</v>
      </c>
      <c r="G26" s="8" t="s">
        <v>614</v>
      </c>
      <c r="H26" s="7" t="s">
        <v>592</v>
      </c>
      <c r="I26" s="16">
        <v>43672</v>
      </c>
      <c r="J26" s="16">
        <v>43684</v>
      </c>
      <c r="K26" s="17"/>
      <c r="L26" s="3"/>
      <c r="M26" s="8" t="s">
        <v>4206</v>
      </c>
      <c r="N26" s="11">
        <v>43990.960381944446</v>
      </c>
      <c r="O26" s="8" t="s">
        <v>4326</v>
      </c>
      <c r="P26" s="11">
        <v>43689.35696759259</v>
      </c>
      <c r="Q26" s="13">
        <v>291084</v>
      </c>
      <c r="R26" s="19" t="s">
        <v>594</v>
      </c>
      <c r="S26" s="14" t="s">
        <v>705</v>
      </c>
      <c r="T26" s="163">
        <v>11</v>
      </c>
      <c r="U26" s="164" t="str">
        <f>CONCATENATE(LEFT(SP_ACQ_Lib[[#This Row],[Tax Parcel ID]],7),"_",SP_ACQ_Lib[[#This Row],[ACQ Document Type]])</f>
        <v>R068875_TITLE Commitment</v>
      </c>
      <c r="V26" s="65" t="str">
        <f>INDEX(SP_AcqTract_DB[WCAD Tax Parcel ID],MATCH(SP_ACQ_Lib[[#This Row],[Acquisition Tract No.]],SP_AcqTract_DB[Acquisition Tract No.],0))</f>
        <v>R068875;#1;#R068876;#306</v>
      </c>
      <c r="W26" s="48" t="str">
        <f>INDEX(SP_TaxPar_DB[Acquisition Tract No.],MATCH(LEFT(SP_ACQ_Lib[[#This Row],[Tax Parcel ID]],7),SP_TaxPar_DB[Tax Parcel ID],0))</f>
        <v>100</v>
      </c>
      <c r="X26" s="238" t="str">
        <f>IF(OR(SP_ACQ_Lib[[#This Row],[Acquisition Tract No.]]="",SP_ACQ_Lib[[#This Row],[ACQ Document Type]]=""),0,CONCATENATE("COW-FRMP_TR-",SP_ACQ_Lib[[#This Row],[Acquisition Tract No.]]," ",SP_ACQ_Lib[[#This Row],[ACQ Document Type]]))</f>
        <v>COW-FRMP_TR-100 TITLE Commitment</v>
      </c>
      <c r="Y26" s="239">
        <f>IF(OR(SP_ACQ_Lib[[#This Row],[File Name Convention]]=0,LEFT(SP_ACQ_Lib[[#This Row],[Name]],LEN(SP_ACQ_Lib[[#This Row],[File Name Convention]]))&lt;&gt;SP_ACQ_Lib[[#This Row],[File Name Convention]],ISERROR(SEARCH(SP_ACQ_Lib[[#This Row],[ACQ Document Type]],SP_ACQ_Lib[[#This Row],[Name]]))),1,0)</f>
        <v>0</v>
      </c>
    </row>
    <row r="27" spans="1:25" ht="15" x14ac:dyDescent="0.2">
      <c r="A27" s="157" t="str">
        <f>CONCATENATE(SP_ACQ_Lib[[#This Row],[Acquisition Tract No.]],"_",SP_ACQ_Lib[[#This Row],[ACQ Document Type]])</f>
        <v>100_TITLE Commitment Backup Docs</v>
      </c>
      <c r="B27" s="14" t="s">
        <v>1409</v>
      </c>
      <c r="C27" s="15" t="s">
        <v>24</v>
      </c>
      <c r="D27" s="12" t="s">
        <v>5876</v>
      </c>
      <c r="E27" s="8" t="s">
        <v>861</v>
      </c>
      <c r="F27" s="8" t="s">
        <v>863</v>
      </c>
      <c r="G27" s="8" t="s">
        <v>616</v>
      </c>
      <c r="H27" s="7" t="s">
        <v>592</v>
      </c>
      <c r="I27" s="16"/>
      <c r="J27" s="16"/>
      <c r="K27" s="17"/>
      <c r="L27" s="3"/>
      <c r="M27" s="8" t="s">
        <v>4206</v>
      </c>
      <c r="N27" s="11">
        <v>43990.960590277777</v>
      </c>
      <c r="O27" s="8" t="s">
        <v>4326</v>
      </c>
      <c r="P27" s="11">
        <v>43689.357812499999</v>
      </c>
      <c r="Q27" s="13">
        <v>6744697</v>
      </c>
      <c r="R27" s="19" t="s">
        <v>594</v>
      </c>
      <c r="S27" s="14" t="s">
        <v>706</v>
      </c>
      <c r="T27" s="163">
        <v>12</v>
      </c>
      <c r="U27" s="164" t="str">
        <f>CONCATENATE(LEFT(SP_ACQ_Lib[[#This Row],[Tax Parcel ID]],7),"_",SP_ACQ_Lib[[#This Row],[ACQ Document Type]])</f>
        <v>R068875_TITLE Commitment Backup Docs</v>
      </c>
      <c r="V27" s="65" t="str">
        <f>INDEX(SP_AcqTract_DB[WCAD Tax Parcel ID],MATCH(SP_ACQ_Lib[[#This Row],[Acquisition Tract No.]],SP_AcqTract_DB[Acquisition Tract No.],0))</f>
        <v>R068875;#1;#R068876;#306</v>
      </c>
      <c r="W27" s="48" t="str">
        <f>INDEX(SP_TaxPar_DB[Acquisition Tract No.],MATCH(LEFT(SP_ACQ_Lib[[#This Row],[Tax Parcel ID]],7),SP_TaxPar_DB[Tax Parcel ID],0))</f>
        <v>100</v>
      </c>
      <c r="X27" s="238" t="str">
        <f>IF(OR(SP_ACQ_Lib[[#This Row],[Acquisition Tract No.]]="",SP_ACQ_Lib[[#This Row],[ACQ Document Type]]=""),0,CONCATENATE("COW-FRMP_TR-",SP_ACQ_Lib[[#This Row],[Acquisition Tract No.]]," ",SP_ACQ_Lib[[#This Row],[ACQ Document Type]]))</f>
        <v>COW-FRMP_TR-100 TITLE Commitment Backup Docs</v>
      </c>
      <c r="Y27" s="239">
        <f>IF(OR(SP_ACQ_Lib[[#This Row],[File Name Convention]]=0,LEFT(SP_ACQ_Lib[[#This Row],[Name]],LEN(SP_ACQ_Lib[[#This Row],[File Name Convention]]))&lt;&gt;SP_ACQ_Lib[[#This Row],[File Name Convention]],ISERROR(SEARCH(SP_ACQ_Lib[[#This Row],[ACQ Document Type]],SP_ACQ_Lib[[#This Row],[Name]]))),1,0)</f>
        <v>0</v>
      </c>
    </row>
    <row r="28" spans="1:25" ht="15" x14ac:dyDescent="0.2">
      <c r="A28" s="157" t="str">
        <f>CONCATENATE(SP_ACQ_Lib[[#This Row],[Acquisition Tract No.]],"_",SP_ACQ_Lib[[#This Row],[ACQ Document Type]])</f>
        <v>100_TITLE Curative Plan</v>
      </c>
      <c r="B28" s="14" t="s">
        <v>1410</v>
      </c>
      <c r="C28" s="15" t="s">
        <v>24</v>
      </c>
      <c r="D28" s="12" t="s">
        <v>5876</v>
      </c>
      <c r="E28" s="8" t="s">
        <v>861</v>
      </c>
      <c r="F28" s="8" t="s">
        <v>864</v>
      </c>
      <c r="G28" s="8" t="s">
        <v>617</v>
      </c>
      <c r="H28" s="7" t="s">
        <v>592</v>
      </c>
      <c r="I28" s="16">
        <v>43805</v>
      </c>
      <c r="J28" s="16"/>
      <c r="K28" s="17"/>
      <c r="L28" s="3"/>
      <c r="M28" s="8" t="s">
        <v>4206</v>
      </c>
      <c r="N28" s="11">
        <v>43990.960740740738</v>
      </c>
      <c r="O28" s="8" t="s">
        <v>4326</v>
      </c>
      <c r="P28" s="11">
        <v>43717.451643518521</v>
      </c>
      <c r="Q28" s="13">
        <v>39484</v>
      </c>
      <c r="R28" s="19" t="s">
        <v>594</v>
      </c>
      <c r="S28" s="14" t="s">
        <v>707</v>
      </c>
      <c r="T28" s="163">
        <v>215</v>
      </c>
      <c r="U28" s="164" t="str">
        <f>CONCATENATE(LEFT(SP_ACQ_Lib[[#This Row],[Tax Parcel ID]],7),"_",SP_ACQ_Lib[[#This Row],[ACQ Document Type]])</f>
        <v>R068875_TITLE Curative Plan</v>
      </c>
      <c r="V28" s="65" t="str">
        <f>INDEX(SP_AcqTract_DB[WCAD Tax Parcel ID],MATCH(SP_ACQ_Lib[[#This Row],[Acquisition Tract No.]],SP_AcqTract_DB[Acquisition Tract No.],0))</f>
        <v>R068875;#1;#R068876;#306</v>
      </c>
      <c r="W28" s="48" t="str">
        <f>INDEX(SP_TaxPar_DB[Acquisition Tract No.],MATCH(LEFT(SP_ACQ_Lib[[#This Row],[Tax Parcel ID]],7),SP_TaxPar_DB[Tax Parcel ID],0))</f>
        <v>100</v>
      </c>
      <c r="X28" s="238" t="str">
        <f>IF(OR(SP_ACQ_Lib[[#This Row],[Acquisition Tract No.]]="",SP_ACQ_Lib[[#This Row],[ACQ Document Type]]=""),0,CONCATENATE("COW-FRMP_TR-",SP_ACQ_Lib[[#This Row],[Acquisition Tract No.]]," ",SP_ACQ_Lib[[#This Row],[ACQ Document Type]]))</f>
        <v>COW-FRMP_TR-100 TITLE Curative Plan</v>
      </c>
      <c r="Y28" s="239">
        <f>IF(OR(SP_ACQ_Lib[[#This Row],[File Name Convention]]=0,LEFT(SP_ACQ_Lib[[#This Row],[Name]],LEN(SP_ACQ_Lib[[#This Row],[File Name Convention]]))&lt;&gt;SP_ACQ_Lib[[#This Row],[File Name Convention]],ISERROR(SEARCH(SP_ACQ_Lib[[#This Row],[ACQ Document Type]],SP_ACQ_Lib[[#This Row],[Name]]))),1,0)</f>
        <v>0</v>
      </c>
    </row>
    <row r="29" spans="1:25" ht="15" x14ac:dyDescent="0.2">
      <c r="A29" s="157" t="str">
        <f>CONCATENATE(SP_ACQ_Lib[[#This Row],[Acquisition Tract No.]],"_",SP_ACQ_Lib[[#This Row],[ACQ Document Type]])</f>
        <v>100_TITLE SOS Business Organization Inquiry</v>
      </c>
      <c r="B29" s="14" t="s">
        <v>1751</v>
      </c>
      <c r="C29" s="15" t="s">
        <v>24</v>
      </c>
      <c r="D29" s="12" t="s">
        <v>5876</v>
      </c>
      <c r="E29" s="8" t="s">
        <v>861</v>
      </c>
      <c r="F29" s="8" t="s">
        <v>1148</v>
      </c>
      <c r="G29" s="8" t="s">
        <v>1147</v>
      </c>
      <c r="H29" s="7" t="s">
        <v>592</v>
      </c>
      <c r="I29" s="16">
        <v>43805</v>
      </c>
      <c r="J29" s="16"/>
      <c r="K29" s="17"/>
      <c r="L29" s="3"/>
      <c r="M29" s="8" t="s">
        <v>4206</v>
      </c>
      <c r="N29" s="11">
        <v>43990.9608912037</v>
      </c>
      <c r="O29" s="8" t="s">
        <v>4325</v>
      </c>
      <c r="P29" s="11">
        <v>43846.405925925923</v>
      </c>
      <c r="Q29" s="13">
        <v>867638</v>
      </c>
      <c r="R29" s="19" t="s">
        <v>594</v>
      </c>
      <c r="S29" s="14" t="s">
        <v>1754</v>
      </c>
      <c r="T29" s="163">
        <v>712</v>
      </c>
      <c r="U29" s="164" t="str">
        <f>CONCATENATE(LEFT(SP_ACQ_Lib[[#This Row],[Tax Parcel ID]],7),"_",SP_ACQ_Lib[[#This Row],[ACQ Document Type]])</f>
        <v>R068875_TITLE SOS Business Organization Inquiry</v>
      </c>
      <c r="V29" s="65" t="str">
        <f>INDEX(SP_AcqTract_DB[WCAD Tax Parcel ID],MATCH(SP_ACQ_Lib[[#This Row],[Acquisition Tract No.]],SP_AcqTract_DB[Acquisition Tract No.],0))</f>
        <v>R068875;#1;#R068876;#306</v>
      </c>
      <c r="W29" s="48" t="str">
        <f>INDEX(SP_TaxPar_DB[Acquisition Tract No.],MATCH(LEFT(SP_ACQ_Lib[[#This Row],[Tax Parcel ID]],7),SP_TaxPar_DB[Tax Parcel ID],0))</f>
        <v>100</v>
      </c>
      <c r="X29" s="238" t="str">
        <f>IF(OR(SP_ACQ_Lib[[#This Row],[Acquisition Tract No.]]="",SP_ACQ_Lib[[#This Row],[ACQ Document Type]]=""),0,CONCATENATE("COW-FRMP_TR-",SP_ACQ_Lib[[#This Row],[Acquisition Tract No.]]," ",SP_ACQ_Lib[[#This Row],[ACQ Document Type]]))</f>
        <v>COW-FRMP_TR-100 TITLE SOS Business Organization Inquiry</v>
      </c>
      <c r="Y29" s="239">
        <f>IF(OR(SP_ACQ_Lib[[#This Row],[File Name Convention]]=0,LEFT(SP_ACQ_Lib[[#This Row],[Name]],LEN(SP_ACQ_Lib[[#This Row],[File Name Convention]]))&lt;&gt;SP_ACQ_Lib[[#This Row],[File Name Convention]],ISERROR(SEARCH(SP_ACQ_Lib[[#This Row],[ACQ Document Type]],SP_ACQ_Lib[[#This Row],[Name]]))),1,0)</f>
        <v>0</v>
      </c>
    </row>
    <row r="30" spans="1:25" ht="15" x14ac:dyDescent="0.2">
      <c r="A30" s="157" t="str">
        <f>CONCATENATE(SP_ACQ_Lib[[#This Row],[Acquisition Tract No.]],"_",SP_ACQ_Lib[[#This Row],[ACQ Document Type]])</f>
        <v>100_TITLE Tax Card</v>
      </c>
      <c r="B30" s="14" t="s">
        <v>4335</v>
      </c>
      <c r="C30" s="15" t="s">
        <v>24</v>
      </c>
      <c r="D30" s="12" t="s">
        <v>5876</v>
      </c>
      <c r="E30" s="8" t="s">
        <v>861</v>
      </c>
      <c r="F30" s="8" t="s">
        <v>1150</v>
      </c>
      <c r="G30" s="8" t="s">
        <v>1149</v>
      </c>
      <c r="H30" s="7" t="s">
        <v>592</v>
      </c>
      <c r="I30" s="16"/>
      <c r="J30" s="16"/>
      <c r="K30" s="17"/>
      <c r="L30" s="3" t="s">
        <v>4327</v>
      </c>
      <c r="M30" s="8" t="s">
        <v>4206</v>
      </c>
      <c r="N30" s="11">
        <v>43990.961030092592</v>
      </c>
      <c r="O30" s="8" t="s">
        <v>4206</v>
      </c>
      <c r="P30" s="11">
        <v>43893.467002314814</v>
      </c>
      <c r="Q30" s="13">
        <v>606470</v>
      </c>
      <c r="R30" s="19" t="s">
        <v>594</v>
      </c>
      <c r="S30" s="14" t="s">
        <v>4338</v>
      </c>
      <c r="T30" s="163">
        <v>751</v>
      </c>
      <c r="U30" s="164" t="str">
        <f>CONCATENATE(LEFT(SP_ACQ_Lib[[#This Row],[Tax Parcel ID]],7),"_",SP_ACQ_Lib[[#This Row],[ACQ Document Type]])</f>
        <v>R068875_TITLE Tax Card</v>
      </c>
      <c r="V30" s="65" t="str">
        <f>INDEX(SP_AcqTract_DB[WCAD Tax Parcel ID],MATCH(SP_ACQ_Lib[[#This Row],[Acquisition Tract No.]],SP_AcqTract_DB[Acquisition Tract No.],0))</f>
        <v>R068875;#1;#R068876;#306</v>
      </c>
      <c r="W30" s="48" t="str">
        <f>INDEX(SP_TaxPar_DB[Acquisition Tract No.],MATCH(LEFT(SP_ACQ_Lib[[#This Row],[Tax Parcel ID]],7),SP_TaxPar_DB[Tax Parcel ID],0))</f>
        <v>100</v>
      </c>
      <c r="X30" s="238" t="str">
        <f>IF(OR(SP_ACQ_Lib[[#This Row],[Acquisition Tract No.]]="",SP_ACQ_Lib[[#This Row],[ACQ Document Type]]=""),0,CONCATENATE("COW-FRMP_TR-",SP_ACQ_Lib[[#This Row],[Acquisition Tract No.]]," ",SP_ACQ_Lib[[#This Row],[ACQ Document Type]]))</f>
        <v>COW-FRMP_TR-100 TITLE Tax Card</v>
      </c>
      <c r="Y30" s="239">
        <f>IF(OR(SP_ACQ_Lib[[#This Row],[File Name Convention]]=0,LEFT(SP_ACQ_Lib[[#This Row],[Name]],LEN(SP_ACQ_Lib[[#This Row],[File Name Convention]]))&lt;&gt;SP_ACQ_Lib[[#This Row],[File Name Convention]],ISERROR(SEARCH(SP_ACQ_Lib[[#This Row],[ACQ Document Type]],SP_ACQ_Lib[[#This Row],[Name]]))),1,0)</f>
        <v>0</v>
      </c>
    </row>
    <row r="31" spans="1:25" ht="15" x14ac:dyDescent="0.2">
      <c r="A31" s="157" t="str">
        <f>CONCATENATE(SP_ACQ_Lib[[#This Row],[Acquisition Tract No.]],"_",SP_ACQ_Lib[[#This Row],[ACQ Document Type]])</f>
        <v>101_TITLE Commitment</v>
      </c>
      <c r="B31" s="14" t="s">
        <v>6290</v>
      </c>
      <c r="C31" s="15" t="s">
        <v>4635</v>
      </c>
      <c r="D31" s="12" t="s">
        <v>22</v>
      </c>
      <c r="E31" s="8" t="s">
        <v>861</v>
      </c>
      <c r="F31" s="8" t="s">
        <v>862</v>
      </c>
      <c r="G31" s="8" t="s">
        <v>614</v>
      </c>
      <c r="H31" s="7" t="s">
        <v>592</v>
      </c>
      <c r="I31" s="16">
        <v>43994</v>
      </c>
      <c r="J31" s="16">
        <v>44001</v>
      </c>
      <c r="K31" s="17"/>
      <c r="L31" s="3" t="s">
        <v>6285</v>
      </c>
      <c r="M31" s="8" t="s">
        <v>4325</v>
      </c>
      <c r="N31" s="11">
        <v>44004.418969907405</v>
      </c>
      <c r="O31" s="8" t="s">
        <v>4325</v>
      </c>
      <c r="P31" s="11">
        <v>44004.415046296293</v>
      </c>
      <c r="Q31" s="13">
        <v>2089815</v>
      </c>
      <c r="R31" s="19" t="s">
        <v>594</v>
      </c>
      <c r="S31" s="14" t="s">
        <v>6359</v>
      </c>
      <c r="T31" s="163">
        <v>1240</v>
      </c>
      <c r="U31" s="164" t="str">
        <f>CONCATENATE(LEFT(SP_ACQ_Lib[[#This Row],[Tax Parcel ID]],7),"_",SP_ACQ_Lib[[#This Row],[ACQ Document Type]])</f>
        <v>_TITLE Commitment</v>
      </c>
      <c r="V31" s="65" t="str">
        <f>INDEX(SP_AcqTract_DB[WCAD Tax Parcel ID],MATCH(SP_ACQ_Lib[[#This Row],[Acquisition Tract No.]],SP_AcqTract_DB[Acquisition Tract No.],0))</f>
        <v/>
      </c>
      <c r="W31" s="48" t="e">
        <f>INDEX(SP_TaxPar_DB[Acquisition Tract No.],MATCH(LEFT(SP_ACQ_Lib[[#This Row],[Tax Parcel ID]],7),SP_TaxPar_DB[Tax Parcel ID],0))</f>
        <v>#N/A</v>
      </c>
      <c r="X31" s="238" t="str">
        <f>IF(OR(SP_ACQ_Lib[[#This Row],[Acquisition Tract No.]]="",SP_ACQ_Lib[[#This Row],[ACQ Document Type]]=""),0,CONCATENATE("COW-FRMP_TR-",SP_ACQ_Lib[[#This Row],[Acquisition Tract No.]]," ",SP_ACQ_Lib[[#This Row],[ACQ Document Type]]))</f>
        <v>COW-FRMP_TR-101 TITLE Commitment</v>
      </c>
      <c r="Y31" s="239">
        <f>IF(OR(SP_ACQ_Lib[[#This Row],[File Name Convention]]=0,LEFT(SP_ACQ_Lib[[#This Row],[Name]],LEN(SP_ACQ_Lib[[#This Row],[File Name Convention]]))&lt;&gt;SP_ACQ_Lib[[#This Row],[File Name Convention]],ISERROR(SEARCH(SP_ACQ_Lib[[#This Row],[ACQ Document Type]],SP_ACQ_Lib[[#This Row],[Name]]))),1,0)</f>
        <v>0</v>
      </c>
    </row>
    <row r="32" spans="1:25" ht="15" x14ac:dyDescent="0.2">
      <c r="A32" s="157" t="str">
        <f>CONCATENATE(SP_ACQ_Lib[[#This Row],[Acquisition Tract No.]],"_",SP_ACQ_Lib[[#This Row],[ACQ Document Type]])</f>
        <v>101_TITLE Curative Plan</v>
      </c>
      <c r="B32" s="14" t="s">
        <v>6291</v>
      </c>
      <c r="C32" s="15" t="s">
        <v>4635</v>
      </c>
      <c r="D32" s="12" t="s">
        <v>22</v>
      </c>
      <c r="E32" s="8" t="s">
        <v>861</v>
      </c>
      <c r="F32" s="8" t="s">
        <v>864</v>
      </c>
      <c r="G32" s="8" t="s">
        <v>617</v>
      </c>
      <c r="H32" s="7" t="s">
        <v>592</v>
      </c>
      <c r="I32" s="16">
        <v>44004</v>
      </c>
      <c r="J32" s="16"/>
      <c r="K32" s="17"/>
      <c r="L32" s="3" t="s">
        <v>6285</v>
      </c>
      <c r="M32" s="8" t="s">
        <v>4325</v>
      </c>
      <c r="N32" s="11">
        <v>44004.604675925926</v>
      </c>
      <c r="O32" s="8" t="s">
        <v>4325</v>
      </c>
      <c r="P32" s="11">
        <v>44004.603761574072</v>
      </c>
      <c r="Q32" s="13">
        <v>39373</v>
      </c>
      <c r="R32" s="19" t="s">
        <v>594</v>
      </c>
      <c r="S32" s="14" t="s">
        <v>6360</v>
      </c>
      <c r="T32" s="163">
        <v>1258</v>
      </c>
      <c r="U32" s="164" t="str">
        <f>CONCATENATE(LEFT(SP_ACQ_Lib[[#This Row],[Tax Parcel ID]],7),"_",SP_ACQ_Lib[[#This Row],[ACQ Document Type]])</f>
        <v>_TITLE Curative Plan</v>
      </c>
      <c r="V32" s="65" t="str">
        <f>INDEX(SP_AcqTract_DB[WCAD Tax Parcel ID],MATCH(SP_ACQ_Lib[[#This Row],[Acquisition Tract No.]],SP_AcqTract_DB[Acquisition Tract No.],0))</f>
        <v/>
      </c>
      <c r="W32" s="48" t="e">
        <f>INDEX(SP_TaxPar_DB[Acquisition Tract No.],MATCH(LEFT(SP_ACQ_Lib[[#This Row],[Tax Parcel ID]],7),SP_TaxPar_DB[Tax Parcel ID],0))</f>
        <v>#N/A</v>
      </c>
      <c r="X32" s="238" t="str">
        <f>IF(OR(SP_ACQ_Lib[[#This Row],[Acquisition Tract No.]]="",SP_ACQ_Lib[[#This Row],[ACQ Document Type]]=""),0,CONCATENATE("COW-FRMP_TR-",SP_ACQ_Lib[[#This Row],[Acquisition Tract No.]]," ",SP_ACQ_Lib[[#This Row],[ACQ Document Type]]))</f>
        <v>COW-FRMP_TR-101 TITLE Curative Plan</v>
      </c>
      <c r="Y32" s="239">
        <f>IF(OR(SP_ACQ_Lib[[#This Row],[File Name Convention]]=0,LEFT(SP_ACQ_Lib[[#This Row],[Name]],LEN(SP_ACQ_Lib[[#This Row],[File Name Convention]]))&lt;&gt;SP_ACQ_Lib[[#This Row],[File Name Convention]],ISERROR(SEARCH(SP_ACQ_Lib[[#This Row],[ACQ Document Type]],SP_ACQ_Lib[[#This Row],[Name]]))),1,0)</f>
        <v>0</v>
      </c>
    </row>
    <row r="33" spans="1:25" ht="15" x14ac:dyDescent="0.2">
      <c r="A33" s="157" t="str">
        <f>CONCATENATE(SP_ACQ_Lib[[#This Row],[Acquisition Tract No.]],"_",SP_ACQ_Lib[[#This Row],[ACQ Document Type]])</f>
        <v>102_SURVEY Description-Plat_USACOE</v>
      </c>
      <c r="B33" s="14" t="s">
        <v>6018</v>
      </c>
      <c r="C33" s="15" t="s">
        <v>3028</v>
      </c>
      <c r="D33" s="12" t="s">
        <v>22</v>
      </c>
      <c r="E33" s="8" t="s">
        <v>858</v>
      </c>
      <c r="F33" s="8" t="s">
        <v>3510</v>
      </c>
      <c r="G33" s="8" t="s">
        <v>3509</v>
      </c>
      <c r="H33" s="7" t="s">
        <v>592</v>
      </c>
      <c r="I33" s="16">
        <v>43991</v>
      </c>
      <c r="J33" s="16">
        <v>43993</v>
      </c>
      <c r="K33" s="17"/>
      <c r="L33" s="3"/>
      <c r="M33" s="8" t="s">
        <v>4206</v>
      </c>
      <c r="N33" s="11">
        <v>44020.387835648151</v>
      </c>
      <c r="O33" s="8" t="s">
        <v>4207</v>
      </c>
      <c r="P33" s="11">
        <v>43998.642708333333</v>
      </c>
      <c r="Q33" s="13">
        <v>294826</v>
      </c>
      <c r="R33" s="19" t="s">
        <v>594</v>
      </c>
      <c r="S33" s="14" t="s">
        <v>6248</v>
      </c>
      <c r="T33" s="163">
        <v>1211</v>
      </c>
      <c r="U33" s="164" t="str">
        <f>CONCATENATE(LEFT(SP_ACQ_Lib[[#This Row],[Tax Parcel ID]],7),"_",SP_ACQ_Lib[[#This Row],[ACQ Document Type]])</f>
        <v>_SURVEY Description-Plat_USACOE</v>
      </c>
      <c r="V33" s="65" t="str">
        <f>INDEX(SP_AcqTract_DB[WCAD Tax Parcel ID],MATCH(SP_ACQ_Lib[[#This Row],[Acquisition Tract No.]],SP_AcqTract_DB[Acquisition Tract No.],0))</f>
        <v/>
      </c>
      <c r="W33" s="48" t="e">
        <f>INDEX(SP_TaxPar_DB[Acquisition Tract No.],MATCH(LEFT(SP_ACQ_Lib[[#This Row],[Tax Parcel ID]],7),SP_TaxPar_DB[Tax Parcel ID],0))</f>
        <v>#N/A</v>
      </c>
      <c r="X33" s="238" t="str">
        <f>IF(OR(SP_ACQ_Lib[[#This Row],[Acquisition Tract No.]]="",SP_ACQ_Lib[[#This Row],[ACQ Document Type]]=""),0,CONCATENATE("COW-FRMP_TR-",SP_ACQ_Lib[[#This Row],[Acquisition Tract No.]]," ",SP_ACQ_Lib[[#This Row],[ACQ Document Type]]))</f>
        <v>COW-FRMP_TR-102 SURVEY Description-Plat_USACOE</v>
      </c>
      <c r="Y33" s="239">
        <f>IF(OR(SP_ACQ_Lib[[#This Row],[File Name Convention]]=0,LEFT(SP_ACQ_Lib[[#This Row],[Name]],LEN(SP_ACQ_Lib[[#This Row],[File Name Convention]]))&lt;&gt;SP_ACQ_Lib[[#This Row],[File Name Convention]],ISERROR(SEARCH(SP_ACQ_Lib[[#This Row],[ACQ Document Type]],SP_ACQ_Lib[[#This Row],[Name]]))),1,0)</f>
        <v>0</v>
      </c>
    </row>
    <row r="34" spans="1:25" ht="15" x14ac:dyDescent="0.2">
      <c r="A34" s="157" t="str">
        <f>CONCATENATE(SP_ACQ_Lib[[#This Row],[Acquisition Tract No.]],"_",SP_ACQ_Lib[[#This Row],[ACQ Document Type]])</f>
        <v>102_TITLE Commitment</v>
      </c>
      <c r="B34" s="14" t="s">
        <v>6292</v>
      </c>
      <c r="C34" s="15" t="s">
        <v>3028</v>
      </c>
      <c r="D34" s="12" t="s">
        <v>22</v>
      </c>
      <c r="E34" s="8" t="s">
        <v>861</v>
      </c>
      <c r="F34" s="8" t="s">
        <v>862</v>
      </c>
      <c r="G34" s="8" t="s">
        <v>614</v>
      </c>
      <c r="H34" s="7" t="s">
        <v>592</v>
      </c>
      <c r="I34" s="16">
        <v>43994</v>
      </c>
      <c r="J34" s="16">
        <v>44001</v>
      </c>
      <c r="K34" s="17"/>
      <c r="L34" s="3" t="s">
        <v>6286</v>
      </c>
      <c r="M34" s="8" t="s">
        <v>4325</v>
      </c>
      <c r="N34" s="11">
        <v>44004.611238425925</v>
      </c>
      <c r="O34" s="8" t="s">
        <v>4325</v>
      </c>
      <c r="P34" s="11">
        <v>44004.610462962963</v>
      </c>
      <c r="Q34" s="13">
        <v>1955440</v>
      </c>
      <c r="R34" s="19" t="s">
        <v>594</v>
      </c>
      <c r="S34" s="14" t="s">
        <v>6361</v>
      </c>
      <c r="T34" s="163">
        <v>1259</v>
      </c>
      <c r="U34" s="164" t="str">
        <f>CONCATENATE(LEFT(SP_ACQ_Lib[[#This Row],[Tax Parcel ID]],7),"_",SP_ACQ_Lib[[#This Row],[ACQ Document Type]])</f>
        <v>_TITLE Commitment</v>
      </c>
      <c r="V34" s="65" t="str">
        <f>INDEX(SP_AcqTract_DB[WCAD Tax Parcel ID],MATCH(SP_ACQ_Lib[[#This Row],[Acquisition Tract No.]],SP_AcqTract_DB[Acquisition Tract No.],0))</f>
        <v/>
      </c>
      <c r="W34" s="48" t="e">
        <f>INDEX(SP_TaxPar_DB[Acquisition Tract No.],MATCH(LEFT(SP_ACQ_Lib[[#This Row],[Tax Parcel ID]],7),SP_TaxPar_DB[Tax Parcel ID],0))</f>
        <v>#N/A</v>
      </c>
      <c r="X34" s="238" t="str">
        <f>IF(OR(SP_ACQ_Lib[[#This Row],[Acquisition Tract No.]]="",SP_ACQ_Lib[[#This Row],[ACQ Document Type]]=""),0,CONCATENATE("COW-FRMP_TR-",SP_ACQ_Lib[[#This Row],[Acquisition Tract No.]]," ",SP_ACQ_Lib[[#This Row],[ACQ Document Type]]))</f>
        <v>COW-FRMP_TR-102 TITLE Commitment</v>
      </c>
      <c r="Y34" s="239">
        <f>IF(OR(SP_ACQ_Lib[[#This Row],[File Name Convention]]=0,LEFT(SP_ACQ_Lib[[#This Row],[Name]],LEN(SP_ACQ_Lib[[#This Row],[File Name Convention]]))&lt;&gt;SP_ACQ_Lib[[#This Row],[File Name Convention]],ISERROR(SEARCH(SP_ACQ_Lib[[#This Row],[ACQ Document Type]],SP_ACQ_Lib[[#This Row],[Name]]))),1,0)</f>
        <v>0</v>
      </c>
    </row>
    <row r="35" spans="1:25" ht="15" x14ac:dyDescent="0.2">
      <c r="A35" s="157" t="str">
        <f>CONCATENATE(SP_ACQ_Lib[[#This Row],[Acquisition Tract No.]],"_",SP_ACQ_Lib[[#This Row],[ACQ Document Type]])</f>
        <v>102_TITLE Curative Plan</v>
      </c>
      <c r="B35" s="14" t="s">
        <v>6293</v>
      </c>
      <c r="C35" s="15" t="s">
        <v>3028</v>
      </c>
      <c r="D35" s="12" t="s">
        <v>22</v>
      </c>
      <c r="E35" s="8" t="s">
        <v>861</v>
      </c>
      <c r="F35" s="8" t="s">
        <v>864</v>
      </c>
      <c r="G35" s="8" t="s">
        <v>617</v>
      </c>
      <c r="H35" s="7" t="s">
        <v>592</v>
      </c>
      <c r="I35" s="16">
        <v>44004</v>
      </c>
      <c r="J35" s="16"/>
      <c r="K35" s="17"/>
      <c r="L35" s="3"/>
      <c r="M35" s="8" t="s">
        <v>4325</v>
      </c>
      <c r="N35" s="11">
        <v>44004.611701388887</v>
      </c>
      <c r="O35" s="8" t="s">
        <v>4325</v>
      </c>
      <c r="P35" s="11">
        <v>44004.611481481479</v>
      </c>
      <c r="Q35" s="13">
        <v>39627</v>
      </c>
      <c r="R35" s="19" t="s">
        <v>594</v>
      </c>
      <c r="S35" s="14" t="s">
        <v>6362</v>
      </c>
      <c r="T35" s="163">
        <v>1260</v>
      </c>
      <c r="U35" s="164" t="str">
        <f>CONCATENATE(LEFT(SP_ACQ_Lib[[#This Row],[Tax Parcel ID]],7),"_",SP_ACQ_Lib[[#This Row],[ACQ Document Type]])</f>
        <v>_TITLE Curative Plan</v>
      </c>
      <c r="V35" s="65" t="str">
        <f>INDEX(SP_AcqTract_DB[WCAD Tax Parcel ID],MATCH(SP_ACQ_Lib[[#This Row],[Acquisition Tract No.]],SP_AcqTract_DB[Acquisition Tract No.],0))</f>
        <v/>
      </c>
      <c r="W35" s="48" t="e">
        <f>INDEX(SP_TaxPar_DB[Acquisition Tract No.],MATCH(LEFT(SP_ACQ_Lib[[#This Row],[Tax Parcel ID]],7),SP_TaxPar_DB[Tax Parcel ID],0))</f>
        <v>#N/A</v>
      </c>
      <c r="X35" s="238" t="str">
        <f>IF(OR(SP_ACQ_Lib[[#This Row],[Acquisition Tract No.]]="",SP_ACQ_Lib[[#This Row],[ACQ Document Type]]=""),0,CONCATENATE("COW-FRMP_TR-",SP_ACQ_Lib[[#This Row],[Acquisition Tract No.]]," ",SP_ACQ_Lib[[#This Row],[ACQ Document Type]]))</f>
        <v>COW-FRMP_TR-102 TITLE Curative Plan</v>
      </c>
      <c r="Y35" s="239">
        <f>IF(OR(SP_ACQ_Lib[[#This Row],[File Name Convention]]=0,LEFT(SP_ACQ_Lib[[#This Row],[Name]],LEN(SP_ACQ_Lib[[#This Row],[File Name Convention]]))&lt;&gt;SP_ACQ_Lib[[#This Row],[File Name Convention]],ISERROR(SEARCH(SP_ACQ_Lib[[#This Row],[ACQ Document Type]],SP_ACQ_Lib[[#This Row],[Name]]))),1,0)</f>
        <v>0</v>
      </c>
    </row>
    <row r="36" spans="1:25" ht="15" x14ac:dyDescent="0.2">
      <c r="A36" s="157" t="str">
        <f>CONCATENATE(SP_ACQ_Lib[[#This Row],[Acquisition Tract No.]],"_",SP_ACQ_Lib[[#This Row],[ACQ Document Type]])</f>
        <v>200_APPRAISAL Appraisal Review</v>
      </c>
      <c r="B36" s="14" t="s">
        <v>5896</v>
      </c>
      <c r="C36" s="15" t="s">
        <v>28</v>
      </c>
      <c r="D36" s="12" t="s">
        <v>85</v>
      </c>
      <c r="E36" s="8" t="s">
        <v>1131</v>
      </c>
      <c r="F36" s="8" t="s">
        <v>4753</v>
      </c>
      <c r="G36" s="8" t="s">
        <v>4751</v>
      </c>
      <c r="H36" s="7" t="s">
        <v>592</v>
      </c>
      <c r="I36" s="16">
        <v>43985</v>
      </c>
      <c r="J36" s="16"/>
      <c r="K36" s="17">
        <v>122482</v>
      </c>
      <c r="L36" s="3"/>
      <c r="M36" s="8" t="s">
        <v>4206</v>
      </c>
      <c r="N36" s="11">
        <v>43991.461064814815</v>
      </c>
      <c r="O36" s="8" t="s">
        <v>4206</v>
      </c>
      <c r="P36" s="11">
        <v>43991.45894675926</v>
      </c>
      <c r="Q36" s="13">
        <v>491551</v>
      </c>
      <c r="R36" s="19" t="s">
        <v>594</v>
      </c>
      <c r="S36" s="14" t="s">
        <v>5902</v>
      </c>
      <c r="T36" s="163">
        <v>1174</v>
      </c>
      <c r="U36" s="164" t="str">
        <f>CONCATENATE(LEFT(SP_ACQ_Lib[[#This Row],[Tax Parcel ID]],7),"_",SP_ACQ_Lib[[#This Row],[ACQ Document Type]])</f>
        <v>R061083_APPRAISAL Appraisal Review</v>
      </c>
      <c r="V36" s="65" t="str">
        <f>INDEX(SP_AcqTract_DB[WCAD Tax Parcel ID],MATCH(SP_ACQ_Lib[[#This Row],[Acquisition Tract No.]],SP_AcqTract_DB[Acquisition Tract No.],0))</f>
        <v>R061083;#3</v>
      </c>
      <c r="W36" s="48" t="str">
        <f>INDEX(SP_TaxPar_DB[Acquisition Tract No.],MATCH(LEFT(SP_ACQ_Lib[[#This Row],[Tax Parcel ID]],7),SP_TaxPar_DB[Tax Parcel ID],0))</f>
        <v>200</v>
      </c>
      <c r="X36" s="238" t="str">
        <f>IF(OR(SP_ACQ_Lib[[#This Row],[Acquisition Tract No.]]="",SP_ACQ_Lib[[#This Row],[ACQ Document Type]]=""),0,CONCATENATE("COW-FRMP_TR-",SP_ACQ_Lib[[#This Row],[Acquisition Tract No.]]," ",SP_ACQ_Lib[[#This Row],[ACQ Document Type]]))</f>
        <v>COW-FRMP_TR-200 APPRAISAL Appraisal Review</v>
      </c>
      <c r="Y36" s="239">
        <f>IF(OR(SP_ACQ_Lib[[#This Row],[File Name Convention]]=0,LEFT(SP_ACQ_Lib[[#This Row],[Name]],LEN(SP_ACQ_Lib[[#This Row],[File Name Convention]]))&lt;&gt;SP_ACQ_Lib[[#This Row],[File Name Convention]],ISERROR(SEARCH(SP_ACQ_Lib[[#This Row],[ACQ Document Type]],SP_ACQ_Lib[[#This Row],[Name]]))),1,0)</f>
        <v>0</v>
      </c>
    </row>
    <row r="37" spans="1:25" ht="15" x14ac:dyDescent="0.2">
      <c r="A37" s="157" t="str">
        <f>CONCATENATE(SP_ACQ_Lib[[#This Row],[Acquisition Tract No.]],"_",SP_ACQ_Lib[[#This Row],[ACQ Document Type]])</f>
        <v>200_APPRAISAL Final Appraisal</v>
      </c>
      <c r="B37" s="14" t="s">
        <v>5897</v>
      </c>
      <c r="C37" s="15" t="s">
        <v>28</v>
      </c>
      <c r="D37" s="12" t="s">
        <v>85</v>
      </c>
      <c r="E37" s="8" t="s">
        <v>1131</v>
      </c>
      <c r="F37" s="8" t="s">
        <v>4755</v>
      </c>
      <c r="G37" s="8" t="s">
        <v>4754</v>
      </c>
      <c r="H37" s="7" t="s">
        <v>592</v>
      </c>
      <c r="I37" s="16">
        <v>43912</v>
      </c>
      <c r="J37" s="16"/>
      <c r="K37" s="17">
        <v>122482</v>
      </c>
      <c r="L37" s="3"/>
      <c r="M37" s="8" t="s">
        <v>4206</v>
      </c>
      <c r="N37" s="11">
        <v>43991.429398148146</v>
      </c>
      <c r="O37" s="8" t="s">
        <v>4206</v>
      </c>
      <c r="P37" s="11">
        <v>43991.427627314813</v>
      </c>
      <c r="Q37" s="13">
        <v>9226166</v>
      </c>
      <c r="R37" s="19" t="s">
        <v>594</v>
      </c>
      <c r="S37" s="14" t="s">
        <v>5903</v>
      </c>
      <c r="T37" s="163">
        <v>1171</v>
      </c>
      <c r="U37" s="164" t="str">
        <f>CONCATENATE(LEFT(SP_ACQ_Lib[[#This Row],[Tax Parcel ID]],7),"_",SP_ACQ_Lib[[#This Row],[ACQ Document Type]])</f>
        <v>R061083_APPRAISAL Final Appraisal</v>
      </c>
      <c r="V37" s="65" t="str">
        <f>INDEX(SP_AcqTract_DB[WCAD Tax Parcel ID],MATCH(SP_ACQ_Lib[[#This Row],[Acquisition Tract No.]],SP_AcqTract_DB[Acquisition Tract No.],0))</f>
        <v>R061083;#3</v>
      </c>
      <c r="W37" s="48" t="str">
        <f>INDEX(SP_TaxPar_DB[Acquisition Tract No.],MATCH(LEFT(SP_ACQ_Lib[[#This Row],[Tax Parcel ID]],7),SP_TaxPar_DB[Tax Parcel ID],0))</f>
        <v>200</v>
      </c>
      <c r="X37" s="238" t="str">
        <f>IF(OR(SP_ACQ_Lib[[#This Row],[Acquisition Tract No.]]="",SP_ACQ_Lib[[#This Row],[ACQ Document Type]]=""),0,CONCATENATE("COW-FRMP_TR-",SP_ACQ_Lib[[#This Row],[Acquisition Tract No.]]," ",SP_ACQ_Lib[[#This Row],[ACQ Document Type]]))</f>
        <v>COW-FRMP_TR-200 APPRAISAL Final Appraisal</v>
      </c>
      <c r="Y37" s="239">
        <f>IF(OR(SP_ACQ_Lib[[#This Row],[File Name Convention]]=0,LEFT(SP_ACQ_Lib[[#This Row],[Name]],LEN(SP_ACQ_Lib[[#This Row],[File Name Convention]]))&lt;&gt;SP_ACQ_Lib[[#This Row],[File Name Convention]],ISERROR(SEARCH(SP_ACQ_Lib[[#This Row],[ACQ Document Type]],SP_ACQ_Lib[[#This Row],[Name]]))),1,0)</f>
        <v>0</v>
      </c>
    </row>
    <row r="38" spans="1:25" ht="15" x14ac:dyDescent="0.2">
      <c r="A38" s="157" t="str">
        <f>CONCATENATE(SP_ACQ_Lib[[#This Row],[Acquisition Tract No.]],"_",SP_ACQ_Lib[[#This Row],[ACQ Document Type]])</f>
        <v>200_APPRAISAL Just Compensation Approval</v>
      </c>
      <c r="B38" s="14" t="s">
        <v>6294</v>
      </c>
      <c r="C38" s="15" t="s">
        <v>28</v>
      </c>
      <c r="D38" s="12" t="s">
        <v>85</v>
      </c>
      <c r="E38" s="8" t="s">
        <v>1131</v>
      </c>
      <c r="F38" s="8" t="s">
        <v>4828</v>
      </c>
      <c r="G38" s="8" t="s">
        <v>4827</v>
      </c>
      <c r="H38" s="7" t="s">
        <v>1749</v>
      </c>
      <c r="I38" s="16">
        <v>44004</v>
      </c>
      <c r="J38" s="16"/>
      <c r="K38" s="17">
        <v>122482</v>
      </c>
      <c r="L38" s="3"/>
      <c r="M38" s="8" t="s">
        <v>4206</v>
      </c>
      <c r="N38" s="11">
        <v>44012.533645833333</v>
      </c>
      <c r="O38" s="8" t="s">
        <v>4206</v>
      </c>
      <c r="P38" s="11">
        <v>44005.489016203705</v>
      </c>
      <c r="Q38" s="13">
        <v>256676</v>
      </c>
      <c r="R38" s="19" t="s">
        <v>594</v>
      </c>
      <c r="S38" s="14" t="s">
        <v>6363</v>
      </c>
      <c r="T38" s="163">
        <v>1265</v>
      </c>
      <c r="U38" s="164" t="str">
        <f>CONCATENATE(LEFT(SP_ACQ_Lib[[#This Row],[Tax Parcel ID]],7),"_",SP_ACQ_Lib[[#This Row],[ACQ Document Type]])</f>
        <v>R061083_APPRAISAL Just Compensation Approval</v>
      </c>
      <c r="V38" s="65" t="str">
        <f>INDEX(SP_AcqTract_DB[WCAD Tax Parcel ID],MATCH(SP_ACQ_Lib[[#This Row],[Acquisition Tract No.]],SP_AcqTract_DB[Acquisition Tract No.],0))</f>
        <v>R061083;#3</v>
      </c>
      <c r="W38" s="48" t="str">
        <f>INDEX(SP_TaxPar_DB[Acquisition Tract No.],MATCH(LEFT(SP_ACQ_Lib[[#This Row],[Tax Parcel ID]],7),SP_TaxPar_DB[Tax Parcel ID],0))</f>
        <v>200</v>
      </c>
      <c r="X38" s="238" t="str">
        <f>IF(OR(SP_ACQ_Lib[[#This Row],[Acquisition Tract No.]]="",SP_ACQ_Lib[[#This Row],[ACQ Document Type]]=""),0,CONCATENATE("COW-FRMP_TR-",SP_ACQ_Lib[[#This Row],[Acquisition Tract No.]]," ",SP_ACQ_Lib[[#This Row],[ACQ Document Type]]))</f>
        <v>COW-FRMP_TR-200 APPRAISAL Just Compensation Approval</v>
      </c>
      <c r="Y38" s="239">
        <f>IF(OR(SP_ACQ_Lib[[#This Row],[File Name Convention]]=0,LEFT(SP_ACQ_Lib[[#This Row],[Name]],LEN(SP_ACQ_Lib[[#This Row],[File Name Convention]]))&lt;&gt;SP_ACQ_Lib[[#This Row],[File Name Convention]],ISERROR(SEARCH(SP_ACQ_Lib[[#This Row],[ACQ Document Type]],SP_ACQ_Lib[[#This Row],[Name]]))),1,0)</f>
        <v>0</v>
      </c>
    </row>
    <row r="39" spans="1:25" ht="15" x14ac:dyDescent="0.2">
      <c r="A39" s="157" t="str">
        <f>CONCATENATE(SP_ACQ_Lib[[#This Row],[Acquisition Tract No.]],"_",SP_ACQ_Lib[[#This Row],[ACQ Document Type]])</f>
        <v>200_APPRAISAL Just Compensation Memo</v>
      </c>
      <c r="B39" s="14" t="s">
        <v>5898</v>
      </c>
      <c r="C39" s="15" t="s">
        <v>28</v>
      </c>
      <c r="D39" s="12" t="s">
        <v>85</v>
      </c>
      <c r="E39" s="8" t="s">
        <v>1131</v>
      </c>
      <c r="F39" s="8" t="s">
        <v>4757</v>
      </c>
      <c r="G39" s="8" t="s">
        <v>4756</v>
      </c>
      <c r="H39" s="7" t="s">
        <v>592</v>
      </c>
      <c r="I39" s="16">
        <v>43991</v>
      </c>
      <c r="J39" s="16">
        <v>43991</v>
      </c>
      <c r="K39" s="17">
        <v>122482</v>
      </c>
      <c r="L39" s="3"/>
      <c r="M39" s="8" t="s">
        <v>4206</v>
      </c>
      <c r="N39" s="11">
        <v>43991.580416666664</v>
      </c>
      <c r="O39" s="8" t="s">
        <v>4206</v>
      </c>
      <c r="P39" s="11">
        <v>43991.458958333336</v>
      </c>
      <c r="Q39" s="13">
        <v>43133</v>
      </c>
      <c r="R39" s="19" t="s">
        <v>594</v>
      </c>
      <c r="S39" s="14" t="s">
        <v>5904</v>
      </c>
      <c r="T39" s="163">
        <v>1175</v>
      </c>
      <c r="U39" s="164" t="str">
        <f>CONCATENATE(LEFT(SP_ACQ_Lib[[#This Row],[Tax Parcel ID]],7),"_",SP_ACQ_Lib[[#This Row],[ACQ Document Type]])</f>
        <v>R061083_APPRAISAL Just Compensation Memo</v>
      </c>
      <c r="V39" s="65" t="str">
        <f>INDEX(SP_AcqTract_DB[WCAD Tax Parcel ID],MATCH(SP_ACQ_Lib[[#This Row],[Acquisition Tract No.]],SP_AcqTract_DB[Acquisition Tract No.],0))</f>
        <v>R061083;#3</v>
      </c>
      <c r="W39" s="48" t="str">
        <f>INDEX(SP_TaxPar_DB[Acquisition Tract No.],MATCH(LEFT(SP_ACQ_Lib[[#This Row],[Tax Parcel ID]],7),SP_TaxPar_DB[Tax Parcel ID],0))</f>
        <v>200</v>
      </c>
      <c r="X39" s="238" t="str">
        <f>IF(OR(SP_ACQ_Lib[[#This Row],[Acquisition Tract No.]]="",SP_ACQ_Lib[[#This Row],[ACQ Document Type]]=""),0,CONCATENATE("COW-FRMP_TR-",SP_ACQ_Lib[[#This Row],[Acquisition Tract No.]]," ",SP_ACQ_Lib[[#This Row],[ACQ Document Type]]))</f>
        <v>COW-FRMP_TR-200 APPRAISAL Just Compensation Memo</v>
      </c>
      <c r="Y39" s="239">
        <f>IF(OR(SP_ACQ_Lib[[#This Row],[File Name Convention]]=0,LEFT(SP_ACQ_Lib[[#This Row],[Name]],LEN(SP_ACQ_Lib[[#This Row],[File Name Convention]]))&lt;&gt;SP_ACQ_Lib[[#This Row],[File Name Convention]],ISERROR(SEARCH(SP_ACQ_Lib[[#This Row],[ACQ Document Type]],SP_ACQ_Lib[[#This Row],[Name]]))),1,0)</f>
        <v>0</v>
      </c>
    </row>
    <row r="40" spans="1:25" ht="15" x14ac:dyDescent="0.2">
      <c r="A40" s="157" t="str">
        <f>CONCATENATE(SP_ACQ_Lib[[#This Row],[Acquisition Tract No.]],"_",SP_ACQ_Lib[[#This Row],[ACQ Document Type]])</f>
        <v>200_APPRAISAL USACOE Authorization to Proceed with Offer</v>
      </c>
      <c r="B40" s="14" t="s">
        <v>5899</v>
      </c>
      <c r="C40" s="15" t="s">
        <v>28</v>
      </c>
      <c r="D40" s="12" t="s">
        <v>85</v>
      </c>
      <c r="E40" s="8" t="s">
        <v>1131</v>
      </c>
      <c r="F40" s="8" t="s">
        <v>4959</v>
      </c>
      <c r="G40" s="8" t="s">
        <v>4958</v>
      </c>
      <c r="H40" s="7" t="s">
        <v>592</v>
      </c>
      <c r="I40" s="16">
        <v>43991</v>
      </c>
      <c r="J40" s="16"/>
      <c r="K40" s="17">
        <v>122482</v>
      </c>
      <c r="L40" s="3"/>
      <c r="M40" s="8" t="s">
        <v>4206</v>
      </c>
      <c r="N40" s="11">
        <v>43991.462592592594</v>
      </c>
      <c r="O40" s="8" t="s">
        <v>4206</v>
      </c>
      <c r="P40" s="11">
        <v>43991.458969907406</v>
      </c>
      <c r="Q40" s="13">
        <v>434232</v>
      </c>
      <c r="R40" s="19" t="s">
        <v>594</v>
      </c>
      <c r="S40" s="14" t="s">
        <v>5905</v>
      </c>
      <c r="T40" s="163">
        <v>1176</v>
      </c>
      <c r="U40" s="164" t="str">
        <f>CONCATENATE(LEFT(SP_ACQ_Lib[[#This Row],[Tax Parcel ID]],7),"_",SP_ACQ_Lib[[#This Row],[ACQ Document Type]])</f>
        <v>R061083_APPRAISAL USACOE Authorization to Proceed with Offer</v>
      </c>
      <c r="V40" s="65" t="str">
        <f>INDEX(SP_AcqTract_DB[WCAD Tax Parcel ID],MATCH(SP_ACQ_Lib[[#This Row],[Acquisition Tract No.]],SP_AcqTract_DB[Acquisition Tract No.],0))</f>
        <v>R061083;#3</v>
      </c>
      <c r="W40" s="48" t="str">
        <f>INDEX(SP_TaxPar_DB[Acquisition Tract No.],MATCH(LEFT(SP_ACQ_Lib[[#This Row],[Tax Parcel ID]],7),SP_TaxPar_DB[Tax Parcel ID],0))</f>
        <v>200</v>
      </c>
      <c r="X40" s="238" t="str">
        <f>IF(OR(SP_ACQ_Lib[[#This Row],[Acquisition Tract No.]]="",SP_ACQ_Lib[[#This Row],[ACQ Document Type]]=""),0,CONCATENATE("COW-FRMP_TR-",SP_ACQ_Lib[[#This Row],[Acquisition Tract No.]]," ",SP_ACQ_Lib[[#This Row],[ACQ Document Type]]))</f>
        <v>COW-FRMP_TR-200 APPRAISAL USACOE Authorization to Proceed with Offer</v>
      </c>
      <c r="Y40" s="239">
        <f>IF(OR(SP_ACQ_Lib[[#This Row],[File Name Convention]]=0,LEFT(SP_ACQ_Lib[[#This Row],[Name]],LEN(SP_ACQ_Lib[[#This Row],[File Name Convention]]))&lt;&gt;SP_ACQ_Lib[[#This Row],[File Name Convention]],ISERROR(SEARCH(SP_ACQ_Lib[[#This Row],[ACQ Document Type]],SP_ACQ_Lib[[#This Row],[Name]]))),1,0)</f>
        <v>0</v>
      </c>
    </row>
    <row r="41" spans="1:25" ht="15" x14ac:dyDescent="0.2">
      <c r="A41" s="157" t="str">
        <f>CONCATENATE(SP_ACQ_Lib[[#This Row],[Acquisition Tract No.]],"_",SP_ACQ_Lib[[#This Row],[ACQ Document Type]])</f>
        <v>200_APPRAISAL USACOE Authorization to Proceed with Offer Approval</v>
      </c>
      <c r="B41" s="14" t="s">
        <v>6295</v>
      </c>
      <c r="C41" s="15" t="s">
        <v>28</v>
      </c>
      <c r="D41" s="12" t="s">
        <v>85</v>
      </c>
      <c r="E41" s="8" t="s">
        <v>1131</v>
      </c>
      <c r="F41" s="8" t="s">
        <v>4973</v>
      </c>
      <c r="G41" s="8" t="s">
        <v>4972</v>
      </c>
      <c r="H41" s="7" t="s">
        <v>1749</v>
      </c>
      <c r="I41" s="16">
        <v>44000</v>
      </c>
      <c r="J41" s="16"/>
      <c r="K41" s="17">
        <v>122482</v>
      </c>
      <c r="L41" s="3"/>
      <c r="M41" s="8" t="s">
        <v>4206</v>
      </c>
      <c r="N41" s="11">
        <v>44012.534201388888</v>
      </c>
      <c r="O41" s="8" t="s">
        <v>4206</v>
      </c>
      <c r="P41" s="11">
        <v>44005.489016203705</v>
      </c>
      <c r="Q41" s="13">
        <v>464069</v>
      </c>
      <c r="R41" s="19" t="s">
        <v>594</v>
      </c>
      <c r="S41" s="14" t="s">
        <v>6364</v>
      </c>
      <c r="T41" s="163">
        <v>1266</v>
      </c>
      <c r="U41" s="164" t="str">
        <f>CONCATENATE(LEFT(SP_ACQ_Lib[[#This Row],[Tax Parcel ID]],7),"_",SP_ACQ_Lib[[#This Row],[ACQ Document Type]])</f>
        <v>R061083_APPRAISAL USACOE Authorization to Proceed with Offer Approval</v>
      </c>
      <c r="V41" s="65" t="str">
        <f>INDEX(SP_AcqTract_DB[WCAD Tax Parcel ID],MATCH(SP_ACQ_Lib[[#This Row],[Acquisition Tract No.]],SP_AcqTract_DB[Acquisition Tract No.],0))</f>
        <v>R061083;#3</v>
      </c>
      <c r="W41" s="48" t="str">
        <f>INDEX(SP_TaxPar_DB[Acquisition Tract No.],MATCH(LEFT(SP_ACQ_Lib[[#This Row],[Tax Parcel ID]],7),SP_TaxPar_DB[Tax Parcel ID],0))</f>
        <v>200</v>
      </c>
      <c r="X41" s="238" t="str">
        <f>IF(OR(SP_ACQ_Lib[[#This Row],[Acquisition Tract No.]]="",SP_ACQ_Lib[[#This Row],[ACQ Document Type]]=""),0,CONCATENATE("COW-FRMP_TR-",SP_ACQ_Lib[[#This Row],[Acquisition Tract No.]]," ",SP_ACQ_Lib[[#This Row],[ACQ Document Type]]))</f>
        <v>COW-FRMP_TR-200 APPRAISAL USACOE Authorization to Proceed with Offer Approval</v>
      </c>
      <c r="Y41" s="239">
        <f>IF(OR(SP_ACQ_Lib[[#This Row],[File Name Convention]]=0,LEFT(SP_ACQ_Lib[[#This Row],[Name]],LEN(SP_ACQ_Lib[[#This Row],[File Name Convention]]))&lt;&gt;SP_ACQ_Lib[[#This Row],[File Name Convention]],ISERROR(SEARCH(SP_ACQ_Lib[[#This Row],[ACQ Document Type]],SP_ACQ_Lib[[#This Row],[Name]]))),1,0)</f>
        <v>0</v>
      </c>
    </row>
    <row r="42" spans="1:25" ht="15" x14ac:dyDescent="0.2">
      <c r="A42" s="157" t="str">
        <f>CONCATENATE(SP_ACQ_Lib[[#This Row],[Acquisition Tract No.]],"_",SP_ACQ_Lib[[#This Row],[ACQ Document Type]])</f>
        <v>200_CONTACT Letter of Intent-HDR</v>
      </c>
      <c r="B42" s="14" t="s">
        <v>1411</v>
      </c>
      <c r="C42" s="15" t="s">
        <v>28</v>
      </c>
      <c r="D42" s="12" t="s">
        <v>85</v>
      </c>
      <c r="E42" s="8" t="s">
        <v>865</v>
      </c>
      <c r="F42" s="8" t="s">
        <v>1401</v>
      </c>
      <c r="G42" s="8" t="s">
        <v>1400</v>
      </c>
      <c r="H42" s="7" t="s">
        <v>592</v>
      </c>
      <c r="I42" s="16">
        <v>43765</v>
      </c>
      <c r="J42" s="16"/>
      <c r="K42" s="17"/>
      <c r="L42" s="3"/>
      <c r="M42" s="8" t="s">
        <v>23</v>
      </c>
      <c r="N42" s="11">
        <v>43770.449016203704</v>
      </c>
      <c r="O42" s="8" t="s">
        <v>1377</v>
      </c>
      <c r="P42" s="11">
        <v>43768.404270833336</v>
      </c>
      <c r="Q42" s="13">
        <v>324492</v>
      </c>
      <c r="R42" s="19" t="s">
        <v>594</v>
      </c>
      <c r="S42" s="14" t="s">
        <v>1615</v>
      </c>
      <c r="T42" s="163">
        <v>479</v>
      </c>
      <c r="U42" s="164" t="str">
        <f>CONCATENATE(LEFT(SP_ACQ_Lib[[#This Row],[Tax Parcel ID]],7),"_",SP_ACQ_Lib[[#This Row],[ACQ Document Type]])</f>
        <v>R061083_CONTACT Letter of Intent-HDR</v>
      </c>
      <c r="V42" s="65" t="str">
        <f>INDEX(SP_AcqTract_DB[WCAD Tax Parcel ID],MATCH(SP_ACQ_Lib[[#This Row],[Acquisition Tract No.]],SP_AcqTract_DB[Acquisition Tract No.],0))</f>
        <v>R061083;#3</v>
      </c>
      <c r="W42" s="48" t="str">
        <f>INDEX(SP_TaxPar_DB[Acquisition Tract No.],MATCH(LEFT(SP_ACQ_Lib[[#This Row],[Tax Parcel ID]],7),SP_TaxPar_DB[Tax Parcel ID],0))</f>
        <v>200</v>
      </c>
      <c r="X42" s="238" t="str">
        <f>IF(OR(SP_ACQ_Lib[[#This Row],[Acquisition Tract No.]]="",SP_ACQ_Lib[[#This Row],[ACQ Document Type]]=""),0,CONCATENATE("COW-FRMP_TR-",SP_ACQ_Lib[[#This Row],[Acquisition Tract No.]]," ",SP_ACQ_Lib[[#This Row],[ACQ Document Type]]))</f>
        <v>COW-FRMP_TR-200 CONTACT Letter of Intent-HDR</v>
      </c>
      <c r="Y42" s="239">
        <f>IF(OR(SP_ACQ_Lib[[#This Row],[File Name Convention]]=0,LEFT(SP_ACQ_Lib[[#This Row],[Name]],LEN(SP_ACQ_Lib[[#This Row],[File Name Convention]]))&lt;&gt;SP_ACQ_Lib[[#This Row],[File Name Convention]],ISERROR(SEARCH(SP_ACQ_Lib[[#This Row],[ACQ Document Type]],SP_ACQ_Lib[[#This Row],[Name]]))),1,0)</f>
        <v>0</v>
      </c>
    </row>
    <row r="43" spans="1:25" ht="15" x14ac:dyDescent="0.2">
      <c r="A43" s="157" t="str">
        <f>CONCATENATE(SP_ACQ_Lib[[#This Row],[Acquisition Tract No.]],"_",SP_ACQ_Lib[[#This Row],[ACQ Document Type]])</f>
        <v>200_CONTACT Negotiator Report</v>
      </c>
      <c r="B43" s="14" t="s">
        <v>3364</v>
      </c>
      <c r="C43" s="15" t="s">
        <v>28</v>
      </c>
      <c r="D43" s="12" t="s">
        <v>85</v>
      </c>
      <c r="E43" s="8" t="s">
        <v>865</v>
      </c>
      <c r="F43" s="8" t="s">
        <v>1068</v>
      </c>
      <c r="G43" s="8" t="s">
        <v>1067</v>
      </c>
      <c r="H43" s="7" t="s">
        <v>592</v>
      </c>
      <c r="I43" s="16"/>
      <c r="J43" s="16"/>
      <c r="K43" s="17"/>
      <c r="L43" s="3"/>
      <c r="M43" s="8" t="s">
        <v>1744</v>
      </c>
      <c r="N43" s="11">
        <v>44014.69908564815</v>
      </c>
      <c r="O43" s="8" t="s">
        <v>4207</v>
      </c>
      <c r="P43" s="11">
        <v>43728.536064814813</v>
      </c>
      <c r="Q43" s="13">
        <v>545528</v>
      </c>
      <c r="R43" s="19" t="s">
        <v>1069</v>
      </c>
      <c r="S43" s="14" t="s">
        <v>1074</v>
      </c>
      <c r="T43" s="163">
        <v>281</v>
      </c>
      <c r="U43" s="164" t="str">
        <f>CONCATENATE(LEFT(SP_ACQ_Lib[[#This Row],[Tax Parcel ID]],7),"_",SP_ACQ_Lib[[#This Row],[ACQ Document Type]])</f>
        <v>R061083_CONTACT Negotiator Report</v>
      </c>
      <c r="V43" s="65" t="str">
        <f>INDEX(SP_AcqTract_DB[WCAD Tax Parcel ID],MATCH(SP_ACQ_Lib[[#This Row],[Acquisition Tract No.]],SP_AcqTract_DB[Acquisition Tract No.],0))</f>
        <v>R061083;#3</v>
      </c>
      <c r="W43" s="48" t="str">
        <f>INDEX(SP_TaxPar_DB[Acquisition Tract No.],MATCH(LEFT(SP_ACQ_Lib[[#This Row],[Tax Parcel ID]],7),SP_TaxPar_DB[Tax Parcel ID],0))</f>
        <v>200</v>
      </c>
      <c r="X43" s="238" t="str">
        <f>IF(OR(SP_ACQ_Lib[[#This Row],[Acquisition Tract No.]]="",SP_ACQ_Lib[[#This Row],[ACQ Document Type]]=""),0,CONCATENATE("COW-FRMP_TR-",SP_ACQ_Lib[[#This Row],[Acquisition Tract No.]]," ",SP_ACQ_Lib[[#This Row],[ACQ Document Type]]))</f>
        <v>COW-FRMP_TR-200 CONTACT Negotiator Report</v>
      </c>
      <c r="Y43" s="239">
        <f>IF(OR(SP_ACQ_Lib[[#This Row],[File Name Convention]]=0,LEFT(SP_ACQ_Lib[[#This Row],[Name]],LEN(SP_ACQ_Lib[[#This Row],[File Name Convention]]))&lt;&gt;SP_ACQ_Lib[[#This Row],[File Name Convention]],ISERROR(SEARCH(SP_ACQ_Lib[[#This Row],[ACQ Document Type]],SP_ACQ_Lib[[#This Row],[Name]]))),1,0)</f>
        <v>0</v>
      </c>
    </row>
    <row r="44" spans="1:25" ht="15" x14ac:dyDescent="0.2">
      <c r="A44" s="157" t="str">
        <f>CONCATENATE(SP_ACQ_Lib[[#This Row],[Acquisition Tract No.]],"_",SP_ACQ_Lib[[#This Row],[ACQ Document Type]])</f>
        <v>200_CONTACT Pre-Appraisal Contact with Owner</v>
      </c>
      <c r="B44" s="14" t="s">
        <v>3365</v>
      </c>
      <c r="C44" s="15" t="s">
        <v>28</v>
      </c>
      <c r="D44" s="12" t="s">
        <v>85</v>
      </c>
      <c r="E44" s="8" t="s">
        <v>865</v>
      </c>
      <c r="F44" s="8" t="s">
        <v>1748</v>
      </c>
      <c r="G44" s="8" t="s">
        <v>1747</v>
      </c>
      <c r="H44" s="7" t="s">
        <v>592</v>
      </c>
      <c r="I44" s="16">
        <v>43823</v>
      </c>
      <c r="J44" s="16"/>
      <c r="K44" s="17"/>
      <c r="L44" s="3"/>
      <c r="M44" s="8" t="s">
        <v>4206</v>
      </c>
      <c r="N44" s="11">
        <v>43872.548622685186</v>
      </c>
      <c r="O44" s="8" t="s">
        <v>1272</v>
      </c>
      <c r="P44" s="11">
        <v>43822.641458333332</v>
      </c>
      <c r="Q44" s="13">
        <v>2097380</v>
      </c>
      <c r="R44" s="19" t="s">
        <v>594</v>
      </c>
      <c r="S44" s="14" t="s">
        <v>1755</v>
      </c>
      <c r="T44" s="163">
        <v>672</v>
      </c>
      <c r="U44" s="164" t="str">
        <f>CONCATENATE(LEFT(SP_ACQ_Lib[[#This Row],[Tax Parcel ID]],7),"_",SP_ACQ_Lib[[#This Row],[ACQ Document Type]])</f>
        <v>R061083_CONTACT Pre-Appraisal Contact with Owner</v>
      </c>
      <c r="V44" s="65" t="str">
        <f>INDEX(SP_AcqTract_DB[WCAD Tax Parcel ID],MATCH(SP_ACQ_Lib[[#This Row],[Acquisition Tract No.]],SP_AcqTract_DB[Acquisition Tract No.],0))</f>
        <v>R061083;#3</v>
      </c>
      <c r="W44" s="48" t="str">
        <f>INDEX(SP_TaxPar_DB[Acquisition Tract No.],MATCH(LEFT(SP_ACQ_Lib[[#This Row],[Tax Parcel ID]],7),SP_TaxPar_DB[Tax Parcel ID],0))</f>
        <v>200</v>
      </c>
      <c r="X44" s="238" t="str">
        <f>IF(OR(SP_ACQ_Lib[[#This Row],[Acquisition Tract No.]]="",SP_ACQ_Lib[[#This Row],[ACQ Document Type]]=""),0,CONCATENATE("COW-FRMP_TR-",SP_ACQ_Lib[[#This Row],[Acquisition Tract No.]]," ",SP_ACQ_Lib[[#This Row],[ACQ Document Type]]))</f>
        <v>COW-FRMP_TR-200 CONTACT Pre-Appraisal Contact with Owner</v>
      </c>
      <c r="Y44" s="239">
        <f>IF(OR(SP_ACQ_Lib[[#This Row],[File Name Convention]]=0,LEFT(SP_ACQ_Lib[[#This Row],[Name]],LEN(SP_ACQ_Lib[[#This Row],[File Name Convention]]))&lt;&gt;SP_ACQ_Lib[[#This Row],[File Name Convention]],ISERROR(SEARCH(SP_ACQ_Lib[[#This Row],[ACQ Document Type]],SP_ACQ_Lib[[#This Row],[Name]]))),1,0)</f>
        <v>0</v>
      </c>
    </row>
    <row r="45" spans="1:25" ht="15" x14ac:dyDescent="0.2">
      <c r="A45" s="157" t="str">
        <f>CONCATENATE(SP_ACQ_Lib[[#This Row],[Acquisition Tract No.]],"_",SP_ACQ_Lib[[#This Row],[ACQ Document Type]])</f>
        <v>200_NEGOTIATION Initial Offer Package</v>
      </c>
      <c r="B45" s="14" t="s">
        <v>6488</v>
      </c>
      <c r="C45" s="15" t="s">
        <v>28</v>
      </c>
      <c r="D45" s="12" t="s">
        <v>85</v>
      </c>
      <c r="E45" s="8" t="s">
        <v>1142</v>
      </c>
      <c r="F45" s="8" t="s">
        <v>1143</v>
      </c>
      <c r="G45" s="8" t="s">
        <v>1709</v>
      </c>
      <c r="H45" s="7" t="s">
        <v>592</v>
      </c>
      <c r="I45" s="16">
        <v>44008</v>
      </c>
      <c r="J45" s="16"/>
      <c r="K45" s="17">
        <v>122482</v>
      </c>
      <c r="L45" s="3"/>
      <c r="M45" s="8" t="s">
        <v>4206</v>
      </c>
      <c r="N45" s="11">
        <v>44011.557210648149</v>
      </c>
      <c r="O45" s="8" t="s">
        <v>4206</v>
      </c>
      <c r="P45" s="11">
        <v>44011.555439814816</v>
      </c>
      <c r="Q45" s="13">
        <v>45237543</v>
      </c>
      <c r="R45" s="19" t="s">
        <v>594</v>
      </c>
      <c r="S45" s="14" t="s">
        <v>6551</v>
      </c>
      <c r="T45" s="163">
        <v>1301</v>
      </c>
      <c r="U45" s="164" t="str">
        <f>CONCATENATE(LEFT(SP_ACQ_Lib[[#This Row],[Tax Parcel ID]],7),"_",SP_ACQ_Lib[[#This Row],[ACQ Document Type]])</f>
        <v>R061083_NEGOTIATION Initial Offer Package</v>
      </c>
      <c r="V45" s="65" t="str">
        <f>INDEX(SP_AcqTract_DB[WCAD Tax Parcel ID],MATCH(SP_ACQ_Lib[[#This Row],[Acquisition Tract No.]],SP_AcqTract_DB[Acquisition Tract No.],0))</f>
        <v>R061083;#3</v>
      </c>
      <c r="W45" s="48" t="str">
        <f>INDEX(SP_TaxPar_DB[Acquisition Tract No.],MATCH(LEFT(SP_ACQ_Lib[[#This Row],[Tax Parcel ID]],7),SP_TaxPar_DB[Tax Parcel ID],0))</f>
        <v>200</v>
      </c>
      <c r="X45" s="238" t="str">
        <f>IF(OR(SP_ACQ_Lib[[#This Row],[Acquisition Tract No.]]="",SP_ACQ_Lib[[#This Row],[ACQ Document Type]]=""),0,CONCATENATE("COW-FRMP_TR-",SP_ACQ_Lib[[#This Row],[Acquisition Tract No.]]," ",SP_ACQ_Lib[[#This Row],[ACQ Document Type]]))</f>
        <v>COW-FRMP_TR-200 NEGOTIATION Initial Offer Package</v>
      </c>
      <c r="Y45" s="239">
        <f>IF(OR(SP_ACQ_Lib[[#This Row],[File Name Convention]]=0,LEFT(SP_ACQ_Lib[[#This Row],[Name]],LEN(SP_ACQ_Lib[[#This Row],[File Name Convention]]))&lt;&gt;SP_ACQ_Lib[[#This Row],[File Name Convention]],ISERROR(SEARCH(SP_ACQ_Lib[[#This Row],[ACQ Document Type]],SP_ACQ_Lib[[#This Row],[Name]]))),1,0)</f>
        <v>0</v>
      </c>
    </row>
    <row r="46" spans="1:25" ht="15" x14ac:dyDescent="0.2">
      <c r="A46" s="157" t="str">
        <f>CONCATENATE(SP_ACQ_Lib[[#This Row],[Acquisition Tract No.]],"_",SP_ACQ_Lib[[#This Row],[ACQ Document Type]])</f>
        <v>200_NEGOTIATION Initial Offer Package CMRR</v>
      </c>
      <c r="B46" s="14" t="s">
        <v>6489</v>
      </c>
      <c r="C46" s="15" t="s">
        <v>28</v>
      </c>
      <c r="D46" s="12" t="s">
        <v>85</v>
      </c>
      <c r="E46" s="8" t="s">
        <v>1142</v>
      </c>
      <c r="F46" s="8" t="s">
        <v>1144</v>
      </c>
      <c r="G46" s="8" t="s">
        <v>1710</v>
      </c>
      <c r="H46" s="7" t="s">
        <v>592</v>
      </c>
      <c r="I46" s="16">
        <v>44008</v>
      </c>
      <c r="J46" s="16">
        <v>44011</v>
      </c>
      <c r="K46" s="17"/>
      <c r="L46" s="3" t="s">
        <v>6666</v>
      </c>
      <c r="M46" s="8" t="s">
        <v>4206</v>
      </c>
      <c r="N46" s="11">
        <v>44020.610833333332</v>
      </c>
      <c r="O46" s="8" t="s">
        <v>4206</v>
      </c>
      <c r="P46" s="11">
        <v>44011.554664351854</v>
      </c>
      <c r="Q46" s="13">
        <v>1268286</v>
      </c>
      <c r="R46" s="19" t="s">
        <v>594</v>
      </c>
      <c r="S46" s="14" t="s">
        <v>6552</v>
      </c>
      <c r="T46" s="163">
        <v>1300</v>
      </c>
      <c r="U46" s="164" t="str">
        <f>CONCATENATE(LEFT(SP_ACQ_Lib[[#This Row],[Tax Parcel ID]],7),"_",SP_ACQ_Lib[[#This Row],[ACQ Document Type]])</f>
        <v>R061083_NEGOTIATION Initial Offer Package CMRR</v>
      </c>
      <c r="V46" s="65" t="str">
        <f>INDEX(SP_AcqTract_DB[WCAD Tax Parcel ID],MATCH(SP_ACQ_Lib[[#This Row],[Acquisition Tract No.]],SP_AcqTract_DB[Acquisition Tract No.],0))</f>
        <v>R061083;#3</v>
      </c>
      <c r="W46" s="48" t="str">
        <f>INDEX(SP_TaxPar_DB[Acquisition Tract No.],MATCH(LEFT(SP_ACQ_Lib[[#This Row],[Tax Parcel ID]],7),SP_TaxPar_DB[Tax Parcel ID],0))</f>
        <v>200</v>
      </c>
      <c r="X46" s="238" t="str">
        <f>IF(OR(SP_ACQ_Lib[[#This Row],[Acquisition Tract No.]]="",SP_ACQ_Lib[[#This Row],[ACQ Document Type]]=""),0,CONCATENATE("COW-FRMP_TR-",SP_ACQ_Lib[[#This Row],[Acquisition Tract No.]]," ",SP_ACQ_Lib[[#This Row],[ACQ Document Type]]))</f>
        <v>COW-FRMP_TR-200 NEGOTIATION Initial Offer Package CMRR</v>
      </c>
      <c r="Y46" s="239">
        <f>IF(OR(SP_ACQ_Lib[[#This Row],[File Name Convention]]=0,LEFT(SP_ACQ_Lib[[#This Row],[Name]],LEN(SP_ACQ_Lib[[#This Row],[File Name Convention]]))&lt;&gt;SP_ACQ_Lib[[#This Row],[File Name Convention]],ISERROR(SEARCH(SP_ACQ_Lib[[#This Row],[ACQ Document Type]],SP_ACQ_Lib[[#This Row],[Name]]))),1,0)</f>
        <v>0</v>
      </c>
    </row>
    <row r="47" spans="1:25" ht="15" x14ac:dyDescent="0.2">
      <c r="A47" s="157" t="str">
        <f>CONCATENATE(SP_ACQ_Lib[[#This Row],[Acquisition Tract No.]],"_",SP_ACQ_Lib[[#This Row],[ACQ Document Type]])</f>
        <v>200_NEGOTIATION Landowner Bill of Rights Letter</v>
      </c>
      <c r="B47" s="14" t="s">
        <v>3421</v>
      </c>
      <c r="C47" s="15" t="s">
        <v>28</v>
      </c>
      <c r="D47" s="12" t="s">
        <v>85</v>
      </c>
      <c r="E47" s="8" t="s">
        <v>1142</v>
      </c>
      <c r="F47" s="8" t="s">
        <v>1746</v>
      </c>
      <c r="G47" s="8" t="s">
        <v>1745</v>
      </c>
      <c r="H47" s="7" t="s">
        <v>592</v>
      </c>
      <c r="I47" s="16">
        <v>43748</v>
      </c>
      <c r="J47" s="16"/>
      <c r="K47" s="17"/>
      <c r="L47" s="3"/>
      <c r="M47" s="8" t="s">
        <v>4205</v>
      </c>
      <c r="N47" s="11">
        <v>43893.43377314815</v>
      </c>
      <c r="O47" s="8" t="s">
        <v>4325</v>
      </c>
      <c r="P47" s="11">
        <v>43752.450173611112</v>
      </c>
      <c r="Q47" s="13">
        <v>387133</v>
      </c>
      <c r="R47" s="19" t="s">
        <v>594</v>
      </c>
      <c r="S47" s="14" t="s">
        <v>1181</v>
      </c>
      <c r="T47" s="163">
        <v>418</v>
      </c>
      <c r="U47" s="164" t="str">
        <f>CONCATENATE(LEFT(SP_ACQ_Lib[[#This Row],[Tax Parcel ID]],7),"_",SP_ACQ_Lib[[#This Row],[ACQ Document Type]])</f>
        <v>R061083_NEGOTIATION Landowner Bill of Rights Letter</v>
      </c>
      <c r="V47" s="65" t="str">
        <f>INDEX(SP_AcqTract_DB[WCAD Tax Parcel ID],MATCH(SP_ACQ_Lib[[#This Row],[Acquisition Tract No.]],SP_AcqTract_DB[Acquisition Tract No.],0))</f>
        <v>R061083;#3</v>
      </c>
      <c r="W47" s="48" t="str">
        <f>INDEX(SP_TaxPar_DB[Acquisition Tract No.],MATCH(LEFT(SP_ACQ_Lib[[#This Row],[Tax Parcel ID]],7),SP_TaxPar_DB[Tax Parcel ID],0))</f>
        <v>200</v>
      </c>
      <c r="X47" s="238" t="str">
        <f>IF(OR(SP_ACQ_Lib[[#This Row],[Acquisition Tract No.]]="",SP_ACQ_Lib[[#This Row],[ACQ Document Type]]=""),0,CONCATENATE("COW-FRMP_TR-",SP_ACQ_Lib[[#This Row],[Acquisition Tract No.]]," ",SP_ACQ_Lib[[#This Row],[ACQ Document Type]]))</f>
        <v>COW-FRMP_TR-200 NEGOTIATION Landowner Bill of Rights Letter</v>
      </c>
      <c r="Y47" s="239">
        <f>IF(OR(SP_ACQ_Lib[[#This Row],[File Name Convention]]=0,LEFT(SP_ACQ_Lib[[#This Row],[Name]],LEN(SP_ACQ_Lib[[#This Row],[File Name Convention]]))&lt;&gt;SP_ACQ_Lib[[#This Row],[File Name Convention]],ISERROR(SEARCH(SP_ACQ_Lib[[#This Row],[ACQ Document Type]],SP_ACQ_Lib[[#This Row],[Name]]))),1,0)</f>
        <v>0</v>
      </c>
    </row>
    <row r="48" spans="1:25" ht="15" x14ac:dyDescent="0.2">
      <c r="A48" s="157" t="str">
        <f>CONCATENATE(SP_ACQ_Lib[[#This Row],[Acquisition Tract No.]],"_",SP_ACQ_Lib[[#This Row],[ACQ Document Type]])</f>
        <v>200_SURVEY Description-Plat_USACOE</v>
      </c>
      <c r="B48" s="14" t="s">
        <v>4572</v>
      </c>
      <c r="C48" s="15" t="s">
        <v>28</v>
      </c>
      <c r="D48" s="12" t="s">
        <v>85</v>
      </c>
      <c r="E48" s="8" t="s">
        <v>858</v>
      </c>
      <c r="F48" s="8" t="s">
        <v>3510</v>
      </c>
      <c r="G48" s="8" t="s">
        <v>3509</v>
      </c>
      <c r="H48" s="7" t="s">
        <v>1749</v>
      </c>
      <c r="I48" s="16">
        <v>43781</v>
      </c>
      <c r="J48" s="16">
        <v>43913</v>
      </c>
      <c r="K48" s="17"/>
      <c r="L48" s="3"/>
      <c r="M48" s="8" t="s">
        <v>4207</v>
      </c>
      <c r="N48" s="11">
        <v>43979.306006944447</v>
      </c>
      <c r="O48" s="8" t="s">
        <v>4206</v>
      </c>
      <c r="P48" s="11">
        <v>43914.631712962961</v>
      </c>
      <c r="Q48" s="13">
        <v>793972</v>
      </c>
      <c r="R48" s="19" t="s">
        <v>594</v>
      </c>
      <c r="S48" s="14" t="s">
        <v>4610</v>
      </c>
      <c r="T48" s="163">
        <v>1004</v>
      </c>
      <c r="U48" s="164" t="str">
        <f>CONCATENATE(LEFT(SP_ACQ_Lib[[#This Row],[Tax Parcel ID]],7),"_",SP_ACQ_Lib[[#This Row],[ACQ Document Type]])</f>
        <v>R061083_SURVEY Description-Plat_USACOE</v>
      </c>
      <c r="V48" s="65" t="str">
        <f>INDEX(SP_AcqTract_DB[WCAD Tax Parcel ID],MATCH(SP_ACQ_Lib[[#This Row],[Acquisition Tract No.]],SP_AcqTract_DB[Acquisition Tract No.],0))</f>
        <v>R061083;#3</v>
      </c>
      <c r="W48" s="48" t="str">
        <f>INDEX(SP_TaxPar_DB[Acquisition Tract No.],MATCH(LEFT(SP_ACQ_Lib[[#This Row],[Tax Parcel ID]],7),SP_TaxPar_DB[Tax Parcel ID],0))</f>
        <v>200</v>
      </c>
      <c r="X48" s="238" t="str">
        <f>IF(OR(SP_ACQ_Lib[[#This Row],[Acquisition Tract No.]]="",SP_ACQ_Lib[[#This Row],[ACQ Document Type]]=""),0,CONCATENATE("COW-FRMP_TR-",SP_ACQ_Lib[[#This Row],[Acquisition Tract No.]]," ",SP_ACQ_Lib[[#This Row],[ACQ Document Type]]))</f>
        <v>COW-FRMP_TR-200 SURVEY Description-Plat_USACOE</v>
      </c>
      <c r="Y48" s="239">
        <f>IF(OR(SP_ACQ_Lib[[#This Row],[File Name Convention]]=0,LEFT(SP_ACQ_Lib[[#This Row],[Name]],LEN(SP_ACQ_Lib[[#This Row],[File Name Convention]]))&lt;&gt;SP_ACQ_Lib[[#This Row],[File Name Convention]],ISERROR(SEARCH(SP_ACQ_Lib[[#This Row],[ACQ Document Type]],SP_ACQ_Lib[[#This Row],[Name]]))),1,0)</f>
        <v>0</v>
      </c>
    </row>
    <row r="49" spans="1:25" ht="15" x14ac:dyDescent="0.2">
      <c r="A49" s="157" t="str">
        <f>CONCATENATE(SP_ACQ_Lib[[#This Row],[Acquisition Tract No.]],"_",SP_ACQ_Lib[[#This Row],[ACQ Document Type]])</f>
        <v>200_SURVEY Right-of-Entry</v>
      </c>
      <c r="B49" s="14" t="s">
        <v>1412</v>
      </c>
      <c r="C49" s="15" t="s">
        <v>28</v>
      </c>
      <c r="D49" s="12" t="s">
        <v>85</v>
      </c>
      <c r="E49" s="8" t="s">
        <v>858</v>
      </c>
      <c r="F49" s="8" t="s">
        <v>859</v>
      </c>
      <c r="G49" s="8" t="s">
        <v>591</v>
      </c>
      <c r="H49" s="7" t="s">
        <v>592</v>
      </c>
      <c r="I49" s="16">
        <v>43693</v>
      </c>
      <c r="J49" s="16"/>
      <c r="K49" s="17"/>
      <c r="L49" s="3"/>
      <c r="M49" s="8" t="s">
        <v>23</v>
      </c>
      <c r="N49" s="11">
        <v>43770.449016203704</v>
      </c>
      <c r="O49" s="8" t="s">
        <v>4325</v>
      </c>
      <c r="P49" s="11">
        <v>43699.589537037034</v>
      </c>
      <c r="Q49" s="13">
        <v>216161</v>
      </c>
      <c r="R49" s="19" t="s">
        <v>594</v>
      </c>
      <c r="S49" s="14" t="s">
        <v>708</v>
      </c>
      <c r="T49" s="163">
        <v>145</v>
      </c>
      <c r="U49" s="164" t="str">
        <f>CONCATENATE(LEFT(SP_ACQ_Lib[[#This Row],[Tax Parcel ID]],7),"_",SP_ACQ_Lib[[#This Row],[ACQ Document Type]])</f>
        <v>R061083_SURVEY Right-of-Entry</v>
      </c>
      <c r="V49" s="65" t="str">
        <f>INDEX(SP_AcqTract_DB[WCAD Tax Parcel ID],MATCH(SP_ACQ_Lib[[#This Row],[Acquisition Tract No.]],SP_AcqTract_DB[Acquisition Tract No.],0))</f>
        <v>R061083;#3</v>
      </c>
      <c r="W49" s="48" t="str">
        <f>INDEX(SP_TaxPar_DB[Acquisition Tract No.],MATCH(LEFT(SP_ACQ_Lib[[#This Row],[Tax Parcel ID]],7),SP_TaxPar_DB[Tax Parcel ID],0))</f>
        <v>200</v>
      </c>
      <c r="X49" s="238" t="str">
        <f>IF(OR(SP_ACQ_Lib[[#This Row],[Acquisition Tract No.]]="",SP_ACQ_Lib[[#This Row],[ACQ Document Type]]=""),0,CONCATENATE("COW-FRMP_TR-",SP_ACQ_Lib[[#This Row],[Acquisition Tract No.]]," ",SP_ACQ_Lib[[#This Row],[ACQ Document Type]]))</f>
        <v>COW-FRMP_TR-200 SURVEY Right-of-Entry</v>
      </c>
      <c r="Y49" s="239">
        <f>IF(OR(SP_ACQ_Lib[[#This Row],[File Name Convention]]=0,LEFT(SP_ACQ_Lib[[#This Row],[Name]],LEN(SP_ACQ_Lib[[#This Row],[File Name Convention]]))&lt;&gt;SP_ACQ_Lib[[#This Row],[File Name Convention]],ISERROR(SEARCH(SP_ACQ_Lib[[#This Row],[ACQ Document Type]],SP_ACQ_Lib[[#This Row],[Name]]))),1,0)</f>
        <v>0</v>
      </c>
    </row>
    <row r="50" spans="1:25" ht="15" x14ac:dyDescent="0.2">
      <c r="A50" s="157" t="str">
        <f>CONCATENATE(SP_ACQ_Lib[[#This Row],[Acquisition Tract No.]],"_",SP_ACQ_Lib[[#This Row],[ACQ Document Type]])</f>
        <v>200_TITLE Commitment</v>
      </c>
      <c r="B50" s="14" t="s">
        <v>1413</v>
      </c>
      <c r="C50" s="15" t="s">
        <v>28</v>
      </c>
      <c r="D50" s="12" t="s">
        <v>85</v>
      </c>
      <c r="E50" s="8" t="s">
        <v>861</v>
      </c>
      <c r="F50" s="8" t="s">
        <v>862</v>
      </c>
      <c r="G50" s="8" t="s">
        <v>614</v>
      </c>
      <c r="H50" s="7" t="s">
        <v>592</v>
      </c>
      <c r="I50" s="16">
        <v>43943</v>
      </c>
      <c r="J50" s="16">
        <v>43951</v>
      </c>
      <c r="K50" s="17"/>
      <c r="L50" s="3" t="s">
        <v>5034</v>
      </c>
      <c r="M50" s="8" t="s">
        <v>4325</v>
      </c>
      <c r="N50" s="11">
        <v>43952.462372685186</v>
      </c>
      <c r="O50" s="8" t="s">
        <v>4326</v>
      </c>
      <c r="P50" s="11">
        <v>43706.472268518519</v>
      </c>
      <c r="Q50" s="13">
        <v>2155796</v>
      </c>
      <c r="R50" s="19" t="s">
        <v>594</v>
      </c>
      <c r="S50" s="14" t="s">
        <v>709</v>
      </c>
      <c r="T50" s="163">
        <v>195</v>
      </c>
      <c r="U50" s="164" t="str">
        <f>CONCATENATE(LEFT(SP_ACQ_Lib[[#This Row],[Tax Parcel ID]],7),"_",SP_ACQ_Lib[[#This Row],[ACQ Document Type]])</f>
        <v>R061083_TITLE Commitment</v>
      </c>
      <c r="V50" s="65" t="str">
        <f>INDEX(SP_AcqTract_DB[WCAD Tax Parcel ID],MATCH(SP_ACQ_Lib[[#This Row],[Acquisition Tract No.]],SP_AcqTract_DB[Acquisition Tract No.],0))</f>
        <v>R061083;#3</v>
      </c>
      <c r="W50" s="48" t="str">
        <f>INDEX(SP_TaxPar_DB[Acquisition Tract No.],MATCH(LEFT(SP_ACQ_Lib[[#This Row],[Tax Parcel ID]],7),SP_TaxPar_DB[Tax Parcel ID],0))</f>
        <v>200</v>
      </c>
      <c r="X50" s="238" t="str">
        <f>IF(OR(SP_ACQ_Lib[[#This Row],[Acquisition Tract No.]]="",SP_ACQ_Lib[[#This Row],[ACQ Document Type]]=""),0,CONCATENATE("COW-FRMP_TR-",SP_ACQ_Lib[[#This Row],[Acquisition Tract No.]]," ",SP_ACQ_Lib[[#This Row],[ACQ Document Type]]))</f>
        <v>COW-FRMP_TR-200 TITLE Commitment</v>
      </c>
      <c r="Y50" s="239">
        <f>IF(OR(SP_ACQ_Lib[[#This Row],[File Name Convention]]=0,LEFT(SP_ACQ_Lib[[#This Row],[Name]],LEN(SP_ACQ_Lib[[#This Row],[File Name Convention]]))&lt;&gt;SP_ACQ_Lib[[#This Row],[File Name Convention]],ISERROR(SEARCH(SP_ACQ_Lib[[#This Row],[ACQ Document Type]],SP_ACQ_Lib[[#This Row],[Name]]))),1,0)</f>
        <v>0</v>
      </c>
    </row>
    <row r="51" spans="1:25" ht="15" x14ac:dyDescent="0.2">
      <c r="A51" s="157" t="str">
        <f>CONCATENATE(SP_ACQ_Lib[[#This Row],[Acquisition Tract No.]],"_",SP_ACQ_Lib[[#This Row],[ACQ Document Type]])</f>
        <v>200_TITLE Commitment Backup Docs</v>
      </c>
      <c r="B51" s="14" t="s">
        <v>1414</v>
      </c>
      <c r="C51" s="15" t="s">
        <v>28</v>
      </c>
      <c r="D51" s="12" t="s">
        <v>85</v>
      </c>
      <c r="E51" s="8" t="s">
        <v>861</v>
      </c>
      <c r="F51" s="8" t="s">
        <v>863</v>
      </c>
      <c r="G51" s="8" t="s">
        <v>616</v>
      </c>
      <c r="H51" s="7" t="s">
        <v>592</v>
      </c>
      <c r="I51" s="16"/>
      <c r="J51" s="16"/>
      <c r="K51" s="17"/>
      <c r="L51" s="3"/>
      <c r="M51" s="8" t="s">
        <v>23</v>
      </c>
      <c r="N51" s="11">
        <v>43770.449016203704</v>
      </c>
      <c r="O51" s="8" t="s">
        <v>4326</v>
      </c>
      <c r="P51" s="11">
        <v>43706.472916666666</v>
      </c>
      <c r="Q51" s="13">
        <v>1689909</v>
      </c>
      <c r="R51" s="19" t="s">
        <v>594</v>
      </c>
      <c r="S51" s="14" t="s">
        <v>710</v>
      </c>
      <c r="T51" s="163">
        <v>196</v>
      </c>
      <c r="U51" s="164" t="str">
        <f>CONCATENATE(LEFT(SP_ACQ_Lib[[#This Row],[Tax Parcel ID]],7),"_",SP_ACQ_Lib[[#This Row],[ACQ Document Type]])</f>
        <v>R061083_TITLE Commitment Backup Docs</v>
      </c>
      <c r="V51" s="65" t="str">
        <f>INDEX(SP_AcqTract_DB[WCAD Tax Parcel ID],MATCH(SP_ACQ_Lib[[#This Row],[Acquisition Tract No.]],SP_AcqTract_DB[Acquisition Tract No.],0))</f>
        <v>R061083;#3</v>
      </c>
      <c r="W51" s="48" t="str">
        <f>INDEX(SP_TaxPar_DB[Acquisition Tract No.],MATCH(LEFT(SP_ACQ_Lib[[#This Row],[Tax Parcel ID]],7),SP_TaxPar_DB[Tax Parcel ID],0))</f>
        <v>200</v>
      </c>
      <c r="X51" s="238" t="str">
        <f>IF(OR(SP_ACQ_Lib[[#This Row],[Acquisition Tract No.]]="",SP_ACQ_Lib[[#This Row],[ACQ Document Type]]=""),0,CONCATENATE("COW-FRMP_TR-",SP_ACQ_Lib[[#This Row],[Acquisition Tract No.]]," ",SP_ACQ_Lib[[#This Row],[ACQ Document Type]]))</f>
        <v>COW-FRMP_TR-200 TITLE Commitment Backup Docs</v>
      </c>
      <c r="Y51" s="239">
        <f>IF(OR(SP_ACQ_Lib[[#This Row],[File Name Convention]]=0,LEFT(SP_ACQ_Lib[[#This Row],[Name]],LEN(SP_ACQ_Lib[[#This Row],[File Name Convention]]))&lt;&gt;SP_ACQ_Lib[[#This Row],[File Name Convention]],ISERROR(SEARCH(SP_ACQ_Lib[[#This Row],[ACQ Document Type]],SP_ACQ_Lib[[#This Row],[Name]]))),1,0)</f>
        <v>0</v>
      </c>
    </row>
    <row r="52" spans="1:25" ht="15" x14ac:dyDescent="0.2">
      <c r="A52" s="157" t="str">
        <f>CONCATENATE(SP_ACQ_Lib[[#This Row],[Acquisition Tract No.]],"_",SP_ACQ_Lib[[#This Row],[ACQ Document Type]])</f>
        <v>200_TITLE Curative Plan</v>
      </c>
      <c r="B52" s="14" t="s">
        <v>1415</v>
      </c>
      <c r="C52" s="15" t="s">
        <v>28</v>
      </c>
      <c r="D52" s="12" t="s">
        <v>85</v>
      </c>
      <c r="E52" s="8" t="s">
        <v>861</v>
      </c>
      <c r="F52" s="8" t="s">
        <v>864</v>
      </c>
      <c r="G52" s="8" t="s">
        <v>617</v>
      </c>
      <c r="H52" s="7" t="s">
        <v>592</v>
      </c>
      <c r="I52" s="16">
        <v>43805</v>
      </c>
      <c r="J52" s="16"/>
      <c r="K52" s="17"/>
      <c r="L52" s="3"/>
      <c r="M52" s="8" t="s">
        <v>4325</v>
      </c>
      <c r="N52" s="11">
        <v>43952.461377314816</v>
      </c>
      <c r="O52" s="8" t="s">
        <v>4326</v>
      </c>
      <c r="P52" s="11">
        <v>43717.458171296297</v>
      </c>
      <c r="Q52" s="13">
        <v>35189</v>
      </c>
      <c r="R52" s="19" t="s">
        <v>594</v>
      </c>
      <c r="S52" s="14" t="s">
        <v>711</v>
      </c>
      <c r="T52" s="163">
        <v>216</v>
      </c>
      <c r="U52" s="164" t="str">
        <f>CONCATENATE(LEFT(SP_ACQ_Lib[[#This Row],[Tax Parcel ID]],7),"_",SP_ACQ_Lib[[#This Row],[ACQ Document Type]])</f>
        <v>R061083_TITLE Curative Plan</v>
      </c>
      <c r="V52" s="65" t="str">
        <f>INDEX(SP_AcqTract_DB[WCAD Tax Parcel ID],MATCH(SP_ACQ_Lib[[#This Row],[Acquisition Tract No.]],SP_AcqTract_DB[Acquisition Tract No.],0))</f>
        <v>R061083;#3</v>
      </c>
      <c r="W52" s="48" t="str">
        <f>INDEX(SP_TaxPar_DB[Acquisition Tract No.],MATCH(LEFT(SP_ACQ_Lib[[#This Row],[Tax Parcel ID]],7),SP_TaxPar_DB[Tax Parcel ID],0))</f>
        <v>200</v>
      </c>
      <c r="X52" s="238" t="str">
        <f>IF(OR(SP_ACQ_Lib[[#This Row],[Acquisition Tract No.]]="",SP_ACQ_Lib[[#This Row],[ACQ Document Type]]=""),0,CONCATENATE("COW-FRMP_TR-",SP_ACQ_Lib[[#This Row],[Acquisition Tract No.]]," ",SP_ACQ_Lib[[#This Row],[ACQ Document Type]]))</f>
        <v>COW-FRMP_TR-200 TITLE Curative Plan</v>
      </c>
      <c r="Y52" s="239">
        <f>IF(OR(SP_ACQ_Lib[[#This Row],[File Name Convention]]=0,LEFT(SP_ACQ_Lib[[#This Row],[Name]],LEN(SP_ACQ_Lib[[#This Row],[File Name Convention]]))&lt;&gt;SP_ACQ_Lib[[#This Row],[File Name Convention]],ISERROR(SEARCH(SP_ACQ_Lib[[#This Row],[ACQ Document Type]],SP_ACQ_Lib[[#This Row],[Name]]))),1,0)</f>
        <v>0</v>
      </c>
    </row>
    <row r="53" spans="1:25" ht="15" x14ac:dyDescent="0.2">
      <c r="A53" s="157" t="str">
        <f>CONCATENATE(SP_ACQ_Lib[[#This Row],[Acquisition Tract No.]],"_",SP_ACQ_Lib[[#This Row],[ACQ Document Type]])</f>
        <v>200_TITLE SOS Business Organization Inquiry</v>
      </c>
      <c r="B53" s="14" t="s">
        <v>5537</v>
      </c>
      <c r="C53" s="15" t="s">
        <v>28</v>
      </c>
      <c r="D53" s="12" t="s">
        <v>85</v>
      </c>
      <c r="E53" s="8" t="s">
        <v>861</v>
      </c>
      <c r="F53" s="8" t="s">
        <v>1148</v>
      </c>
      <c r="G53" s="8" t="s">
        <v>1147</v>
      </c>
      <c r="H53" s="7" t="s">
        <v>592</v>
      </c>
      <c r="I53" s="16">
        <v>43931</v>
      </c>
      <c r="J53" s="16"/>
      <c r="K53" s="17"/>
      <c r="L53" s="3"/>
      <c r="M53" s="8" t="s">
        <v>4206</v>
      </c>
      <c r="N53" s="11">
        <v>43983.511307870373</v>
      </c>
      <c r="O53" s="8" t="s">
        <v>4325</v>
      </c>
      <c r="P53" s="11">
        <v>43922.531435185185</v>
      </c>
      <c r="Q53" s="13">
        <v>26720</v>
      </c>
      <c r="R53" s="19" t="s">
        <v>594</v>
      </c>
      <c r="S53" s="14" t="s">
        <v>4611</v>
      </c>
      <c r="T53" s="163">
        <v>796</v>
      </c>
      <c r="U53" s="164" t="str">
        <f>CONCATENATE(LEFT(SP_ACQ_Lib[[#This Row],[Tax Parcel ID]],7),"_",SP_ACQ_Lib[[#This Row],[ACQ Document Type]])</f>
        <v>R061083_TITLE SOS Business Organization Inquiry</v>
      </c>
      <c r="V53" s="65" t="str">
        <f>INDEX(SP_AcqTract_DB[WCAD Tax Parcel ID],MATCH(SP_ACQ_Lib[[#This Row],[Acquisition Tract No.]],SP_AcqTract_DB[Acquisition Tract No.],0))</f>
        <v>R061083;#3</v>
      </c>
      <c r="W53" s="48" t="str">
        <f>INDEX(SP_TaxPar_DB[Acquisition Tract No.],MATCH(LEFT(SP_ACQ_Lib[[#This Row],[Tax Parcel ID]],7),SP_TaxPar_DB[Tax Parcel ID],0))</f>
        <v>200</v>
      </c>
      <c r="X53" s="238" t="str">
        <f>IF(OR(SP_ACQ_Lib[[#This Row],[Acquisition Tract No.]]="",SP_ACQ_Lib[[#This Row],[ACQ Document Type]]=""),0,CONCATENATE("COW-FRMP_TR-",SP_ACQ_Lib[[#This Row],[Acquisition Tract No.]]," ",SP_ACQ_Lib[[#This Row],[ACQ Document Type]]))</f>
        <v>COW-FRMP_TR-200 TITLE SOS Business Organization Inquiry</v>
      </c>
      <c r="Y53" s="239">
        <f>IF(OR(SP_ACQ_Lib[[#This Row],[File Name Convention]]=0,LEFT(SP_ACQ_Lib[[#This Row],[Name]],LEN(SP_ACQ_Lib[[#This Row],[File Name Convention]]))&lt;&gt;SP_ACQ_Lib[[#This Row],[File Name Convention]],ISERROR(SEARCH(SP_ACQ_Lib[[#This Row],[ACQ Document Type]],SP_ACQ_Lib[[#This Row],[Name]]))),1,0)</f>
        <v>0</v>
      </c>
    </row>
    <row r="54" spans="1:25" ht="15" x14ac:dyDescent="0.2">
      <c r="A54" s="157" t="str">
        <f>CONCATENATE(SP_ACQ_Lib[[#This Row],[Acquisition Tract No.]],"_",SP_ACQ_Lib[[#This Row],[ACQ Document Type]])</f>
        <v>200_TITLE Tax Card</v>
      </c>
      <c r="B54" s="14" t="s">
        <v>3422</v>
      </c>
      <c r="C54" s="15" t="s">
        <v>28</v>
      </c>
      <c r="D54" s="12" t="s">
        <v>85</v>
      </c>
      <c r="E54" s="8" t="s">
        <v>861</v>
      </c>
      <c r="F54" s="8" t="s">
        <v>1150</v>
      </c>
      <c r="G54" s="8" t="s">
        <v>1149</v>
      </c>
      <c r="H54" s="7" t="s">
        <v>592</v>
      </c>
      <c r="I54" s="16"/>
      <c r="J54" s="16"/>
      <c r="K54" s="17"/>
      <c r="L54" s="3"/>
      <c r="M54" s="8" t="s">
        <v>4206</v>
      </c>
      <c r="N54" s="11">
        <v>43874.589097222219</v>
      </c>
      <c r="O54" s="8" t="s">
        <v>1272</v>
      </c>
      <c r="P54" s="11">
        <v>43817.464768518519</v>
      </c>
      <c r="Q54" s="13">
        <v>412795</v>
      </c>
      <c r="R54" s="19" t="s">
        <v>594</v>
      </c>
      <c r="S54" s="14" t="s">
        <v>1756</v>
      </c>
      <c r="T54" s="163">
        <v>575</v>
      </c>
      <c r="U54" s="164" t="str">
        <f>CONCATENATE(LEFT(SP_ACQ_Lib[[#This Row],[Tax Parcel ID]],7),"_",SP_ACQ_Lib[[#This Row],[ACQ Document Type]])</f>
        <v>R061083_TITLE Tax Card</v>
      </c>
      <c r="V54" s="65" t="str">
        <f>INDEX(SP_AcqTract_DB[WCAD Tax Parcel ID],MATCH(SP_ACQ_Lib[[#This Row],[Acquisition Tract No.]],SP_AcqTract_DB[Acquisition Tract No.],0))</f>
        <v>R061083;#3</v>
      </c>
      <c r="W54" s="48" t="str">
        <f>INDEX(SP_TaxPar_DB[Acquisition Tract No.],MATCH(LEFT(SP_ACQ_Lib[[#This Row],[Tax Parcel ID]],7),SP_TaxPar_DB[Tax Parcel ID],0))</f>
        <v>200</v>
      </c>
      <c r="X54" s="238" t="str">
        <f>IF(OR(SP_ACQ_Lib[[#This Row],[Acquisition Tract No.]]="",SP_ACQ_Lib[[#This Row],[ACQ Document Type]]=""),0,CONCATENATE("COW-FRMP_TR-",SP_ACQ_Lib[[#This Row],[Acquisition Tract No.]]," ",SP_ACQ_Lib[[#This Row],[ACQ Document Type]]))</f>
        <v>COW-FRMP_TR-200 TITLE Tax Card</v>
      </c>
      <c r="Y54" s="239">
        <f>IF(OR(SP_ACQ_Lib[[#This Row],[File Name Convention]]=0,LEFT(SP_ACQ_Lib[[#This Row],[Name]],LEN(SP_ACQ_Lib[[#This Row],[File Name Convention]]))&lt;&gt;SP_ACQ_Lib[[#This Row],[File Name Convention]],ISERROR(SEARCH(SP_ACQ_Lib[[#This Row],[ACQ Document Type]],SP_ACQ_Lib[[#This Row],[Name]]))),1,0)</f>
        <v>0</v>
      </c>
    </row>
    <row r="55" spans="1:25" ht="15" x14ac:dyDescent="0.2">
      <c r="A55" s="157" t="str">
        <f>CONCATENATE(SP_ACQ_Lib[[#This Row],[Acquisition Tract No.]],"_",SP_ACQ_Lib[[#This Row],[ACQ Document Type]])</f>
        <v>201_CONTACT Letter of Intent-HDR</v>
      </c>
      <c r="B55" s="14" t="s">
        <v>1416</v>
      </c>
      <c r="C55" s="15" t="s">
        <v>30</v>
      </c>
      <c r="D55" s="12" t="s">
        <v>88</v>
      </c>
      <c r="E55" s="8" t="s">
        <v>865</v>
      </c>
      <c r="F55" s="8" t="s">
        <v>1401</v>
      </c>
      <c r="G55" s="8" t="s">
        <v>1400</v>
      </c>
      <c r="H55" s="7" t="s">
        <v>592</v>
      </c>
      <c r="I55" s="16">
        <v>43765</v>
      </c>
      <c r="J55" s="16"/>
      <c r="K55" s="17"/>
      <c r="L55" s="3"/>
      <c r="M55" s="8" t="s">
        <v>23</v>
      </c>
      <c r="N55" s="11">
        <v>43770.449016203704</v>
      </c>
      <c r="O55" s="8" t="s">
        <v>1377</v>
      </c>
      <c r="P55" s="11">
        <v>43768.405416666668</v>
      </c>
      <c r="Q55" s="13">
        <v>320808</v>
      </c>
      <c r="R55" s="19" t="s">
        <v>594</v>
      </c>
      <c r="S55" s="14" t="s">
        <v>1616</v>
      </c>
      <c r="T55" s="163">
        <v>480</v>
      </c>
      <c r="U55" s="164" t="str">
        <f>CONCATENATE(LEFT(SP_ACQ_Lib[[#This Row],[Tax Parcel ID]],7),"_",SP_ACQ_Lib[[#This Row],[ACQ Document Type]])</f>
        <v>R015961_CONTACT Letter of Intent-HDR</v>
      </c>
      <c r="V55" s="65" t="str">
        <f>INDEX(SP_AcqTract_DB[WCAD Tax Parcel ID],MATCH(SP_ACQ_Lib[[#This Row],[Acquisition Tract No.]],SP_AcqTract_DB[Acquisition Tract No.],0))</f>
        <v>R015961;#4</v>
      </c>
      <c r="W55" s="48" t="str">
        <f>INDEX(SP_TaxPar_DB[Acquisition Tract No.],MATCH(LEFT(SP_ACQ_Lib[[#This Row],[Tax Parcel ID]],7),SP_TaxPar_DB[Tax Parcel ID],0))</f>
        <v>201</v>
      </c>
      <c r="X55" s="238" t="str">
        <f>IF(OR(SP_ACQ_Lib[[#This Row],[Acquisition Tract No.]]="",SP_ACQ_Lib[[#This Row],[ACQ Document Type]]=""),0,CONCATENATE("COW-FRMP_TR-",SP_ACQ_Lib[[#This Row],[Acquisition Tract No.]]," ",SP_ACQ_Lib[[#This Row],[ACQ Document Type]]))</f>
        <v>COW-FRMP_TR-201 CONTACT Letter of Intent-HDR</v>
      </c>
      <c r="Y55" s="239">
        <f>IF(OR(SP_ACQ_Lib[[#This Row],[File Name Convention]]=0,LEFT(SP_ACQ_Lib[[#This Row],[Name]],LEN(SP_ACQ_Lib[[#This Row],[File Name Convention]]))&lt;&gt;SP_ACQ_Lib[[#This Row],[File Name Convention]],ISERROR(SEARCH(SP_ACQ_Lib[[#This Row],[ACQ Document Type]],SP_ACQ_Lib[[#This Row],[Name]]))),1,0)</f>
        <v>0</v>
      </c>
    </row>
    <row r="56" spans="1:25" ht="15" x14ac:dyDescent="0.2">
      <c r="A56" s="157" t="str">
        <f>CONCATENATE(SP_ACQ_Lib[[#This Row],[Acquisition Tract No.]],"_",SP_ACQ_Lib[[#This Row],[ACQ Document Type]])</f>
        <v>201_CONTACT Negotiator Report</v>
      </c>
      <c r="B56" s="14" t="s">
        <v>3366</v>
      </c>
      <c r="C56" s="15" t="s">
        <v>30</v>
      </c>
      <c r="D56" s="12" t="s">
        <v>88</v>
      </c>
      <c r="E56" s="8" t="s">
        <v>865</v>
      </c>
      <c r="F56" s="8" t="s">
        <v>1068</v>
      </c>
      <c r="G56" s="8" t="s">
        <v>1067</v>
      </c>
      <c r="H56" s="7" t="s">
        <v>592</v>
      </c>
      <c r="I56" s="16"/>
      <c r="J56" s="16"/>
      <c r="K56" s="17"/>
      <c r="L56" s="3"/>
      <c r="M56" s="8" t="s">
        <v>4206</v>
      </c>
      <c r="N56" s="11">
        <v>43872.543182870373</v>
      </c>
      <c r="O56" s="8" t="s">
        <v>4207</v>
      </c>
      <c r="P56" s="11">
        <v>43728.529872685183</v>
      </c>
      <c r="Q56" s="13">
        <v>65067</v>
      </c>
      <c r="R56" s="19" t="s">
        <v>1069</v>
      </c>
      <c r="S56" s="14" t="s">
        <v>1075</v>
      </c>
      <c r="T56" s="163">
        <v>283</v>
      </c>
      <c r="U56" s="164" t="str">
        <f>CONCATENATE(LEFT(SP_ACQ_Lib[[#This Row],[Tax Parcel ID]],7),"_",SP_ACQ_Lib[[#This Row],[ACQ Document Type]])</f>
        <v>R015961_CONTACT Negotiator Report</v>
      </c>
      <c r="V56" s="65" t="str">
        <f>INDEX(SP_AcqTract_DB[WCAD Tax Parcel ID],MATCH(SP_ACQ_Lib[[#This Row],[Acquisition Tract No.]],SP_AcqTract_DB[Acquisition Tract No.],0))</f>
        <v>R015961;#4</v>
      </c>
      <c r="W56" s="48" t="str">
        <f>INDEX(SP_TaxPar_DB[Acquisition Tract No.],MATCH(LEFT(SP_ACQ_Lib[[#This Row],[Tax Parcel ID]],7),SP_TaxPar_DB[Tax Parcel ID],0))</f>
        <v>201</v>
      </c>
      <c r="X56" s="238" t="str">
        <f>IF(OR(SP_ACQ_Lib[[#This Row],[Acquisition Tract No.]]="",SP_ACQ_Lib[[#This Row],[ACQ Document Type]]=""),0,CONCATENATE("COW-FRMP_TR-",SP_ACQ_Lib[[#This Row],[Acquisition Tract No.]]," ",SP_ACQ_Lib[[#This Row],[ACQ Document Type]]))</f>
        <v>COW-FRMP_TR-201 CONTACT Negotiator Report</v>
      </c>
      <c r="Y56" s="239">
        <f>IF(OR(SP_ACQ_Lib[[#This Row],[File Name Convention]]=0,LEFT(SP_ACQ_Lib[[#This Row],[Name]],LEN(SP_ACQ_Lib[[#This Row],[File Name Convention]]))&lt;&gt;SP_ACQ_Lib[[#This Row],[File Name Convention]],ISERROR(SEARCH(SP_ACQ_Lib[[#This Row],[ACQ Document Type]],SP_ACQ_Lib[[#This Row],[Name]]))),1,0)</f>
        <v>0</v>
      </c>
    </row>
    <row r="57" spans="1:25" ht="15" x14ac:dyDescent="0.2">
      <c r="A57" s="157" t="str">
        <f>CONCATENATE(SP_ACQ_Lib[[#This Row],[Acquisition Tract No.]],"_",SP_ACQ_Lib[[#This Row],[ACQ Document Type]])</f>
        <v>201_NEGOTIATION Landowner Bill of Rights Letter</v>
      </c>
      <c r="B57" s="14" t="s">
        <v>3423</v>
      </c>
      <c r="C57" s="15" t="s">
        <v>30</v>
      </c>
      <c r="D57" s="12" t="s">
        <v>88</v>
      </c>
      <c r="E57" s="8" t="s">
        <v>1142</v>
      </c>
      <c r="F57" s="8" t="s">
        <v>1746</v>
      </c>
      <c r="G57" s="8" t="s">
        <v>1745</v>
      </c>
      <c r="H57" s="7" t="s">
        <v>592</v>
      </c>
      <c r="I57" s="16">
        <v>43748</v>
      </c>
      <c r="J57" s="16"/>
      <c r="K57" s="17"/>
      <c r="L57" s="3"/>
      <c r="M57" s="8" t="s">
        <v>4206</v>
      </c>
      <c r="N57" s="11">
        <v>43872.553587962961</v>
      </c>
      <c r="O57" s="8" t="s">
        <v>4325</v>
      </c>
      <c r="P57" s="11">
        <v>43752.452453703707</v>
      </c>
      <c r="Q57" s="13">
        <v>351172</v>
      </c>
      <c r="R57" s="19" t="s">
        <v>594</v>
      </c>
      <c r="S57" s="14" t="s">
        <v>1182</v>
      </c>
      <c r="T57" s="163">
        <v>419</v>
      </c>
      <c r="U57" s="164" t="str">
        <f>CONCATENATE(LEFT(SP_ACQ_Lib[[#This Row],[Tax Parcel ID]],7),"_",SP_ACQ_Lib[[#This Row],[ACQ Document Type]])</f>
        <v>R015961_NEGOTIATION Landowner Bill of Rights Letter</v>
      </c>
      <c r="V57" s="65" t="str">
        <f>INDEX(SP_AcqTract_DB[WCAD Tax Parcel ID],MATCH(SP_ACQ_Lib[[#This Row],[Acquisition Tract No.]],SP_AcqTract_DB[Acquisition Tract No.],0))</f>
        <v>R015961;#4</v>
      </c>
      <c r="W57" s="48" t="str">
        <f>INDEX(SP_TaxPar_DB[Acquisition Tract No.],MATCH(LEFT(SP_ACQ_Lib[[#This Row],[Tax Parcel ID]],7),SP_TaxPar_DB[Tax Parcel ID],0))</f>
        <v>201</v>
      </c>
      <c r="X57" s="238" t="str">
        <f>IF(OR(SP_ACQ_Lib[[#This Row],[Acquisition Tract No.]]="",SP_ACQ_Lib[[#This Row],[ACQ Document Type]]=""),0,CONCATENATE("COW-FRMP_TR-",SP_ACQ_Lib[[#This Row],[Acquisition Tract No.]]," ",SP_ACQ_Lib[[#This Row],[ACQ Document Type]]))</f>
        <v>COW-FRMP_TR-201 NEGOTIATION Landowner Bill of Rights Letter</v>
      </c>
      <c r="Y57" s="239">
        <f>IF(OR(SP_ACQ_Lib[[#This Row],[File Name Convention]]=0,LEFT(SP_ACQ_Lib[[#This Row],[Name]],LEN(SP_ACQ_Lib[[#This Row],[File Name Convention]]))&lt;&gt;SP_ACQ_Lib[[#This Row],[File Name Convention]],ISERROR(SEARCH(SP_ACQ_Lib[[#This Row],[ACQ Document Type]],SP_ACQ_Lib[[#This Row],[Name]]))),1,0)</f>
        <v>0</v>
      </c>
    </row>
    <row r="58" spans="1:25" ht="15" x14ac:dyDescent="0.2">
      <c r="A58" s="157" t="str">
        <f>CONCATENATE(SP_ACQ_Lib[[#This Row],[Acquisition Tract No.]],"_",SP_ACQ_Lib[[#This Row],[ACQ Document Type]])</f>
        <v>201_SURVEY Description-Plat_CITY</v>
      </c>
      <c r="B58" s="14" t="s">
        <v>3517</v>
      </c>
      <c r="C58" s="15" t="s">
        <v>30</v>
      </c>
      <c r="D58" s="12" t="s">
        <v>88</v>
      </c>
      <c r="E58" s="8" t="s">
        <v>858</v>
      </c>
      <c r="F58" s="8" t="s">
        <v>3503</v>
      </c>
      <c r="G58" s="8" t="s">
        <v>3502</v>
      </c>
      <c r="H58" s="7" t="s">
        <v>1749</v>
      </c>
      <c r="I58" s="16">
        <v>43781</v>
      </c>
      <c r="J58" s="16">
        <v>43886</v>
      </c>
      <c r="K58" s="17"/>
      <c r="L58" s="3"/>
      <c r="M58" s="8" t="s">
        <v>4207</v>
      </c>
      <c r="N58" s="11">
        <v>43979.306018518517</v>
      </c>
      <c r="O58" s="8" t="s">
        <v>4206</v>
      </c>
      <c r="P58" s="11">
        <v>43886.64199074074</v>
      </c>
      <c r="Q58" s="13">
        <v>241061</v>
      </c>
      <c r="R58" s="19" t="s">
        <v>594</v>
      </c>
      <c r="S58" s="14" t="s">
        <v>3540</v>
      </c>
      <c r="T58" s="163">
        <v>1005</v>
      </c>
      <c r="U58" s="164" t="str">
        <f>CONCATENATE(LEFT(SP_ACQ_Lib[[#This Row],[Tax Parcel ID]],7),"_",SP_ACQ_Lib[[#This Row],[ACQ Document Type]])</f>
        <v>R015961_SURVEY Description-Plat_CITY</v>
      </c>
      <c r="V58" s="65" t="str">
        <f>INDEX(SP_AcqTract_DB[WCAD Tax Parcel ID],MATCH(SP_ACQ_Lib[[#This Row],[Acquisition Tract No.]],SP_AcqTract_DB[Acquisition Tract No.],0))</f>
        <v>R015961;#4</v>
      </c>
      <c r="W58" s="48" t="str">
        <f>INDEX(SP_TaxPar_DB[Acquisition Tract No.],MATCH(LEFT(SP_ACQ_Lib[[#This Row],[Tax Parcel ID]],7),SP_TaxPar_DB[Tax Parcel ID],0))</f>
        <v>201</v>
      </c>
      <c r="X58" s="238" t="str">
        <f>IF(OR(SP_ACQ_Lib[[#This Row],[Acquisition Tract No.]]="",SP_ACQ_Lib[[#This Row],[ACQ Document Type]]=""),0,CONCATENATE("COW-FRMP_TR-",SP_ACQ_Lib[[#This Row],[Acquisition Tract No.]]," ",SP_ACQ_Lib[[#This Row],[ACQ Document Type]]))</f>
        <v>COW-FRMP_TR-201 SURVEY Description-Plat_CITY</v>
      </c>
      <c r="Y58" s="239">
        <f>IF(OR(SP_ACQ_Lib[[#This Row],[File Name Convention]]=0,LEFT(SP_ACQ_Lib[[#This Row],[Name]],LEN(SP_ACQ_Lib[[#This Row],[File Name Convention]]))&lt;&gt;SP_ACQ_Lib[[#This Row],[File Name Convention]],ISERROR(SEARCH(SP_ACQ_Lib[[#This Row],[ACQ Document Type]],SP_ACQ_Lib[[#This Row],[Name]]))),1,0)</f>
        <v>0</v>
      </c>
    </row>
    <row r="59" spans="1:25" ht="15" x14ac:dyDescent="0.2">
      <c r="A59" s="157" t="str">
        <f>CONCATENATE(SP_ACQ_Lib[[#This Row],[Acquisition Tract No.]],"_",SP_ACQ_Lib[[#This Row],[ACQ Document Type]])</f>
        <v>201_SURVEY Description-Plat_USACOE</v>
      </c>
      <c r="B59" s="14" t="s">
        <v>6019</v>
      </c>
      <c r="C59" s="15" t="s">
        <v>30</v>
      </c>
      <c r="D59" s="12" t="s">
        <v>88</v>
      </c>
      <c r="E59" s="8" t="s">
        <v>858</v>
      </c>
      <c r="F59" s="8" t="s">
        <v>3510</v>
      </c>
      <c r="G59" s="8" t="s">
        <v>3509</v>
      </c>
      <c r="H59" s="7" t="s">
        <v>592</v>
      </c>
      <c r="I59" s="16">
        <v>43991</v>
      </c>
      <c r="J59" s="16">
        <v>43993</v>
      </c>
      <c r="K59" s="17"/>
      <c r="L59" s="3"/>
      <c r="M59" s="8" t="s">
        <v>4206</v>
      </c>
      <c r="N59" s="11">
        <v>43994.368518518517</v>
      </c>
      <c r="O59" s="8" t="s">
        <v>4206</v>
      </c>
      <c r="P59" s="11">
        <v>43994.366574074076</v>
      </c>
      <c r="Q59" s="13">
        <v>926566</v>
      </c>
      <c r="R59" s="19" t="s">
        <v>594</v>
      </c>
      <c r="S59" s="14" t="s">
        <v>6040</v>
      </c>
      <c r="T59" s="163">
        <v>1182</v>
      </c>
      <c r="U59" s="164" t="str">
        <f>CONCATENATE(LEFT(SP_ACQ_Lib[[#This Row],[Tax Parcel ID]],7),"_",SP_ACQ_Lib[[#This Row],[ACQ Document Type]])</f>
        <v>R015961_SURVEY Description-Plat_USACOE</v>
      </c>
      <c r="V59" s="65" t="str">
        <f>INDEX(SP_AcqTract_DB[WCAD Tax Parcel ID],MATCH(SP_ACQ_Lib[[#This Row],[Acquisition Tract No.]],SP_AcqTract_DB[Acquisition Tract No.],0))</f>
        <v>R015961;#4</v>
      </c>
      <c r="W59" s="48" t="str">
        <f>INDEX(SP_TaxPar_DB[Acquisition Tract No.],MATCH(LEFT(SP_ACQ_Lib[[#This Row],[Tax Parcel ID]],7),SP_TaxPar_DB[Tax Parcel ID],0))</f>
        <v>201</v>
      </c>
      <c r="X59" s="238" t="str">
        <f>IF(OR(SP_ACQ_Lib[[#This Row],[Acquisition Tract No.]]="",SP_ACQ_Lib[[#This Row],[ACQ Document Type]]=""),0,CONCATENATE("COW-FRMP_TR-",SP_ACQ_Lib[[#This Row],[Acquisition Tract No.]]," ",SP_ACQ_Lib[[#This Row],[ACQ Document Type]]))</f>
        <v>COW-FRMP_TR-201 SURVEY Description-Plat_USACOE</v>
      </c>
      <c r="Y59" s="239">
        <f>IF(OR(SP_ACQ_Lib[[#This Row],[File Name Convention]]=0,LEFT(SP_ACQ_Lib[[#This Row],[Name]],LEN(SP_ACQ_Lib[[#This Row],[File Name Convention]]))&lt;&gt;SP_ACQ_Lib[[#This Row],[File Name Convention]],ISERROR(SEARCH(SP_ACQ_Lib[[#This Row],[ACQ Document Type]],SP_ACQ_Lib[[#This Row],[Name]]))),1,0)</f>
        <v>0</v>
      </c>
    </row>
    <row r="60" spans="1:25" ht="15" x14ac:dyDescent="0.2">
      <c r="A60" s="157" t="str">
        <f>CONCATENATE(SP_ACQ_Lib[[#This Row],[Acquisition Tract No.]],"_",SP_ACQ_Lib[[#This Row],[ACQ Document Type]])</f>
        <v>201_SURVEY Right-of-Entry</v>
      </c>
      <c r="B60" s="14" t="s">
        <v>1417</v>
      </c>
      <c r="C60" s="15" t="s">
        <v>30</v>
      </c>
      <c r="D60" s="12" t="s">
        <v>88</v>
      </c>
      <c r="E60" s="8" t="s">
        <v>858</v>
      </c>
      <c r="F60" s="8" t="s">
        <v>859</v>
      </c>
      <c r="G60" s="8" t="s">
        <v>591</v>
      </c>
      <c r="H60" s="7" t="s">
        <v>592</v>
      </c>
      <c r="I60" s="16">
        <v>43697</v>
      </c>
      <c r="J60" s="16"/>
      <c r="K60" s="17"/>
      <c r="L60" s="3" t="s">
        <v>619</v>
      </c>
      <c r="M60" s="8" t="s">
        <v>23</v>
      </c>
      <c r="N60" s="11">
        <v>43770.44902777778</v>
      </c>
      <c r="O60" s="8" t="s">
        <v>4325</v>
      </c>
      <c r="P60" s="11">
        <v>43704.697627314818</v>
      </c>
      <c r="Q60" s="13">
        <v>1311460</v>
      </c>
      <c r="R60" s="19" t="s">
        <v>594</v>
      </c>
      <c r="S60" s="14" t="s">
        <v>712</v>
      </c>
      <c r="T60" s="163">
        <v>161</v>
      </c>
      <c r="U60" s="164" t="str">
        <f>CONCATENATE(LEFT(SP_ACQ_Lib[[#This Row],[Tax Parcel ID]],7),"_",SP_ACQ_Lib[[#This Row],[ACQ Document Type]])</f>
        <v>R015961_SURVEY Right-of-Entry</v>
      </c>
      <c r="V60" s="65" t="str">
        <f>INDEX(SP_AcqTract_DB[WCAD Tax Parcel ID],MATCH(SP_ACQ_Lib[[#This Row],[Acquisition Tract No.]],SP_AcqTract_DB[Acquisition Tract No.],0))</f>
        <v>R015961;#4</v>
      </c>
      <c r="W60" s="48" t="str">
        <f>INDEX(SP_TaxPar_DB[Acquisition Tract No.],MATCH(LEFT(SP_ACQ_Lib[[#This Row],[Tax Parcel ID]],7),SP_TaxPar_DB[Tax Parcel ID],0))</f>
        <v>201</v>
      </c>
      <c r="X60" s="238" t="str">
        <f>IF(OR(SP_ACQ_Lib[[#This Row],[Acquisition Tract No.]]="",SP_ACQ_Lib[[#This Row],[ACQ Document Type]]=""),0,CONCATENATE("COW-FRMP_TR-",SP_ACQ_Lib[[#This Row],[Acquisition Tract No.]]," ",SP_ACQ_Lib[[#This Row],[ACQ Document Type]]))</f>
        <v>COW-FRMP_TR-201 SURVEY Right-of-Entry</v>
      </c>
      <c r="Y60" s="239">
        <f>IF(OR(SP_ACQ_Lib[[#This Row],[File Name Convention]]=0,LEFT(SP_ACQ_Lib[[#This Row],[Name]],LEN(SP_ACQ_Lib[[#This Row],[File Name Convention]]))&lt;&gt;SP_ACQ_Lib[[#This Row],[File Name Convention]],ISERROR(SEARCH(SP_ACQ_Lib[[#This Row],[ACQ Document Type]],SP_ACQ_Lib[[#This Row],[Name]]))),1,0)</f>
        <v>0</v>
      </c>
    </row>
    <row r="61" spans="1:25" ht="15" x14ac:dyDescent="0.2">
      <c r="A61" s="157" t="str">
        <f>CONCATENATE(SP_ACQ_Lib[[#This Row],[Acquisition Tract No.]],"_",SP_ACQ_Lib[[#This Row],[ACQ Document Type]])</f>
        <v>201_TITLE Commitment</v>
      </c>
      <c r="B61" s="14" t="s">
        <v>1418</v>
      </c>
      <c r="C61" s="15" t="s">
        <v>30</v>
      </c>
      <c r="D61" s="12" t="s">
        <v>88</v>
      </c>
      <c r="E61" s="8" t="s">
        <v>861</v>
      </c>
      <c r="F61" s="8" t="s">
        <v>862</v>
      </c>
      <c r="G61" s="8" t="s">
        <v>614</v>
      </c>
      <c r="H61" s="7" t="s">
        <v>592</v>
      </c>
      <c r="I61" s="16">
        <v>43875</v>
      </c>
      <c r="J61" s="16">
        <v>43887</v>
      </c>
      <c r="K61" s="17"/>
      <c r="L61" s="3" t="s">
        <v>4328</v>
      </c>
      <c r="M61" s="8" t="s">
        <v>4325</v>
      </c>
      <c r="N61" s="11">
        <v>43888.545601851853</v>
      </c>
      <c r="O61" s="8" t="s">
        <v>4326</v>
      </c>
      <c r="P61" s="11">
        <v>43706.473449074074</v>
      </c>
      <c r="Q61" s="13">
        <v>1940906</v>
      </c>
      <c r="R61" s="19" t="s">
        <v>594</v>
      </c>
      <c r="S61" s="14" t="s">
        <v>713</v>
      </c>
      <c r="T61" s="163">
        <v>197</v>
      </c>
      <c r="U61" s="164" t="str">
        <f>CONCATENATE(LEFT(SP_ACQ_Lib[[#This Row],[Tax Parcel ID]],7),"_",SP_ACQ_Lib[[#This Row],[ACQ Document Type]])</f>
        <v>R015961_TITLE Commitment</v>
      </c>
      <c r="V61" s="65" t="str">
        <f>INDEX(SP_AcqTract_DB[WCAD Tax Parcel ID],MATCH(SP_ACQ_Lib[[#This Row],[Acquisition Tract No.]],SP_AcqTract_DB[Acquisition Tract No.],0))</f>
        <v>R015961;#4</v>
      </c>
      <c r="W61" s="48" t="str">
        <f>INDEX(SP_TaxPar_DB[Acquisition Tract No.],MATCH(LEFT(SP_ACQ_Lib[[#This Row],[Tax Parcel ID]],7),SP_TaxPar_DB[Tax Parcel ID],0))</f>
        <v>201</v>
      </c>
      <c r="X61" s="238" t="str">
        <f>IF(OR(SP_ACQ_Lib[[#This Row],[Acquisition Tract No.]]="",SP_ACQ_Lib[[#This Row],[ACQ Document Type]]=""),0,CONCATENATE("COW-FRMP_TR-",SP_ACQ_Lib[[#This Row],[Acquisition Tract No.]]," ",SP_ACQ_Lib[[#This Row],[ACQ Document Type]]))</f>
        <v>COW-FRMP_TR-201 TITLE Commitment</v>
      </c>
      <c r="Y61" s="239">
        <f>IF(OR(SP_ACQ_Lib[[#This Row],[File Name Convention]]=0,LEFT(SP_ACQ_Lib[[#This Row],[Name]],LEN(SP_ACQ_Lib[[#This Row],[File Name Convention]]))&lt;&gt;SP_ACQ_Lib[[#This Row],[File Name Convention]],ISERROR(SEARCH(SP_ACQ_Lib[[#This Row],[ACQ Document Type]],SP_ACQ_Lib[[#This Row],[Name]]))),1,0)</f>
        <v>0</v>
      </c>
    </row>
    <row r="62" spans="1:25" ht="15" x14ac:dyDescent="0.2">
      <c r="A62" s="157" t="str">
        <f>CONCATENATE(SP_ACQ_Lib[[#This Row],[Acquisition Tract No.]],"_",SP_ACQ_Lib[[#This Row],[ACQ Document Type]])</f>
        <v>201_TITLE Commitment Backup Docs</v>
      </c>
      <c r="B62" s="14" t="s">
        <v>1419</v>
      </c>
      <c r="C62" s="15" t="s">
        <v>30</v>
      </c>
      <c r="D62" s="12" t="s">
        <v>88</v>
      </c>
      <c r="E62" s="8" t="s">
        <v>861</v>
      </c>
      <c r="F62" s="8" t="s">
        <v>863</v>
      </c>
      <c r="G62" s="8" t="s">
        <v>616</v>
      </c>
      <c r="H62" s="7" t="s">
        <v>592</v>
      </c>
      <c r="I62" s="16"/>
      <c r="J62" s="16"/>
      <c r="K62" s="17"/>
      <c r="L62" s="3"/>
      <c r="M62" s="8" t="s">
        <v>4325</v>
      </c>
      <c r="N62" s="11">
        <v>43851.486585648148</v>
      </c>
      <c r="O62" s="8" t="s">
        <v>4326</v>
      </c>
      <c r="P62" s="11">
        <v>43706.47383101852</v>
      </c>
      <c r="Q62" s="13">
        <v>2655663</v>
      </c>
      <c r="R62" s="19" t="s">
        <v>594</v>
      </c>
      <c r="S62" s="14" t="s">
        <v>714</v>
      </c>
      <c r="T62" s="163">
        <v>198</v>
      </c>
      <c r="U62" s="164" t="str">
        <f>CONCATENATE(LEFT(SP_ACQ_Lib[[#This Row],[Tax Parcel ID]],7),"_",SP_ACQ_Lib[[#This Row],[ACQ Document Type]])</f>
        <v>R015961_TITLE Commitment Backup Docs</v>
      </c>
      <c r="V62" s="65" t="str">
        <f>INDEX(SP_AcqTract_DB[WCAD Tax Parcel ID],MATCH(SP_ACQ_Lib[[#This Row],[Acquisition Tract No.]],SP_AcqTract_DB[Acquisition Tract No.],0))</f>
        <v>R015961;#4</v>
      </c>
      <c r="W62" s="48" t="str">
        <f>INDEX(SP_TaxPar_DB[Acquisition Tract No.],MATCH(LEFT(SP_ACQ_Lib[[#This Row],[Tax Parcel ID]],7),SP_TaxPar_DB[Tax Parcel ID],0))</f>
        <v>201</v>
      </c>
      <c r="X62" s="238" t="str">
        <f>IF(OR(SP_ACQ_Lib[[#This Row],[Acquisition Tract No.]]="",SP_ACQ_Lib[[#This Row],[ACQ Document Type]]=""),0,CONCATENATE("COW-FRMP_TR-",SP_ACQ_Lib[[#This Row],[Acquisition Tract No.]]," ",SP_ACQ_Lib[[#This Row],[ACQ Document Type]]))</f>
        <v>COW-FRMP_TR-201 TITLE Commitment Backup Docs</v>
      </c>
      <c r="Y62" s="239">
        <f>IF(OR(SP_ACQ_Lib[[#This Row],[File Name Convention]]=0,LEFT(SP_ACQ_Lib[[#This Row],[Name]],LEN(SP_ACQ_Lib[[#This Row],[File Name Convention]]))&lt;&gt;SP_ACQ_Lib[[#This Row],[File Name Convention]],ISERROR(SEARCH(SP_ACQ_Lib[[#This Row],[ACQ Document Type]],SP_ACQ_Lib[[#This Row],[Name]]))),1,0)</f>
        <v>0</v>
      </c>
    </row>
    <row r="63" spans="1:25" ht="15" x14ac:dyDescent="0.2">
      <c r="A63" s="157" t="str">
        <f>CONCATENATE(SP_ACQ_Lib[[#This Row],[Acquisition Tract No.]],"_",SP_ACQ_Lib[[#This Row],[ACQ Document Type]])</f>
        <v>201_TITLE Curative Plan</v>
      </c>
      <c r="B63" s="14" t="s">
        <v>1420</v>
      </c>
      <c r="C63" s="15" t="s">
        <v>30</v>
      </c>
      <c r="D63" s="12" t="s">
        <v>88</v>
      </c>
      <c r="E63" s="8" t="s">
        <v>861</v>
      </c>
      <c r="F63" s="8" t="s">
        <v>864</v>
      </c>
      <c r="G63" s="8" t="s">
        <v>617</v>
      </c>
      <c r="H63" s="7" t="s">
        <v>592</v>
      </c>
      <c r="I63" s="16">
        <v>43808</v>
      </c>
      <c r="J63" s="16"/>
      <c r="K63" s="17"/>
      <c r="L63" s="3"/>
      <c r="M63" s="8" t="s">
        <v>4325</v>
      </c>
      <c r="N63" s="11">
        <v>43887.464398148149</v>
      </c>
      <c r="O63" s="8" t="s">
        <v>4326</v>
      </c>
      <c r="P63" s="11">
        <v>43717.473194444443</v>
      </c>
      <c r="Q63" s="13">
        <v>38191</v>
      </c>
      <c r="R63" s="19" t="s">
        <v>594</v>
      </c>
      <c r="S63" s="14" t="s">
        <v>715</v>
      </c>
      <c r="T63" s="163">
        <v>217</v>
      </c>
      <c r="U63" s="164" t="str">
        <f>CONCATENATE(LEFT(SP_ACQ_Lib[[#This Row],[Tax Parcel ID]],7),"_",SP_ACQ_Lib[[#This Row],[ACQ Document Type]])</f>
        <v>R015961_TITLE Curative Plan</v>
      </c>
      <c r="V63" s="65" t="str">
        <f>INDEX(SP_AcqTract_DB[WCAD Tax Parcel ID],MATCH(SP_ACQ_Lib[[#This Row],[Acquisition Tract No.]],SP_AcqTract_DB[Acquisition Tract No.],0))</f>
        <v>R015961;#4</v>
      </c>
      <c r="W63" s="48" t="str">
        <f>INDEX(SP_TaxPar_DB[Acquisition Tract No.],MATCH(LEFT(SP_ACQ_Lib[[#This Row],[Tax Parcel ID]],7),SP_TaxPar_DB[Tax Parcel ID],0))</f>
        <v>201</v>
      </c>
      <c r="X63" s="238" t="str">
        <f>IF(OR(SP_ACQ_Lib[[#This Row],[Acquisition Tract No.]]="",SP_ACQ_Lib[[#This Row],[ACQ Document Type]]=""),0,CONCATENATE("COW-FRMP_TR-",SP_ACQ_Lib[[#This Row],[Acquisition Tract No.]]," ",SP_ACQ_Lib[[#This Row],[ACQ Document Type]]))</f>
        <v>COW-FRMP_TR-201 TITLE Curative Plan</v>
      </c>
      <c r="Y63" s="239">
        <f>IF(OR(SP_ACQ_Lib[[#This Row],[File Name Convention]]=0,LEFT(SP_ACQ_Lib[[#This Row],[Name]],LEN(SP_ACQ_Lib[[#This Row],[File Name Convention]]))&lt;&gt;SP_ACQ_Lib[[#This Row],[File Name Convention]],ISERROR(SEARCH(SP_ACQ_Lib[[#This Row],[ACQ Document Type]],SP_ACQ_Lib[[#This Row],[Name]]))),1,0)</f>
        <v>0</v>
      </c>
    </row>
    <row r="64" spans="1:25" ht="15" x14ac:dyDescent="0.2">
      <c r="A64" s="157" t="str">
        <f>CONCATENATE(SP_ACQ_Lib[[#This Row],[Acquisition Tract No.]],"_",SP_ACQ_Lib[[#This Row],[ACQ Document Type]])</f>
        <v>201_TITLE SOS Business Organization Inquiry</v>
      </c>
      <c r="B64" s="14" t="s">
        <v>5538</v>
      </c>
      <c r="C64" s="15" t="s">
        <v>30</v>
      </c>
      <c r="D64" s="12" t="s">
        <v>88</v>
      </c>
      <c r="E64" s="8" t="s">
        <v>861</v>
      </c>
      <c r="F64" s="8" t="s">
        <v>1148</v>
      </c>
      <c r="G64" s="8" t="s">
        <v>1147</v>
      </c>
      <c r="H64" s="7" t="s">
        <v>592</v>
      </c>
      <c r="I64" s="16">
        <v>43922</v>
      </c>
      <c r="J64" s="16"/>
      <c r="K64" s="17"/>
      <c r="L64" s="3"/>
      <c r="M64" s="8" t="s">
        <v>4206</v>
      </c>
      <c r="N64" s="11">
        <v>43983.51185185185</v>
      </c>
      <c r="O64" s="8" t="s">
        <v>4325</v>
      </c>
      <c r="P64" s="11">
        <v>43922.536134259259</v>
      </c>
      <c r="Q64" s="13">
        <v>564045</v>
      </c>
      <c r="R64" s="19" t="s">
        <v>594</v>
      </c>
      <c r="S64" s="14" t="s">
        <v>4612</v>
      </c>
      <c r="T64" s="163">
        <v>797</v>
      </c>
      <c r="U64" s="164" t="str">
        <f>CONCATENATE(LEFT(SP_ACQ_Lib[[#This Row],[Tax Parcel ID]],7),"_",SP_ACQ_Lib[[#This Row],[ACQ Document Type]])</f>
        <v>R015961_TITLE SOS Business Organization Inquiry</v>
      </c>
      <c r="V64" s="65" t="str">
        <f>INDEX(SP_AcqTract_DB[WCAD Tax Parcel ID],MATCH(SP_ACQ_Lib[[#This Row],[Acquisition Tract No.]],SP_AcqTract_DB[Acquisition Tract No.],0))</f>
        <v>R015961;#4</v>
      </c>
      <c r="W64" s="48" t="str">
        <f>INDEX(SP_TaxPar_DB[Acquisition Tract No.],MATCH(LEFT(SP_ACQ_Lib[[#This Row],[Tax Parcel ID]],7),SP_TaxPar_DB[Tax Parcel ID],0))</f>
        <v>201</v>
      </c>
      <c r="X64" s="238" t="str">
        <f>IF(OR(SP_ACQ_Lib[[#This Row],[Acquisition Tract No.]]="",SP_ACQ_Lib[[#This Row],[ACQ Document Type]]=""),0,CONCATENATE("COW-FRMP_TR-",SP_ACQ_Lib[[#This Row],[Acquisition Tract No.]]," ",SP_ACQ_Lib[[#This Row],[ACQ Document Type]]))</f>
        <v>COW-FRMP_TR-201 TITLE SOS Business Organization Inquiry</v>
      </c>
      <c r="Y64" s="239">
        <f>IF(OR(SP_ACQ_Lib[[#This Row],[File Name Convention]]=0,LEFT(SP_ACQ_Lib[[#This Row],[Name]],LEN(SP_ACQ_Lib[[#This Row],[File Name Convention]]))&lt;&gt;SP_ACQ_Lib[[#This Row],[File Name Convention]],ISERROR(SEARCH(SP_ACQ_Lib[[#This Row],[ACQ Document Type]],SP_ACQ_Lib[[#This Row],[Name]]))),1,0)</f>
        <v>0</v>
      </c>
    </row>
    <row r="65" spans="1:25" ht="15" x14ac:dyDescent="0.2">
      <c r="A65" s="157" t="str">
        <f>CONCATENATE(SP_ACQ_Lib[[#This Row],[Acquisition Tract No.]],"_",SP_ACQ_Lib[[#This Row],[ACQ Document Type]])</f>
        <v>201_TITLE Tax Card</v>
      </c>
      <c r="B65" s="14" t="s">
        <v>3424</v>
      </c>
      <c r="C65" s="15" t="s">
        <v>30</v>
      </c>
      <c r="D65" s="12" t="s">
        <v>88</v>
      </c>
      <c r="E65" s="8" t="s">
        <v>861</v>
      </c>
      <c r="F65" s="8" t="s">
        <v>1150</v>
      </c>
      <c r="G65" s="8" t="s">
        <v>1149</v>
      </c>
      <c r="H65" s="7" t="s">
        <v>592</v>
      </c>
      <c r="I65" s="16"/>
      <c r="J65" s="16"/>
      <c r="K65" s="17"/>
      <c r="L65" s="3"/>
      <c r="M65" s="8" t="s">
        <v>4206</v>
      </c>
      <c r="N65" s="11">
        <v>43874.589201388888</v>
      </c>
      <c r="O65" s="8" t="s">
        <v>1272</v>
      </c>
      <c r="P65" s="11">
        <v>43817.464780092596</v>
      </c>
      <c r="Q65" s="13">
        <v>511672</v>
      </c>
      <c r="R65" s="19" t="s">
        <v>594</v>
      </c>
      <c r="S65" s="14" t="s">
        <v>1757</v>
      </c>
      <c r="T65" s="163">
        <v>576</v>
      </c>
      <c r="U65" s="164" t="str">
        <f>CONCATENATE(LEFT(SP_ACQ_Lib[[#This Row],[Tax Parcel ID]],7),"_",SP_ACQ_Lib[[#This Row],[ACQ Document Type]])</f>
        <v>R015961_TITLE Tax Card</v>
      </c>
      <c r="V65" s="65" t="str">
        <f>INDEX(SP_AcqTract_DB[WCAD Tax Parcel ID],MATCH(SP_ACQ_Lib[[#This Row],[Acquisition Tract No.]],SP_AcqTract_DB[Acquisition Tract No.],0))</f>
        <v>R015961;#4</v>
      </c>
      <c r="W65" s="48" t="str">
        <f>INDEX(SP_TaxPar_DB[Acquisition Tract No.],MATCH(LEFT(SP_ACQ_Lib[[#This Row],[Tax Parcel ID]],7),SP_TaxPar_DB[Tax Parcel ID],0))</f>
        <v>201</v>
      </c>
      <c r="X65" s="238" t="str">
        <f>IF(OR(SP_ACQ_Lib[[#This Row],[Acquisition Tract No.]]="",SP_ACQ_Lib[[#This Row],[ACQ Document Type]]=""),0,CONCATENATE("COW-FRMP_TR-",SP_ACQ_Lib[[#This Row],[Acquisition Tract No.]]," ",SP_ACQ_Lib[[#This Row],[ACQ Document Type]]))</f>
        <v>COW-FRMP_TR-201 TITLE Tax Card</v>
      </c>
      <c r="Y65" s="239">
        <f>IF(OR(SP_ACQ_Lib[[#This Row],[File Name Convention]]=0,LEFT(SP_ACQ_Lib[[#This Row],[Name]],LEN(SP_ACQ_Lib[[#This Row],[File Name Convention]]))&lt;&gt;SP_ACQ_Lib[[#This Row],[File Name Convention]],ISERROR(SEARCH(SP_ACQ_Lib[[#This Row],[ACQ Document Type]],SP_ACQ_Lib[[#This Row],[Name]]))),1,0)</f>
        <v>0</v>
      </c>
    </row>
    <row r="66" spans="1:25" ht="15" x14ac:dyDescent="0.2">
      <c r="A66" s="157" t="str">
        <f>CONCATENATE(SP_ACQ_Lib[[#This Row],[Acquisition Tract No.]],"_",SP_ACQ_Lib[[#This Row],[ACQ Document Type]])</f>
        <v>202_APPRAISAL Appraisal Review</v>
      </c>
      <c r="B66" s="14" t="s">
        <v>4960</v>
      </c>
      <c r="C66" s="15" t="s">
        <v>31</v>
      </c>
      <c r="D66" s="12" t="s">
        <v>620</v>
      </c>
      <c r="E66" s="8" t="s">
        <v>1131</v>
      </c>
      <c r="F66" s="8" t="s">
        <v>4753</v>
      </c>
      <c r="G66" s="8" t="s">
        <v>4751</v>
      </c>
      <c r="H66" s="7" t="s">
        <v>592</v>
      </c>
      <c r="I66" s="16">
        <v>43980</v>
      </c>
      <c r="J66" s="16"/>
      <c r="K66" s="17">
        <v>284484</v>
      </c>
      <c r="L66" s="3"/>
      <c r="M66" s="8" t="s">
        <v>4206</v>
      </c>
      <c r="N66" s="11">
        <v>44006.624282407407</v>
      </c>
      <c r="O66" s="8" t="s">
        <v>4206</v>
      </c>
      <c r="P66" s="11">
        <v>43949.761874999997</v>
      </c>
      <c r="Q66" s="13">
        <v>817882</v>
      </c>
      <c r="R66" s="19" t="s">
        <v>594</v>
      </c>
      <c r="S66" s="14" t="s">
        <v>4966</v>
      </c>
      <c r="T66" s="163">
        <v>835</v>
      </c>
      <c r="U66" s="164" t="str">
        <f>CONCATENATE(LEFT(SP_ACQ_Lib[[#This Row],[Tax Parcel ID]],7),"_",SP_ACQ_Lib[[#This Row],[ACQ Document Type]])</f>
        <v>R031245_APPRAISAL Appraisal Review</v>
      </c>
      <c r="V66" s="65" t="str">
        <f>INDEX(SP_AcqTract_DB[WCAD Tax Parcel ID],MATCH(SP_ACQ_Lib[[#This Row],[Acquisition Tract No.]],SP_AcqTract_DB[Acquisition Tract No.],0))</f>
        <v>R031245;#5</v>
      </c>
      <c r="W66" s="48" t="str">
        <f>INDEX(SP_TaxPar_DB[Acquisition Tract No.],MATCH(LEFT(SP_ACQ_Lib[[#This Row],[Tax Parcel ID]],7),SP_TaxPar_DB[Tax Parcel ID],0))</f>
        <v>202</v>
      </c>
      <c r="X66" s="238" t="str">
        <f>IF(OR(SP_ACQ_Lib[[#This Row],[Acquisition Tract No.]]="",SP_ACQ_Lib[[#This Row],[ACQ Document Type]]=""),0,CONCATENATE("COW-FRMP_TR-",SP_ACQ_Lib[[#This Row],[Acquisition Tract No.]]," ",SP_ACQ_Lib[[#This Row],[ACQ Document Type]]))</f>
        <v>COW-FRMP_TR-202 APPRAISAL Appraisal Review</v>
      </c>
      <c r="Y66" s="239">
        <f>IF(OR(SP_ACQ_Lib[[#This Row],[File Name Convention]]=0,LEFT(SP_ACQ_Lib[[#This Row],[Name]],LEN(SP_ACQ_Lib[[#This Row],[File Name Convention]]))&lt;&gt;SP_ACQ_Lib[[#This Row],[File Name Convention]],ISERROR(SEARCH(SP_ACQ_Lib[[#This Row],[ACQ Document Type]],SP_ACQ_Lib[[#This Row],[Name]]))),1,0)</f>
        <v>0</v>
      </c>
    </row>
    <row r="67" spans="1:25" ht="15" x14ac:dyDescent="0.2">
      <c r="A67" s="157" t="str">
        <f>CONCATENATE(SP_ACQ_Lib[[#This Row],[Acquisition Tract No.]],"_",SP_ACQ_Lib[[#This Row],[ACQ Document Type]])</f>
        <v>202_APPRAISAL Final Appraisal</v>
      </c>
      <c r="B67" s="14" t="s">
        <v>4961</v>
      </c>
      <c r="C67" s="15" t="s">
        <v>31</v>
      </c>
      <c r="D67" s="12" t="s">
        <v>620</v>
      </c>
      <c r="E67" s="8" t="s">
        <v>1131</v>
      </c>
      <c r="F67" s="8" t="s">
        <v>4755</v>
      </c>
      <c r="G67" s="8" t="s">
        <v>4754</v>
      </c>
      <c r="H67" s="7" t="s">
        <v>592</v>
      </c>
      <c r="I67" s="16">
        <v>43922</v>
      </c>
      <c r="J67" s="16">
        <v>43979</v>
      </c>
      <c r="K67" s="17">
        <v>284484</v>
      </c>
      <c r="L67" s="3"/>
      <c r="M67" s="8" t="s">
        <v>4206</v>
      </c>
      <c r="N67" s="11">
        <v>44006.624131944445</v>
      </c>
      <c r="O67" s="8" t="s">
        <v>4206</v>
      </c>
      <c r="P67" s="11">
        <v>43949.762141203704</v>
      </c>
      <c r="Q67" s="13">
        <v>18917156</v>
      </c>
      <c r="R67" s="19" t="s">
        <v>594</v>
      </c>
      <c r="S67" s="14" t="s">
        <v>4967</v>
      </c>
      <c r="T67" s="163">
        <v>836</v>
      </c>
      <c r="U67" s="164" t="str">
        <f>CONCATENATE(LEFT(SP_ACQ_Lib[[#This Row],[Tax Parcel ID]],7),"_",SP_ACQ_Lib[[#This Row],[ACQ Document Type]])</f>
        <v>R031245_APPRAISAL Final Appraisal</v>
      </c>
      <c r="V67" s="65" t="str">
        <f>INDEX(SP_AcqTract_DB[WCAD Tax Parcel ID],MATCH(SP_ACQ_Lib[[#This Row],[Acquisition Tract No.]],SP_AcqTract_DB[Acquisition Tract No.],0))</f>
        <v>R031245;#5</v>
      </c>
      <c r="W67" s="48" t="str">
        <f>INDEX(SP_TaxPar_DB[Acquisition Tract No.],MATCH(LEFT(SP_ACQ_Lib[[#This Row],[Tax Parcel ID]],7),SP_TaxPar_DB[Tax Parcel ID],0))</f>
        <v>202</v>
      </c>
      <c r="X67" s="238" t="str">
        <f>IF(OR(SP_ACQ_Lib[[#This Row],[Acquisition Tract No.]]="",SP_ACQ_Lib[[#This Row],[ACQ Document Type]]=""),0,CONCATENATE("COW-FRMP_TR-",SP_ACQ_Lib[[#This Row],[Acquisition Tract No.]]," ",SP_ACQ_Lib[[#This Row],[ACQ Document Type]]))</f>
        <v>COW-FRMP_TR-202 APPRAISAL Final Appraisal</v>
      </c>
      <c r="Y67" s="239">
        <f>IF(OR(SP_ACQ_Lib[[#This Row],[File Name Convention]]=0,LEFT(SP_ACQ_Lib[[#This Row],[Name]],LEN(SP_ACQ_Lib[[#This Row],[File Name Convention]]))&lt;&gt;SP_ACQ_Lib[[#This Row],[File Name Convention]],ISERROR(SEARCH(SP_ACQ_Lib[[#This Row],[ACQ Document Type]],SP_ACQ_Lib[[#This Row],[Name]]))),1,0)</f>
        <v>0</v>
      </c>
    </row>
    <row r="68" spans="1:25" ht="15" x14ac:dyDescent="0.2">
      <c r="A68" s="157" t="str">
        <f>CONCATENATE(SP_ACQ_Lib[[#This Row],[Acquisition Tract No.]],"_",SP_ACQ_Lib[[#This Row],[ACQ Document Type]])</f>
        <v>202_APPRAISAL Just Compensation Approval</v>
      </c>
      <c r="B68" s="14" t="s">
        <v>6296</v>
      </c>
      <c r="C68" s="15" t="s">
        <v>31</v>
      </c>
      <c r="D68" s="12" t="s">
        <v>620</v>
      </c>
      <c r="E68" s="8" t="s">
        <v>1131</v>
      </c>
      <c r="F68" s="8" t="s">
        <v>4828</v>
      </c>
      <c r="G68" s="8" t="s">
        <v>4827</v>
      </c>
      <c r="H68" s="7" t="s">
        <v>1749</v>
      </c>
      <c r="I68" s="16">
        <v>44004</v>
      </c>
      <c r="J68" s="16"/>
      <c r="K68" s="17">
        <v>284484</v>
      </c>
      <c r="L68" s="3"/>
      <c r="M68" s="8" t="s">
        <v>4206</v>
      </c>
      <c r="N68" s="11">
        <v>44012.533668981479</v>
      </c>
      <c r="O68" s="8" t="s">
        <v>4206</v>
      </c>
      <c r="P68" s="11">
        <v>44005.489016203705</v>
      </c>
      <c r="Q68" s="13">
        <v>258445</v>
      </c>
      <c r="R68" s="19" t="s">
        <v>594</v>
      </c>
      <c r="S68" s="14" t="s">
        <v>6365</v>
      </c>
      <c r="T68" s="163">
        <v>1267</v>
      </c>
      <c r="U68" s="164" t="str">
        <f>CONCATENATE(LEFT(SP_ACQ_Lib[[#This Row],[Tax Parcel ID]],7),"_",SP_ACQ_Lib[[#This Row],[ACQ Document Type]])</f>
        <v>R031245_APPRAISAL Just Compensation Approval</v>
      </c>
      <c r="V68" s="65" t="str">
        <f>INDEX(SP_AcqTract_DB[WCAD Tax Parcel ID],MATCH(SP_ACQ_Lib[[#This Row],[Acquisition Tract No.]],SP_AcqTract_DB[Acquisition Tract No.],0))</f>
        <v>R031245;#5</v>
      </c>
      <c r="W68" s="48" t="str">
        <f>INDEX(SP_TaxPar_DB[Acquisition Tract No.],MATCH(LEFT(SP_ACQ_Lib[[#This Row],[Tax Parcel ID]],7),SP_TaxPar_DB[Tax Parcel ID],0))</f>
        <v>202</v>
      </c>
      <c r="X68" s="238" t="str">
        <f>IF(OR(SP_ACQ_Lib[[#This Row],[Acquisition Tract No.]]="",SP_ACQ_Lib[[#This Row],[ACQ Document Type]]=""),0,CONCATENATE("COW-FRMP_TR-",SP_ACQ_Lib[[#This Row],[Acquisition Tract No.]]," ",SP_ACQ_Lib[[#This Row],[ACQ Document Type]]))</f>
        <v>COW-FRMP_TR-202 APPRAISAL Just Compensation Approval</v>
      </c>
      <c r="Y68" s="239">
        <f>IF(OR(SP_ACQ_Lib[[#This Row],[File Name Convention]]=0,LEFT(SP_ACQ_Lib[[#This Row],[Name]],LEN(SP_ACQ_Lib[[#This Row],[File Name Convention]]))&lt;&gt;SP_ACQ_Lib[[#This Row],[File Name Convention]],ISERROR(SEARCH(SP_ACQ_Lib[[#This Row],[ACQ Document Type]],SP_ACQ_Lib[[#This Row],[Name]]))),1,0)</f>
        <v>0</v>
      </c>
    </row>
    <row r="69" spans="1:25" ht="15" x14ac:dyDescent="0.2">
      <c r="A69" s="157" t="str">
        <f>CONCATENATE(SP_ACQ_Lib[[#This Row],[Acquisition Tract No.]],"_",SP_ACQ_Lib[[#This Row],[ACQ Document Type]])</f>
        <v>202_APPRAISAL Just Compensation Memo</v>
      </c>
      <c r="B69" s="14" t="s">
        <v>4962</v>
      </c>
      <c r="C69" s="15" t="s">
        <v>31</v>
      </c>
      <c r="D69" s="12" t="s">
        <v>620</v>
      </c>
      <c r="E69" s="8" t="s">
        <v>1131</v>
      </c>
      <c r="F69" s="8" t="s">
        <v>4757</v>
      </c>
      <c r="G69" s="8" t="s">
        <v>4756</v>
      </c>
      <c r="H69" s="7" t="s">
        <v>592</v>
      </c>
      <c r="I69" s="16">
        <v>43983</v>
      </c>
      <c r="J69" s="16">
        <v>43983</v>
      </c>
      <c r="K69" s="17">
        <v>284484</v>
      </c>
      <c r="L69" s="3"/>
      <c r="M69" s="8" t="s">
        <v>4206</v>
      </c>
      <c r="N69" s="11">
        <v>44006.624432870369</v>
      </c>
      <c r="O69" s="8" t="s">
        <v>4206</v>
      </c>
      <c r="P69" s="11">
        <v>43949.762164351851</v>
      </c>
      <c r="Q69" s="13">
        <v>31992</v>
      </c>
      <c r="R69" s="19" t="s">
        <v>594</v>
      </c>
      <c r="S69" s="14" t="s">
        <v>4968</v>
      </c>
      <c r="T69" s="163">
        <v>837</v>
      </c>
      <c r="U69" s="164" t="str">
        <f>CONCATENATE(LEFT(SP_ACQ_Lib[[#This Row],[Tax Parcel ID]],7),"_",SP_ACQ_Lib[[#This Row],[ACQ Document Type]])</f>
        <v>R031245_APPRAISAL Just Compensation Memo</v>
      </c>
      <c r="V69" s="65" t="str">
        <f>INDEX(SP_AcqTract_DB[WCAD Tax Parcel ID],MATCH(SP_ACQ_Lib[[#This Row],[Acquisition Tract No.]],SP_AcqTract_DB[Acquisition Tract No.],0))</f>
        <v>R031245;#5</v>
      </c>
      <c r="W69" s="48" t="str">
        <f>INDEX(SP_TaxPar_DB[Acquisition Tract No.],MATCH(LEFT(SP_ACQ_Lib[[#This Row],[Tax Parcel ID]],7),SP_TaxPar_DB[Tax Parcel ID],0))</f>
        <v>202</v>
      </c>
      <c r="X69" s="238" t="str">
        <f>IF(OR(SP_ACQ_Lib[[#This Row],[Acquisition Tract No.]]="",SP_ACQ_Lib[[#This Row],[ACQ Document Type]]=""),0,CONCATENATE("COW-FRMP_TR-",SP_ACQ_Lib[[#This Row],[Acquisition Tract No.]]," ",SP_ACQ_Lib[[#This Row],[ACQ Document Type]]))</f>
        <v>COW-FRMP_TR-202 APPRAISAL Just Compensation Memo</v>
      </c>
      <c r="Y69" s="239">
        <f>IF(OR(SP_ACQ_Lib[[#This Row],[File Name Convention]]=0,LEFT(SP_ACQ_Lib[[#This Row],[Name]],LEN(SP_ACQ_Lib[[#This Row],[File Name Convention]]))&lt;&gt;SP_ACQ_Lib[[#This Row],[File Name Convention]],ISERROR(SEARCH(SP_ACQ_Lib[[#This Row],[ACQ Document Type]],SP_ACQ_Lib[[#This Row],[Name]]))),1,0)</f>
        <v>0</v>
      </c>
    </row>
    <row r="70" spans="1:25" ht="15" x14ac:dyDescent="0.2">
      <c r="A70" s="157" t="str">
        <f>CONCATENATE(SP_ACQ_Lib[[#This Row],[Acquisition Tract No.]],"_",SP_ACQ_Lib[[#This Row],[ACQ Document Type]])</f>
        <v>202_APPRAISAL USACOE Appraisal Transmittal</v>
      </c>
      <c r="B70" s="14" t="s">
        <v>4963</v>
      </c>
      <c r="C70" s="15" t="s">
        <v>31</v>
      </c>
      <c r="D70" s="12" t="s">
        <v>620</v>
      </c>
      <c r="E70" s="8" t="s">
        <v>1131</v>
      </c>
      <c r="F70" s="8" t="s">
        <v>4957</v>
      </c>
      <c r="G70" s="8" t="s">
        <v>4956</v>
      </c>
      <c r="H70" s="7" t="s">
        <v>592</v>
      </c>
      <c r="I70" s="16">
        <v>43949</v>
      </c>
      <c r="J70" s="16"/>
      <c r="K70" s="17"/>
      <c r="L70" s="3"/>
      <c r="M70" s="8" t="s">
        <v>4206</v>
      </c>
      <c r="N70" s="11">
        <v>44006.624583333331</v>
      </c>
      <c r="O70" s="8" t="s">
        <v>4206</v>
      </c>
      <c r="P70" s="11">
        <v>43949.762164351851</v>
      </c>
      <c r="Q70" s="13">
        <v>33754</v>
      </c>
      <c r="R70" s="19" t="s">
        <v>594</v>
      </c>
      <c r="S70" s="14" t="s">
        <v>4969</v>
      </c>
      <c r="T70" s="163">
        <v>838</v>
      </c>
      <c r="U70" s="164" t="str">
        <f>CONCATENATE(LEFT(SP_ACQ_Lib[[#This Row],[Tax Parcel ID]],7),"_",SP_ACQ_Lib[[#This Row],[ACQ Document Type]])</f>
        <v>R031245_APPRAISAL USACOE Appraisal Transmittal</v>
      </c>
      <c r="V70" s="65" t="str">
        <f>INDEX(SP_AcqTract_DB[WCAD Tax Parcel ID],MATCH(SP_ACQ_Lib[[#This Row],[Acquisition Tract No.]],SP_AcqTract_DB[Acquisition Tract No.],0))</f>
        <v>R031245;#5</v>
      </c>
      <c r="W70" s="48" t="str">
        <f>INDEX(SP_TaxPar_DB[Acquisition Tract No.],MATCH(LEFT(SP_ACQ_Lib[[#This Row],[Tax Parcel ID]],7),SP_TaxPar_DB[Tax Parcel ID],0))</f>
        <v>202</v>
      </c>
      <c r="X70" s="238" t="str">
        <f>IF(OR(SP_ACQ_Lib[[#This Row],[Acquisition Tract No.]]="",SP_ACQ_Lib[[#This Row],[ACQ Document Type]]=""),0,CONCATENATE("COW-FRMP_TR-",SP_ACQ_Lib[[#This Row],[Acquisition Tract No.]]," ",SP_ACQ_Lib[[#This Row],[ACQ Document Type]]))</f>
        <v>COW-FRMP_TR-202 APPRAISAL USACOE Appraisal Transmittal</v>
      </c>
      <c r="Y70" s="239">
        <f>IF(OR(SP_ACQ_Lib[[#This Row],[File Name Convention]]=0,LEFT(SP_ACQ_Lib[[#This Row],[Name]],LEN(SP_ACQ_Lib[[#This Row],[File Name Convention]]))&lt;&gt;SP_ACQ_Lib[[#This Row],[File Name Convention]],ISERROR(SEARCH(SP_ACQ_Lib[[#This Row],[ACQ Document Type]],SP_ACQ_Lib[[#This Row],[Name]]))),1,0)</f>
        <v>0</v>
      </c>
    </row>
    <row r="71" spans="1:25" ht="15" x14ac:dyDescent="0.2">
      <c r="A71" s="157" t="str">
        <f>CONCATENATE(SP_ACQ_Lib[[#This Row],[Acquisition Tract No.]],"_",SP_ACQ_Lib[[#This Row],[ACQ Document Type]])</f>
        <v>202_APPRAISAL USACOE Authorization to Proceed with Offer</v>
      </c>
      <c r="B71" s="14" t="s">
        <v>4964</v>
      </c>
      <c r="C71" s="15" t="s">
        <v>31</v>
      </c>
      <c r="D71" s="12" t="s">
        <v>620</v>
      </c>
      <c r="E71" s="8" t="s">
        <v>1131</v>
      </c>
      <c r="F71" s="8" t="s">
        <v>4959</v>
      </c>
      <c r="G71" s="8" t="s">
        <v>4958</v>
      </c>
      <c r="H71" s="7" t="s">
        <v>592</v>
      </c>
      <c r="I71" s="16">
        <v>43983</v>
      </c>
      <c r="J71" s="16"/>
      <c r="K71" s="17">
        <v>284484</v>
      </c>
      <c r="L71" s="3"/>
      <c r="M71" s="8" t="s">
        <v>4206</v>
      </c>
      <c r="N71" s="11">
        <v>44006.6247337963</v>
      </c>
      <c r="O71" s="8" t="s">
        <v>4206</v>
      </c>
      <c r="P71" s="11">
        <v>43949.762175925927</v>
      </c>
      <c r="Q71" s="13">
        <v>77136</v>
      </c>
      <c r="R71" s="19" t="s">
        <v>594</v>
      </c>
      <c r="S71" s="14" t="s">
        <v>4970</v>
      </c>
      <c r="T71" s="163">
        <v>839</v>
      </c>
      <c r="U71" s="164" t="str">
        <f>CONCATENATE(LEFT(SP_ACQ_Lib[[#This Row],[Tax Parcel ID]],7),"_",SP_ACQ_Lib[[#This Row],[ACQ Document Type]])</f>
        <v>R031245_APPRAISAL USACOE Authorization to Proceed with Offer</v>
      </c>
      <c r="V71" s="65" t="str">
        <f>INDEX(SP_AcqTract_DB[WCAD Tax Parcel ID],MATCH(SP_ACQ_Lib[[#This Row],[Acquisition Tract No.]],SP_AcqTract_DB[Acquisition Tract No.],0))</f>
        <v>R031245;#5</v>
      </c>
      <c r="W71" s="48" t="str">
        <f>INDEX(SP_TaxPar_DB[Acquisition Tract No.],MATCH(LEFT(SP_ACQ_Lib[[#This Row],[Tax Parcel ID]],7),SP_TaxPar_DB[Tax Parcel ID],0))</f>
        <v>202</v>
      </c>
      <c r="X71" s="238" t="str">
        <f>IF(OR(SP_ACQ_Lib[[#This Row],[Acquisition Tract No.]]="",SP_ACQ_Lib[[#This Row],[ACQ Document Type]]=""),0,CONCATENATE("COW-FRMP_TR-",SP_ACQ_Lib[[#This Row],[Acquisition Tract No.]]," ",SP_ACQ_Lib[[#This Row],[ACQ Document Type]]))</f>
        <v>COW-FRMP_TR-202 APPRAISAL USACOE Authorization to Proceed with Offer</v>
      </c>
      <c r="Y71" s="239">
        <f>IF(OR(SP_ACQ_Lib[[#This Row],[File Name Convention]]=0,LEFT(SP_ACQ_Lib[[#This Row],[Name]],LEN(SP_ACQ_Lib[[#This Row],[File Name Convention]]))&lt;&gt;SP_ACQ_Lib[[#This Row],[File Name Convention]],ISERROR(SEARCH(SP_ACQ_Lib[[#This Row],[ACQ Document Type]],SP_ACQ_Lib[[#This Row],[Name]]))),1,0)</f>
        <v>0</v>
      </c>
    </row>
    <row r="72" spans="1:25" ht="15" x14ac:dyDescent="0.2">
      <c r="A72" s="157" t="str">
        <f>CONCATENATE(SP_ACQ_Lib[[#This Row],[Acquisition Tract No.]],"_",SP_ACQ_Lib[[#This Row],[ACQ Document Type]])</f>
        <v>202_APPRAISAL USACOE Authorization to Proceed with Offer Approval</v>
      </c>
      <c r="B72" s="14" t="s">
        <v>6297</v>
      </c>
      <c r="C72" s="15" t="s">
        <v>31</v>
      </c>
      <c r="D72" s="12" t="s">
        <v>620</v>
      </c>
      <c r="E72" s="8" t="s">
        <v>1131</v>
      </c>
      <c r="F72" s="8" t="s">
        <v>4973</v>
      </c>
      <c r="G72" s="8" t="s">
        <v>4972</v>
      </c>
      <c r="H72" s="7" t="s">
        <v>1749</v>
      </c>
      <c r="I72" s="16">
        <v>44000</v>
      </c>
      <c r="J72" s="16"/>
      <c r="K72" s="17">
        <v>284484</v>
      </c>
      <c r="L72" s="3"/>
      <c r="M72" s="8" t="s">
        <v>4206</v>
      </c>
      <c r="N72" s="11">
        <v>44012.534259259257</v>
      </c>
      <c r="O72" s="8" t="s">
        <v>4206</v>
      </c>
      <c r="P72" s="11">
        <v>44005.489027777781</v>
      </c>
      <c r="Q72" s="13">
        <v>452309</v>
      </c>
      <c r="R72" s="19" t="s">
        <v>594</v>
      </c>
      <c r="S72" s="14" t="s">
        <v>6366</v>
      </c>
      <c r="T72" s="163">
        <v>1268</v>
      </c>
      <c r="U72" s="164" t="str">
        <f>CONCATENATE(LEFT(SP_ACQ_Lib[[#This Row],[Tax Parcel ID]],7),"_",SP_ACQ_Lib[[#This Row],[ACQ Document Type]])</f>
        <v>R031245_APPRAISAL USACOE Authorization to Proceed with Offer Approval</v>
      </c>
      <c r="V72" s="65" t="str">
        <f>INDEX(SP_AcqTract_DB[WCAD Tax Parcel ID],MATCH(SP_ACQ_Lib[[#This Row],[Acquisition Tract No.]],SP_AcqTract_DB[Acquisition Tract No.],0))</f>
        <v>R031245;#5</v>
      </c>
      <c r="W72" s="48" t="str">
        <f>INDEX(SP_TaxPar_DB[Acquisition Tract No.],MATCH(LEFT(SP_ACQ_Lib[[#This Row],[Tax Parcel ID]],7),SP_TaxPar_DB[Tax Parcel ID],0))</f>
        <v>202</v>
      </c>
      <c r="X72" s="238" t="str">
        <f>IF(OR(SP_ACQ_Lib[[#This Row],[Acquisition Tract No.]]="",SP_ACQ_Lib[[#This Row],[ACQ Document Type]]=""),0,CONCATENATE("COW-FRMP_TR-",SP_ACQ_Lib[[#This Row],[Acquisition Tract No.]]," ",SP_ACQ_Lib[[#This Row],[ACQ Document Type]]))</f>
        <v>COW-FRMP_TR-202 APPRAISAL USACOE Authorization to Proceed with Offer Approval</v>
      </c>
      <c r="Y72" s="239">
        <f>IF(OR(SP_ACQ_Lib[[#This Row],[File Name Convention]]=0,LEFT(SP_ACQ_Lib[[#This Row],[Name]],LEN(SP_ACQ_Lib[[#This Row],[File Name Convention]]))&lt;&gt;SP_ACQ_Lib[[#This Row],[File Name Convention]],ISERROR(SEARCH(SP_ACQ_Lib[[#This Row],[ACQ Document Type]],SP_ACQ_Lib[[#This Row],[Name]]))),1,0)</f>
        <v>0</v>
      </c>
    </row>
    <row r="73" spans="1:25" ht="15" x14ac:dyDescent="0.2">
      <c r="A73" s="157" t="str">
        <f>CONCATENATE(SP_ACQ_Lib[[#This Row],[Acquisition Tract No.]],"_",SP_ACQ_Lib[[#This Row],[ACQ Document Type]])</f>
        <v>202_CONTACT Letter of Intent-HDR</v>
      </c>
      <c r="B73" s="14" t="s">
        <v>1421</v>
      </c>
      <c r="C73" s="15" t="s">
        <v>31</v>
      </c>
      <c r="D73" s="12" t="s">
        <v>620</v>
      </c>
      <c r="E73" s="8" t="s">
        <v>865</v>
      </c>
      <c r="F73" s="8" t="s">
        <v>1401</v>
      </c>
      <c r="G73" s="8" t="s">
        <v>1400</v>
      </c>
      <c r="H73" s="7" t="s">
        <v>592</v>
      </c>
      <c r="I73" s="16">
        <v>43765</v>
      </c>
      <c r="J73" s="16"/>
      <c r="K73" s="17"/>
      <c r="L73" s="3"/>
      <c r="M73" s="8" t="s">
        <v>4206</v>
      </c>
      <c r="N73" s="11">
        <v>44006.624884259261</v>
      </c>
      <c r="O73" s="8" t="s">
        <v>1377</v>
      </c>
      <c r="P73" s="11">
        <v>43768.406145833331</v>
      </c>
      <c r="Q73" s="13">
        <v>324617</v>
      </c>
      <c r="R73" s="19" t="s">
        <v>594</v>
      </c>
      <c r="S73" s="14" t="s">
        <v>1617</v>
      </c>
      <c r="T73" s="163">
        <v>481</v>
      </c>
      <c r="U73" s="164" t="str">
        <f>CONCATENATE(LEFT(SP_ACQ_Lib[[#This Row],[Tax Parcel ID]],7),"_",SP_ACQ_Lib[[#This Row],[ACQ Document Type]])</f>
        <v>R031245_CONTACT Letter of Intent-HDR</v>
      </c>
      <c r="V73" s="65" t="str">
        <f>INDEX(SP_AcqTract_DB[WCAD Tax Parcel ID],MATCH(SP_ACQ_Lib[[#This Row],[Acquisition Tract No.]],SP_AcqTract_DB[Acquisition Tract No.],0))</f>
        <v>R031245;#5</v>
      </c>
      <c r="W73" s="48" t="str">
        <f>INDEX(SP_TaxPar_DB[Acquisition Tract No.],MATCH(LEFT(SP_ACQ_Lib[[#This Row],[Tax Parcel ID]],7),SP_TaxPar_DB[Tax Parcel ID],0))</f>
        <v>202</v>
      </c>
      <c r="X73" s="238" t="str">
        <f>IF(OR(SP_ACQ_Lib[[#This Row],[Acquisition Tract No.]]="",SP_ACQ_Lib[[#This Row],[ACQ Document Type]]=""),0,CONCATENATE("COW-FRMP_TR-",SP_ACQ_Lib[[#This Row],[Acquisition Tract No.]]," ",SP_ACQ_Lib[[#This Row],[ACQ Document Type]]))</f>
        <v>COW-FRMP_TR-202 CONTACT Letter of Intent-HDR</v>
      </c>
      <c r="Y73" s="239">
        <f>IF(OR(SP_ACQ_Lib[[#This Row],[File Name Convention]]=0,LEFT(SP_ACQ_Lib[[#This Row],[Name]],LEN(SP_ACQ_Lib[[#This Row],[File Name Convention]]))&lt;&gt;SP_ACQ_Lib[[#This Row],[File Name Convention]],ISERROR(SEARCH(SP_ACQ_Lib[[#This Row],[ACQ Document Type]],SP_ACQ_Lib[[#This Row],[Name]]))),1,0)</f>
        <v>0</v>
      </c>
    </row>
    <row r="74" spans="1:25" ht="15" x14ac:dyDescent="0.2">
      <c r="A74" s="157" t="str">
        <f>CONCATENATE(SP_ACQ_Lib[[#This Row],[Acquisition Tract No.]],"_",SP_ACQ_Lib[[#This Row],[ACQ Document Type]])</f>
        <v>202_CONTACT Negotiator Report</v>
      </c>
      <c r="B74" s="14" t="s">
        <v>3367</v>
      </c>
      <c r="C74" s="15" t="s">
        <v>31</v>
      </c>
      <c r="D74" s="12" t="s">
        <v>620</v>
      </c>
      <c r="E74" s="8" t="s">
        <v>865</v>
      </c>
      <c r="F74" s="8" t="s">
        <v>1068</v>
      </c>
      <c r="G74" s="8" t="s">
        <v>1067</v>
      </c>
      <c r="H74" s="7" t="s">
        <v>592</v>
      </c>
      <c r="I74" s="16"/>
      <c r="J74" s="16"/>
      <c r="K74" s="17"/>
      <c r="L74" s="3"/>
      <c r="M74" s="8" t="s">
        <v>4206</v>
      </c>
      <c r="N74" s="11">
        <v>44006.625034722223</v>
      </c>
      <c r="O74" s="8" t="s">
        <v>1743</v>
      </c>
      <c r="P74" s="11">
        <v>43836.682245370372</v>
      </c>
      <c r="Q74" s="13">
        <v>75021</v>
      </c>
      <c r="R74" s="19" t="s">
        <v>1069</v>
      </c>
      <c r="S74" s="14" t="s">
        <v>1758</v>
      </c>
      <c r="T74" s="163">
        <v>708</v>
      </c>
      <c r="U74" s="164" t="str">
        <f>CONCATENATE(LEFT(SP_ACQ_Lib[[#This Row],[Tax Parcel ID]],7),"_",SP_ACQ_Lib[[#This Row],[ACQ Document Type]])</f>
        <v>R031245_CONTACT Negotiator Report</v>
      </c>
      <c r="V74" s="65" t="str">
        <f>INDEX(SP_AcqTract_DB[WCAD Tax Parcel ID],MATCH(SP_ACQ_Lib[[#This Row],[Acquisition Tract No.]],SP_AcqTract_DB[Acquisition Tract No.],0))</f>
        <v>R031245;#5</v>
      </c>
      <c r="W74" s="48" t="str">
        <f>INDEX(SP_TaxPar_DB[Acquisition Tract No.],MATCH(LEFT(SP_ACQ_Lib[[#This Row],[Tax Parcel ID]],7),SP_TaxPar_DB[Tax Parcel ID],0))</f>
        <v>202</v>
      </c>
      <c r="X74" s="238" t="str">
        <f>IF(OR(SP_ACQ_Lib[[#This Row],[Acquisition Tract No.]]="",SP_ACQ_Lib[[#This Row],[ACQ Document Type]]=""),0,CONCATENATE("COW-FRMP_TR-",SP_ACQ_Lib[[#This Row],[Acquisition Tract No.]]," ",SP_ACQ_Lib[[#This Row],[ACQ Document Type]]))</f>
        <v>COW-FRMP_TR-202 CONTACT Negotiator Report</v>
      </c>
      <c r="Y74" s="239">
        <f>IF(OR(SP_ACQ_Lib[[#This Row],[File Name Convention]]=0,LEFT(SP_ACQ_Lib[[#This Row],[Name]],LEN(SP_ACQ_Lib[[#This Row],[File Name Convention]]))&lt;&gt;SP_ACQ_Lib[[#This Row],[File Name Convention]],ISERROR(SEARCH(SP_ACQ_Lib[[#This Row],[ACQ Document Type]],SP_ACQ_Lib[[#This Row],[Name]]))),1,0)</f>
        <v>0</v>
      </c>
    </row>
    <row r="75" spans="1:25" ht="15" x14ac:dyDescent="0.2">
      <c r="A75" s="157" t="str">
        <f>CONCATENATE(SP_ACQ_Lib[[#This Row],[Acquisition Tract No.]],"_",SP_ACQ_Lib[[#This Row],[ACQ Document Type]])</f>
        <v>202_NEGOTIATION Initial Offer Package</v>
      </c>
      <c r="B75" s="14" t="s">
        <v>6490</v>
      </c>
      <c r="C75" s="15" t="s">
        <v>31</v>
      </c>
      <c r="D75" s="12" t="s">
        <v>620</v>
      </c>
      <c r="E75" s="8" t="s">
        <v>1142</v>
      </c>
      <c r="F75" s="8" t="s">
        <v>1143</v>
      </c>
      <c r="G75" s="8" t="s">
        <v>1709</v>
      </c>
      <c r="H75" s="7" t="s">
        <v>592</v>
      </c>
      <c r="I75" s="16">
        <v>44008</v>
      </c>
      <c r="J75" s="16"/>
      <c r="K75" s="17">
        <v>284484</v>
      </c>
      <c r="L75" s="3"/>
      <c r="M75" s="8" t="s">
        <v>4206</v>
      </c>
      <c r="N75" s="11">
        <v>44011.559212962966</v>
      </c>
      <c r="O75" s="8" t="s">
        <v>4206</v>
      </c>
      <c r="P75" s="11">
        <v>44011.556180555555</v>
      </c>
      <c r="Q75" s="13">
        <v>38834710</v>
      </c>
      <c r="R75" s="19" t="s">
        <v>594</v>
      </c>
      <c r="S75" s="14" t="s">
        <v>6553</v>
      </c>
      <c r="T75" s="163">
        <v>1303</v>
      </c>
      <c r="U75" s="164" t="str">
        <f>CONCATENATE(LEFT(SP_ACQ_Lib[[#This Row],[Tax Parcel ID]],7),"_",SP_ACQ_Lib[[#This Row],[ACQ Document Type]])</f>
        <v>R031245_NEGOTIATION Initial Offer Package</v>
      </c>
      <c r="V75" s="65" t="str">
        <f>INDEX(SP_AcqTract_DB[WCAD Tax Parcel ID],MATCH(SP_ACQ_Lib[[#This Row],[Acquisition Tract No.]],SP_AcqTract_DB[Acquisition Tract No.],0))</f>
        <v>R031245;#5</v>
      </c>
      <c r="W75" s="48" t="str">
        <f>INDEX(SP_TaxPar_DB[Acquisition Tract No.],MATCH(LEFT(SP_ACQ_Lib[[#This Row],[Tax Parcel ID]],7),SP_TaxPar_DB[Tax Parcel ID],0))</f>
        <v>202</v>
      </c>
      <c r="X75" s="238" t="str">
        <f>IF(OR(SP_ACQ_Lib[[#This Row],[Acquisition Tract No.]]="",SP_ACQ_Lib[[#This Row],[ACQ Document Type]]=""),0,CONCATENATE("COW-FRMP_TR-",SP_ACQ_Lib[[#This Row],[Acquisition Tract No.]]," ",SP_ACQ_Lib[[#This Row],[ACQ Document Type]]))</f>
        <v>COW-FRMP_TR-202 NEGOTIATION Initial Offer Package</v>
      </c>
      <c r="Y75" s="239">
        <f>IF(OR(SP_ACQ_Lib[[#This Row],[File Name Convention]]=0,LEFT(SP_ACQ_Lib[[#This Row],[Name]],LEN(SP_ACQ_Lib[[#This Row],[File Name Convention]]))&lt;&gt;SP_ACQ_Lib[[#This Row],[File Name Convention]],ISERROR(SEARCH(SP_ACQ_Lib[[#This Row],[ACQ Document Type]],SP_ACQ_Lib[[#This Row],[Name]]))),1,0)</f>
        <v>0</v>
      </c>
    </row>
    <row r="76" spans="1:25" ht="15" x14ac:dyDescent="0.2">
      <c r="A76" s="157" t="str">
        <f>CONCATENATE(SP_ACQ_Lib[[#This Row],[Acquisition Tract No.]],"_",SP_ACQ_Lib[[#This Row],[ACQ Document Type]])</f>
        <v>202_NEGOTIATION Initial Offer Package CMRR</v>
      </c>
      <c r="B76" s="14" t="s">
        <v>6491</v>
      </c>
      <c r="C76" s="15" t="s">
        <v>31</v>
      </c>
      <c r="D76" s="12" t="s">
        <v>620</v>
      </c>
      <c r="E76" s="8" t="s">
        <v>1142</v>
      </c>
      <c r="F76" s="8" t="s">
        <v>1144</v>
      </c>
      <c r="G76" s="8" t="s">
        <v>1710</v>
      </c>
      <c r="H76" s="7" t="s">
        <v>592</v>
      </c>
      <c r="I76" s="16">
        <v>44008</v>
      </c>
      <c r="J76" s="16">
        <v>44011</v>
      </c>
      <c r="K76" s="17"/>
      <c r="L76" s="3"/>
      <c r="M76" s="8" t="s">
        <v>4206</v>
      </c>
      <c r="N76" s="11">
        <v>44012.507256944446</v>
      </c>
      <c r="O76" s="8" t="s">
        <v>4206</v>
      </c>
      <c r="P76" s="11">
        <v>44011.555509259262</v>
      </c>
      <c r="Q76" s="13">
        <v>900795</v>
      </c>
      <c r="R76" s="19" t="s">
        <v>594</v>
      </c>
      <c r="S76" s="14" t="s">
        <v>6554</v>
      </c>
      <c r="T76" s="163">
        <v>1302</v>
      </c>
      <c r="U76" s="164" t="str">
        <f>CONCATENATE(LEFT(SP_ACQ_Lib[[#This Row],[Tax Parcel ID]],7),"_",SP_ACQ_Lib[[#This Row],[ACQ Document Type]])</f>
        <v>R031245_NEGOTIATION Initial Offer Package CMRR</v>
      </c>
      <c r="V76" s="65" t="str">
        <f>INDEX(SP_AcqTract_DB[WCAD Tax Parcel ID],MATCH(SP_ACQ_Lib[[#This Row],[Acquisition Tract No.]],SP_AcqTract_DB[Acquisition Tract No.],0))</f>
        <v>R031245;#5</v>
      </c>
      <c r="W76" s="48" t="str">
        <f>INDEX(SP_TaxPar_DB[Acquisition Tract No.],MATCH(LEFT(SP_ACQ_Lib[[#This Row],[Tax Parcel ID]],7),SP_TaxPar_DB[Tax Parcel ID],0))</f>
        <v>202</v>
      </c>
      <c r="X76" s="238" t="str">
        <f>IF(OR(SP_ACQ_Lib[[#This Row],[Acquisition Tract No.]]="",SP_ACQ_Lib[[#This Row],[ACQ Document Type]]=""),0,CONCATENATE("COW-FRMP_TR-",SP_ACQ_Lib[[#This Row],[Acquisition Tract No.]]," ",SP_ACQ_Lib[[#This Row],[ACQ Document Type]]))</f>
        <v>COW-FRMP_TR-202 NEGOTIATION Initial Offer Package CMRR</v>
      </c>
      <c r="Y76" s="239">
        <f>IF(OR(SP_ACQ_Lib[[#This Row],[File Name Convention]]=0,LEFT(SP_ACQ_Lib[[#This Row],[Name]],LEN(SP_ACQ_Lib[[#This Row],[File Name Convention]]))&lt;&gt;SP_ACQ_Lib[[#This Row],[File Name Convention]],ISERROR(SEARCH(SP_ACQ_Lib[[#This Row],[ACQ Document Type]],SP_ACQ_Lib[[#This Row],[Name]]))),1,0)</f>
        <v>0</v>
      </c>
    </row>
    <row r="77" spans="1:25" ht="15" x14ac:dyDescent="0.2">
      <c r="A77" s="157" t="str">
        <f>CONCATENATE(SP_ACQ_Lib[[#This Row],[Acquisition Tract No.]],"_",SP_ACQ_Lib[[#This Row],[ACQ Document Type]])</f>
        <v>202_NEGOTIATION Landowner Bill of Rights Letter</v>
      </c>
      <c r="B77" s="14" t="s">
        <v>3425</v>
      </c>
      <c r="C77" s="15" t="s">
        <v>31</v>
      </c>
      <c r="D77" s="12" t="s">
        <v>620</v>
      </c>
      <c r="E77" s="8" t="s">
        <v>1142</v>
      </c>
      <c r="F77" s="8" t="s">
        <v>1746</v>
      </c>
      <c r="G77" s="8" t="s">
        <v>1745</v>
      </c>
      <c r="H77" s="7" t="s">
        <v>592</v>
      </c>
      <c r="I77" s="16">
        <v>43748</v>
      </c>
      <c r="J77" s="16"/>
      <c r="K77" s="17"/>
      <c r="L77" s="3"/>
      <c r="M77" s="8" t="s">
        <v>4206</v>
      </c>
      <c r="N77" s="11">
        <v>44006.625289351854</v>
      </c>
      <c r="O77" s="8" t="s">
        <v>4325</v>
      </c>
      <c r="P77" s="11">
        <v>43752.455682870372</v>
      </c>
      <c r="Q77" s="13">
        <v>382448</v>
      </c>
      <c r="R77" s="19" t="s">
        <v>594</v>
      </c>
      <c r="S77" s="14" t="s">
        <v>1183</v>
      </c>
      <c r="T77" s="163">
        <v>420</v>
      </c>
      <c r="U77" s="164" t="str">
        <f>CONCATENATE(LEFT(SP_ACQ_Lib[[#This Row],[Tax Parcel ID]],7),"_",SP_ACQ_Lib[[#This Row],[ACQ Document Type]])</f>
        <v>R031245_NEGOTIATION Landowner Bill of Rights Letter</v>
      </c>
      <c r="V77" s="65" t="str">
        <f>INDEX(SP_AcqTract_DB[WCAD Tax Parcel ID],MATCH(SP_ACQ_Lib[[#This Row],[Acquisition Tract No.]],SP_AcqTract_DB[Acquisition Tract No.],0))</f>
        <v>R031245;#5</v>
      </c>
      <c r="W77" s="48" t="str">
        <f>INDEX(SP_TaxPar_DB[Acquisition Tract No.],MATCH(LEFT(SP_ACQ_Lib[[#This Row],[Tax Parcel ID]],7),SP_TaxPar_DB[Tax Parcel ID],0))</f>
        <v>202</v>
      </c>
      <c r="X77" s="238" t="str">
        <f>IF(OR(SP_ACQ_Lib[[#This Row],[Acquisition Tract No.]]="",SP_ACQ_Lib[[#This Row],[ACQ Document Type]]=""),0,CONCATENATE("COW-FRMP_TR-",SP_ACQ_Lib[[#This Row],[Acquisition Tract No.]]," ",SP_ACQ_Lib[[#This Row],[ACQ Document Type]]))</f>
        <v>COW-FRMP_TR-202 NEGOTIATION Landowner Bill of Rights Letter</v>
      </c>
      <c r="Y77" s="239">
        <f>IF(OR(SP_ACQ_Lib[[#This Row],[File Name Convention]]=0,LEFT(SP_ACQ_Lib[[#This Row],[Name]],LEN(SP_ACQ_Lib[[#This Row],[File Name Convention]]))&lt;&gt;SP_ACQ_Lib[[#This Row],[File Name Convention]],ISERROR(SEARCH(SP_ACQ_Lib[[#This Row],[ACQ Document Type]],SP_ACQ_Lib[[#This Row],[Name]]))),1,0)</f>
        <v>0</v>
      </c>
    </row>
    <row r="78" spans="1:25" ht="15" x14ac:dyDescent="0.2">
      <c r="A78" s="157" t="str">
        <f>CONCATENATE(SP_ACQ_Lib[[#This Row],[Acquisition Tract No.]],"_",SP_ACQ_Lib[[#This Row],[ACQ Document Type]])</f>
        <v>202_SURVEY Description-Plat_CITY</v>
      </c>
      <c r="B78" s="14" t="s">
        <v>3518</v>
      </c>
      <c r="C78" s="15" t="s">
        <v>31</v>
      </c>
      <c r="D78" s="12" t="s">
        <v>620</v>
      </c>
      <c r="E78" s="8" t="s">
        <v>858</v>
      </c>
      <c r="F78" s="8" t="s">
        <v>3503</v>
      </c>
      <c r="G78" s="8" t="s">
        <v>3502</v>
      </c>
      <c r="H78" s="7" t="s">
        <v>1749</v>
      </c>
      <c r="I78" s="16">
        <v>43781</v>
      </c>
      <c r="J78" s="16">
        <v>43886</v>
      </c>
      <c r="K78" s="17"/>
      <c r="L78" s="3"/>
      <c r="M78" s="8" t="s">
        <v>4206</v>
      </c>
      <c r="N78" s="11">
        <v>44006.625428240739</v>
      </c>
      <c r="O78" s="8" t="s">
        <v>4206</v>
      </c>
      <c r="P78" s="11">
        <v>43886.642002314817</v>
      </c>
      <c r="Q78" s="13">
        <v>283365</v>
      </c>
      <c r="R78" s="19" t="s">
        <v>594</v>
      </c>
      <c r="S78" s="14" t="s">
        <v>3541</v>
      </c>
      <c r="T78" s="163">
        <v>1006</v>
      </c>
      <c r="U78" s="164" t="str">
        <f>CONCATENATE(LEFT(SP_ACQ_Lib[[#This Row],[Tax Parcel ID]],7),"_",SP_ACQ_Lib[[#This Row],[ACQ Document Type]])</f>
        <v>R031245_SURVEY Description-Plat_CITY</v>
      </c>
      <c r="V78" s="65" t="str">
        <f>INDEX(SP_AcqTract_DB[WCAD Tax Parcel ID],MATCH(SP_ACQ_Lib[[#This Row],[Acquisition Tract No.]],SP_AcqTract_DB[Acquisition Tract No.],0))</f>
        <v>R031245;#5</v>
      </c>
      <c r="W78" s="48" t="str">
        <f>INDEX(SP_TaxPar_DB[Acquisition Tract No.],MATCH(LEFT(SP_ACQ_Lib[[#This Row],[Tax Parcel ID]],7),SP_TaxPar_DB[Tax Parcel ID],0))</f>
        <v>202</v>
      </c>
      <c r="X78" s="238" t="str">
        <f>IF(OR(SP_ACQ_Lib[[#This Row],[Acquisition Tract No.]]="",SP_ACQ_Lib[[#This Row],[ACQ Document Type]]=""),0,CONCATENATE("COW-FRMP_TR-",SP_ACQ_Lib[[#This Row],[Acquisition Tract No.]]," ",SP_ACQ_Lib[[#This Row],[ACQ Document Type]]))</f>
        <v>COW-FRMP_TR-202 SURVEY Description-Plat_CITY</v>
      </c>
      <c r="Y78" s="239">
        <f>IF(OR(SP_ACQ_Lib[[#This Row],[File Name Convention]]=0,LEFT(SP_ACQ_Lib[[#This Row],[Name]],LEN(SP_ACQ_Lib[[#This Row],[File Name Convention]]))&lt;&gt;SP_ACQ_Lib[[#This Row],[File Name Convention]],ISERROR(SEARCH(SP_ACQ_Lib[[#This Row],[ACQ Document Type]],SP_ACQ_Lib[[#This Row],[Name]]))),1,0)</f>
        <v>0</v>
      </c>
    </row>
    <row r="79" spans="1:25" ht="15" x14ac:dyDescent="0.2">
      <c r="A79" s="157" t="str">
        <f>CONCATENATE(SP_ACQ_Lib[[#This Row],[Acquisition Tract No.]],"_",SP_ACQ_Lib[[#This Row],[ACQ Document Type]])</f>
        <v>202_SURVEY Description-Plat_USACOE</v>
      </c>
      <c r="B79" s="14" t="s">
        <v>4698</v>
      </c>
      <c r="C79" s="15" t="s">
        <v>31</v>
      </c>
      <c r="D79" s="12" t="s">
        <v>620</v>
      </c>
      <c r="E79" s="8" t="s">
        <v>858</v>
      </c>
      <c r="F79" s="8" t="s">
        <v>3510</v>
      </c>
      <c r="G79" s="8" t="s">
        <v>3509</v>
      </c>
      <c r="H79" s="7" t="s">
        <v>1749</v>
      </c>
      <c r="I79" s="16">
        <v>43781</v>
      </c>
      <c r="J79" s="16">
        <v>43926</v>
      </c>
      <c r="K79" s="17"/>
      <c r="L79" s="3"/>
      <c r="M79" s="8" t="s">
        <v>4206</v>
      </c>
      <c r="N79" s="11">
        <v>44006.625555555554</v>
      </c>
      <c r="O79" s="8" t="s">
        <v>4206</v>
      </c>
      <c r="P79" s="11">
        <v>43927.614270833335</v>
      </c>
      <c r="Q79" s="13">
        <v>848308</v>
      </c>
      <c r="R79" s="19" t="s">
        <v>594</v>
      </c>
      <c r="S79" s="14" t="s">
        <v>4702</v>
      </c>
      <c r="T79" s="163">
        <v>1007</v>
      </c>
      <c r="U79" s="164" t="str">
        <f>CONCATENATE(LEFT(SP_ACQ_Lib[[#This Row],[Tax Parcel ID]],7),"_",SP_ACQ_Lib[[#This Row],[ACQ Document Type]])</f>
        <v>R031245_SURVEY Description-Plat_USACOE</v>
      </c>
      <c r="V79" s="65" t="str">
        <f>INDEX(SP_AcqTract_DB[WCAD Tax Parcel ID],MATCH(SP_ACQ_Lib[[#This Row],[Acquisition Tract No.]],SP_AcqTract_DB[Acquisition Tract No.],0))</f>
        <v>R031245;#5</v>
      </c>
      <c r="W79" s="48" t="str">
        <f>INDEX(SP_TaxPar_DB[Acquisition Tract No.],MATCH(LEFT(SP_ACQ_Lib[[#This Row],[Tax Parcel ID]],7),SP_TaxPar_DB[Tax Parcel ID],0))</f>
        <v>202</v>
      </c>
      <c r="X79" s="238" t="str">
        <f>IF(OR(SP_ACQ_Lib[[#This Row],[Acquisition Tract No.]]="",SP_ACQ_Lib[[#This Row],[ACQ Document Type]]=""),0,CONCATENATE("COW-FRMP_TR-",SP_ACQ_Lib[[#This Row],[Acquisition Tract No.]]," ",SP_ACQ_Lib[[#This Row],[ACQ Document Type]]))</f>
        <v>COW-FRMP_TR-202 SURVEY Description-Plat_USACOE</v>
      </c>
      <c r="Y79" s="239">
        <f>IF(OR(SP_ACQ_Lib[[#This Row],[File Name Convention]]=0,LEFT(SP_ACQ_Lib[[#This Row],[Name]],LEN(SP_ACQ_Lib[[#This Row],[File Name Convention]]))&lt;&gt;SP_ACQ_Lib[[#This Row],[File Name Convention]],ISERROR(SEARCH(SP_ACQ_Lib[[#This Row],[ACQ Document Type]],SP_ACQ_Lib[[#This Row],[Name]]))),1,0)</f>
        <v>0</v>
      </c>
    </row>
    <row r="80" spans="1:25" ht="15" x14ac:dyDescent="0.2">
      <c r="A80" s="157" t="str">
        <f>CONCATENATE(SP_ACQ_Lib[[#This Row],[Acquisition Tract No.]],"_",SP_ACQ_Lib[[#This Row],[ACQ Document Type]])</f>
        <v>202_SURVEY Right-of-Entry</v>
      </c>
      <c r="B80" s="14" t="s">
        <v>1422</v>
      </c>
      <c r="C80" s="15" t="s">
        <v>31</v>
      </c>
      <c r="D80" s="12" t="s">
        <v>620</v>
      </c>
      <c r="E80" s="8" t="s">
        <v>858</v>
      </c>
      <c r="F80" s="8" t="s">
        <v>859</v>
      </c>
      <c r="G80" s="8" t="s">
        <v>591</v>
      </c>
      <c r="H80" s="7" t="s">
        <v>592</v>
      </c>
      <c r="I80" s="16">
        <v>43552</v>
      </c>
      <c r="J80" s="16"/>
      <c r="K80" s="17"/>
      <c r="L80" s="3"/>
      <c r="M80" s="8" t="s">
        <v>4206</v>
      </c>
      <c r="N80" s="11">
        <v>44006.625694444447</v>
      </c>
      <c r="O80" s="8" t="s">
        <v>4325</v>
      </c>
      <c r="P80" s="11">
        <v>43686.614212962966</v>
      </c>
      <c r="Q80" s="13">
        <v>3330846</v>
      </c>
      <c r="R80" s="19" t="s">
        <v>594</v>
      </c>
      <c r="S80" s="14" t="s">
        <v>716</v>
      </c>
      <c r="T80" s="163">
        <v>6</v>
      </c>
      <c r="U80" s="164" t="str">
        <f>CONCATENATE(LEFT(SP_ACQ_Lib[[#This Row],[Tax Parcel ID]],7),"_",SP_ACQ_Lib[[#This Row],[ACQ Document Type]])</f>
        <v>R031245_SURVEY Right-of-Entry</v>
      </c>
      <c r="V80" s="65" t="str">
        <f>INDEX(SP_AcqTract_DB[WCAD Tax Parcel ID],MATCH(SP_ACQ_Lib[[#This Row],[Acquisition Tract No.]],SP_AcqTract_DB[Acquisition Tract No.],0))</f>
        <v>R031245;#5</v>
      </c>
      <c r="W80" s="48" t="str">
        <f>INDEX(SP_TaxPar_DB[Acquisition Tract No.],MATCH(LEFT(SP_ACQ_Lib[[#This Row],[Tax Parcel ID]],7),SP_TaxPar_DB[Tax Parcel ID],0))</f>
        <v>202</v>
      </c>
      <c r="X80" s="238" t="str">
        <f>IF(OR(SP_ACQ_Lib[[#This Row],[Acquisition Tract No.]]="",SP_ACQ_Lib[[#This Row],[ACQ Document Type]]=""),0,CONCATENATE("COW-FRMP_TR-",SP_ACQ_Lib[[#This Row],[Acquisition Tract No.]]," ",SP_ACQ_Lib[[#This Row],[ACQ Document Type]]))</f>
        <v>COW-FRMP_TR-202 SURVEY Right-of-Entry</v>
      </c>
      <c r="Y80" s="239">
        <f>IF(OR(SP_ACQ_Lib[[#This Row],[File Name Convention]]=0,LEFT(SP_ACQ_Lib[[#This Row],[Name]],LEN(SP_ACQ_Lib[[#This Row],[File Name Convention]]))&lt;&gt;SP_ACQ_Lib[[#This Row],[File Name Convention]],ISERROR(SEARCH(SP_ACQ_Lib[[#This Row],[ACQ Document Type]],SP_ACQ_Lib[[#This Row],[Name]]))),1,0)</f>
        <v>0</v>
      </c>
    </row>
    <row r="81" spans="1:25" ht="15" x14ac:dyDescent="0.2">
      <c r="A81" s="157" t="str">
        <f>CONCATENATE(SP_ACQ_Lib[[#This Row],[Acquisition Tract No.]],"_",SP_ACQ_Lib[[#This Row],[ACQ Document Type]])</f>
        <v>202_TITLE Commitment</v>
      </c>
      <c r="B81" s="14" t="s">
        <v>1423</v>
      </c>
      <c r="C81" s="15" t="s">
        <v>31</v>
      </c>
      <c r="D81" s="12" t="s">
        <v>620</v>
      </c>
      <c r="E81" s="8" t="s">
        <v>861</v>
      </c>
      <c r="F81" s="8" t="s">
        <v>862</v>
      </c>
      <c r="G81" s="8" t="s">
        <v>614</v>
      </c>
      <c r="H81" s="7" t="s">
        <v>592</v>
      </c>
      <c r="I81" s="16">
        <v>43943</v>
      </c>
      <c r="J81" s="16">
        <v>43950</v>
      </c>
      <c r="K81" s="17"/>
      <c r="L81" s="3" t="s">
        <v>4329</v>
      </c>
      <c r="M81" s="8" t="s">
        <v>4206</v>
      </c>
      <c r="N81" s="11">
        <v>44006.628182870372</v>
      </c>
      <c r="O81" s="8" t="s">
        <v>4326</v>
      </c>
      <c r="P81" s="11">
        <v>43689.611446759256</v>
      </c>
      <c r="Q81" s="13">
        <v>741287</v>
      </c>
      <c r="R81" s="19" t="s">
        <v>594</v>
      </c>
      <c r="S81" s="14" t="s">
        <v>717</v>
      </c>
      <c r="T81" s="163">
        <v>33</v>
      </c>
      <c r="U81" s="164" t="str">
        <f>CONCATENATE(LEFT(SP_ACQ_Lib[[#This Row],[Tax Parcel ID]],7),"_",SP_ACQ_Lib[[#This Row],[ACQ Document Type]])</f>
        <v>R031245_TITLE Commitment</v>
      </c>
      <c r="V81" s="65" t="str">
        <f>INDEX(SP_AcqTract_DB[WCAD Tax Parcel ID],MATCH(SP_ACQ_Lib[[#This Row],[Acquisition Tract No.]],SP_AcqTract_DB[Acquisition Tract No.],0))</f>
        <v>R031245;#5</v>
      </c>
      <c r="W81" s="48" t="str">
        <f>INDEX(SP_TaxPar_DB[Acquisition Tract No.],MATCH(LEFT(SP_ACQ_Lib[[#This Row],[Tax Parcel ID]],7),SP_TaxPar_DB[Tax Parcel ID],0))</f>
        <v>202</v>
      </c>
      <c r="X81" s="238" t="str">
        <f>IF(OR(SP_ACQ_Lib[[#This Row],[Acquisition Tract No.]]="",SP_ACQ_Lib[[#This Row],[ACQ Document Type]]=""),0,CONCATENATE("COW-FRMP_TR-",SP_ACQ_Lib[[#This Row],[Acquisition Tract No.]]," ",SP_ACQ_Lib[[#This Row],[ACQ Document Type]]))</f>
        <v>COW-FRMP_TR-202 TITLE Commitment</v>
      </c>
      <c r="Y81" s="239">
        <f>IF(OR(SP_ACQ_Lib[[#This Row],[File Name Convention]]=0,LEFT(SP_ACQ_Lib[[#This Row],[Name]],LEN(SP_ACQ_Lib[[#This Row],[File Name Convention]]))&lt;&gt;SP_ACQ_Lib[[#This Row],[File Name Convention]],ISERROR(SEARCH(SP_ACQ_Lib[[#This Row],[ACQ Document Type]],SP_ACQ_Lib[[#This Row],[Name]]))),1,0)</f>
        <v>0</v>
      </c>
    </row>
    <row r="82" spans="1:25" ht="15" x14ac:dyDescent="0.2">
      <c r="A82" s="157" t="str">
        <f>CONCATENATE(SP_ACQ_Lib[[#This Row],[Acquisition Tract No.]],"_",SP_ACQ_Lib[[#This Row],[ACQ Document Type]])</f>
        <v>202_TITLE Commitment Backup Docs</v>
      </c>
      <c r="B82" s="14" t="s">
        <v>1424</v>
      </c>
      <c r="C82" s="15" t="s">
        <v>31</v>
      </c>
      <c r="D82" s="12" t="s">
        <v>620</v>
      </c>
      <c r="E82" s="8" t="s">
        <v>861</v>
      </c>
      <c r="F82" s="8" t="s">
        <v>863</v>
      </c>
      <c r="G82" s="8" t="s">
        <v>616</v>
      </c>
      <c r="H82" s="7" t="s">
        <v>592</v>
      </c>
      <c r="I82" s="16"/>
      <c r="J82" s="16"/>
      <c r="K82" s="17"/>
      <c r="L82" s="3"/>
      <c r="M82" s="8" t="s">
        <v>4206</v>
      </c>
      <c r="N82" s="11">
        <v>44006.628368055557</v>
      </c>
      <c r="O82" s="8" t="s">
        <v>4326</v>
      </c>
      <c r="P82" s="11">
        <v>43689.611956018518</v>
      </c>
      <c r="Q82" s="13">
        <v>9262317</v>
      </c>
      <c r="R82" s="19" t="s">
        <v>594</v>
      </c>
      <c r="S82" s="14" t="s">
        <v>718</v>
      </c>
      <c r="T82" s="163">
        <v>34</v>
      </c>
      <c r="U82" s="164" t="str">
        <f>CONCATENATE(LEFT(SP_ACQ_Lib[[#This Row],[Tax Parcel ID]],7),"_",SP_ACQ_Lib[[#This Row],[ACQ Document Type]])</f>
        <v>R031245_TITLE Commitment Backup Docs</v>
      </c>
      <c r="V82" s="65" t="str">
        <f>INDEX(SP_AcqTract_DB[WCAD Tax Parcel ID],MATCH(SP_ACQ_Lib[[#This Row],[Acquisition Tract No.]],SP_AcqTract_DB[Acquisition Tract No.],0))</f>
        <v>R031245;#5</v>
      </c>
      <c r="W82" s="48" t="str">
        <f>INDEX(SP_TaxPar_DB[Acquisition Tract No.],MATCH(LEFT(SP_ACQ_Lib[[#This Row],[Tax Parcel ID]],7),SP_TaxPar_DB[Tax Parcel ID],0))</f>
        <v>202</v>
      </c>
      <c r="X82" s="238" t="str">
        <f>IF(OR(SP_ACQ_Lib[[#This Row],[Acquisition Tract No.]]="",SP_ACQ_Lib[[#This Row],[ACQ Document Type]]=""),0,CONCATENATE("COW-FRMP_TR-",SP_ACQ_Lib[[#This Row],[Acquisition Tract No.]]," ",SP_ACQ_Lib[[#This Row],[ACQ Document Type]]))</f>
        <v>COW-FRMP_TR-202 TITLE Commitment Backup Docs</v>
      </c>
      <c r="Y82" s="239">
        <f>IF(OR(SP_ACQ_Lib[[#This Row],[File Name Convention]]=0,LEFT(SP_ACQ_Lib[[#This Row],[Name]],LEN(SP_ACQ_Lib[[#This Row],[File Name Convention]]))&lt;&gt;SP_ACQ_Lib[[#This Row],[File Name Convention]],ISERROR(SEARCH(SP_ACQ_Lib[[#This Row],[ACQ Document Type]],SP_ACQ_Lib[[#This Row],[Name]]))),1,0)</f>
        <v>0</v>
      </c>
    </row>
    <row r="83" spans="1:25" ht="15" x14ac:dyDescent="0.2">
      <c r="A83" s="157" t="str">
        <f>CONCATENATE(SP_ACQ_Lib[[#This Row],[Acquisition Tract No.]],"_",SP_ACQ_Lib[[#This Row],[ACQ Document Type]])</f>
        <v>202_TITLE Curative Plan</v>
      </c>
      <c r="B83" s="14" t="s">
        <v>1425</v>
      </c>
      <c r="C83" s="15" t="s">
        <v>31</v>
      </c>
      <c r="D83" s="12" t="s">
        <v>620</v>
      </c>
      <c r="E83" s="8" t="s">
        <v>861</v>
      </c>
      <c r="F83" s="8" t="s">
        <v>864</v>
      </c>
      <c r="G83" s="8" t="s">
        <v>617</v>
      </c>
      <c r="H83" s="7" t="s">
        <v>592</v>
      </c>
      <c r="I83" s="16">
        <v>43808</v>
      </c>
      <c r="J83" s="16"/>
      <c r="K83" s="17"/>
      <c r="L83" s="3"/>
      <c r="M83" s="8" t="s">
        <v>4206</v>
      </c>
      <c r="N83" s="11">
        <v>44006.628495370373</v>
      </c>
      <c r="O83" s="8" t="s">
        <v>4326</v>
      </c>
      <c r="P83" s="11">
        <v>43718.494780092595</v>
      </c>
      <c r="Q83" s="13">
        <v>38955</v>
      </c>
      <c r="R83" s="19" t="s">
        <v>594</v>
      </c>
      <c r="S83" s="14" t="s">
        <v>719</v>
      </c>
      <c r="T83" s="163">
        <v>234</v>
      </c>
      <c r="U83" s="164" t="str">
        <f>CONCATENATE(LEFT(SP_ACQ_Lib[[#This Row],[Tax Parcel ID]],7),"_",SP_ACQ_Lib[[#This Row],[ACQ Document Type]])</f>
        <v>R031245_TITLE Curative Plan</v>
      </c>
      <c r="V83" s="65" t="str">
        <f>INDEX(SP_AcqTract_DB[WCAD Tax Parcel ID],MATCH(SP_ACQ_Lib[[#This Row],[Acquisition Tract No.]],SP_AcqTract_DB[Acquisition Tract No.],0))</f>
        <v>R031245;#5</v>
      </c>
      <c r="W83" s="48" t="str">
        <f>INDEX(SP_TaxPar_DB[Acquisition Tract No.],MATCH(LEFT(SP_ACQ_Lib[[#This Row],[Tax Parcel ID]],7),SP_TaxPar_DB[Tax Parcel ID],0))</f>
        <v>202</v>
      </c>
      <c r="X83" s="238" t="str">
        <f>IF(OR(SP_ACQ_Lib[[#This Row],[Acquisition Tract No.]]="",SP_ACQ_Lib[[#This Row],[ACQ Document Type]]=""),0,CONCATENATE("COW-FRMP_TR-",SP_ACQ_Lib[[#This Row],[Acquisition Tract No.]]," ",SP_ACQ_Lib[[#This Row],[ACQ Document Type]]))</f>
        <v>COW-FRMP_TR-202 TITLE Curative Plan</v>
      </c>
      <c r="Y83" s="239">
        <f>IF(OR(SP_ACQ_Lib[[#This Row],[File Name Convention]]=0,LEFT(SP_ACQ_Lib[[#This Row],[Name]],LEN(SP_ACQ_Lib[[#This Row],[File Name Convention]]))&lt;&gt;SP_ACQ_Lib[[#This Row],[File Name Convention]],ISERROR(SEARCH(SP_ACQ_Lib[[#This Row],[ACQ Document Type]],SP_ACQ_Lib[[#This Row],[Name]]))),1,0)</f>
        <v>0</v>
      </c>
    </row>
    <row r="84" spans="1:25" ht="15" x14ac:dyDescent="0.2">
      <c r="A84" s="157" t="str">
        <f>CONCATENATE(SP_ACQ_Lib[[#This Row],[Acquisition Tract No.]],"_",SP_ACQ_Lib[[#This Row],[ACQ Document Type]])</f>
        <v>202_TITLE SOS Business Organization Inquiry</v>
      </c>
      <c r="B84" s="14" t="s">
        <v>4706</v>
      </c>
      <c r="C84" s="15" t="s">
        <v>31</v>
      </c>
      <c r="D84" s="12" t="s">
        <v>620</v>
      </c>
      <c r="E84" s="8" t="s">
        <v>861</v>
      </c>
      <c r="F84" s="8" t="s">
        <v>1148</v>
      </c>
      <c r="G84" s="8" t="s">
        <v>1147</v>
      </c>
      <c r="H84" s="7" t="s">
        <v>592</v>
      </c>
      <c r="I84" s="16">
        <v>43922</v>
      </c>
      <c r="J84" s="16"/>
      <c r="K84" s="17"/>
      <c r="L84" s="3"/>
      <c r="M84" s="8" t="s">
        <v>4206</v>
      </c>
      <c r="N84" s="11">
        <v>44006.628657407404</v>
      </c>
      <c r="O84" s="8" t="s">
        <v>4325</v>
      </c>
      <c r="P84" s="11">
        <v>43922.546909722223</v>
      </c>
      <c r="Q84" s="13">
        <v>622945</v>
      </c>
      <c r="R84" s="19" t="s">
        <v>594</v>
      </c>
      <c r="S84" s="14" t="s">
        <v>4613</v>
      </c>
      <c r="T84" s="163">
        <v>799</v>
      </c>
      <c r="U84" s="164" t="str">
        <f>CONCATENATE(LEFT(SP_ACQ_Lib[[#This Row],[Tax Parcel ID]],7),"_",SP_ACQ_Lib[[#This Row],[ACQ Document Type]])</f>
        <v>R031245_TITLE SOS Business Organization Inquiry</v>
      </c>
      <c r="V84" s="65" t="str">
        <f>INDEX(SP_AcqTract_DB[WCAD Tax Parcel ID],MATCH(SP_ACQ_Lib[[#This Row],[Acquisition Tract No.]],SP_AcqTract_DB[Acquisition Tract No.],0))</f>
        <v>R031245;#5</v>
      </c>
      <c r="W84" s="48" t="str">
        <f>INDEX(SP_TaxPar_DB[Acquisition Tract No.],MATCH(LEFT(SP_ACQ_Lib[[#This Row],[Tax Parcel ID]],7),SP_TaxPar_DB[Tax Parcel ID],0))</f>
        <v>202</v>
      </c>
      <c r="X84" s="238" t="str">
        <f>IF(OR(SP_ACQ_Lib[[#This Row],[Acquisition Tract No.]]="",SP_ACQ_Lib[[#This Row],[ACQ Document Type]]=""),0,CONCATENATE("COW-FRMP_TR-",SP_ACQ_Lib[[#This Row],[Acquisition Tract No.]]," ",SP_ACQ_Lib[[#This Row],[ACQ Document Type]]))</f>
        <v>COW-FRMP_TR-202 TITLE SOS Business Organization Inquiry</v>
      </c>
      <c r="Y84" s="239">
        <f>IF(OR(SP_ACQ_Lib[[#This Row],[File Name Convention]]=0,LEFT(SP_ACQ_Lib[[#This Row],[Name]],LEN(SP_ACQ_Lib[[#This Row],[File Name Convention]]))&lt;&gt;SP_ACQ_Lib[[#This Row],[File Name Convention]],ISERROR(SEARCH(SP_ACQ_Lib[[#This Row],[ACQ Document Type]],SP_ACQ_Lib[[#This Row],[Name]]))),1,0)</f>
        <v>0</v>
      </c>
    </row>
    <row r="85" spans="1:25" ht="15" x14ac:dyDescent="0.2">
      <c r="A85" s="157" t="str">
        <f>CONCATENATE(SP_ACQ_Lib[[#This Row],[Acquisition Tract No.]],"_",SP_ACQ_Lib[[#This Row],[ACQ Document Type]])</f>
        <v>202_TITLE Tax Card</v>
      </c>
      <c r="B85" s="14" t="s">
        <v>3426</v>
      </c>
      <c r="C85" s="15" t="s">
        <v>31</v>
      </c>
      <c r="D85" s="12" t="s">
        <v>620</v>
      </c>
      <c r="E85" s="8" t="s">
        <v>861</v>
      </c>
      <c r="F85" s="8" t="s">
        <v>1150</v>
      </c>
      <c r="G85" s="8" t="s">
        <v>1149</v>
      </c>
      <c r="H85" s="7" t="s">
        <v>592</v>
      </c>
      <c r="I85" s="16"/>
      <c r="J85" s="16"/>
      <c r="K85" s="17"/>
      <c r="L85" s="3"/>
      <c r="M85" s="8" t="s">
        <v>4206</v>
      </c>
      <c r="N85" s="11">
        <v>44006.628923611112</v>
      </c>
      <c r="O85" s="8" t="s">
        <v>1272</v>
      </c>
      <c r="P85" s="11">
        <v>43817.464780092596</v>
      </c>
      <c r="Q85" s="13">
        <v>509799</v>
      </c>
      <c r="R85" s="19" t="s">
        <v>594</v>
      </c>
      <c r="S85" s="14" t="s">
        <v>1759</v>
      </c>
      <c r="T85" s="163">
        <v>577</v>
      </c>
      <c r="U85" s="164" t="str">
        <f>CONCATENATE(LEFT(SP_ACQ_Lib[[#This Row],[Tax Parcel ID]],7),"_",SP_ACQ_Lib[[#This Row],[ACQ Document Type]])</f>
        <v>R031245_TITLE Tax Card</v>
      </c>
      <c r="V85" s="65" t="str">
        <f>INDEX(SP_AcqTract_DB[WCAD Tax Parcel ID],MATCH(SP_ACQ_Lib[[#This Row],[Acquisition Tract No.]],SP_AcqTract_DB[Acquisition Tract No.],0))</f>
        <v>R031245;#5</v>
      </c>
      <c r="W85" s="48" t="str">
        <f>INDEX(SP_TaxPar_DB[Acquisition Tract No.],MATCH(LEFT(SP_ACQ_Lib[[#This Row],[Tax Parcel ID]],7),SP_TaxPar_DB[Tax Parcel ID],0))</f>
        <v>202</v>
      </c>
      <c r="X85" s="238" t="str">
        <f>IF(OR(SP_ACQ_Lib[[#This Row],[Acquisition Tract No.]]="",SP_ACQ_Lib[[#This Row],[ACQ Document Type]]=""),0,CONCATENATE("COW-FRMP_TR-",SP_ACQ_Lib[[#This Row],[Acquisition Tract No.]]," ",SP_ACQ_Lib[[#This Row],[ACQ Document Type]]))</f>
        <v>COW-FRMP_TR-202 TITLE Tax Card</v>
      </c>
      <c r="Y85" s="239">
        <f>IF(OR(SP_ACQ_Lib[[#This Row],[File Name Convention]]=0,LEFT(SP_ACQ_Lib[[#This Row],[Name]],LEN(SP_ACQ_Lib[[#This Row],[File Name Convention]]))&lt;&gt;SP_ACQ_Lib[[#This Row],[File Name Convention]],ISERROR(SEARCH(SP_ACQ_Lib[[#This Row],[ACQ Document Type]],SP_ACQ_Lib[[#This Row],[Name]]))),1,0)</f>
        <v>0</v>
      </c>
    </row>
    <row r="86" spans="1:25" ht="15" x14ac:dyDescent="0.2">
      <c r="A86" s="157" t="str">
        <f>CONCATENATE(SP_ACQ_Lib[[#This Row],[Acquisition Tract No.]],"_",SP_ACQ_Lib[[#This Row],[ACQ Document Type]])</f>
        <v>203_CONTACT Letter of Intent-HDR</v>
      </c>
      <c r="B86" s="14" t="s">
        <v>1426</v>
      </c>
      <c r="C86" s="15" t="s">
        <v>32</v>
      </c>
      <c r="D86" s="12" t="s">
        <v>97</v>
      </c>
      <c r="E86" s="8" t="s">
        <v>865</v>
      </c>
      <c r="F86" s="8" t="s">
        <v>1401</v>
      </c>
      <c r="G86" s="8" t="s">
        <v>1400</v>
      </c>
      <c r="H86" s="7" t="s">
        <v>592</v>
      </c>
      <c r="I86" s="16">
        <v>43765</v>
      </c>
      <c r="J86" s="16"/>
      <c r="K86" s="17"/>
      <c r="L86" s="3"/>
      <c r="M86" s="8" t="s">
        <v>23</v>
      </c>
      <c r="N86" s="11">
        <v>43770.44903935185</v>
      </c>
      <c r="O86" s="8" t="s">
        <v>1377</v>
      </c>
      <c r="P86" s="11">
        <v>43768.407997685186</v>
      </c>
      <c r="Q86" s="13">
        <v>327511</v>
      </c>
      <c r="R86" s="19" t="s">
        <v>594</v>
      </c>
      <c r="S86" s="14" t="s">
        <v>1618</v>
      </c>
      <c r="T86" s="163">
        <v>482</v>
      </c>
      <c r="U86" s="164" t="str">
        <f>CONCATENATE(LEFT(SP_ACQ_Lib[[#This Row],[Tax Parcel ID]],7),"_",SP_ACQ_Lib[[#This Row],[ACQ Document Type]])</f>
        <v>R023653_CONTACT Letter of Intent-HDR</v>
      </c>
      <c r="V86" s="65" t="str">
        <f>INDEX(SP_AcqTract_DB[WCAD Tax Parcel ID],MATCH(SP_ACQ_Lib[[#This Row],[Acquisition Tract No.]],SP_AcqTract_DB[Acquisition Tract No.],0))</f>
        <v>R023653;#7</v>
      </c>
      <c r="W86" s="48" t="str">
        <f>INDEX(SP_TaxPar_DB[Acquisition Tract No.],MATCH(LEFT(SP_ACQ_Lib[[#This Row],[Tax Parcel ID]],7),SP_TaxPar_DB[Tax Parcel ID],0))</f>
        <v>203</v>
      </c>
      <c r="X86" s="238" t="str">
        <f>IF(OR(SP_ACQ_Lib[[#This Row],[Acquisition Tract No.]]="",SP_ACQ_Lib[[#This Row],[ACQ Document Type]]=""),0,CONCATENATE("COW-FRMP_TR-",SP_ACQ_Lib[[#This Row],[Acquisition Tract No.]]," ",SP_ACQ_Lib[[#This Row],[ACQ Document Type]]))</f>
        <v>COW-FRMP_TR-203 CONTACT Letter of Intent-HDR</v>
      </c>
      <c r="Y86" s="239">
        <f>IF(OR(SP_ACQ_Lib[[#This Row],[File Name Convention]]=0,LEFT(SP_ACQ_Lib[[#This Row],[Name]],LEN(SP_ACQ_Lib[[#This Row],[File Name Convention]]))&lt;&gt;SP_ACQ_Lib[[#This Row],[File Name Convention]],ISERROR(SEARCH(SP_ACQ_Lib[[#This Row],[ACQ Document Type]],SP_ACQ_Lib[[#This Row],[Name]]))),1,0)</f>
        <v>0</v>
      </c>
    </row>
    <row r="87" spans="1:25" ht="15" x14ac:dyDescent="0.2">
      <c r="A87" s="157" t="str">
        <f>CONCATENATE(SP_ACQ_Lib[[#This Row],[Acquisition Tract No.]],"_",SP_ACQ_Lib[[#This Row],[ACQ Document Type]])</f>
        <v>203_CONTACT Negotiator Report</v>
      </c>
      <c r="B87" s="14" t="s">
        <v>3368</v>
      </c>
      <c r="C87" s="15" t="s">
        <v>32</v>
      </c>
      <c r="D87" s="12" t="s">
        <v>97</v>
      </c>
      <c r="E87" s="8" t="s">
        <v>865</v>
      </c>
      <c r="F87" s="8" t="s">
        <v>1068</v>
      </c>
      <c r="G87" s="8" t="s">
        <v>1067</v>
      </c>
      <c r="H87" s="7" t="s">
        <v>592</v>
      </c>
      <c r="I87" s="16"/>
      <c r="J87" s="16"/>
      <c r="K87" s="17"/>
      <c r="L87" s="3"/>
      <c r="M87" s="8" t="s">
        <v>4206</v>
      </c>
      <c r="N87" s="11">
        <v>43872.543425925927</v>
      </c>
      <c r="O87" s="8" t="s">
        <v>4207</v>
      </c>
      <c r="P87" s="11">
        <v>43735.684270833335</v>
      </c>
      <c r="Q87" s="13">
        <v>60909</v>
      </c>
      <c r="R87" s="19" t="s">
        <v>1069</v>
      </c>
      <c r="S87" s="14" t="s">
        <v>1076</v>
      </c>
      <c r="T87" s="163">
        <v>352</v>
      </c>
      <c r="U87" s="164" t="str">
        <f>CONCATENATE(LEFT(SP_ACQ_Lib[[#This Row],[Tax Parcel ID]],7),"_",SP_ACQ_Lib[[#This Row],[ACQ Document Type]])</f>
        <v>R023653_CONTACT Negotiator Report</v>
      </c>
      <c r="V87" s="65" t="str">
        <f>INDEX(SP_AcqTract_DB[WCAD Tax Parcel ID],MATCH(SP_ACQ_Lib[[#This Row],[Acquisition Tract No.]],SP_AcqTract_DB[Acquisition Tract No.],0))</f>
        <v>R023653;#7</v>
      </c>
      <c r="W87" s="48" t="str">
        <f>INDEX(SP_TaxPar_DB[Acquisition Tract No.],MATCH(LEFT(SP_ACQ_Lib[[#This Row],[Tax Parcel ID]],7),SP_TaxPar_DB[Tax Parcel ID],0))</f>
        <v>203</v>
      </c>
      <c r="X87" s="238" t="str">
        <f>IF(OR(SP_ACQ_Lib[[#This Row],[Acquisition Tract No.]]="",SP_ACQ_Lib[[#This Row],[ACQ Document Type]]=""),0,CONCATENATE("COW-FRMP_TR-",SP_ACQ_Lib[[#This Row],[Acquisition Tract No.]]," ",SP_ACQ_Lib[[#This Row],[ACQ Document Type]]))</f>
        <v>COW-FRMP_TR-203 CONTACT Negotiator Report</v>
      </c>
      <c r="Y87" s="239">
        <f>IF(OR(SP_ACQ_Lib[[#This Row],[File Name Convention]]=0,LEFT(SP_ACQ_Lib[[#This Row],[Name]],LEN(SP_ACQ_Lib[[#This Row],[File Name Convention]]))&lt;&gt;SP_ACQ_Lib[[#This Row],[File Name Convention]],ISERROR(SEARCH(SP_ACQ_Lib[[#This Row],[ACQ Document Type]],SP_ACQ_Lib[[#This Row],[Name]]))),1,0)</f>
        <v>0</v>
      </c>
    </row>
    <row r="88" spans="1:25" ht="15" x14ac:dyDescent="0.2">
      <c r="A88" s="157" t="str">
        <f>CONCATENATE(SP_ACQ_Lib[[#This Row],[Acquisition Tract No.]],"_",SP_ACQ_Lib[[#This Row],[ACQ Document Type]])</f>
        <v>203_NEGOTIATION Landowner Bill of Rights Letter</v>
      </c>
      <c r="B88" s="14" t="s">
        <v>3427</v>
      </c>
      <c r="C88" s="15" t="s">
        <v>32</v>
      </c>
      <c r="D88" s="12" t="s">
        <v>97</v>
      </c>
      <c r="E88" s="8" t="s">
        <v>1142</v>
      </c>
      <c r="F88" s="8" t="s">
        <v>1746</v>
      </c>
      <c r="G88" s="8" t="s">
        <v>1745</v>
      </c>
      <c r="H88" s="7" t="s">
        <v>592</v>
      </c>
      <c r="I88" s="16">
        <v>43748</v>
      </c>
      <c r="J88" s="16"/>
      <c r="K88" s="17"/>
      <c r="L88" s="3"/>
      <c r="M88" s="8" t="s">
        <v>4206</v>
      </c>
      <c r="N88" s="11">
        <v>43872.553969907407</v>
      </c>
      <c r="O88" s="8" t="s">
        <v>4325</v>
      </c>
      <c r="P88" s="11">
        <v>43752.457152777781</v>
      </c>
      <c r="Q88" s="13">
        <v>350838</v>
      </c>
      <c r="R88" s="19" t="s">
        <v>594</v>
      </c>
      <c r="S88" s="14" t="s">
        <v>1184</v>
      </c>
      <c r="T88" s="163">
        <v>421</v>
      </c>
      <c r="U88" s="164" t="str">
        <f>CONCATENATE(LEFT(SP_ACQ_Lib[[#This Row],[Tax Parcel ID]],7),"_",SP_ACQ_Lib[[#This Row],[ACQ Document Type]])</f>
        <v>R023653_NEGOTIATION Landowner Bill of Rights Letter</v>
      </c>
      <c r="V88" s="65" t="str">
        <f>INDEX(SP_AcqTract_DB[WCAD Tax Parcel ID],MATCH(SP_ACQ_Lib[[#This Row],[Acquisition Tract No.]],SP_AcqTract_DB[Acquisition Tract No.],0))</f>
        <v>R023653;#7</v>
      </c>
      <c r="W88" s="48" t="str">
        <f>INDEX(SP_TaxPar_DB[Acquisition Tract No.],MATCH(LEFT(SP_ACQ_Lib[[#This Row],[Tax Parcel ID]],7),SP_TaxPar_DB[Tax Parcel ID],0))</f>
        <v>203</v>
      </c>
      <c r="X88" s="238" t="str">
        <f>IF(OR(SP_ACQ_Lib[[#This Row],[Acquisition Tract No.]]="",SP_ACQ_Lib[[#This Row],[ACQ Document Type]]=""),0,CONCATENATE("COW-FRMP_TR-",SP_ACQ_Lib[[#This Row],[Acquisition Tract No.]]," ",SP_ACQ_Lib[[#This Row],[ACQ Document Type]]))</f>
        <v>COW-FRMP_TR-203 NEGOTIATION Landowner Bill of Rights Letter</v>
      </c>
      <c r="Y88" s="239">
        <f>IF(OR(SP_ACQ_Lib[[#This Row],[File Name Convention]]=0,LEFT(SP_ACQ_Lib[[#This Row],[Name]],LEN(SP_ACQ_Lib[[#This Row],[File Name Convention]]))&lt;&gt;SP_ACQ_Lib[[#This Row],[File Name Convention]],ISERROR(SEARCH(SP_ACQ_Lib[[#This Row],[ACQ Document Type]],SP_ACQ_Lib[[#This Row],[Name]]))),1,0)</f>
        <v>0</v>
      </c>
    </row>
    <row r="89" spans="1:25" ht="15" x14ac:dyDescent="0.2">
      <c r="A89" s="157" t="str">
        <f>CONCATENATE(SP_ACQ_Lib[[#This Row],[Acquisition Tract No.]],"_",SP_ACQ_Lib[[#This Row],[ACQ Document Type]])</f>
        <v>203_SURVEY Right-of-Entry</v>
      </c>
      <c r="B89" s="14" t="s">
        <v>1427</v>
      </c>
      <c r="C89" s="15" t="s">
        <v>32</v>
      </c>
      <c r="D89" s="12" t="s">
        <v>97</v>
      </c>
      <c r="E89" s="8" t="s">
        <v>858</v>
      </c>
      <c r="F89" s="8" t="s">
        <v>859</v>
      </c>
      <c r="G89" s="8" t="s">
        <v>591</v>
      </c>
      <c r="H89" s="7" t="s">
        <v>592</v>
      </c>
      <c r="I89" s="16">
        <v>43697</v>
      </c>
      <c r="J89" s="16"/>
      <c r="K89" s="17"/>
      <c r="L89" s="3"/>
      <c r="M89" s="8" t="s">
        <v>23</v>
      </c>
      <c r="N89" s="11">
        <v>43770.44903935185</v>
      </c>
      <c r="O89" s="8" t="s">
        <v>4325</v>
      </c>
      <c r="P89" s="11">
        <v>43698.63585648148</v>
      </c>
      <c r="Q89" s="13">
        <v>1087115</v>
      </c>
      <c r="R89" s="19" t="s">
        <v>594</v>
      </c>
      <c r="S89" s="14" t="s">
        <v>720</v>
      </c>
      <c r="T89" s="163">
        <v>114</v>
      </c>
      <c r="U89" s="164" t="str">
        <f>CONCATENATE(LEFT(SP_ACQ_Lib[[#This Row],[Tax Parcel ID]],7),"_",SP_ACQ_Lib[[#This Row],[ACQ Document Type]])</f>
        <v>R023653_SURVEY Right-of-Entry</v>
      </c>
      <c r="V89" s="65" t="str">
        <f>INDEX(SP_AcqTract_DB[WCAD Tax Parcel ID],MATCH(SP_ACQ_Lib[[#This Row],[Acquisition Tract No.]],SP_AcqTract_DB[Acquisition Tract No.],0))</f>
        <v>R023653;#7</v>
      </c>
      <c r="W89" s="48" t="str">
        <f>INDEX(SP_TaxPar_DB[Acquisition Tract No.],MATCH(LEFT(SP_ACQ_Lib[[#This Row],[Tax Parcel ID]],7),SP_TaxPar_DB[Tax Parcel ID],0))</f>
        <v>203</v>
      </c>
      <c r="X89" s="238" t="str">
        <f>IF(OR(SP_ACQ_Lib[[#This Row],[Acquisition Tract No.]]="",SP_ACQ_Lib[[#This Row],[ACQ Document Type]]=""),0,CONCATENATE("COW-FRMP_TR-",SP_ACQ_Lib[[#This Row],[Acquisition Tract No.]]," ",SP_ACQ_Lib[[#This Row],[ACQ Document Type]]))</f>
        <v>COW-FRMP_TR-203 SURVEY Right-of-Entry</v>
      </c>
      <c r="Y89" s="239">
        <f>IF(OR(SP_ACQ_Lib[[#This Row],[File Name Convention]]=0,LEFT(SP_ACQ_Lib[[#This Row],[Name]],LEN(SP_ACQ_Lib[[#This Row],[File Name Convention]]))&lt;&gt;SP_ACQ_Lib[[#This Row],[File Name Convention]],ISERROR(SEARCH(SP_ACQ_Lib[[#This Row],[ACQ Document Type]],SP_ACQ_Lib[[#This Row],[Name]]))),1,0)</f>
        <v>0</v>
      </c>
    </row>
    <row r="90" spans="1:25" ht="15" x14ac:dyDescent="0.2">
      <c r="A90" s="157" t="str">
        <f>CONCATENATE(SP_ACQ_Lib[[#This Row],[Acquisition Tract No.]],"_",SP_ACQ_Lib[[#This Row],[ACQ Document Type]])</f>
        <v>203_TITLE Commitment</v>
      </c>
      <c r="B90" s="14" t="s">
        <v>1428</v>
      </c>
      <c r="C90" s="15" t="s">
        <v>32</v>
      </c>
      <c r="D90" s="12" t="s">
        <v>97</v>
      </c>
      <c r="E90" s="8" t="s">
        <v>861</v>
      </c>
      <c r="F90" s="8" t="s">
        <v>862</v>
      </c>
      <c r="G90" s="8" t="s">
        <v>614</v>
      </c>
      <c r="H90" s="7" t="s">
        <v>592</v>
      </c>
      <c r="I90" s="16">
        <v>43714</v>
      </c>
      <c r="J90" s="16">
        <v>43724</v>
      </c>
      <c r="K90" s="17"/>
      <c r="L90" s="3" t="s">
        <v>621</v>
      </c>
      <c r="M90" s="8" t="s">
        <v>4206</v>
      </c>
      <c r="N90" s="11">
        <v>43915.387291666666</v>
      </c>
      <c r="O90" s="8" t="s">
        <v>4326</v>
      </c>
      <c r="P90" s="11">
        <v>43706.437650462962</v>
      </c>
      <c r="Q90" s="13">
        <v>300794</v>
      </c>
      <c r="R90" s="19" t="s">
        <v>594</v>
      </c>
      <c r="S90" s="14" t="s">
        <v>721</v>
      </c>
      <c r="T90" s="163">
        <v>189</v>
      </c>
      <c r="U90" s="164" t="str">
        <f>CONCATENATE(LEFT(SP_ACQ_Lib[[#This Row],[Tax Parcel ID]],7),"_",SP_ACQ_Lib[[#This Row],[ACQ Document Type]])</f>
        <v>R023653_TITLE Commitment</v>
      </c>
      <c r="V90" s="65" t="str">
        <f>INDEX(SP_AcqTract_DB[WCAD Tax Parcel ID],MATCH(SP_ACQ_Lib[[#This Row],[Acquisition Tract No.]],SP_AcqTract_DB[Acquisition Tract No.],0))</f>
        <v>R023653;#7</v>
      </c>
      <c r="W90" s="48" t="str">
        <f>INDEX(SP_TaxPar_DB[Acquisition Tract No.],MATCH(LEFT(SP_ACQ_Lib[[#This Row],[Tax Parcel ID]],7),SP_TaxPar_DB[Tax Parcel ID],0))</f>
        <v>203</v>
      </c>
      <c r="X90" s="238" t="str">
        <f>IF(OR(SP_ACQ_Lib[[#This Row],[Acquisition Tract No.]]="",SP_ACQ_Lib[[#This Row],[ACQ Document Type]]=""),0,CONCATENATE("COW-FRMP_TR-",SP_ACQ_Lib[[#This Row],[Acquisition Tract No.]]," ",SP_ACQ_Lib[[#This Row],[ACQ Document Type]]))</f>
        <v>COW-FRMP_TR-203 TITLE Commitment</v>
      </c>
      <c r="Y90" s="239">
        <f>IF(OR(SP_ACQ_Lib[[#This Row],[File Name Convention]]=0,LEFT(SP_ACQ_Lib[[#This Row],[Name]],LEN(SP_ACQ_Lib[[#This Row],[File Name Convention]]))&lt;&gt;SP_ACQ_Lib[[#This Row],[File Name Convention]],ISERROR(SEARCH(SP_ACQ_Lib[[#This Row],[ACQ Document Type]],SP_ACQ_Lib[[#This Row],[Name]]))),1,0)</f>
        <v>0</v>
      </c>
    </row>
    <row r="91" spans="1:25" ht="15" x14ac:dyDescent="0.2">
      <c r="A91" s="157" t="str">
        <f>CONCATENATE(SP_ACQ_Lib[[#This Row],[Acquisition Tract No.]],"_",SP_ACQ_Lib[[#This Row],[ACQ Document Type]])</f>
        <v>203_TITLE Commitment Backup Docs</v>
      </c>
      <c r="B91" s="14" t="s">
        <v>1429</v>
      </c>
      <c r="C91" s="15" t="s">
        <v>32</v>
      </c>
      <c r="D91" s="12" t="s">
        <v>97</v>
      </c>
      <c r="E91" s="8" t="s">
        <v>861</v>
      </c>
      <c r="F91" s="8" t="s">
        <v>863</v>
      </c>
      <c r="G91" s="8" t="s">
        <v>616</v>
      </c>
      <c r="H91" s="7" t="s">
        <v>592</v>
      </c>
      <c r="I91" s="16"/>
      <c r="J91" s="16"/>
      <c r="K91" s="17"/>
      <c r="L91" s="3"/>
      <c r="M91" s="8" t="s">
        <v>4325</v>
      </c>
      <c r="N91" s="11">
        <v>43867.644097222219</v>
      </c>
      <c r="O91" s="8" t="s">
        <v>4326</v>
      </c>
      <c r="P91" s="11">
        <v>43706.438240740739</v>
      </c>
      <c r="Q91" s="13">
        <v>2051040</v>
      </c>
      <c r="R91" s="19" t="s">
        <v>594</v>
      </c>
      <c r="S91" s="14" t="s">
        <v>722</v>
      </c>
      <c r="T91" s="163">
        <v>190</v>
      </c>
      <c r="U91" s="164" t="str">
        <f>CONCATENATE(LEFT(SP_ACQ_Lib[[#This Row],[Tax Parcel ID]],7),"_",SP_ACQ_Lib[[#This Row],[ACQ Document Type]])</f>
        <v>R023653_TITLE Commitment Backup Docs</v>
      </c>
      <c r="V91" s="65" t="str">
        <f>INDEX(SP_AcqTract_DB[WCAD Tax Parcel ID],MATCH(SP_ACQ_Lib[[#This Row],[Acquisition Tract No.]],SP_AcqTract_DB[Acquisition Tract No.],0))</f>
        <v>R023653;#7</v>
      </c>
      <c r="W91" s="48" t="str">
        <f>INDEX(SP_TaxPar_DB[Acquisition Tract No.],MATCH(LEFT(SP_ACQ_Lib[[#This Row],[Tax Parcel ID]],7),SP_TaxPar_DB[Tax Parcel ID],0))</f>
        <v>203</v>
      </c>
      <c r="X91" s="238" t="str">
        <f>IF(OR(SP_ACQ_Lib[[#This Row],[Acquisition Tract No.]]="",SP_ACQ_Lib[[#This Row],[ACQ Document Type]]=""),0,CONCATENATE("COW-FRMP_TR-",SP_ACQ_Lib[[#This Row],[Acquisition Tract No.]]," ",SP_ACQ_Lib[[#This Row],[ACQ Document Type]]))</f>
        <v>COW-FRMP_TR-203 TITLE Commitment Backup Docs</v>
      </c>
      <c r="Y91" s="239">
        <f>IF(OR(SP_ACQ_Lib[[#This Row],[File Name Convention]]=0,LEFT(SP_ACQ_Lib[[#This Row],[Name]],LEN(SP_ACQ_Lib[[#This Row],[File Name Convention]]))&lt;&gt;SP_ACQ_Lib[[#This Row],[File Name Convention]],ISERROR(SEARCH(SP_ACQ_Lib[[#This Row],[ACQ Document Type]],SP_ACQ_Lib[[#This Row],[Name]]))),1,0)</f>
        <v>0</v>
      </c>
    </row>
    <row r="92" spans="1:25" ht="15" x14ac:dyDescent="0.2">
      <c r="A92" s="157" t="str">
        <f>CONCATENATE(SP_ACQ_Lib[[#This Row],[Acquisition Tract No.]],"_",SP_ACQ_Lib[[#This Row],[ACQ Document Type]])</f>
        <v>203_TITLE Curative Plan</v>
      </c>
      <c r="B92" s="14" t="s">
        <v>1430</v>
      </c>
      <c r="C92" s="15" t="s">
        <v>32</v>
      </c>
      <c r="D92" s="12" t="s">
        <v>97</v>
      </c>
      <c r="E92" s="8" t="s">
        <v>861</v>
      </c>
      <c r="F92" s="8" t="s">
        <v>864</v>
      </c>
      <c r="G92" s="8" t="s">
        <v>617</v>
      </c>
      <c r="H92" s="7" t="s">
        <v>592</v>
      </c>
      <c r="I92" s="16">
        <v>43809</v>
      </c>
      <c r="J92" s="16"/>
      <c r="K92" s="17"/>
      <c r="L92" s="3"/>
      <c r="M92" s="8" t="s">
        <v>4325</v>
      </c>
      <c r="N92" s="11">
        <v>43886.63925925926</v>
      </c>
      <c r="O92" s="8" t="s">
        <v>4326</v>
      </c>
      <c r="P92" s="11">
        <v>43739.399224537039</v>
      </c>
      <c r="Q92" s="13">
        <v>39164</v>
      </c>
      <c r="R92" s="19" t="s">
        <v>594</v>
      </c>
      <c r="S92" s="14" t="s">
        <v>1077</v>
      </c>
      <c r="T92" s="163">
        <v>382</v>
      </c>
      <c r="U92" s="164" t="str">
        <f>CONCATENATE(LEFT(SP_ACQ_Lib[[#This Row],[Tax Parcel ID]],7),"_",SP_ACQ_Lib[[#This Row],[ACQ Document Type]])</f>
        <v>R023653_TITLE Curative Plan</v>
      </c>
      <c r="V92" s="65" t="str">
        <f>INDEX(SP_AcqTract_DB[WCAD Tax Parcel ID],MATCH(SP_ACQ_Lib[[#This Row],[Acquisition Tract No.]],SP_AcqTract_DB[Acquisition Tract No.],0))</f>
        <v>R023653;#7</v>
      </c>
      <c r="W92" s="48" t="str">
        <f>INDEX(SP_TaxPar_DB[Acquisition Tract No.],MATCH(LEFT(SP_ACQ_Lib[[#This Row],[Tax Parcel ID]],7),SP_TaxPar_DB[Tax Parcel ID],0))</f>
        <v>203</v>
      </c>
      <c r="X92" s="238" t="str">
        <f>IF(OR(SP_ACQ_Lib[[#This Row],[Acquisition Tract No.]]="",SP_ACQ_Lib[[#This Row],[ACQ Document Type]]=""),0,CONCATENATE("COW-FRMP_TR-",SP_ACQ_Lib[[#This Row],[Acquisition Tract No.]]," ",SP_ACQ_Lib[[#This Row],[ACQ Document Type]]))</f>
        <v>COW-FRMP_TR-203 TITLE Curative Plan</v>
      </c>
      <c r="Y92" s="239">
        <f>IF(OR(SP_ACQ_Lib[[#This Row],[File Name Convention]]=0,LEFT(SP_ACQ_Lib[[#This Row],[Name]],LEN(SP_ACQ_Lib[[#This Row],[File Name Convention]]))&lt;&gt;SP_ACQ_Lib[[#This Row],[File Name Convention]],ISERROR(SEARCH(SP_ACQ_Lib[[#This Row],[ACQ Document Type]],SP_ACQ_Lib[[#This Row],[Name]]))),1,0)</f>
        <v>0</v>
      </c>
    </row>
    <row r="93" spans="1:25" ht="15" x14ac:dyDescent="0.2">
      <c r="A93" s="157" t="str">
        <f>CONCATENATE(SP_ACQ_Lib[[#This Row],[Acquisition Tract No.]],"_",SP_ACQ_Lib[[#This Row],[ACQ Document Type]])</f>
        <v>203_TITLE Tax Card</v>
      </c>
      <c r="B93" s="14" t="s">
        <v>3428</v>
      </c>
      <c r="C93" s="15" t="s">
        <v>32</v>
      </c>
      <c r="D93" s="12" t="s">
        <v>97</v>
      </c>
      <c r="E93" s="8" t="s">
        <v>861</v>
      </c>
      <c r="F93" s="8" t="s">
        <v>1150</v>
      </c>
      <c r="G93" s="8" t="s">
        <v>1149</v>
      </c>
      <c r="H93" s="7" t="s">
        <v>592</v>
      </c>
      <c r="I93" s="16"/>
      <c r="J93" s="16"/>
      <c r="K93" s="17"/>
      <c r="L93" s="3"/>
      <c r="M93" s="8" t="s">
        <v>4206</v>
      </c>
      <c r="N93" s="11">
        <v>43874.58935185185</v>
      </c>
      <c r="O93" s="8" t="s">
        <v>1272</v>
      </c>
      <c r="P93" s="11">
        <v>43817.464780092596</v>
      </c>
      <c r="Q93" s="13">
        <v>958849</v>
      </c>
      <c r="R93" s="19" t="s">
        <v>594</v>
      </c>
      <c r="S93" s="14" t="s">
        <v>1760</v>
      </c>
      <c r="T93" s="163">
        <v>578</v>
      </c>
      <c r="U93" s="164" t="str">
        <f>CONCATENATE(LEFT(SP_ACQ_Lib[[#This Row],[Tax Parcel ID]],7),"_",SP_ACQ_Lib[[#This Row],[ACQ Document Type]])</f>
        <v>R023653_TITLE Tax Card</v>
      </c>
      <c r="V93" s="65" t="str">
        <f>INDEX(SP_AcqTract_DB[WCAD Tax Parcel ID],MATCH(SP_ACQ_Lib[[#This Row],[Acquisition Tract No.]],SP_AcqTract_DB[Acquisition Tract No.],0))</f>
        <v>R023653;#7</v>
      </c>
      <c r="W93" s="48" t="str">
        <f>INDEX(SP_TaxPar_DB[Acquisition Tract No.],MATCH(LEFT(SP_ACQ_Lib[[#This Row],[Tax Parcel ID]],7),SP_TaxPar_DB[Tax Parcel ID],0))</f>
        <v>203</v>
      </c>
      <c r="X93" s="238" t="str">
        <f>IF(OR(SP_ACQ_Lib[[#This Row],[Acquisition Tract No.]]="",SP_ACQ_Lib[[#This Row],[ACQ Document Type]]=""),0,CONCATENATE("COW-FRMP_TR-",SP_ACQ_Lib[[#This Row],[Acquisition Tract No.]]," ",SP_ACQ_Lib[[#This Row],[ACQ Document Type]]))</f>
        <v>COW-FRMP_TR-203 TITLE Tax Card</v>
      </c>
      <c r="Y93" s="239">
        <f>IF(OR(SP_ACQ_Lib[[#This Row],[File Name Convention]]=0,LEFT(SP_ACQ_Lib[[#This Row],[Name]],LEN(SP_ACQ_Lib[[#This Row],[File Name Convention]]))&lt;&gt;SP_ACQ_Lib[[#This Row],[File Name Convention]],ISERROR(SEARCH(SP_ACQ_Lib[[#This Row],[ACQ Document Type]],SP_ACQ_Lib[[#This Row],[Name]]))),1,0)</f>
        <v>0</v>
      </c>
    </row>
    <row r="94" spans="1:25" ht="15" x14ac:dyDescent="0.2">
      <c r="A94" s="157" t="str">
        <f>CONCATENATE(SP_ACQ_Lib[[#This Row],[Acquisition Tract No.]],"_",SP_ACQ_Lib[[#This Row],[ACQ Document Type]])</f>
        <v>205_APPRAISAL Appraisal Review</v>
      </c>
      <c r="B94" s="14" t="s">
        <v>5846</v>
      </c>
      <c r="C94" s="15" t="s">
        <v>33</v>
      </c>
      <c r="D94" s="12" t="s">
        <v>101</v>
      </c>
      <c r="E94" s="8" t="s">
        <v>1131</v>
      </c>
      <c r="F94" s="8" t="s">
        <v>4753</v>
      </c>
      <c r="G94" s="8" t="s">
        <v>4751</v>
      </c>
      <c r="H94" s="7" t="s">
        <v>592</v>
      </c>
      <c r="I94" s="16">
        <v>43985</v>
      </c>
      <c r="J94" s="16"/>
      <c r="K94" s="17">
        <v>82500</v>
      </c>
      <c r="L94" s="3"/>
      <c r="M94" s="8" t="s">
        <v>4206</v>
      </c>
      <c r="N94" s="11">
        <v>43990.488796296297</v>
      </c>
      <c r="O94" s="8" t="s">
        <v>4206</v>
      </c>
      <c r="P94" s="11">
        <v>43990.455416666664</v>
      </c>
      <c r="Q94" s="13">
        <v>866562</v>
      </c>
      <c r="R94" s="19" t="s">
        <v>594</v>
      </c>
      <c r="S94" s="14" t="s">
        <v>5860</v>
      </c>
      <c r="T94" s="163">
        <v>1158</v>
      </c>
      <c r="U94" s="164" t="str">
        <f>CONCATENATE(LEFT(SP_ACQ_Lib[[#This Row],[Tax Parcel ID]],7),"_",SP_ACQ_Lib[[#This Row],[ACQ Document Type]])</f>
        <v>R023654_APPRAISAL Appraisal Review</v>
      </c>
      <c r="V94" s="65" t="str">
        <f>INDEX(SP_AcqTract_DB[WCAD Tax Parcel ID],MATCH(SP_ACQ_Lib[[#This Row],[Acquisition Tract No.]],SP_AcqTract_DB[Acquisition Tract No.],0))</f>
        <v>R023654;#8</v>
      </c>
      <c r="W94" s="48" t="str">
        <f>INDEX(SP_TaxPar_DB[Acquisition Tract No.],MATCH(LEFT(SP_ACQ_Lib[[#This Row],[Tax Parcel ID]],7),SP_TaxPar_DB[Tax Parcel ID],0))</f>
        <v>205</v>
      </c>
      <c r="X94" s="238" t="str">
        <f>IF(OR(SP_ACQ_Lib[[#This Row],[Acquisition Tract No.]]="",SP_ACQ_Lib[[#This Row],[ACQ Document Type]]=""),0,CONCATENATE("COW-FRMP_TR-",SP_ACQ_Lib[[#This Row],[Acquisition Tract No.]]," ",SP_ACQ_Lib[[#This Row],[ACQ Document Type]]))</f>
        <v>COW-FRMP_TR-205 APPRAISAL Appraisal Review</v>
      </c>
      <c r="Y94" s="239">
        <f>IF(OR(SP_ACQ_Lib[[#This Row],[File Name Convention]]=0,LEFT(SP_ACQ_Lib[[#This Row],[Name]],LEN(SP_ACQ_Lib[[#This Row],[File Name Convention]]))&lt;&gt;SP_ACQ_Lib[[#This Row],[File Name Convention]],ISERROR(SEARCH(SP_ACQ_Lib[[#This Row],[ACQ Document Type]],SP_ACQ_Lib[[#This Row],[Name]]))),1,0)</f>
        <v>0</v>
      </c>
    </row>
    <row r="95" spans="1:25" ht="15" x14ac:dyDescent="0.2">
      <c r="A95" s="157" t="str">
        <f>CONCATENATE(SP_ACQ_Lib[[#This Row],[Acquisition Tract No.]],"_",SP_ACQ_Lib[[#This Row],[ACQ Document Type]])</f>
        <v>205_APPRAISAL Final Appraisal</v>
      </c>
      <c r="B95" s="14" t="s">
        <v>5847</v>
      </c>
      <c r="C95" s="15" t="s">
        <v>33</v>
      </c>
      <c r="D95" s="12" t="s">
        <v>101</v>
      </c>
      <c r="E95" s="8" t="s">
        <v>1131</v>
      </c>
      <c r="F95" s="8" t="s">
        <v>4755</v>
      </c>
      <c r="G95" s="8" t="s">
        <v>4754</v>
      </c>
      <c r="H95" s="7" t="s">
        <v>592</v>
      </c>
      <c r="I95" s="16">
        <v>43910</v>
      </c>
      <c r="J95" s="16">
        <v>43985</v>
      </c>
      <c r="K95" s="17">
        <v>82500</v>
      </c>
      <c r="L95" s="3"/>
      <c r="M95" s="8" t="s">
        <v>4206</v>
      </c>
      <c r="N95" s="11">
        <v>43990.488958333335</v>
      </c>
      <c r="O95" s="8" t="s">
        <v>4206</v>
      </c>
      <c r="P95" s="11">
        <v>43990.45553240741</v>
      </c>
      <c r="Q95" s="13">
        <v>6840159</v>
      </c>
      <c r="R95" s="19" t="s">
        <v>594</v>
      </c>
      <c r="S95" s="14" t="s">
        <v>5861</v>
      </c>
      <c r="T95" s="163">
        <v>1159</v>
      </c>
      <c r="U95" s="164" t="str">
        <f>CONCATENATE(LEFT(SP_ACQ_Lib[[#This Row],[Tax Parcel ID]],7),"_",SP_ACQ_Lib[[#This Row],[ACQ Document Type]])</f>
        <v>R023654_APPRAISAL Final Appraisal</v>
      </c>
      <c r="V95" s="65" t="str">
        <f>INDEX(SP_AcqTract_DB[WCAD Tax Parcel ID],MATCH(SP_ACQ_Lib[[#This Row],[Acquisition Tract No.]],SP_AcqTract_DB[Acquisition Tract No.],0))</f>
        <v>R023654;#8</v>
      </c>
      <c r="W95" s="48" t="str">
        <f>INDEX(SP_TaxPar_DB[Acquisition Tract No.],MATCH(LEFT(SP_ACQ_Lib[[#This Row],[Tax Parcel ID]],7),SP_TaxPar_DB[Tax Parcel ID],0))</f>
        <v>205</v>
      </c>
      <c r="X95" s="238" t="str">
        <f>IF(OR(SP_ACQ_Lib[[#This Row],[Acquisition Tract No.]]="",SP_ACQ_Lib[[#This Row],[ACQ Document Type]]=""),0,CONCATENATE("COW-FRMP_TR-",SP_ACQ_Lib[[#This Row],[Acquisition Tract No.]]," ",SP_ACQ_Lib[[#This Row],[ACQ Document Type]]))</f>
        <v>COW-FRMP_TR-205 APPRAISAL Final Appraisal</v>
      </c>
      <c r="Y95" s="239">
        <f>IF(OR(SP_ACQ_Lib[[#This Row],[File Name Convention]]=0,LEFT(SP_ACQ_Lib[[#This Row],[Name]],LEN(SP_ACQ_Lib[[#This Row],[File Name Convention]]))&lt;&gt;SP_ACQ_Lib[[#This Row],[File Name Convention]],ISERROR(SEARCH(SP_ACQ_Lib[[#This Row],[ACQ Document Type]],SP_ACQ_Lib[[#This Row],[Name]]))),1,0)</f>
        <v>0</v>
      </c>
    </row>
    <row r="96" spans="1:25" ht="15" x14ac:dyDescent="0.2">
      <c r="A96" s="157" t="str">
        <f>CONCATENATE(SP_ACQ_Lib[[#This Row],[Acquisition Tract No.]],"_",SP_ACQ_Lib[[#This Row],[ACQ Document Type]])</f>
        <v>205_APPRAISAL Just Compensation Approval</v>
      </c>
      <c r="B96" s="14" t="s">
        <v>6298</v>
      </c>
      <c r="C96" s="15" t="s">
        <v>33</v>
      </c>
      <c r="D96" s="12" t="s">
        <v>101</v>
      </c>
      <c r="E96" s="8" t="s">
        <v>1131</v>
      </c>
      <c r="F96" s="8" t="s">
        <v>4828</v>
      </c>
      <c r="G96" s="8" t="s">
        <v>4827</v>
      </c>
      <c r="H96" s="7" t="s">
        <v>1749</v>
      </c>
      <c r="I96" s="16">
        <v>44004</v>
      </c>
      <c r="J96" s="16"/>
      <c r="K96" s="17">
        <v>82500</v>
      </c>
      <c r="L96" s="3"/>
      <c r="M96" s="8" t="s">
        <v>4206</v>
      </c>
      <c r="N96" s="11">
        <v>44012.533703703702</v>
      </c>
      <c r="O96" s="8" t="s">
        <v>4206</v>
      </c>
      <c r="P96" s="11">
        <v>44005.489027777781</v>
      </c>
      <c r="Q96" s="13">
        <v>251664</v>
      </c>
      <c r="R96" s="19" t="s">
        <v>594</v>
      </c>
      <c r="S96" s="14" t="s">
        <v>6367</v>
      </c>
      <c r="T96" s="163">
        <v>1269</v>
      </c>
      <c r="U96" s="164" t="str">
        <f>CONCATENATE(LEFT(SP_ACQ_Lib[[#This Row],[Tax Parcel ID]],7),"_",SP_ACQ_Lib[[#This Row],[ACQ Document Type]])</f>
        <v>R023654_APPRAISAL Just Compensation Approval</v>
      </c>
      <c r="V96" s="65" t="str">
        <f>INDEX(SP_AcqTract_DB[WCAD Tax Parcel ID],MATCH(SP_ACQ_Lib[[#This Row],[Acquisition Tract No.]],SP_AcqTract_DB[Acquisition Tract No.],0))</f>
        <v>R023654;#8</v>
      </c>
      <c r="W96" s="48" t="str">
        <f>INDEX(SP_TaxPar_DB[Acquisition Tract No.],MATCH(LEFT(SP_ACQ_Lib[[#This Row],[Tax Parcel ID]],7),SP_TaxPar_DB[Tax Parcel ID],0))</f>
        <v>205</v>
      </c>
      <c r="X96" s="238" t="str">
        <f>IF(OR(SP_ACQ_Lib[[#This Row],[Acquisition Tract No.]]="",SP_ACQ_Lib[[#This Row],[ACQ Document Type]]=""),0,CONCATENATE("COW-FRMP_TR-",SP_ACQ_Lib[[#This Row],[Acquisition Tract No.]]," ",SP_ACQ_Lib[[#This Row],[ACQ Document Type]]))</f>
        <v>COW-FRMP_TR-205 APPRAISAL Just Compensation Approval</v>
      </c>
      <c r="Y96" s="239">
        <f>IF(OR(SP_ACQ_Lib[[#This Row],[File Name Convention]]=0,LEFT(SP_ACQ_Lib[[#This Row],[Name]],LEN(SP_ACQ_Lib[[#This Row],[File Name Convention]]))&lt;&gt;SP_ACQ_Lib[[#This Row],[File Name Convention]],ISERROR(SEARCH(SP_ACQ_Lib[[#This Row],[ACQ Document Type]],SP_ACQ_Lib[[#This Row],[Name]]))),1,0)</f>
        <v>0</v>
      </c>
    </row>
    <row r="97" spans="1:25" ht="15" x14ac:dyDescent="0.2">
      <c r="A97" s="157" t="str">
        <f>CONCATENATE(SP_ACQ_Lib[[#This Row],[Acquisition Tract No.]],"_",SP_ACQ_Lib[[#This Row],[ACQ Document Type]])</f>
        <v>205_APPRAISAL Just Compensation Memo</v>
      </c>
      <c r="B97" s="14" t="s">
        <v>5848</v>
      </c>
      <c r="C97" s="15" t="s">
        <v>33</v>
      </c>
      <c r="D97" s="12" t="s">
        <v>101</v>
      </c>
      <c r="E97" s="8" t="s">
        <v>1131</v>
      </c>
      <c r="F97" s="8" t="s">
        <v>4757</v>
      </c>
      <c r="G97" s="8" t="s">
        <v>4756</v>
      </c>
      <c r="H97" s="7" t="s">
        <v>592</v>
      </c>
      <c r="I97" s="16">
        <v>43990</v>
      </c>
      <c r="J97" s="16">
        <v>43990</v>
      </c>
      <c r="K97" s="17">
        <v>82500</v>
      </c>
      <c r="L97" s="3"/>
      <c r="M97" s="8" t="s">
        <v>4206</v>
      </c>
      <c r="N97" s="11">
        <v>43991.580543981479</v>
      </c>
      <c r="O97" s="8" t="s">
        <v>4206</v>
      </c>
      <c r="P97" s="11">
        <v>43990.455555555556</v>
      </c>
      <c r="Q97" s="13">
        <v>43134</v>
      </c>
      <c r="R97" s="19" t="s">
        <v>594</v>
      </c>
      <c r="S97" s="14" t="s">
        <v>5862</v>
      </c>
      <c r="T97" s="163">
        <v>1160</v>
      </c>
      <c r="U97" s="164" t="str">
        <f>CONCATENATE(LEFT(SP_ACQ_Lib[[#This Row],[Tax Parcel ID]],7),"_",SP_ACQ_Lib[[#This Row],[ACQ Document Type]])</f>
        <v>R023654_APPRAISAL Just Compensation Memo</v>
      </c>
      <c r="V97" s="65" t="str">
        <f>INDEX(SP_AcqTract_DB[WCAD Tax Parcel ID],MATCH(SP_ACQ_Lib[[#This Row],[Acquisition Tract No.]],SP_AcqTract_DB[Acquisition Tract No.],0))</f>
        <v>R023654;#8</v>
      </c>
      <c r="W97" s="48" t="str">
        <f>INDEX(SP_TaxPar_DB[Acquisition Tract No.],MATCH(LEFT(SP_ACQ_Lib[[#This Row],[Tax Parcel ID]],7),SP_TaxPar_DB[Tax Parcel ID],0))</f>
        <v>205</v>
      </c>
      <c r="X97" s="238" t="str">
        <f>IF(OR(SP_ACQ_Lib[[#This Row],[Acquisition Tract No.]]="",SP_ACQ_Lib[[#This Row],[ACQ Document Type]]=""),0,CONCATENATE("COW-FRMP_TR-",SP_ACQ_Lib[[#This Row],[Acquisition Tract No.]]," ",SP_ACQ_Lib[[#This Row],[ACQ Document Type]]))</f>
        <v>COW-FRMP_TR-205 APPRAISAL Just Compensation Memo</v>
      </c>
      <c r="Y97" s="239">
        <f>IF(OR(SP_ACQ_Lib[[#This Row],[File Name Convention]]=0,LEFT(SP_ACQ_Lib[[#This Row],[Name]],LEN(SP_ACQ_Lib[[#This Row],[File Name Convention]]))&lt;&gt;SP_ACQ_Lib[[#This Row],[File Name Convention]],ISERROR(SEARCH(SP_ACQ_Lib[[#This Row],[ACQ Document Type]],SP_ACQ_Lib[[#This Row],[Name]]))),1,0)</f>
        <v>0</v>
      </c>
    </row>
    <row r="98" spans="1:25" ht="15" x14ac:dyDescent="0.2">
      <c r="A98" s="157" t="str">
        <f>CONCATENATE(SP_ACQ_Lib[[#This Row],[Acquisition Tract No.]],"_",SP_ACQ_Lib[[#This Row],[ACQ Document Type]])</f>
        <v>205_APPRAISAL USACOE Authorization to Proceed with Offer</v>
      </c>
      <c r="B98" s="14" t="s">
        <v>5849</v>
      </c>
      <c r="C98" s="15" t="s">
        <v>33</v>
      </c>
      <c r="D98" s="12" t="s">
        <v>101</v>
      </c>
      <c r="E98" s="8" t="s">
        <v>1131</v>
      </c>
      <c r="F98" s="8" t="s">
        <v>4959</v>
      </c>
      <c r="G98" s="8" t="s">
        <v>4958</v>
      </c>
      <c r="H98" s="7" t="s">
        <v>592</v>
      </c>
      <c r="I98" s="16">
        <v>43990</v>
      </c>
      <c r="J98" s="16"/>
      <c r="K98" s="17">
        <v>82500</v>
      </c>
      <c r="L98" s="3"/>
      <c r="M98" s="8" t="s">
        <v>4206</v>
      </c>
      <c r="N98" s="11">
        <v>43990.489293981482</v>
      </c>
      <c r="O98" s="8" t="s">
        <v>4206</v>
      </c>
      <c r="P98" s="11">
        <v>43990.455567129633</v>
      </c>
      <c r="Q98" s="13">
        <v>418995</v>
      </c>
      <c r="R98" s="19" t="s">
        <v>594</v>
      </c>
      <c r="S98" s="14" t="s">
        <v>5863</v>
      </c>
      <c r="T98" s="163">
        <v>1161</v>
      </c>
      <c r="U98" s="164" t="str">
        <f>CONCATENATE(LEFT(SP_ACQ_Lib[[#This Row],[Tax Parcel ID]],7),"_",SP_ACQ_Lib[[#This Row],[ACQ Document Type]])</f>
        <v>R023654_APPRAISAL USACOE Authorization to Proceed with Offer</v>
      </c>
      <c r="V98" s="65" t="str">
        <f>INDEX(SP_AcqTract_DB[WCAD Tax Parcel ID],MATCH(SP_ACQ_Lib[[#This Row],[Acquisition Tract No.]],SP_AcqTract_DB[Acquisition Tract No.],0))</f>
        <v>R023654;#8</v>
      </c>
      <c r="W98" s="48" t="str">
        <f>INDEX(SP_TaxPar_DB[Acquisition Tract No.],MATCH(LEFT(SP_ACQ_Lib[[#This Row],[Tax Parcel ID]],7),SP_TaxPar_DB[Tax Parcel ID],0))</f>
        <v>205</v>
      </c>
      <c r="X98" s="238" t="str">
        <f>IF(OR(SP_ACQ_Lib[[#This Row],[Acquisition Tract No.]]="",SP_ACQ_Lib[[#This Row],[ACQ Document Type]]=""),0,CONCATENATE("COW-FRMP_TR-",SP_ACQ_Lib[[#This Row],[Acquisition Tract No.]]," ",SP_ACQ_Lib[[#This Row],[ACQ Document Type]]))</f>
        <v>COW-FRMP_TR-205 APPRAISAL USACOE Authorization to Proceed with Offer</v>
      </c>
      <c r="Y98" s="239">
        <f>IF(OR(SP_ACQ_Lib[[#This Row],[File Name Convention]]=0,LEFT(SP_ACQ_Lib[[#This Row],[Name]],LEN(SP_ACQ_Lib[[#This Row],[File Name Convention]]))&lt;&gt;SP_ACQ_Lib[[#This Row],[File Name Convention]],ISERROR(SEARCH(SP_ACQ_Lib[[#This Row],[ACQ Document Type]],SP_ACQ_Lib[[#This Row],[Name]]))),1,0)</f>
        <v>0</v>
      </c>
    </row>
    <row r="99" spans="1:25" ht="15" x14ac:dyDescent="0.2">
      <c r="A99" s="157" t="str">
        <f>CONCATENATE(SP_ACQ_Lib[[#This Row],[Acquisition Tract No.]],"_",SP_ACQ_Lib[[#This Row],[ACQ Document Type]])</f>
        <v>205_APPRAISAL USACOE Authorization to Proceed with Offer Approval</v>
      </c>
      <c r="B99" s="14" t="s">
        <v>6299</v>
      </c>
      <c r="C99" s="15" t="s">
        <v>33</v>
      </c>
      <c r="D99" s="12" t="s">
        <v>101</v>
      </c>
      <c r="E99" s="8" t="s">
        <v>1131</v>
      </c>
      <c r="F99" s="8" t="s">
        <v>4973</v>
      </c>
      <c r="G99" s="8" t="s">
        <v>4972</v>
      </c>
      <c r="H99" s="7" t="s">
        <v>1749</v>
      </c>
      <c r="I99" s="16">
        <v>44000</v>
      </c>
      <c r="J99" s="16"/>
      <c r="K99" s="17">
        <v>82500</v>
      </c>
      <c r="L99" s="3"/>
      <c r="M99" s="8" t="s">
        <v>4206</v>
      </c>
      <c r="N99" s="11">
        <v>44012.534270833334</v>
      </c>
      <c r="O99" s="8" t="s">
        <v>4206</v>
      </c>
      <c r="P99" s="11">
        <v>44005.489027777781</v>
      </c>
      <c r="Q99" s="13">
        <v>369400</v>
      </c>
      <c r="R99" s="19" t="s">
        <v>594</v>
      </c>
      <c r="S99" s="14" t="s">
        <v>6368</v>
      </c>
      <c r="T99" s="163">
        <v>1270</v>
      </c>
      <c r="U99" s="164" t="str">
        <f>CONCATENATE(LEFT(SP_ACQ_Lib[[#This Row],[Tax Parcel ID]],7),"_",SP_ACQ_Lib[[#This Row],[ACQ Document Type]])</f>
        <v>R023654_APPRAISAL USACOE Authorization to Proceed with Offer Approval</v>
      </c>
      <c r="V99" s="65" t="str">
        <f>INDEX(SP_AcqTract_DB[WCAD Tax Parcel ID],MATCH(SP_ACQ_Lib[[#This Row],[Acquisition Tract No.]],SP_AcqTract_DB[Acquisition Tract No.],0))</f>
        <v>R023654;#8</v>
      </c>
      <c r="W99" s="48" t="str">
        <f>INDEX(SP_TaxPar_DB[Acquisition Tract No.],MATCH(LEFT(SP_ACQ_Lib[[#This Row],[Tax Parcel ID]],7),SP_TaxPar_DB[Tax Parcel ID],0))</f>
        <v>205</v>
      </c>
      <c r="X99" s="238" t="str">
        <f>IF(OR(SP_ACQ_Lib[[#This Row],[Acquisition Tract No.]]="",SP_ACQ_Lib[[#This Row],[ACQ Document Type]]=""),0,CONCATENATE("COW-FRMP_TR-",SP_ACQ_Lib[[#This Row],[Acquisition Tract No.]]," ",SP_ACQ_Lib[[#This Row],[ACQ Document Type]]))</f>
        <v>COW-FRMP_TR-205 APPRAISAL USACOE Authorization to Proceed with Offer Approval</v>
      </c>
      <c r="Y99" s="239">
        <f>IF(OR(SP_ACQ_Lib[[#This Row],[File Name Convention]]=0,LEFT(SP_ACQ_Lib[[#This Row],[Name]],LEN(SP_ACQ_Lib[[#This Row],[File Name Convention]]))&lt;&gt;SP_ACQ_Lib[[#This Row],[File Name Convention]],ISERROR(SEARCH(SP_ACQ_Lib[[#This Row],[ACQ Document Type]],SP_ACQ_Lib[[#This Row],[Name]]))),1,0)</f>
        <v>0</v>
      </c>
    </row>
    <row r="100" spans="1:25" ht="15" x14ac:dyDescent="0.2">
      <c r="A100" s="157" t="str">
        <f>CONCATENATE(SP_ACQ_Lib[[#This Row],[Acquisition Tract No.]],"_",SP_ACQ_Lib[[#This Row],[ACQ Document Type]])</f>
        <v>205_CONTACT Initial Interview - Residential</v>
      </c>
      <c r="B100" s="14" t="s">
        <v>1431</v>
      </c>
      <c r="C100" s="15" t="s">
        <v>33</v>
      </c>
      <c r="D100" s="12" t="s">
        <v>101</v>
      </c>
      <c r="E100" s="8" t="s">
        <v>865</v>
      </c>
      <c r="F100" s="8" t="s">
        <v>866</v>
      </c>
      <c r="G100" s="8" t="s">
        <v>618</v>
      </c>
      <c r="H100" s="7" t="s">
        <v>592</v>
      </c>
      <c r="I100" s="16">
        <v>43685</v>
      </c>
      <c r="J100" s="16"/>
      <c r="K100" s="17"/>
      <c r="L100" s="3"/>
      <c r="M100" s="8" t="s">
        <v>23</v>
      </c>
      <c r="N100" s="11">
        <v>43770.44903935185</v>
      </c>
      <c r="O100" s="8" t="s">
        <v>4325</v>
      </c>
      <c r="P100" s="11">
        <v>43696.379548611112</v>
      </c>
      <c r="Q100" s="13">
        <v>265205</v>
      </c>
      <c r="R100" s="19" t="s">
        <v>594</v>
      </c>
      <c r="S100" s="14" t="s">
        <v>723</v>
      </c>
      <c r="T100" s="163">
        <v>90</v>
      </c>
      <c r="U100" s="164" t="str">
        <f>CONCATENATE(LEFT(SP_ACQ_Lib[[#This Row],[Tax Parcel ID]],7),"_",SP_ACQ_Lib[[#This Row],[ACQ Document Type]])</f>
        <v>R023654_CONTACT Initial Interview - Residential</v>
      </c>
      <c r="V100" s="65" t="str">
        <f>INDEX(SP_AcqTract_DB[WCAD Tax Parcel ID],MATCH(SP_ACQ_Lib[[#This Row],[Acquisition Tract No.]],SP_AcqTract_DB[Acquisition Tract No.],0))</f>
        <v>R023654;#8</v>
      </c>
      <c r="W100" s="48" t="str">
        <f>INDEX(SP_TaxPar_DB[Acquisition Tract No.],MATCH(LEFT(SP_ACQ_Lib[[#This Row],[Tax Parcel ID]],7),SP_TaxPar_DB[Tax Parcel ID],0))</f>
        <v>205</v>
      </c>
      <c r="X100" s="238" t="str">
        <f>IF(OR(SP_ACQ_Lib[[#This Row],[Acquisition Tract No.]]="",SP_ACQ_Lib[[#This Row],[ACQ Document Type]]=""),0,CONCATENATE("COW-FRMP_TR-",SP_ACQ_Lib[[#This Row],[Acquisition Tract No.]]," ",SP_ACQ_Lib[[#This Row],[ACQ Document Type]]))</f>
        <v>COW-FRMP_TR-205 CONTACT Initial Interview - Residential</v>
      </c>
      <c r="Y100" s="239">
        <f>IF(OR(SP_ACQ_Lib[[#This Row],[File Name Convention]]=0,LEFT(SP_ACQ_Lib[[#This Row],[Name]],LEN(SP_ACQ_Lib[[#This Row],[File Name Convention]]))&lt;&gt;SP_ACQ_Lib[[#This Row],[File Name Convention]],ISERROR(SEARCH(SP_ACQ_Lib[[#This Row],[ACQ Document Type]],SP_ACQ_Lib[[#This Row],[Name]]))),1,0)</f>
        <v>0</v>
      </c>
    </row>
    <row r="101" spans="1:25" ht="15" x14ac:dyDescent="0.2">
      <c r="A101" s="157" t="str">
        <f>CONCATENATE(SP_ACQ_Lib[[#This Row],[Acquisition Tract No.]],"_",SP_ACQ_Lib[[#This Row],[ACQ Document Type]])</f>
        <v>205_CONTACT Letter of Intent-HDR</v>
      </c>
      <c r="B101" s="14" t="s">
        <v>1432</v>
      </c>
      <c r="C101" s="15" t="s">
        <v>33</v>
      </c>
      <c r="D101" s="12" t="s">
        <v>101</v>
      </c>
      <c r="E101" s="8" t="s">
        <v>865</v>
      </c>
      <c r="F101" s="8" t="s">
        <v>1401</v>
      </c>
      <c r="G101" s="8" t="s">
        <v>1400</v>
      </c>
      <c r="H101" s="7" t="s">
        <v>592</v>
      </c>
      <c r="I101" s="16">
        <v>43765</v>
      </c>
      <c r="J101" s="16"/>
      <c r="K101" s="17"/>
      <c r="L101" s="3"/>
      <c r="M101" s="8" t="s">
        <v>23</v>
      </c>
      <c r="N101" s="11">
        <v>43770.44903935185</v>
      </c>
      <c r="O101" s="8" t="s">
        <v>1377</v>
      </c>
      <c r="P101" s="11">
        <v>43768.736493055556</v>
      </c>
      <c r="Q101" s="13">
        <v>324607</v>
      </c>
      <c r="R101" s="19" t="s">
        <v>594</v>
      </c>
      <c r="S101" s="14" t="s">
        <v>1619</v>
      </c>
      <c r="T101" s="163">
        <v>503</v>
      </c>
      <c r="U101" s="164" t="str">
        <f>CONCATENATE(LEFT(SP_ACQ_Lib[[#This Row],[Tax Parcel ID]],7),"_",SP_ACQ_Lib[[#This Row],[ACQ Document Type]])</f>
        <v>R023654_CONTACT Letter of Intent-HDR</v>
      </c>
      <c r="V101" s="65" t="str">
        <f>INDEX(SP_AcqTract_DB[WCAD Tax Parcel ID],MATCH(SP_ACQ_Lib[[#This Row],[Acquisition Tract No.]],SP_AcqTract_DB[Acquisition Tract No.],0))</f>
        <v>R023654;#8</v>
      </c>
      <c r="W101" s="48" t="str">
        <f>INDEX(SP_TaxPar_DB[Acquisition Tract No.],MATCH(LEFT(SP_ACQ_Lib[[#This Row],[Tax Parcel ID]],7),SP_TaxPar_DB[Tax Parcel ID],0))</f>
        <v>205</v>
      </c>
      <c r="X101" s="238" t="str">
        <f>IF(OR(SP_ACQ_Lib[[#This Row],[Acquisition Tract No.]]="",SP_ACQ_Lib[[#This Row],[ACQ Document Type]]=""),0,CONCATENATE("COW-FRMP_TR-",SP_ACQ_Lib[[#This Row],[Acquisition Tract No.]]," ",SP_ACQ_Lib[[#This Row],[ACQ Document Type]]))</f>
        <v>COW-FRMP_TR-205 CONTACT Letter of Intent-HDR</v>
      </c>
      <c r="Y101" s="239">
        <f>IF(OR(SP_ACQ_Lib[[#This Row],[File Name Convention]]=0,LEFT(SP_ACQ_Lib[[#This Row],[Name]],LEN(SP_ACQ_Lib[[#This Row],[File Name Convention]]))&lt;&gt;SP_ACQ_Lib[[#This Row],[File Name Convention]],ISERROR(SEARCH(SP_ACQ_Lib[[#This Row],[ACQ Document Type]],SP_ACQ_Lib[[#This Row],[Name]]))),1,0)</f>
        <v>0</v>
      </c>
    </row>
    <row r="102" spans="1:25" ht="15" x14ac:dyDescent="0.2">
      <c r="A102" s="157" t="str">
        <f>CONCATENATE(SP_ACQ_Lib[[#This Row],[Acquisition Tract No.]],"_",SP_ACQ_Lib[[#This Row],[ACQ Document Type]])</f>
        <v>205_CONTACT Negotiator Report</v>
      </c>
      <c r="B102" s="14" t="s">
        <v>3369</v>
      </c>
      <c r="C102" s="15" t="s">
        <v>33</v>
      </c>
      <c r="D102" s="12" t="s">
        <v>101</v>
      </c>
      <c r="E102" s="8" t="s">
        <v>865</v>
      </c>
      <c r="F102" s="8" t="s">
        <v>1068</v>
      </c>
      <c r="G102" s="8" t="s">
        <v>1067</v>
      </c>
      <c r="H102" s="7" t="s">
        <v>592</v>
      </c>
      <c r="I102" s="16"/>
      <c r="J102" s="16"/>
      <c r="K102" s="17"/>
      <c r="L102" s="3"/>
      <c r="M102" s="8" t="s">
        <v>1743</v>
      </c>
      <c r="N102" s="11">
        <v>44021.721331018518</v>
      </c>
      <c r="O102" s="8" t="s">
        <v>4325</v>
      </c>
      <c r="P102" s="11">
        <v>43732.445937500001</v>
      </c>
      <c r="Q102" s="13">
        <v>75803</v>
      </c>
      <c r="R102" s="19" t="s">
        <v>1069</v>
      </c>
      <c r="S102" s="14" t="s">
        <v>1078</v>
      </c>
      <c r="T102" s="163">
        <v>287</v>
      </c>
      <c r="U102" s="164" t="str">
        <f>CONCATENATE(LEFT(SP_ACQ_Lib[[#This Row],[Tax Parcel ID]],7),"_",SP_ACQ_Lib[[#This Row],[ACQ Document Type]])</f>
        <v>R023654_CONTACT Negotiator Report</v>
      </c>
      <c r="V102" s="65" t="str">
        <f>INDEX(SP_AcqTract_DB[WCAD Tax Parcel ID],MATCH(SP_ACQ_Lib[[#This Row],[Acquisition Tract No.]],SP_AcqTract_DB[Acquisition Tract No.],0))</f>
        <v>R023654;#8</v>
      </c>
      <c r="W102" s="48" t="str">
        <f>INDEX(SP_TaxPar_DB[Acquisition Tract No.],MATCH(LEFT(SP_ACQ_Lib[[#This Row],[Tax Parcel ID]],7),SP_TaxPar_DB[Tax Parcel ID],0))</f>
        <v>205</v>
      </c>
      <c r="X102" s="238" t="str">
        <f>IF(OR(SP_ACQ_Lib[[#This Row],[Acquisition Tract No.]]="",SP_ACQ_Lib[[#This Row],[ACQ Document Type]]=""),0,CONCATENATE("COW-FRMP_TR-",SP_ACQ_Lib[[#This Row],[Acquisition Tract No.]]," ",SP_ACQ_Lib[[#This Row],[ACQ Document Type]]))</f>
        <v>COW-FRMP_TR-205 CONTACT Negotiator Report</v>
      </c>
      <c r="Y102" s="239">
        <f>IF(OR(SP_ACQ_Lib[[#This Row],[File Name Convention]]=0,LEFT(SP_ACQ_Lib[[#This Row],[Name]],LEN(SP_ACQ_Lib[[#This Row],[File Name Convention]]))&lt;&gt;SP_ACQ_Lib[[#This Row],[File Name Convention]],ISERROR(SEARCH(SP_ACQ_Lib[[#This Row],[ACQ Document Type]],SP_ACQ_Lib[[#This Row],[Name]]))),1,0)</f>
        <v>0</v>
      </c>
    </row>
    <row r="103" spans="1:25" ht="15" x14ac:dyDescent="0.2">
      <c r="A103" s="157" t="str">
        <f>CONCATENATE(SP_ACQ_Lib[[#This Row],[Acquisition Tract No.]],"_",SP_ACQ_Lib[[#This Row],[ACQ Document Type]])</f>
        <v>205_CONTACT Pre-Appraisal Contact with Owner</v>
      </c>
      <c r="B103" s="14" t="s">
        <v>3370</v>
      </c>
      <c r="C103" s="15" t="s">
        <v>33</v>
      </c>
      <c r="D103" s="12" t="s">
        <v>101</v>
      </c>
      <c r="E103" s="8" t="s">
        <v>865</v>
      </c>
      <c r="F103" s="8" t="s">
        <v>1748</v>
      </c>
      <c r="G103" s="8" t="s">
        <v>1747</v>
      </c>
      <c r="H103" s="7" t="s">
        <v>592</v>
      </c>
      <c r="I103" s="16">
        <v>43788</v>
      </c>
      <c r="J103" s="16"/>
      <c r="K103" s="17"/>
      <c r="L103" s="3"/>
      <c r="M103" s="8" t="s">
        <v>4206</v>
      </c>
      <c r="N103" s="11">
        <v>43872.548750000002</v>
      </c>
      <c r="O103" s="8" t="s">
        <v>1272</v>
      </c>
      <c r="P103" s="11">
        <v>43822.641458333332</v>
      </c>
      <c r="Q103" s="13">
        <v>1627159</v>
      </c>
      <c r="R103" s="19" t="s">
        <v>594</v>
      </c>
      <c r="S103" s="14" t="s">
        <v>1761</v>
      </c>
      <c r="T103" s="163">
        <v>673</v>
      </c>
      <c r="U103" s="164" t="str">
        <f>CONCATENATE(LEFT(SP_ACQ_Lib[[#This Row],[Tax Parcel ID]],7),"_",SP_ACQ_Lib[[#This Row],[ACQ Document Type]])</f>
        <v>R023654_CONTACT Pre-Appraisal Contact with Owner</v>
      </c>
      <c r="V103" s="65" t="str">
        <f>INDEX(SP_AcqTract_DB[WCAD Tax Parcel ID],MATCH(SP_ACQ_Lib[[#This Row],[Acquisition Tract No.]],SP_AcqTract_DB[Acquisition Tract No.],0))</f>
        <v>R023654;#8</v>
      </c>
      <c r="W103" s="48" t="str">
        <f>INDEX(SP_TaxPar_DB[Acquisition Tract No.],MATCH(LEFT(SP_ACQ_Lib[[#This Row],[Tax Parcel ID]],7),SP_TaxPar_DB[Tax Parcel ID],0))</f>
        <v>205</v>
      </c>
      <c r="X103" s="238" t="str">
        <f>IF(OR(SP_ACQ_Lib[[#This Row],[Acquisition Tract No.]]="",SP_ACQ_Lib[[#This Row],[ACQ Document Type]]=""),0,CONCATENATE("COW-FRMP_TR-",SP_ACQ_Lib[[#This Row],[Acquisition Tract No.]]," ",SP_ACQ_Lib[[#This Row],[ACQ Document Type]]))</f>
        <v>COW-FRMP_TR-205 CONTACT Pre-Appraisal Contact with Owner</v>
      </c>
      <c r="Y103" s="239">
        <f>IF(OR(SP_ACQ_Lib[[#This Row],[File Name Convention]]=0,LEFT(SP_ACQ_Lib[[#This Row],[Name]],LEN(SP_ACQ_Lib[[#This Row],[File Name Convention]]))&lt;&gt;SP_ACQ_Lib[[#This Row],[File Name Convention]],ISERROR(SEARCH(SP_ACQ_Lib[[#This Row],[ACQ Document Type]],SP_ACQ_Lib[[#This Row],[Name]]))),1,0)</f>
        <v>0</v>
      </c>
    </row>
    <row r="104" spans="1:25" ht="15" x14ac:dyDescent="0.2">
      <c r="A104" s="157" t="str">
        <f>CONCATENATE(SP_ACQ_Lib[[#This Row],[Acquisition Tract No.]],"_",SP_ACQ_Lib[[#This Row],[ACQ Document Type]])</f>
        <v>205_NEGOTIATION Initial Offer Package</v>
      </c>
      <c r="B104" s="14" t="s">
        <v>6492</v>
      </c>
      <c r="C104" s="15" t="s">
        <v>33</v>
      </c>
      <c r="D104" s="12" t="s">
        <v>101</v>
      </c>
      <c r="E104" s="8" t="s">
        <v>1142</v>
      </c>
      <c r="F104" s="8" t="s">
        <v>1143</v>
      </c>
      <c r="G104" s="8" t="s">
        <v>1709</v>
      </c>
      <c r="H104" s="7" t="s">
        <v>592</v>
      </c>
      <c r="I104" s="16">
        <v>44019</v>
      </c>
      <c r="J104" s="16"/>
      <c r="K104" s="17">
        <v>82500</v>
      </c>
      <c r="L104" s="3"/>
      <c r="M104" s="8" t="s">
        <v>4206</v>
      </c>
      <c r="N104" s="11">
        <v>44020.362037037034</v>
      </c>
      <c r="O104" s="8" t="s">
        <v>4206</v>
      </c>
      <c r="P104" s="11">
        <v>44020.359525462962</v>
      </c>
      <c r="Q104" s="13">
        <v>18771623</v>
      </c>
      <c r="R104" s="19" t="s">
        <v>594</v>
      </c>
      <c r="S104" s="14" t="s">
        <v>6555</v>
      </c>
      <c r="T104" s="163">
        <v>1359</v>
      </c>
      <c r="U104" s="164" t="str">
        <f>CONCATENATE(LEFT(SP_ACQ_Lib[[#This Row],[Tax Parcel ID]],7),"_",SP_ACQ_Lib[[#This Row],[ACQ Document Type]])</f>
        <v>R023654_NEGOTIATION Initial Offer Package</v>
      </c>
      <c r="V104" s="65" t="str">
        <f>INDEX(SP_AcqTract_DB[WCAD Tax Parcel ID],MATCH(SP_ACQ_Lib[[#This Row],[Acquisition Tract No.]],SP_AcqTract_DB[Acquisition Tract No.],0))</f>
        <v>R023654;#8</v>
      </c>
      <c r="W104" s="48" t="str">
        <f>INDEX(SP_TaxPar_DB[Acquisition Tract No.],MATCH(LEFT(SP_ACQ_Lib[[#This Row],[Tax Parcel ID]],7),SP_TaxPar_DB[Tax Parcel ID],0))</f>
        <v>205</v>
      </c>
      <c r="X104" s="238" t="str">
        <f>IF(OR(SP_ACQ_Lib[[#This Row],[Acquisition Tract No.]]="",SP_ACQ_Lib[[#This Row],[ACQ Document Type]]=""),0,CONCATENATE("COW-FRMP_TR-",SP_ACQ_Lib[[#This Row],[Acquisition Tract No.]]," ",SP_ACQ_Lib[[#This Row],[ACQ Document Type]]))</f>
        <v>COW-FRMP_TR-205 NEGOTIATION Initial Offer Package</v>
      </c>
      <c r="Y104" s="239">
        <f>IF(OR(SP_ACQ_Lib[[#This Row],[File Name Convention]]=0,LEFT(SP_ACQ_Lib[[#This Row],[Name]],LEN(SP_ACQ_Lib[[#This Row],[File Name Convention]]))&lt;&gt;SP_ACQ_Lib[[#This Row],[File Name Convention]],ISERROR(SEARCH(SP_ACQ_Lib[[#This Row],[ACQ Document Type]],SP_ACQ_Lib[[#This Row],[Name]]))),1,0)</f>
        <v>0</v>
      </c>
    </row>
    <row r="105" spans="1:25" ht="15" x14ac:dyDescent="0.2">
      <c r="A105" s="157" t="str">
        <f>CONCATENATE(SP_ACQ_Lib[[#This Row],[Acquisition Tract No.]],"_",SP_ACQ_Lib[[#This Row],[ACQ Document Type]])</f>
        <v>205_NEGOTIATION Initial Offer Package CMRR</v>
      </c>
      <c r="B105" s="14" t="s">
        <v>6493</v>
      </c>
      <c r="C105" s="15" t="s">
        <v>33</v>
      </c>
      <c r="D105" s="12" t="s">
        <v>101</v>
      </c>
      <c r="E105" s="8" t="s">
        <v>1142</v>
      </c>
      <c r="F105" s="8" t="s">
        <v>1144</v>
      </c>
      <c r="G105" s="8" t="s">
        <v>1710</v>
      </c>
      <c r="H105" s="7" t="s">
        <v>592</v>
      </c>
      <c r="I105" s="16">
        <v>44020</v>
      </c>
      <c r="J105" s="16">
        <v>44020</v>
      </c>
      <c r="K105" s="17"/>
      <c r="L105" s="3"/>
      <c r="M105" s="8" t="s">
        <v>4206</v>
      </c>
      <c r="N105" s="11">
        <v>44021.398333333331</v>
      </c>
      <c r="O105" s="8" t="s">
        <v>4206</v>
      </c>
      <c r="P105" s="11">
        <v>44020.359351851854</v>
      </c>
      <c r="Q105" s="13">
        <v>1199099</v>
      </c>
      <c r="R105" s="19" t="s">
        <v>594</v>
      </c>
      <c r="S105" s="14" t="s">
        <v>6556</v>
      </c>
      <c r="T105" s="163">
        <v>1358</v>
      </c>
      <c r="U105" s="164" t="str">
        <f>CONCATENATE(LEFT(SP_ACQ_Lib[[#This Row],[Tax Parcel ID]],7),"_",SP_ACQ_Lib[[#This Row],[ACQ Document Type]])</f>
        <v>R023654_NEGOTIATION Initial Offer Package CMRR</v>
      </c>
      <c r="V105" s="65" t="str">
        <f>INDEX(SP_AcqTract_DB[WCAD Tax Parcel ID],MATCH(SP_ACQ_Lib[[#This Row],[Acquisition Tract No.]],SP_AcqTract_DB[Acquisition Tract No.],0))</f>
        <v>R023654;#8</v>
      </c>
      <c r="W105" s="48" t="str">
        <f>INDEX(SP_TaxPar_DB[Acquisition Tract No.],MATCH(LEFT(SP_ACQ_Lib[[#This Row],[Tax Parcel ID]],7),SP_TaxPar_DB[Tax Parcel ID],0))</f>
        <v>205</v>
      </c>
      <c r="X105" s="238" t="str">
        <f>IF(OR(SP_ACQ_Lib[[#This Row],[Acquisition Tract No.]]="",SP_ACQ_Lib[[#This Row],[ACQ Document Type]]=""),0,CONCATENATE("COW-FRMP_TR-",SP_ACQ_Lib[[#This Row],[Acquisition Tract No.]]," ",SP_ACQ_Lib[[#This Row],[ACQ Document Type]]))</f>
        <v>COW-FRMP_TR-205 NEGOTIATION Initial Offer Package CMRR</v>
      </c>
      <c r="Y105" s="239">
        <f>IF(OR(SP_ACQ_Lib[[#This Row],[File Name Convention]]=0,LEFT(SP_ACQ_Lib[[#This Row],[Name]],LEN(SP_ACQ_Lib[[#This Row],[File Name Convention]]))&lt;&gt;SP_ACQ_Lib[[#This Row],[File Name Convention]],ISERROR(SEARCH(SP_ACQ_Lib[[#This Row],[ACQ Document Type]],SP_ACQ_Lib[[#This Row],[Name]]))),1,0)</f>
        <v>0</v>
      </c>
    </row>
    <row r="106" spans="1:25" ht="15" x14ac:dyDescent="0.2">
      <c r="A106" s="157" t="str">
        <f>CONCATENATE(SP_ACQ_Lib[[#This Row],[Acquisition Tract No.]],"_",SP_ACQ_Lib[[#This Row],[ACQ Document Type]])</f>
        <v>205_NEGOTIATION Landowner Bill of Rights Letter</v>
      </c>
      <c r="B106" s="14" t="s">
        <v>3429</v>
      </c>
      <c r="C106" s="15" t="s">
        <v>33</v>
      </c>
      <c r="D106" s="12" t="s">
        <v>101</v>
      </c>
      <c r="E106" s="8" t="s">
        <v>1142</v>
      </c>
      <c r="F106" s="8" t="s">
        <v>1746</v>
      </c>
      <c r="G106" s="8" t="s">
        <v>1745</v>
      </c>
      <c r="H106" s="7" t="s">
        <v>592</v>
      </c>
      <c r="I106" s="16">
        <v>43748</v>
      </c>
      <c r="J106" s="16"/>
      <c r="K106" s="17"/>
      <c r="L106" s="3"/>
      <c r="M106" s="8" t="s">
        <v>4206</v>
      </c>
      <c r="N106" s="11">
        <v>43923.489687499998</v>
      </c>
      <c r="O106" s="8" t="s">
        <v>4325</v>
      </c>
      <c r="P106" s="11">
        <v>43752.45857638889</v>
      </c>
      <c r="Q106" s="13">
        <v>394468</v>
      </c>
      <c r="R106" s="19" t="s">
        <v>594</v>
      </c>
      <c r="S106" s="14" t="s">
        <v>1185</v>
      </c>
      <c r="T106" s="163">
        <v>422</v>
      </c>
      <c r="U106" s="164" t="str">
        <f>CONCATENATE(LEFT(SP_ACQ_Lib[[#This Row],[Tax Parcel ID]],7),"_",SP_ACQ_Lib[[#This Row],[ACQ Document Type]])</f>
        <v>R023654_NEGOTIATION Landowner Bill of Rights Letter</v>
      </c>
      <c r="V106" s="65" t="str">
        <f>INDEX(SP_AcqTract_DB[WCAD Tax Parcel ID],MATCH(SP_ACQ_Lib[[#This Row],[Acquisition Tract No.]],SP_AcqTract_DB[Acquisition Tract No.],0))</f>
        <v>R023654;#8</v>
      </c>
      <c r="W106" s="48" t="str">
        <f>INDEX(SP_TaxPar_DB[Acquisition Tract No.],MATCH(LEFT(SP_ACQ_Lib[[#This Row],[Tax Parcel ID]],7),SP_TaxPar_DB[Tax Parcel ID],0))</f>
        <v>205</v>
      </c>
      <c r="X106" s="238" t="str">
        <f>IF(OR(SP_ACQ_Lib[[#This Row],[Acquisition Tract No.]]="",SP_ACQ_Lib[[#This Row],[ACQ Document Type]]=""),0,CONCATENATE("COW-FRMP_TR-",SP_ACQ_Lib[[#This Row],[Acquisition Tract No.]]," ",SP_ACQ_Lib[[#This Row],[ACQ Document Type]]))</f>
        <v>COW-FRMP_TR-205 NEGOTIATION Landowner Bill of Rights Letter</v>
      </c>
      <c r="Y106" s="239">
        <f>IF(OR(SP_ACQ_Lib[[#This Row],[File Name Convention]]=0,LEFT(SP_ACQ_Lib[[#This Row],[Name]],LEN(SP_ACQ_Lib[[#This Row],[File Name Convention]]))&lt;&gt;SP_ACQ_Lib[[#This Row],[File Name Convention]],ISERROR(SEARCH(SP_ACQ_Lib[[#This Row],[ACQ Document Type]],SP_ACQ_Lib[[#This Row],[Name]]))),1,0)</f>
        <v>0</v>
      </c>
    </row>
    <row r="107" spans="1:25" ht="15" x14ac:dyDescent="0.2">
      <c r="A107" s="157" t="str">
        <f>CONCATENATE(SP_ACQ_Lib[[#This Row],[Acquisition Tract No.]],"_",SP_ACQ_Lib[[#This Row],[ACQ Document Type]])</f>
        <v>205_SURVEY Description-Plat_CITY</v>
      </c>
      <c r="B107" s="14" t="s">
        <v>3519</v>
      </c>
      <c r="C107" s="15" t="s">
        <v>33</v>
      </c>
      <c r="D107" s="12" t="s">
        <v>101</v>
      </c>
      <c r="E107" s="8" t="s">
        <v>858</v>
      </c>
      <c r="F107" s="8" t="s">
        <v>3503</v>
      </c>
      <c r="G107" s="8" t="s">
        <v>3502</v>
      </c>
      <c r="H107" s="7" t="s">
        <v>1749</v>
      </c>
      <c r="I107" s="16">
        <v>43852</v>
      </c>
      <c r="J107" s="16">
        <v>43886</v>
      </c>
      <c r="K107" s="17"/>
      <c r="L107" s="3"/>
      <c r="M107" s="8" t="s">
        <v>4207</v>
      </c>
      <c r="N107" s="11">
        <v>43979.306041666663</v>
      </c>
      <c r="O107" s="8" t="s">
        <v>4206</v>
      </c>
      <c r="P107" s="11">
        <v>43886.642013888886</v>
      </c>
      <c r="Q107" s="13">
        <v>231187</v>
      </c>
      <c r="R107" s="19" t="s">
        <v>594</v>
      </c>
      <c r="S107" s="14" t="s">
        <v>3542</v>
      </c>
      <c r="T107" s="163">
        <v>1008</v>
      </c>
      <c r="U107" s="164" t="str">
        <f>CONCATENATE(LEFT(SP_ACQ_Lib[[#This Row],[Tax Parcel ID]],7),"_",SP_ACQ_Lib[[#This Row],[ACQ Document Type]])</f>
        <v>R023654_SURVEY Description-Plat_CITY</v>
      </c>
      <c r="V107" s="65" t="str">
        <f>INDEX(SP_AcqTract_DB[WCAD Tax Parcel ID],MATCH(SP_ACQ_Lib[[#This Row],[Acquisition Tract No.]],SP_AcqTract_DB[Acquisition Tract No.],0))</f>
        <v>R023654;#8</v>
      </c>
      <c r="W107" s="48" t="str">
        <f>INDEX(SP_TaxPar_DB[Acquisition Tract No.],MATCH(LEFT(SP_ACQ_Lib[[#This Row],[Tax Parcel ID]],7),SP_TaxPar_DB[Tax Parcel ID],0))</f>
        <v>205</v>
      </c>
      <c r="X107" s="238" t="str">
        <f>IF(OR(SP_ACQ_Lib[[#This Row],[Acquisition Tract No.]]="",SP_ACQ_Lib[[#This Row],[ACQ Document Type]]=""),0,CONCATENATE("COW-FRMP_TR-",SP_ACQ_Lib[[#This Row],[Acquisition Tract No.]]," ",SP_ACQ_Lib[[#This Row],[ACQ Document Type]]))</f>
        <v>COW-FRMP_TR-205 SURVEY Description-Plat_CITY</v>
      </c>
      <c r="Y107" s="239">
        <f>IF(OR(SP_ACQ_Lib[[#This Row],[File Name Convention]]=0,LEFT(SP_ACQ_Lib[[#This Row],[Name]],LEN(SP_ACQ_Lib[[#This Row],[File Name Convention]]))&lt;&gt;SP_ACQ_Lib[[#This Row],[File Name Convention]],ISERROR(SEARCH(SP_ACQ_Lib[[#This Row],[ACQ Document Type]],SP_ACQ_Lib[[#This Row],[Name]]))),1,0)</f>
        <v>0</v>
      </c>
    </row>
    <row r="108" spans="1:25" ht="15" x14ac:dyDescent="0.2">
      <c r="A108" s="157" t="str">
        <f>CONCATENATE(SP_ACQ_Lib[[#This Row],[Acquisition Tract No.]],"_",SP_ACQ_Lib[[#This Row],[ACQ Document Type]])</f>
        <v>205_SURVEY Description-Plat_USACOE</v>
      </c>
      <c r="B108" s="14" t="s">
        <v>4699</v>
      </c>
      <c r="C108" s="15" t="s">
        <v>33</v>
      </c>
      <c r="D108" s="12" t="s">
        <v>101</v>
      </c>
      <c r="E108" s="8" t="s">
        <v>858</v>
      </c>
      <c r="F108" s="8" t="s">
        <v>3510</v>
      </c>
      <c r="G108" s="8" t="s">
        <v>3509</v>
      </c>
      <c r="H108" s="7" t="s">
        <v>1749</v>
      </c>
      <c r="I108" s="16">
        <v>43852</v>
      </c>
      <c r="J108" s="16">
        <v>43926</v>
      </c>
      <c r="K108" s="17"/>
      <c r="L108" s="3"/>
      <c r="M108" s="8" t="s">
        <v>4207</v>
      </c>
      <c r="N108" s="11">
        <v>43979.306041666663</v>
      </c>
      <c r="O108" s="8" t="s">
        <v>4206</v>
      </c>
      <c r="P108" s="11">
        <v>43927.615624999999</v>
      </c>
      <c r="Q108" s="13">
        <v>239042</v>
      </c>
      <c r="R108" s="19" t="s">
        <v>594</v>
      </c>
      <c r="S108" s="14" t="s">
        <v>4703</v>
      </c>
      <c r="T108" s="163">
        <v>1009</v>
      </c>
      <c r="U108" s="164" t="str">
        <f>CONCATENATE(LEFT(SP_ACQ_Lib[[#This Row],[Tax Parcel ID]],7),"_",SP_ACQ_Lib[[#This Row],[ACQ Document Type]])</f>
        <v>R023654_SURVEY Description-Plat_USACOE</v>
      </c>
      <c r="V108" s="65" t="str">
        <f>INDEX(SP_AcqTract_DB[WCAD Tax Parcel ID],MATCH(SP_ACQ_Lib[[#This Row],[Acquisition Tract No.]],SP_AcqTract_DB[Acquisition Tract No.],0))</f>
        <v>R023654;#8</v>
      </c>
      <c r="W108" s="48" t="str">
        <f>INDEX(SP_TaxPar_DB[Acquisition Tract No.],MATCH(LEFT(SP_ACQ_Lib[[#This Row],[Tax Parcel ID]],7),SP_TaxPar_DB[Tax Parcel ID],0))</f>
        <v>205</v>
      </c>
      <c r="X108" s="238" t="str">
        <f>IF(OR(SP_ACQ_Lib[[#This Row],[Acquisition Tract No.]]="",SP_ACQ_Lib[[#This Row],[ACQ Document Type]]=""),0,CONCATENATE("COW-FRMP_TR-",SP_ACQ_Lib[[#This Row],[Acquisition Tract No.]]," ",SP_ACQ_Lib[[#This Row],[ACQ Document Type]]))</f>
        <v>COW-FRMP_TR-205 SURVEY Description-Plat_USACOE</v>
      </c>
      <c r="Y108" s="239">
        <f>IF(OR(SP_ACQ_Lib[[#This Row],[File Name Convention]]=0,LEFT(SP_ACQ_Lib[[#This Row],[Name]],LEN(SP_ACQ_Lib[[#This Row],[File Name Convention]]))&lt;&gt;SP_ACQ_Lib[[#This Row],[File Name Convention]],ISERROR(SEARCH(SP_ACQ_Lib[[#This Row],[ACQ Document Type]],SP_ACQ_Lib[[#This Row],[Name]]))),1,0)</f>
        <v>0</v>
      </c>
    </row>
    <row r="109" spans="1:25" ht="15" x14ac:dyDescent="0.2">
      <c r="A109" s="157" t="str">
        <f>CONCATENATE(SP_ACQ_Lib[[#This Row],[Acquisition Tract No.]],"_",SP_ACQ_Lib[[#This Row],[ACQ Document Type]])</f>
        <v>205_SURVEY Right-of-Entry</v>
      </c>
      <c r="B109" s="14" t="s">
        <v>1433</v>
      </c>
      <c r="C109" s="15" t="s">
        <v>33</v>
      </c>
      <c r="D109" s="12" t="s">
        <v>101</v>
      </c>
      <c r="E109" s="8" t="s">
        <v>858</v>
      </c>
      <c r="F109" s="8" t="s">
        <v>859</v>
      </c>
      <c r="G109" s="8" t="s">
        <v>591</v>
      </c>
      <c r="H109" s="7" t="s">
        <v>592</v>
      </c>
      <c r="I109" s="16">
        <v>43690</v>
      </c>
      <c r="J109" s="16"/>
      <c r="K109" s="17"/>
      <c r="L109" s="3"/>
      <c r="M109" s="8" t="s">
        <v>23</v>
      </c>
      <c r="N109" s="11">
        <v>43770.449050925927</v>
      </c>
      <c r="O109" s="8" t="s">
        <v>4207</v>
      </c>
      <c r="P109" s="11">
        <v>43691.669618055559</v>
      </c>
      <c r="Q109" s="13">
        <v>890755</v>
      </c>
      <c r="R109" s="19" t="s">
        <v>594</v>
      </c>
      <c r="S109" s="14" t="s">
        <v>724</v>
      </c>
      <c r="T109" s="163">
        <v>59</v>
      </c>
      <c r="U109" s="164" t="str">
        <f>CONCATENATE(LEFT(SP_ACQ_Lib[[#This Row],[Tax Parcel ID]],7),"_",SP_ACQ_Lib[[#This Row],[ACQ Document Type]])</f>
        <v>R023654_SURVEY Right-of-Entry</v>
      </c>
      <c r="V109" s="65" t="str">
        <f>INDEX(SP_AcqTract_DB[WCAD Tax Parcel ID],MATCH(SP_ACQ_Lib[[#This Row],[Acquisition Tract No.]],SP_AcqTract_DB[Acquisition Tract No.],0))</f>
        <v>R023654;#8</v>
      </c>
      <c r="W109" s="48" t="str">
        <f>INDEX(SP_TaxPar_DB[Acquisition Tract No.],MATCH(LEFT(SP_ACQ_Lib[[#This Row],[Tax Parcel ID]],7),SP_TaxPar_DB[Tax Parcel ID],0))</f>
        <v>205</v>
      </c>
      <c r="X109" s="238" t="str">
        <f>IF(OR(SP_ACQ_Lib[[#This Row],[Acquisition Tract No.]]="",SP_ACQ_Lib[[#This Row],[ACQ Document Type]]=""),0,CONCATENATE("COW-FRMP_TR-",SP_ACQ_Lib[[#This Row],[Acquisition Tract No.]]," ",SP_ACQ_Lib[[#This Row],[ACQ Document Type]]))</f>
        <v>COW-FRMP_TR-205 SURVEY Right-of-Entry</v>
      </c>
      <c r="Y109" s="239">
        <f>IF(OR(SP_ACQ_Lib[[#This Row],[File Name Convention]]=0,LEFT(SP_ACQ_Lib[[#This Row],[Name]],LEN(SP_ACQ_Lib[[#This Row],[File Name Convention]]))&lt;&gt;SP_ACQ_Lib[[#This Row],[File Name Convention]],ISERROR(SEARCH(SP_ACQ_Lib[[#This Row],[ACQ Document Type]],SP_ACQ_Lib[[#This Row],[Name]]))),1,0)</f>
        <v>0</v>
      </c>
    </row>
    <row r="110" spans="1:25" ht="15" x14ac:dyDescent="0.2">
      <c r="A110" s="157" t="str">
        <f>CONCATENATE(SP_ACQ_Lib[[#This Row],[Acquisition Tract No.]],"_",SP_ACQ_Lib[[#This Row],[ACQ Document Type]])</f>
        <v>205_TITLE Commitment</v>
      </c>
      <c r="B110" s="14" t="s">
        <v>1434</v>
      </c>
      <c r="C110" s="15" t="s">
        <v>33</v>
      </c>
      <c r="D110" s="12" t="s">
        <v>101</v>
      </c>
      <c r="E110" s="8" t="s">
        <v>861</v>
      </c>
      <c r="F110" s="8" t="s">
        <v>862</v>
      </c>
      <c r="G110" s="8" t="s">
        <v>614</v>
      </c>
      <c r="H110" s="7" t="s">
        <v>592</v>
      </c>
      <c r="I110" s="16">
        <v>43943</v>
      </c>
      <c r="J110" s="16">
        <v>43951</v>
      </c>
      <c r="K110" s="17"/>
      <c r="L110" s="3" t="s">
        <v>4974</v>
      </c>
      <c r="M110" s="8" t="s">
        <v>4325</v>
      </c>
      <c r="N110" s="11">
        <v>43951.587708333333</v>
      </c>
      <c r="O110" s="8" t="s">
        <v>4326</v>
      </c>
      <c r="P110" s="11">
        <v>43689.573379629626</v>
      </c>
      <c r="Q110" s="13">
        <v>2012500</v>
      </c>
      <c r="R110" s="19" t="s">
        <v>594</v>
      </c>
      <c r="S110" s="14" t="s">
        <v>725</v>
      </c>
      <c r="T110" s="163">
        <v>23</v>
      </c>
      <c r="U110" s="164" t="str">
        <f>CONCATENATE(LEFT(SP_ACQ_Lib[[#This Row],[Tax Parcel ID]],7),"_",SP_ACQ_Lib[[#This Row],[ACQ Document Type]])</f>
        <v>R023654_TITLE Commitment</v>
      </c>
      <c r="V110" s="65" t="str">
        <f>INDEX(SP_AcqTract_DB[WCAD Tax Parcel ID],MATCH(SP_ACQ_Lib[[#This Row],[Acquisition Tract No.]],SP_AcqTract_DB[Acquisition Tract No.],0))</f>
        <v>R023654;#8</v>
      </c>
      <c r="W110" s="48" t="str">
        <f>INDEX(SP_TaxPar_DB[Acquisition Tract No.],MATCH(LEFT(SP_ACQ_Lib[[#This Row],[Tax Parcel ID]],7),SP_TaxPar_DB[Tax Parcel ID],0))</f>
        <v>205</v>
      </c>
      <c r="X110" s="238" t="str">
        <f>IF(OR(SP_ACQ_Lib[[#This Row],[Acquisition Tract No.]]="",SP_ACQ_Lib[[#This Row],[ACQ Document Type]]=""),0,CONCATENATE("COW-FRMP_TR-",SP_ACQ_Lib[[#This Row],[Acquisition Tract No.]]," ",SP_ACQ_Lib[[#This Row],[ACQ Document Type]]))</f>
        <v>COW-FRMP_TR-205 TITLE Commitment</v>
      </c>
      <c r="Y110" s="239">
        <f>IF(OR(SP_ACQ_Lib[[#This Row],[File Name Convention]]=0,LEFT(SP_ACQ_Lib[[#This Row],[Name]],LEN(SP_ACQ_Lib[[#This Row],[File Name Convention]]))&lt;&gt;SP_ACQ_Lib[[#This Row],[File Name Convention]],ISERROR(SEARCH(SP_ACQ_Lib[[#This Row],[ACQ Document Type]],SP_ACQ_Lib[[#This Row],[Name]]))),1,0)</f>
        <v>0</v>
      </c>
    </row>
    <row r="111" spans="1:25" ht="15" x14ac:dyDescent="0.2">
      <c r="A111" s="157" t="str">
        <f>CONCATENATE(SP_ACQ_Lib[[#This Row],[Acquisition Tract No.]],"_",SP_ACQ_Lib[[#This Row],[ACQ Document Type]])</f>
        <v>205_TITLE Commitment Backup Docs</v>
      </c>
      <c r="B111" s="14" t="s">
        <v>1435</v>
      </c>
      <c r="C111" s="15" t="s">
        <v>33</v>
      </c>
      <c r="D111" s="12" t="s">
        <v>101</v>
      </c>
      <c r="E111" s="8" t="s">
        <v>861</v>
      </c>
      <c r="F111" s="8" t="s">
        <v>863</v>
      </c>
      <c r="G111" s="8" t="s">
        <v>616</v>
      </c>
      <c r="H111" s="7" t="s">
        <v>592</v>
      </c>
      <c r="I111" s="16"/>
      <c r="J111" s="16"/>
      <c r="K111" s="17"/>
      <c r="L111" s="3"/>
      <c r="M111" s="8" t="s">
        <v>4325</v>
      </c>
      <c r="N111" s="11">
        <v>43943.614085648151</v>
      </c>
      <c r="O111" s="8" t="s">
        <v>4326</v>
      </c>
      <c r="P111" s="11">
        <v>43689.573877314811</v>
      </c>
      <c r="Q111" s="13">
        <v>311606</v>
      </c>
      <c r="R111" s="19" t="s">
        <v>594</v>
      </c>
      <c r="S111" s="14" t="s">
        <v>726</v>
      </c>
      <c r="T111" s="163">
        <v>24</v>
      </c>
      <c r="U111" s="164" t="str">
        <f>CONCATENATE(LEFT(SP_ACQ_Lib[[#This Row],[Tax Parcel ID]],7),"_",SP_ACQ_Lib[[#This Row],[ACQ Document Type]])</f>
        <v>R023654_TITLE Commitment Backup Docs</v>
      </c>
      <c r="V111" s="65" t="str">
        <f>INDEX(SP_AcqTract_DB[WCAD Tax Parcel ID],MATCH(SP_ACQ_Lib[[#This Row],[Acquisition Tract No.]],SP_AcqTract_DB[Acquisition Tract No.],0))</f>
        <v>R023654;#8</v>
      </c>
      <c r="W111" s="48" t="str">
        <f>INDEX(SP_TaxPar_DB[Acquisition Tract No.],MATCH(LEFT(SP_ACQ_Lib[[#This Row],[Tax Parcel ID]],7),SP_TaxPar_DB[Tax Parcel ID],0))</f>
        <v>205</v>
      </c>
      <c r="X111" s="238" t="str">
        <f>IF(OR(SP_ACQ_Lib[[#This Row],[Acquisition Tract No.]]="",SP_ACQ_Lib[[#This Row],[ACQ Document Type]]=""),0,CONCATENATE("COW-FRMP_TR-",SP_ACQ_Lib[[#This Row],[Acquisition Tract No.]]," ",SP_ACQ_Lib[[#This Row],[ACQ Document Type]]))</f>
        <v>COW-FRMP_TR-205 TITLE Commitment Backup Docs</v>
      </c>
      <c r="Y111" s="239">
        <f>IF(OR(SP_ACQ_Lib[[#This Row],[File Name Convention]]=0,LEFT(SP_ACQ_Lib[[#This Row],[Name]],LEN(SP_ACQ_Lib[[#This Row],[File Name Convention]]))&lt;&gt;SP_ACQ_Lib[[#This Row],[File Name Convention]],ISERROR(SEARCH(SP_ACQ_Lib[[#This Row],[ACQ Document Type]],SP_ACQ_Lib[[#This Row],[Name]]))),1,0)</f>
        <v>0</v>
      </c>
    </row>
    <row r="112" spans="1:25" ht="15" x14ac:dyDescent="0.2">
      <c r="A112" s="157" t="str">
        <f>CONCATENATE(SP_ACQ_Lib[[#This Row],[Acquisition Tract No.]],"_",SP_ACQ_Lib[[#This Row],[ACQ Document Type]])</f>
        <v>205_TITLE Curative Plan</v>
      </c>
      <c r="B112" s="14" t="s">
        <v>1436</v>
      </c>
      <c r="C112" s="15" t="s">
        <v>33</v>
      </c>
      <c r="D112" s="12" t="s">
        <v>101</v>
      </c>
      <c r="E112" s="8" t="s">
        <v>861</v>
      </c>
      <c r="F112" s="8" t="s">
        <v>864</v>
      </c>
      <c r="G112" s="8" t="s">
        <v>617</v>
      </c>
      <c r="H112" s="7" t="s">
        <v>592</v>
      </c>
      <c r="I112" s="16">
        <v>43809</v>
      </c>
      <c r="J112" s="16"/>
      <c r="K112" s="17"/>
      <c r="L112" s="3"/>
      <c r="M112" s="8" t="s">
        <v>4325</v>
      </c>
      <c r="N112" s="11">
        <v>43951.585706018515</v>
      </c>
      <c r="O112" s="8" t="s">
        <v>4326</v>
      </c>
      <c r="P112" s="11">
        <v>43739.403877314813</v>
      </c>
      <c r="Q112" s="13">
        <v>35098</v>
      </c>
      <c r="R112" s="19" t="s">
        <v>594</v>
      </c>
      <c r="S112" s="14" t="s">
        <v>1079</v>
      </c>
      <c r="T112" s="163">
        <v>383</v>
      </c>
      <c r="U112" s="164" t="str">
        <f>CONCATENATE(LEFT(SP_ACQ_Lib[[#This Row],[Tax Parcel ID]],7),"_",SP_ACQ_Lib[[#This Row],[ACQ Document Type]])</f>
        <v>R023654_TITLE Curative Plan</v>
      </c>
      <c r="V112" s="65" t="str">
        <f>INDEX(SP_AcqTract_DB[WCAD Tax Parcel ID],MATCH(SP_ACQ_Lib[[#This Row],[Acquisition Tract No.]],SP_AcqTract_DB[Acquisition Tract No.],0))</f>
        <v>R023654;#8</v>
      </c>
      <c r="W112" s="48" t="str">
        <f>INDEX(SP_TaxPar_DB[Acquisition Tract No.],MATCH(LEFT(SP_ACQ_Lib[[#This Row],[Tax Parcel ID]],7),SP_TaxPar_DB[Tax Parcel ID],0))</f>
        <v>205</v>
      </c>
      <c r="X112" s="238" t="str">
        <f>IF(OR(SP_ACQ_Lib[[#This Row],[Acquisition Tract No.]]="",SP_ACQ_Lib[[#This Row],[ACQ Document Type]]=""),0,CONCATENATE("COW-FRMP_TR-",SP_ACQ_Lib[[#This Row],[Acquisition Tract No.]]," ",SP_ACQ_Lib[[#This Row],[ACQ Document Type]]))</f>
        <v>COW-FRMP_TR-205 TITLE Curative Plan</v>
      </c>
      <c r="Y112" s="239">
        <f>IF(OR(SP_ACQ_Lib[[#This Row],[File Name Convention]]=0,LEFT(SP_ACQ_Lib[[#This Row],[Name]],LEN(SP_ACQ_Lib[[#This Row],[File Name Convention]]))&lt;&gt;SP_ACQ_Lib[[#This Row],[File Name Convention]],ISERROR(SEARCH(SP_ACQ_Lib[[#This Row],[ACQ Document Type]],SP_ACQ_Lib[[#This Row],[Name]]))),1,0)</f>
        <v>0</v>
      </c>
    </row>
    <row r="113" spans="1:25" ht="15" x14ac:dyDescent="0.2">
      <c r="A113" s="157" t="str">
        <f>CONCATENATE(SP_ACQ_Lib[[#This Row],[Acquisition Tract No.]],"_",SP_ACQ_Lib[[#This Row],[ACQ Document Type]])</f>
        <v>205_TITLE Tax Card</v>
      </c>
      <c r="B113" s="14" t="s">
        <v>3430</v>
      </c>
      <c r="C113" s="15" t="s">
        <v>33</v>
      </c>
      <c r="D113" s="12" t="s">
        <v>101</v>
      </c>
      <c r="E113" s="8" t="s">
        <v>861</v>
      </c>
      <c r="F113" s="8" t="s">
        <v>1150</v>
      </c>
      <c r="G113" s="8" t="s">
        <v>1149</v>
      </c>
      <c r="H113" s="7" t="s">
        <v>592</v>
      </c>
      <c r="I113" s="16"/>
      <c r="J113" s="16"/>
      <c r="K113" s="17"/>
      <c r="L113" s="3"/>
      <c r="M113" s="8" t="s">
        <v>4206</v>
      </c>
      <c r="N113" s="11">
        <v>43874.589467592596</v>
      </c>
      <c r="O113" s="8" t="s">
        <v>1272</v>
      </c>
      <c r="P113" s="11">
        <v>43817.464791666665</v>
      </c>
      <c r="Q113" s="13">
        <v>426801</v>
      </c>
      <c r="R113" s="19" t="s">
        <v>594</v>
      </c>
      <c r="S113" s="14" t="s">
        <v>1762</v>
      </c>
      <c r="T113" s="163">
        <v>579</v>
      </c>
      <c r="U113" s="164" t="str">
        <f>CONCATENATE(LEFT(SP_ACQ_Lib[[#This Row],[Tax Parcel ID]],7),"_",SP_ACQ_Lib[[#This Row],[ACQ Document Type]])</f>
        <v>R023654_TITLE Tax Card</v>
      </c>
      <c r="V113" s="65" t="str">
        <f>INDEX(SP_AcqTract_DB[WCAD Tax Parcel ID],MATCH(SP_ACQ_Lib[[#This Row],[Acquisition Tract No.]],SP_AcqTract_DB[Acquisition Tract No.],0))</f>
        <v>R023654;#8</v>
      </c>
      <c r="W113" s="48" t="str">
        <f>INDEX(SP_TaxPar_DB[Acquisition Tract No.],MATCH(LEFT(SP_ACQ_Lib[[#This Row],[Tax Parcel ID]],7),SP_TaxPar_DB[Tax Parcel ID],0))</f>
        <v>205</v>
      </c>
      <c r="X113" s="238" t="str">
        <f>IF(OR(SP_ACQ_Lib[[#This Row],[Acquisition Tract No.]]="",SP_ACQ_Lib[[#This Row],[ACQ Document Type]]=""),0,CONCATENATE("COW-FRMP_TR-",SP_ACQ_Lib[[#This Row],[Acquisition Tract No.]]," ",SP_ACQ_Lib[[#This Row],[ACQ Document Type]]))</f>
        <v>COW-FRMP_TR-205 TITLE Tax Card</v>
      </c>
      <c r="Y113" s="239">
        <f>IF(OR(SP_ACQ_Lib[[#This Row],[File Name Convention]]=0,LEFT(SP_ACQ_Lib[[#This Row],[Name]],LEN(SP_ACQ_Lib[[#This Row],[File Name Convention]]))&lt;&gt;SP_ACQ_Lib[[#This Row],[File Name Convention]],ISERROR(SEARCH(SP_ACQ_Lib[[#This Row],[ACQ Document Type]],SP_ACQ_Lib[[#This Row],[Name]]))),1,0)</f>
        <v>0</v>
      </c>
    </row>
    <row r="114" spans="1:25" ht="15" x14ac:dyDescent="0.2">
      <c r="A114" s="157" t="str">
        <f>CONCATENATE(SP_ACQ_Lib[[#This Row],[Acquisition Tract No.]],"_",SP_ACQ_Lib[[#This Row],[ACQ Document Type]])</f>
        <v>206_SURVEY Description-Plat_USACOE</v>
      </c>
      <c r="B114" s="14" t="s">
        <v>6020</v>
      </c>
      <c r="C114" s="15" t="s">
        <v>1275</v>
      </c>
      <c r="D114" s="12" t="s">
        <v>1672</v>
      </c>
      <c r="E114" s="8" t="s">
        <v>858</v>
      </c>
      <c r="F114" s="8" t="s">
        <v>3510</v>
      </c>
      <c r="G114" s="8" t="s">
        <v>3509</v>
      </c>
      <c r="H114" s="7" t="s">
        <v>592</v>
      </c>
      <c r="I114" s="16">
        <v>43991</v>
      </c>
      <c r="J114" s="16">
        <v>43993</v>
      </c>
      <c r="K114" s="17"/>
      <c r="L114" s="3"/>
      <c r="M114" s="8" t="s">
        <v>4206</v>
      </c>
      <c r="N114" s="11">
        <v>43994.369039351855</v>
      </c>
      <c r="O114" s="8" t="s">
        <v>4206</v>
      </c>
      <c r="P114" s="11">
        <v>43994.366574074076</v>
      </c>
      <c r="Q114" s="13">
        <v>254784</v>
      </c>
      <c r="R114" s="19" t="s">
        <v>594</v>
      </c>
      <c r="S114" s="14" t="s">
        <v>6041</v>
      </c>
      <c r="T114" s="163">
        <v>1183</v>
      </c>
      <c r="U114" s="164" t="str">
        <f>CONCATENATE(LEFT(SP_ACQ_Lib[[#This Row],[Tax Parcel ID]],7),"_",SP_ACQ_Lib[[#This Row],[ACQ Document Type]])</f>
        <v>UNKN002_SURVEY Description-Plat_USACOE</v>
      </c>
      <c r="V114" s="65" t="str">
        <f>INDEX(SP_AcqTract_DB[WCAD Tax Parcel ID],MATCH(SP_ACQ_Lib[[#This Row],[Acquisition Tract No.]],SP_AcqTract_DB[Acquisition Tract No.],0))</f>
        <v>UNKN002;#91</v>
      </c>
      <c r="W114" s="48" t="str">
        <f>INDEX(SP_TaxPar_DB[Acquisition Tract No.],MATCH(LEFT(SP_ACQ_Lib[[#This Row],[Tax Parcel ID]],7),SP_TaxPar_DB[Tax Parcel ID],0))</f>
        <v>206</v>
      </c>
      <c r="X114" s="238" t="str">
        <f>IF(OR(SP_ACQ_Lib[[#This Row],[Acquisition Tract No.]]="",SP_ACQ_Lib[[#This Row],[ACQ Document Type]]=""),0,CONCATENATE("COW-FRMP_TR-",SP_ACQ_Lib[[#This Row],[Acquisition Tract No.]]," ",SP_ACQ_Lib[[#This Row],[ACQ Document Type]]))</f>
        <v>COW-FRMP_TR-206 SURVEY Description-Plat_USACOE</v>
      </c>
      <c r="Y114" s="239">
        <f>IF(OR(SP_ACQ_Lib[[#This Row],[File Name Convention]]=0,LEFT(SP_ACQ_Lib[[#This Row],[Name]],LEN(SP_ACQ_Lib[[#This Row],[File Name Convention]]))&lt;&gt;SP_ACQ_Lib[[#This Row],[File Name Convention]],ISERROR(SEARCH(SP_ACQ_Lib[[#This Row],[ACQ Document Type]],SP_ACQ_Lib[[#This Row],[Name]]))),1,0)</f>
        <v>0</v>
      </c>
    </row>
    <row r="115" spans="1:25" ht="15" x14ac:dyDescent="0.2">
      <c r="A115" s="157" t="str">
        <f>CONCATENATE(SP_ACQ_Lib[[#This Row],[Acquisition Tract No.]],"_",SP_ACQ_Lib[[#This Row],[ACQ Document Type]])</f>
        <v>207_APPRAISAL Appraisal Review</v>
      </c>
      <c r="B115" s="14" t="s">
        <v>6494</v>
      </c>
      <c r="C115" s="15" t="s">
        <v>34</v>
      </c>
      <c r="D115" s="12" t="s">
        <v>623</v>
      </c>
      <c r="E115" s="8" t="s">
        <v>1131</v>
      </c>
      <c r="F115" s="8" t="s">
        <v>4753</v>
      </c>
      <c r="G115" s="8" t="s">
        <v>4751</v>
      </c>
      <c r="H115" s="7" t="s">
        <v>592</v>
      </c>
      <c r="I115" s="16">
        <v>44013</v>
      </c>
      <c r="J115" s="16"/>
      <c r="K115" s="17">
        <v>97950</v>
      </c>
      <c r="L115" s="3"/>
      <c r="M115" s="8" t="s">
        <v>4206</v>
      </c>
      <c r="N115" s="11">
        <v>44019.43712962963</v>
      </c>
      <c r="O115" s="8" t="s">
        <v>4206</v>
      </c>
      <c r="P115" s="11">
        <v>44013.741805555554</v>
      </c>
      <c r="Q115" s="13">
        <v>17535</v>
      </c>
      <c r="R115" s="19" t="s">
        <v>594</v>
      </c>
      <c r="S115" s="14" t="s">
        <v>6557</v>
      </c>
      <c r="T115" s="163">
        <v>1317</v>
      </c>
      <c r="U115" s="164" t="str">
        <f>CONCATENATE(LEFT(SP_ACQ_Lib[[#This Row],[Tax Parcel ID]],7),"_",SP_ACQ_Lib[[#This Row],[ACQ Document Type]])</f>
        <v>R023702_APPRAISAL Appraisal Review</v>
      </c>
      <c r="V115" s="65" t="str">
        <f>INDEX(SP_AcqTract_DB[WCAD Tax Parcel ID],MATCH(SP_ACQ_Lib[[#This Row],[Acquisition Tract No.]],SP_AcqTract_DB[Acquisition Tract No.],0))</f>
        <v>R023702;#9;#R023703;#10;#R023704;#11;#R023705;#12;#R023706;#13;#R023707;#14</v>
      </c>
      <c r="W115" s="48" t="str">
        <f>INDEX(SP_TaxPar_DB[Acquisition Tract No.],MATCH(LEFT(SP_ACQ_Lib[[#This Row],[Tax Parcel ID]],7),SP_TaxPar_DB[Tax Parcel ID],0))</f>
        <v>207</v>
      </c>
      <c r="X115" s="238" t="str">
        <f>IF(OR(SP_ACQ_Lib[[#This Row],[Acquisition Tract No.]]="",SP_ACQ_Lib[[#This Row],[ACQ Document Type]]=""),0,CONCATENATE("COW-FRMP_TR-",SP_ACQ_Lib[[#This Row],[Acquisition Tract No.]]," ",SP_ACQ_Lib[[#This Row],[ACQ Document Type]]))</f>
        <v>COW-FRMP_TR-207 APPRAISAL Appraisal Review</v>
      </c>
      <c r="Y115" s="239">
        <f>IF(OR(SP_ACQ_Lib[[#This Row],[File Name Convention]]=0,LEFT(SP_ACQ_Lib[[#This Row],[Name]],LEN(SP_ACQ_Lib[[#This Row],[File Name Convention]]))&lt;&gt;SP_ACQ_Lib[[#This Row],[File Name Convention]],ISERROR(SEARCH(SP_ACQ_Lib[[#This Row],[ACQ Document Type]],SP_ACQ_Lib[[#This Row],[Name]]))),1,0)</f>
        <v>0</v>
      </c>
    </row>
    <row r="116" spans="1:25" ht="15" x14ac:dyDescent="0.2">
      <c r="A116" s="157" t="str">
        <f>CONCATENATE(SP_ACQ_Lib[[#This Row],[Acquisition Tract No.]],"_",SP_ACQ_Lib[[#This Row],[ACQ Document Type]])</f>
        <v>207_APPRAISAL Final Appraisal</v>
      </c>
      <c r="B116" s="14" t="s">
        <v>6237</v>
      </c>
      <c r="C116" s="15" t="s">
        <v>34</v>
      </c>
      <c r="D116" s="12" t="s">
        <v>623</v>
      </c>
      <c r="E116" s="8" t="s">
        <v>1131</v>
      </c>
      <c r="F116" s="8" t="s">
        <v>4755</v>
      </c>
      <c r="G116" s="8" t="s">
        <v>4754</v>
      </c>
      <c r="H116" s="7" t="s">
        <v>592</v>
      </c>
      <c r="I116" s="16">
        <v>43912</v>
      </c>
      <c r="J116" s="16"/>
      <c r="K116" s="17">
        <v>61924</v>
      </c>
      <c r="L116" s="3"/>
      <c r="M116" s="8" t="s">
        <v>4206</v>
      </c>
      <c r="N116" s="11">
        <v>43998.693356481483</v>
      </c>
      <c r="O116" s="8" t="s">
        <v>4206</v>
      </c>
      <c r="P116" s="11">
        <v>43998.681944444441</v>
      </c>
      <c r="Q116" s="13">
        <v>15027728</v>
      </c>
      <c r="R116" s="19" t="s">
        <v>594</v>
      </c>
      <c r="S116" s="14" t="s">
        <v>6249</v>
      </c>
      <c r="T116" s="163">
        <v>1212</v>
      </c>
      <c r="U116" s="164" t="str">
        <f>CONCATENATE(LEFT(SP_ACQ_Lib[[#This Row],[Tax Parcel ID]],7),"_",SP_ACQ_Lib[[#This Row],[ACQ Document Type]])</f>
        <v>R023702_APPRAISAL Final Appraisal</v>
      </c>
      <c r="V116" s="65" t="str">
        <f>INDEX(SP_AcqTract_DB[WCAD Tax Parcel ID],MATCH(SP_ACQ_Lib[[#This Row],[Acquisition Tract No.]],SP_AcqTract_DB[Acquisition Tract No.],0))</f>
        <v>R023702;#9;#R023703;#10;#R023704;#11;#R023705;#12;#R023706;#13;#R023707;#14</v>
      </c>
      <c r="W116" s="48" t="str">
        <f>INDEX(SP_TaxPar_DB[Acquisition Tract No.],MATCH(LEFT(SP_ACQ_Lib[[#This Row],[Tax Parcel ID]],7),SP_TaxPar_DB[Tax Parcel ID],0))</f>
        <v>207</v>
      </c>
      <c r="X116" s="238" t="str">
        <f>IF(OR(SP_ACQ_Lib[[#This Row],[Acquisition Tract No.]]="",SP_ACQ_Lib[[#This Row],[ACQ Document Type]]=""),0,CONCATENATE("COW-FRMP_TR-",SP_ACQ_Lib[[#This Row],[Acquisition Tract No.]]," ",SP_ACQ_Lib[[#This Row],[ACQ Document Type]]))</f>
        <v>COW-FRMP_TR-207 APPRAISAL Final Appraisal</v>
      </c>
      <c r="Y116" s="239">
        <f>IF(OR(SP_ACQ_Lib[[#This Row],[File Name Convention]]=0,LEFT(SP_ACQ_Lib[[#This Row],[Name]],LEN(SP_ACQ_Lib[[#This Row],[File Name Convention]]))&lt;&gt;SP_ACQ_Lib[[#This Row],[File Name Convention]],ISERROR(SEARCH(SP_ACQ_Lib[[#This Row],[ACQ Document Type]],SP_ACQ_Lib[[#This Row],[Name]]))),1,0)</f>
        <v>0</v>
      </c>
    </row>
    <row r="117" spans="1:25" ht="15" x14ac:dyDescent="0.2">
      <c r="A117" s="157" t="str">
        <f>CONCATENATE(SP_ACQ_Lib[[#This Row],[Acquisition Tract No.]],"_",SP_ACQ_Lib[[#This Row],[ACQ Document Type]])</f>
        <v>207_APPRAISAL Just Compensation Approval</v>
      </c>
      <c r="B117" s="14" t="s">
        <v>6495</v>
      </c>
      <c r="C117" s="15" t="s">
        <v>34</v>
      </c>
      <c r="D117" s="12" t="s">
        <v>623</v>
      </c>
      <c r="E117" s="8" t="s">
        <v>1131</v>
      </c>
      <c r="F117" s="8" t="s">
        <v>4828</v>
      </c>
      <c r="G117" s="8" t="s">
        <v>4827</v>
      </c>
      <c r="H117" s="7" t="s">
        <v>1749</v>
      </c>
      <c r="I117" s="16">
        <v>44012</v>
      </c>
      <c r="J117" s="16"/>
      <c r="K117" s="17">
        <v>61924</v>
      </c>
      <c r="L117" s="3"/>
      <c r="M117" s="8" t="s">
        <v>4206</v>
      </c>
      <c r="N117" s="11">
        <v>44012.533726851849</v>
      </c>
      <c r="O117" s="8" t="s">
        <v>4206</v>
      </c>
      <c r="P117" s="11">
        <v>44012.517592592594</v>
      </c>
      <c r="Q117" s="13">
        <v>174673</v>
      </c>
      <c r="R117" s="19" t="s">
        <v>594</v>
      </c>
      <c r="S117" s="14" t="s">
        <v>6558</v>
      </c>
      <c r="T117" s="163">
        <v>1305</v>
      </c>
      <c r="U117" s="164" t="str">
        <f>CONCATENATE(LEFT(SP_ACQ_Lib[[#This Row],[Tax Parcel ID]],7),"_",SP_ACQ_Lib[[#This Row],[ACQ Document Type]])</f>
        <v>R023702_APPRAISAL Just Compensation Approval</v>
      </c>
      <c r="V117" s="65" t="str">
        <f>INDEX(SP_AcqTract_DB[WCAD Tax Parcel ID],MATCH(SP_ACQ_Lib[[#This Row],[Acquisition Tract No.]],SP_AcqTract_DB[Acquisition Tract No.],0))</f>
        <v>R023702;#9;#R023703;#10;#R023704;#11;#R023705;#12;#R023706;#13;#R023707;#14</v>
      </c>
      <c r="W117" s="48" t="str">
        <f>INDEX(SP_TaxPar_DB[Acquisition Tract No.],MATCH(LEFT(SP_ACQ_Lib[[#This Row],[Tax Parcel ID]],7),SP_TaxPar_DB[Tax Parcel ID],0))</f>
        <v>207</v>
      </c>
      <c r="X117" s="238" t="str">
        <f>IF(OR(SP_ACQ_Lib[[#This Row],[Acquisition Tract No.]]="",SP_ACQ_Lib[[#This Row],[ACQ Document Type]]=""),0,CONCATENATE("COW-FRMP_TR-",SP_ACQ_Lib[[#This Row],[Acquisition Tract No.]]," ",SP_ACQ_Lib[[#This Row],[ACQ Document Type]]))</f>
        <v>COW-FRMP_TR-207 APPRAISAL Just Compensation Approval</v>
      </c>
      <c r="Y117" s="239">
        <f>IF(OR(SP_ACQ_Lib[[#This Row],[File Name Convention]]=0,LEFT(SP_ACQ_Lib[[#This Row],[Name]],LEN(SP_ACQ_Lib[[#This Row],[File Name Convention]]))&lt;&gt;SP_ACQ_Lib[[#This Row],[File Name Convention]],ISERROR(SEARCH(SP_ACQ_Lib[[#This Row],[ACQ Document Type]],SP_ACQ_Lib[[#This Row],[Name]]))),1,0)</f>
        <v>0</v>
      </c>
    </row>
    <row r="118" spans="1:25" ht="15" x14ac:dyDescent="0.2">
      <c r="A118" s="157" t="str">
        <f>CONCATENATE(SP_ACQ_Lib[[#This Row],[Acquisition Tract No.]],"_",SP_ACQ_Lib[[#This Row],[ACQ Document Type]])</f>
        <v>207_APPRAISAL Just Compensation Memo</v>
      </c>
      <c r="B118" s="14" t="s">
        <v>6238</v>
      </c>
      <c r="C118" s="15" t="s">
        <v>34</v>
      </c>
      <c r="D118" s="12" t="s">
        <v>623</v>
      </c>
      <c r="E118" s="8" t="s">
        <v>1131</v>
      </c>
      <c r="F118" s="8" t="s">
        <v>4757</v>
      </c>
      <c r="G118" s="8" t="s">
        <v>4756</v>
      </c>
      <c r="H118" s="7" t="s">
        <v>592</v>
      </c>
      <c r="I118" s="16">
        <v>43998</v>
      </c>
      <c r="J118" s="16">
        <v>43998</v>
      </c>
      <c r="K118" s="17">
        <v>61924</v>
      </c>
      <c r="L118" s="3"/>
      <c r="M118" s="8" t="s">
        <v>4206</v>
      </c>
      <c r="N118" s="11">
        <v>44000.570185185185</v>
      </c>
      <c r="O118" s="8" t="s">
        <v>4206</v>
      </c>
      <c r="P118" s="11">
        <v>43998.681967592594</v>
      </c>
      <c r="Q118" s="13">
        <v>23063</v>
      </c>
      <c r="R118" s="19" t="s">
        <v>594</v>
      </c>
      <c r="S118" s="14" t="s">
        <v>6250</v>
      </c>
      <c r="T118" s="163">
        <v>1213</v>
      </c>
      <c r="U118" s="164" t="str">
        <f>CONCATENATE(LEFT(SP_ACQ_Lib[[#This Row],[Tax Parcel ID]],7),"_",SP_ACQ_Lib[[#This Row],[ACQ Document Type]])</f>
        <v>R023702_APPRAISAL Just Compensation Memo</v>
      </c>
      <c r="V118" s="65" t="str">
        <f>INDEX(SP_AcqTract_DB[WCAD Tax Parcel ID],MATCH(SP_ACQ_Lib[[#This Row],[Acquisition Tract No.]],SP_AcqTract_DB[Acquisition Tract No.],0))</f>
        <v>R023702;#9;#R023703;#10;#R023704;#11;#R023705;#12;#R023706;#13;#R023707;#14</v>
      </c>
      <c r="W118" s="48" t="str">
        <f>INDEX(SP_TaxPar_DB[Acquisition Tract No.],MATCH(LEFT(SP_ACQ_Lib[[#This Row],[Tax Parcel ID]],7),SP_TaxPar_DB[Tax Parcel ID],0))</f>
        <v>207</v>
      </c>
      <c r="X118" s="238" t="str">
        <f>IF(OR(SP_ACQ_Lib[[#This Row],[Acquisition Tract No.]]="",SP_ACQ_Lib[[#This Row],[ACQ Document Type]]=""),0,CONCATENATE("COW-FRMP_TR-",SP_ACQ_Lib[[#This Row],[Acquisition Tract No.]]," ",SP_ACQ_Lib[[#This Row],[ACQ Document Type]]))</f>
        <v>COW-FRMP_TR-207 APPRAISAL Just Compensation Memo</v>
      </c>
      <c r="Y118" s="239">
        <f>IF(OR(SP_ACQ_Lib[[#This Row],[File Name Convention]]=0,LEFT(SP_ACQ_Lib[[#This Row],[Name]],LEN(SP_ACQ_Lib[[#This Row],[File Name Convention]]))&lt;&gt;SP_ACQ_Lib[[#This Row],[File Name Convention]],ISERROR(SEARCH(SP_ACQ_Lib[[#This Row],[ACQ Document Type]],SP_ACQ_Lib[[#This Row],[Name]]))),1,0)</f>
        <v>0</v>
      </c>
    </row>
    <row r="119" spans="1:25" ht="15" x14ac:dyDescent="0.2">
      <c r="A119" s="157" t="str">
        <f>CONCATENATE(SP_ACQ_Lib[[#This Row],[Acquisition Tract No.]],"_",SP_ACQ_Lib[[#This Row],[ACQ Document Type]])</f>
        <v>207_APPRAISAL USACOE Authorization to Proceed with Offer</v>
      </c>
      <c r="B119" s="14" t="s">
        <v>6239</v>
      </c>
      <c r="C119" s="15" t="s">
        <v>34</v>
      </c>
      <c r="D119" s="12" t="s">
        <v>623</v>
      </c>
      <c r="E119" s="8" t="s">
        <v>1131</v>
      </c>
      <c r="F119" s="8" t="s">
        <v>4959</v>
      </c>
      <c r="G119" s="8" t="s">
        <v>4958</v>
      </c>
      <c r="H119" s="7" t="s">
        <v>592</v>
      </c>
      <c r="I119" s="16">
        <v>43998</v>
      </c>
      <c r="J119" s="16">
        <v>43998</v>
      </c>
      <c r="K119" s="17">
        <v>61924</v>
      </c>
      <c r="L119" s="3"/>
      <c r="M119" s="8" t="s">
        <v>4206</v>
      </c>
      <c r="N119" s="11">
        <v>44000.570405092592</v>
      </c>
      <c r="O119" s="8" t="s">
        <v>4206</v>
      </c>
      <c r="P119" s="11">
        <v>43998.681967592594</v>
      </c>
      <c r="Q119" s="13">
        <v>418871</v>
      </c>
      <c r="R119" s="19" t="s">
        <v>594</v>
      </c>
      <c r="S119" s="14" t="s">
        <v>6251</v>
      </c>
      <c r="T119" s="163">
        <v>1214</v>
      </c>
      <c r="U119" s="164" t="str">
        <f>CONCATENATE(LEFT(SP_ACQ_Lib[[#This Row],[Tax Parcel ID]],7),"_",SP_ACQ_Lib[[#This Row],[ACQ Document Type]])</f>
        <v>R023702_APPRAISAL USACOE Authorization to Proceed with Offer</v>
      </c>
      <c r="V119" s="65" t="str">
        <f>INDEX(SP_AcqTract_DB[WCAD Tax Parcel ID],MATCH(SP_ACQ_Lib[[#This Row],[Acquisition Tract No.]],SP_AcqTract_DB[Acquisition Tract No.],0))</f>
        <v>R023702;#9;#R023703;#10;#R023704;#11;#R023705;#12;#R023706;#13;#R023707;#14</v>
      </c>
      <c r="W119" s="48" t="str">
        <f>INDEX(SP_TaxPar_DB[Acquisition Tract No.],MATCH(LEFT(SP_ACQ_Lib[[#This Row],[Tax Parcel ID]],7),SP_TaxPar_DB[Tax Parcel ID],0))</f>
        <v>207</v>
      </c>
      <c r="X119" s="238" t="str">
        <f>IF(OR(SP_ACQ_Lib[[#This Row],[Acquisition Tract No.]]="",SP_ACQ_Lib[[#This Row],[ACQ Document Type]]=""),0,CONCATENATE("COW-FRMP_TR-",SP_ACQ_Lib[[#This Row],[Acquisition Tract No.]]," ",SP_ACQ_Lib[[#This Row],[ACQ Document Type]]))</f>
        <v>COW-FRMP_TR-207 APPRAISAL USACOE Authorization to Proceed with Offer</v>
      </c>
      <c r="Y119" s="239">
        <f>IF(OR(SP_ACQ_Lib[[#This Row],[File Name Convention]]=0,LEFT(SP_ACQ_Lib[[#This Row],[Name]],LEN(SP_ACQ_Lib[[#This Row],[File Name Convention]]))&lt;&gt;SP_ACQ_Lib[[#This Row],[File Name Convention]],ISERROR(SEARCH(SP_ACQ_Lib[[#This Row],[ACQ Document Type]],SP_ACQ_Lib[[#This Row],[Name]]))),1,0)</f>
        <v>0</v>
      </c>
    </row>
    <row r="120" spans="1:25" ht="15" x14ac:dyDescent="0.2">
      <c r="A120" s="157" t="str">
        <f>CONCATENATE(SP_ACQ_Lib[[#This Row],[Acquisition Tract No.]],"_",SP_ACQ_Lib[[#This Row],[ACQ Document Type]])</f>
        <v>207_APPRAISAL USACOE Authorization to Proceed with Offer Approval</v>
      </c>
      <c r="B120" s="14" t="s">
        <v>6496</v>
      </c>
      <c r="C120" s="15" t="s">
        <v>34</v>
      </c>
      <c r="D120" s="12" t="s">
        <v>623</v>
      </c>
      <c r="E120" s="8" t="s">
        <v>1131</v>
      </c>
      <c r="F120" s="8" t="s">
        <v>4973</v>
      </c>
      <c r="G120" s="8" t="s">
        <v>4972</v>
      </c>
      <c r="H120" s="7" t="s">
        <v>1749</v>
      </c>
      <c r="I120" s="16">
        <v>44012</v>
      </c>
      <c r="J120" s="16"/>
      <c r="K120" s="17">
        <v>61924</v>
      </c>
      <c r="L120" s="3"/>
      <c r="M120" s="8" t="s">
        <v>4206</v>
      </c>
      <c r="N120" s="11">
        <v>44012.534270833334</v>
      </c>
      <c r="O120" s="8" t="s">
        <v>4206</v>
      </c>
      <c r="P120" s="11">
        <v>44012.517581018517</v>
      </c>
      <c r="Q120" s="13">
        <v>510624</v>
      </c>
      <c r="R120" s="19" t="s">
        <v>594</v>
      </c>
      <c r="S120" s="14" t="s">
        <v>6559</v>
      </c>
      <c r="T120" s="163">
        <v>1306</v>
      </c>
      <c r="U120" s="164" t="str">
        <f>CONCATENATE(LEFT(SP_ACQ_Lib[[#This Row],[Tax Parcel ID]],7),"_",SP_ACQ_Lib[[#This Row],[ACQ Document Type]])</f>
        <v>R023702_APPRAISAL USACOE Authorization to Proceed with Offer Approval</v>
      </c>
      <c r="V120" s="65" t="str">
        <f>INDEX(SP_AcqTract_DB[WCAD Tax Parcel ID],MATCH(SP_ACQ_Lib[[#This Row],[Acquisition Tract No.]],SP_AcqTract_DB[Acquisition Tract No.],0))</f>
        <v>R023702;#9;#R023703;#10;#R023704;#11;#R023705;#12;#R023706;#13;#R023707;#14</v>
      </c>
      <c r="W120" s="48" t="str">
        <f>INDEX(SP_TaxPar_DB[Acquisition Tract No.],MATCH(LEFT(SP_ACQ_Lib[[#This Row],[Tax Parcel ID]],7),SP_TaxPar_DB[Tax Parcel ID],0))</f>
        <v>207</v>
      </c>
      <c r="X120" s="238" t="str">
        <f>IF(OR(SP_ACQ_Lib[[#This Row],[Acquisition Tract No.]]="",SP_ACQ_Lib[[#This Row],[ACQ Document Type]]=""),0,CONCATENATE("COW-FRMP_TR-",SP_ACQ_Lib[[#This Row],[Acquisition Tract No.]]," ",SP_ACQ_Lib[[#This Row],[ACQ Document Type]]))</f>
        <v>COW-FRMP_TR-207 APPRAISAL USACOE Authorization to Proceed with Offer Approval</v>
      </c>
      <c r="Y120" s="239">
        <f>IF(OR(SP_ACQ_Lib[[#This Row],[File Name Convention]]=0,LEFT(SP_ACQ_Lib[[#This Row],[Name]],LEN(SP_ACQ_Lib[[#This Row],[File Name Convention]]))&lt;&gt;SP_ACQ_Lib[[#This Row],[File Name Convention]],ISERROR(SEARCH(SP_ACQ_Lib[[#This Row],[ACQ Document Type]],SP_ACQ_Lib[[#This Row],[Name]]))),1,0)</f>
        <v>0</v>
      </c>
    </row>
    <row r="121" spans="1:25" ht="15" x14ac:dyDescent="0.2">
      <c r="A121" s="157" t="str">
        <f>CONCATENATE(SP_ACQ_Lib[[#This Row],[Acquisition Tract No.]],"_",SP_ACQ_Lib[[#This Row],[ACQ Document Type]])</f>
        <v>207_CONTACT Initial Interview - Residential</v>
      </c>
      <c r="B121" s="14" t="s">
        <v>1437</v>
      </c>
      <c r="C121" s="15" t="s">
        <v>34</v>
      </c>
      <c r="D121" s="12" t="s">
        <v>623</v>
      </c>
      <c r="E121" s="8" t="s">
        <v>865</v>
      </c>
      <c r="F121" s="8" t="s">
        <v>866</v>
      </c>
      <c r="G121" s="8" t="s">
        <v>618</v>
      </c>
      <c r="H121" s="7" t="s">
        <v>592</v>
      </c>
      <c r="I121" s="16">
        <v>43685</v>
      </c>
      <c r="J121" s="16"/>
      <c r="K121" s="17"/>
      <c r="L121" s="3"/>
      <c r="M121" s="8" t="s">
        <v>4206</v>
      </c>
      <c r="N121" s="11">
        <v>43893.500949074078</v>
      </c>
      <c r="O121" s="8" t="s">
        <v>4325</v>
      </c>
      <c r="P121" s="11">
        <v>43696.395069444443</v>
      </c>
      <c r="Q121" s="13">
        <v>288168</v>
      </c>
      <c r="R121" s="19" t="s">
        <v>594</v>
      </c>
      <c r="S121" s="14" t="s">
        <v>727</v>
      </c>
      <c r="T121" s="163">
        <v>100</v>
      </c>
      <c r="U121" s="164" t="str">
        <f>CONCATENATE(LEFT(SP_ACQ_Lib[[#This Row],[Tax Parcel ID]],7),"_",SP_ACQ_Lib[[#This Row],[ACQ Document Type]])</f>
        <v>R023702_CONTACT Initial Interview - Residential</v>
      </c>
      <c r="V121" s="65" t="str">
        <f>INDEX(SP_AcqTract_DB[WCAD Tax Parcel ID],MATCH(SP_ACQ_Lib[[#This Row],[Acquisition Tract No.]],SP_AcqTract_DB[Acquisition Tract No.],0))</f>
        <v>R023702;#9;#R023703;#10;#R023704;#11;#R023705;#12;#R023706;#13;#R023707;#14</v>
      </c>
      <c r="W121" s="48" t="str">
        <f>INDEX(SP_TaxPar_DB[Acquisition Tract No.],MATCH(LEFT(SP_ACQ_Lib[[#This Row],[Tax Parcel ID]],7),SP_TaxPar_DB[Tax Parcel ID],0))</f>
        <v>207</v>
      </c>
      <c r="X121" s="238" t="str">
        <f>IF(OR(SP_ACQ_Lib[[#This Row],[Acquisition Tract No.]]="",SP_ACQ_Lib[[#This Row],[ACQ Document Type]]=""),0,CONCATENATE("COW-FRMP_TR-",SP_ACQ_Lib[[#This Row],[Acquisition Tract No.]]," ",SP_ACQ_Lib[[#This Row],[ACQ Document Type]]))</f>
        <v>COW-FRMP_TR-207 CONTACT Initial Interview - Residential</v>
      </c>
      <c r="Y121" s="239">
        <f>IF(OR(SP_ACQ_Lib[[#This Row],[File Name Convention]]=0,LEFT(SP_ACQ_Lib[[#This Row],[Name]],LEN(SP_ACQ_Lib[[#This Row],[File Name Convention]]))&lt;&gt;SP_ACQ_Lib[[#This Row],[File Name Convention]],ISERROR(SEARCH(SP_ACQ_Lib[[#This Row],[ACQ Document Type]],SP_ACQ_Lib[[#This Row],[Name]]))),1,0)</f>
        <v>0</v>
      </c>
    </row>
    <row r="122" spans="1:25" ht="15" x14ac:dyDescent="0.2">
      <c r="A122" s="157" t="str">
        <f>CONCATENATE(SP_ACQ_Lib[[#This Row],[Acquisition Tract No.]],"_",SP_ACQ_Lib[[#This Row],[ACQ Document Type]])</f>
        <v>207_CONTACT Letter of Intent-HDR</v>
      </c>
      <c r="B122" s="14" t="s">
        <v>3431</v>
      </c>
      <c r="C122" s="15" t="s">
        <v>34</v>
      </c>
      <c r="D122" s="12" t="s">
        <v>623</v>
      </c>
      <c r="E122" s="8" t="s">
        <v>865</v>
      </c>
      <c r="F122" s="8" t="s">
        <v>1401</v>
      </c>
      <c r="G122" s="8" t="s">
        <v>1400</v>
      </c>
      <c r="H122" s="7" t="s">
        <v>592</v>
      </c>
      <c r="I122" s="16">
        <v>43765</v>
      </c>
      <c r="J122" s="16"/>
      <c r="K122" s="17"/>
      <c r="L122" s="3" t="s">
        <v>4330</v>
      </c>
      <c r="M122" s="8" t="s">
        <v>4206</v>
      </c>
      <c r="N122" s="11">
        <v>43893.487233796295</v>
      </c>
      <c r="O122" s="8" t="s">
        <v>1377</v>
      </c>
      <c r="P122" s="11">
        <v>43768.392418981479</v>
      </c>
      <c r="Q122" s="13">
        <v>1392486</v>
      </c>
      <c r="R122" s="19" t="s">
        <v>594</v>
      </c>
      <c r="S122" s="14" t="s">
        <v>1620</v>
      </c>
      <c r="T122" s="163">
        <v>474</v>
      </c>
      <c r="U122" s="164" t="str">
        <f>CONCATENATE(LEFT(SP_ACQ_Lib[[#This Row],[Tax Parcel ID]],7),"_",SP_ACQ_Lib[[#This Row],[ACQ Document Type]])</f>
        <v>R023702_CONTACT Letter of Intent-HDR</v>
      </c>
      <c r="V122" s="65" t="str">
        <f>INDEX(SP_AcqTract_DB[WCAD Tax Parcel ID],MATCH(SP_ACQ_Lib[[#This Row],[Acquisition Tract No.]],SP_AcqTract_DB[Acquisition Tract No.],0))</f>
        <v>R023702;#9;#R023703;#10;#R023704;#11;#R023705;#12;#R023706;#13;#R023707;#14</v>
      </c>
      <c r="W122" s="48" t="str">
        <f>INDEX(SP_TaxPar_DB[Acquisition Tract No.],MATCH(LEFT(SP_ACQ_Lib[[#This Row],[Tax Parcel ID]],7),SP_TaxPar_DB[Tax Parcel ID],0))</f>
        <v>207</v>
      </c>
      <c r="X122" s="238" t="str">
        <f>IF(OR(SP_ACQ_Lib[[#This Row],[Acquisition Tract No.]]="",SP_ACQ_Lib[[#This Row],[ACQ Document Type]]=""),0,CONCATENATE("COW-FRMP_TR-",SP_ACQ_Lib[[#This Row],[Acquisition Tract No.]]," ",SP_ACQ_Lib[[#This Row],[ACQ Document Type]]))</f>
        <v>COW-FRMP_TR-207 CONTACT Letter of Intent-HDR</v>
      </c>
      <c r="Y122" s="239">
        <f>IF(OR(SP_ACQ_Lib[[#This Row],[File Name Convention]]=0,LEFT(SP_ACQ_Lib[[#This Row],[Name]],LEN(SP_ACQ_Lib[[#This Row],[File Name Convention]]))&lt;&gt;SP_ACQ_Lib[[#This Row],[File Name Convention]],ISERROR(SEARCH(SP_ACQ_Lib[[#This Row],[ACQ Document Type]],SP_ACQ_Lib[[#This Row],[Name]]))),1,0)</f>
        <v>0</v>
      </c>
    </row>
    <row r="123" spans="1:25" ht="15" x14ac:dyDescent="0.2">
      <c r="A123" s="157" t="str">
        <f>CONCATENATE(SP_ACQ_Lib[[#This Row],[Acquisition Tract No.]],"_",SP_ACQ_Lib[[#This Row],[ACQ Document Type]])</f>
        <v>207_CONTACT Negotiator Report</v>
      </c>
      <c r="B123" s="14" t="s">
        <v>3371</v>
      </c>
      <c r="C123" s="15" t="s">
        <v>34</v>
      </c>
      <c r="D123" s="12" t="s">
        <v>623</v>
      </c>
      <c r="E123" s="8" t="s">
        <v>865</v>
      </c>
      <c r="F123" s="8" t="s">
        <v>1068</v>
      </c>
      <c r="G123" s="8" t="s">
        <v>1067</v>
      </c>
      <c r="H123" s="7" t="s">
        <v>592</v>
      </c>
      <c r="I123" s="16"/>
      <c r="J123" s="16"/>
      <c r="K123" s="17"/>
      <c r="L123" s="3"/>
      <c r="M123" s="8" t="s">
        <v>1743</v>
      </c>
      <c r="N123" s="11">
        <v>44021.664652777778</v>
      </c>
      <c r="O123" s="8" t="s">
        <v>4325</v>
      </c>
      <c r="P123" s="11">
        <v>43732.474259259259</v>
      </c>
      <c r="Q123" s="13">
        <v>143111</v>
      </c>
      <c r="R123" s="19" t="s">
        <v>1069</v>
      </c>
      <c r="S123" s="14" t="s">
        <v>1080</v>
      </c>
      <c r="T123" s="163">
        <v>289</v>
      </c>
      <c r="U123" s="164" t="str">
        <f>CONCATENATE(LEFT(SP_ACQ_Lib[[#This Row],[Tax Parcel ID]],7),"_",SP_ACQ_Lib[[#This Row],[ACQ Document Type]])</f>
        <v>R023702_CONTACT Negotiator Report</v>
      </c>
      <c r="V123" s="65" t="str">
        <f>INDEX(SP_AcqTract_DB[WCAD Tax Parcel ID],MATCH(SP_ACQ_Lib[[#This Row],[Acquisition Tract No.]],SP_AcqTract_DB[Acquisition Tract No.],0))</f>
        <v>R023702;#9;#R023703;#10;#R023704;#11;#R023705;#12;#R023706;#13;#R023707;#14</v>
      </c>
      <c r="W123" s="48" t="str">
        <f>INDEX(SP_TaxPar_DB[Acquisition Tract No.],MATCH(LEFT(SP_ACQ_Lib[[#This Row],[Tax Parcel ID]],7),SP_TaxPar_DB[Tax Parcel ID],0))</f>
        <v>207</v>
      </c>
      <c r="X123" s="238" t="str">
        <f>IF(OR(SP_ACQ_Lib[[#This Row],[Acquisition Tract No.]]="",SP_ACQ_Lib[[#This Row],[ACQ Document Type]]=""),0,CONCATENATE("COW-FRMP_TR-",SP_ACQ_Lib[[#This Row],[Acquisition Tract No.]]," ",SP_ACQ_Lib[[#This Row],[ACQ Document Type]]))</f>
        <v>COW-FRMP_TR-207 CONTACT Negotiator Report</v>
      </c>
      <c r="Y123" s="239">
        <f>IF(OR(SP_ACQ_Lib[[#This Row],[File Name Convention]]=0,LEFT(SP_ACQ_Lib[[#This Row],[Name]],LEN(SP_ACQ_Lib[[#This Row],[File Name Convention]]))&lt;&gt;SP_ACQ_Lib[[#This Row],[File Name Convention]],ISERROR(SEARCH(SP_ACQ_Lib[[#This Row],[ACQ Document Type]],SP_ACQ_Lib[[#This Row],[Name]]))),1,0)</f>
        <v>0</v>
      </c>
    </row>
    <row r="124" spans="1:25" ht="15" x14ac:dyDescent="0.2">
      <c r="A124" s="157" t="str">
        <f>CONCATENATE(SP_ACQ_Lib[[#This Row],[Acquisition Tract No.]],"_",SP_ACQ_Lib[[#This Row],[ACQ Document Type]])</f>
        <v>207_CONTACT Pre-Appraisal Contact with Owner</v>
      </c>
      <c r="B124" s="14" t="s">
        <v>3372</v>
      </c>
      <c r="C124" s="15" t="s">
        <v>34</v>
      </c>
      <c r="D124" s="12" t="s">
        <v>623</v>
      </c>
      <c r="E124" s="8" t="s">
        <v>865</v>
      </c>
      <c r="F124" s="8" t="s">
        <v>1748</v>
      </c>
      <c r="G124" s="8" t="s">
        <v>1747</v>
      </c>
      <c r="H124" s="7" t="s">
        <v>592</v>
      </c>
      <c r="I124" s="16">
        <v>43788</v>
      </c>
      <c r="J124" s="16"/>
      <c r="K124" s="17"/>
      <c r="L124" s="3"/>
      <c r="M124" s="8" t="s">
        <v>4206</v>
      </c>
      <c r="N124" s="11">
        <v>43872.548900462964</v>
      </c>
      <c r="O124" s="8" t="s">
        <v>1272</v>
      </c>
      <c r="P124" s="11">
        <v>43822.641481481478</v>
      </c>
      <c r="Q124" s="13">
        <v>1912673</v>
      </c>
      <c r="R124" s="19" t="s">
        <v>594</v>
      </c>
      <c r="S124" s="14" t="s">
        <v>1763</v>
      </c>
      <c r="T124" s="163">
        <v>674</v>
      </c>
      <c r="U124" s="164" t="str">
        <f>CONCATENATE(LEFT(SP_ACQ_Lib[[#This Row],[Tax Parcel ID]],7),"_",SP_ACQ_Lib[[#This Row],[ACQ Document Type]])</f>
        <v>R023702_CONTACT Pre-Appraisal Contact with Owner</v>
      </c>
      <c r="V124" s="65" t="str">
        <f>INDEX(SP_AcqTract_DB[WCAD Tax Parcel ID],MATCH(SP_ACQ_Lib[[#This Row],[Acquisition Tract No.]],SP_AcqTract_DB[Acquisition Tract No.],0))</f>
        <v>R023702;#9;#R023703;#10;#R023704;#11;#R023705;#12;#R023706;#13;#R023707;#14</v>
      </c>
      <c r="W124" s="48" t="str">
        <f>INDEX(SP_TaxPar_DB[Acquisition Tract No.],MATCH(LEFT(SP_ACQ_Lib[[#This Row],[Tax Parcel ID]],7),SP_TaxPar_DB[Tax Parcel ID],0))</f>
        <v>207</v>
      </c>
      <c r="X124" s="238" t="str">
        <f>IF(OR(SP_ACQ_Lib[[#This Row],[Acquisition Tract No.]]="",SP_ACQ_Lib[[#This Row],[ACQ Document Type]]=""),0,CONCATENATE("COW-FRMP_TR-",SP_ACQ_Lib[[#This Row],[Acquisition Tract No.]]," ",SP_ACQ_Lib[[#This Row],[ACQ Document Type]]))</f>
        <v>COW-FRMP_TR-207 CONTACT Pre-Appraisal Contact with Owner</v>
      </c>
      <c r="Y124" s="239">
        <f>IF(OR(SP_ACQ_Lib[[#This Row],[File Name Convention]]=0,LEFT(SP_ACQ_Lib[[#This Row],[Name]],LEN(SP_ACQ_Lib[[#This Row],[File Name Convention]]))&lt;&gt;SP_ACQ_Lib[[#This Row],[File Name Convention]],ISERROR(SEARCH(SP_ACQ_Lib[[#This Row],[ACQ Document Type]],SP_ACQ_Lib[[#This Row],[Name]]))),1,0)</f>
        <v>0</v>
      </c>
    </row>
    <row r="125" spans="1:25" ht="15" x14ac:dyDescent="0.2">
      <c r="A125" s="157" t="str">
        <f>CONCATENATE(SP_ACQ_Lib[[#This Row],[Acquisition Tract No.]],"_",SP_ACQ_Lib[[#This Row],[ACQ Document Type]])</f>
        <v>207_NEGOTIATION Initial Offer Package</v>
      </c>
      <c r="B125" s="14" t="s">
        <v>6497</v>
      </c>
      <c r="C125" s="15" t="s">
        <v>34</v>
      </c>
      <c r="D125" s="12" t="s">
        <v>623</v>
      </c>
      <c r="E125" s="8" t="s">
        <v>1142</v>
      </c>
      <c r="F125" s="8" t="s">
        <v>1143</v>
      </c>
      <c r="G125" s="8" t="s">
        <v>1709</v>
      </c>
      <c r="H125" s="7" t="s">
        <v>592</v>
      </c>
      <c r="I125" s="16">
        <v>44018</v>
      </c>
      <c r="J125" s="16"/>
      <c r="K125" s="17">
        <v>61924</v>
      </c>
      <c r="L125" s="3"/>
      <c r="M125" s="8" t="s">
        <v>4206</v>
      </c>
      <c r="N125" s="11">
        <v>44019.464918981481</v>
      </c>
      <c r="O125" s="8" t="s">
        <v>4206</v>
      </c>
      <c r="P125" s="11">
        <v>44019.46402777778</v>
      </c>
      <c r="Q125" s="13">
        <v>17826764</v>
      </c>
      <c r="R125" s="19" t="s">
        <v>594</v>
      </c>
      <c r="S125" s="14" t="s">
        <v>6560</v>
      </c>
      <c r="T125" s="163">
        <v>1355</v>
      </c>
      <c r="U125" s="164" t="str">
        <f>CONCATENATE(LEFT(SP_ACQ_Lib[[#This Row],[Tax Parcel ID]],7),"_",SP_ACQ_Lib[[#This Row],[ACQ Document Type]])</f>
        <v>R023702_NEGOTIATION Initial Offer Package</v>
      </c>
      <c r="V125" s="65" t="str">
        <f>INDEX(SP_AcqTract_DB[WCAD Tax Parcel ID],MATCH(SP_ACQ_Lib[[#This Row],[Acquisition Tract No.]],SP_AcqTract_DB[Acquisition Tract No.],0))</f>
        <v>R023702;#9;#R023703;#10;#R023704;#11;#R023705;#12;#R023706;#13;#R023707;#14</v>
      </c>
      <c r="W125" s="48" t="str">
        <f>INDEX(SP_TaxPar_DB[Acquisition Tract No.],MATCH(LEFT(SP_ACQ_Lib[[#This Row],[Tax Parcel ID]],7),SP_TaxPar_DB[Tax Parcel ID],0))</f>
        <v>207</v>
      </c>
      <c r="X125" s="238" t="str">
        <f>IF(OR(SP_ACQ_Lib[[#This Row],[Acquisition Tract No.]]="",SP_ACQ_Lib[[#This Row],[ACQ Document Type]]=""),0,CONCATENATE("COW-FRMP_TR-",SP_ACQ_Lib[[#This Row],[Acquisition Tract No.]]," ",SP_ACQ_Lib[[#This Row],[ACQ Document Type]]))</f>
        <v>COW-FRMP_TR-207 NEGOTIATION Initial Offer Package</v>
      </c>
      <c r="Y125" s="239">
        <f>IF(OR(SP_ACQ_Lib[[#This Row],[File Name Convention]]=0,LEFT(SP_ACQ_Lib[[#This Row],[Name]],LEN(SP_ACQ_Lib[[#This Row],[File Name Convention]]))&lt;&gt;SP_ACQ_Lib[[#This Row],[File Name Convention]],ISERROR(SEARCH(SP_ACQ_Lib[[#This Row],[ACQ Document Type]],SP_ACQ_Lib[[#This Row],[Name]]))),1,0)</f>
        <v>0</v>
      </c>
    </row>
    <row r="126" spans="1:25" ht="15" x14ac:dyDescent="0.2">
      <c r="A126" s="157" t="str">
        <f>CONCATENATE(SP_ACQ_Lib[[#This Row],[Acquisition Tract No.]],"_",SP_ACQ_Lib[[#This Row],[ACQ Document Type]])</f>
        <v>207_NEGOTIATION Initial Offer Package CMRR</v>
      </c>
      <c r="B126" s="14" t="s">
        <v>6498</v>
      </c>
      <c r="C126" s="15" t="s">
        <v>34</v>
      </c>
      <c r="D126" s="12" t="s">
        <v>623</v>
      </c>
      <c r="E126" s="8" t="s">
        <v>1142</v>
      </c>
      <c r="F126" s="8" t="s">
        <v>1144</v>
      </c>
      <c r="G126" s="8" t="s">
        <v>1710</v>
      </c>
      <c r="H126" s="7" t="s">
        <v>592</v>
      </c>
      <c r="I126" s="16">
        <v>44019</v>
      </c>
      <c r="J126" s="16">
        <v>44019</v>
      </c>
      <c r="K126" s="17"/>
      <c r="L126" s="3"/>
      <c r="M126" s="8" t="s">
        <v>4206</v>
      </c>
      <c r="N126" s="11">
        <v>44020.357939814814</v>
      </c>
      <c r="O126" s="8" t="s">
        <v>4206</v>
      </c>
      <c r="P126" s="11">
        <v>44019.398263888892</v>
      </c>
      <c r="Q126" s="13">
        <v>1268672</v>
      </c>
      <c r="R126" s="19" t="s">
        <v>594</v>
      </c>
      <c r="S126" s="14" t="s">
        <v>6561</v>
      </c>
      <c r="T126" s="163">
        <v>1349</v>
      </c>
      <c r="U126" s="164" t="str">
        <f>CONCATENATE(LEFT(SP_ACQ_Lib[[#This Row],[Tax Parcel ID]],7),"_",SP_ACQ_Lib[[#This Row],[ACQ Document Type]])</f>
        <v>R023702_NEGOTIATION Initial Offer Package CMRR</v>
      </c>
      <c r="V126" s="65" t="str">
        <f>INDEX(SP_AcqTract_DB[WCAD Tax Parcel ID],MATCH(SP_ACQ_Lib[[#This Row],[Acquisition Tract No.]],SP_AcqTract_DB[Acquisition Tract No.],0))</f>
        <v>R023702;#9;#R023703;#10;#R023704;#11;#R023705;#12;#R023706;#13;#R023707;#14</v>
      </c>
      <c r="W126" s="48" t="str">
        <f>INDEX(SP_TaxPar_DB[Acquisition Tract No.],MATCH(LEFT(SP_ACQ_Lib[[#This Row],[Tax Parcel ID]],7),SP_TaxPar_DB[Tax Parcel ID],0))</f>
        <v>207</v>
      </c>
      <c r="X126" s="238" t="str">
        <f>IF(OR(SP_ACQ_Lib[[#This Row],[Acquisition Tract No.]]="",SP_ACQ_Lib[[#This Row],[ACQ Document Type]]=""),0,CONCATENATE("COW-FRMP_TR-",SP_ACQ_Lib[[#This Row],[Acquisition Tract No.]]," ",SP_ACQ_Lib[[#This Row],[ACQ Document Type]]))</f>
        <v>COW-FRMP_TR-207 NEGOTIATION Initial Offer Package CMRR</v>
      </c>
      <c r="Y126" s="239">
        <f>IF(OR(SP_ACQ_Lib[[#This Row],[File Name Convention]]=0,LEFT(SP_ACQ_Lib[[#This Row],[Name]],LEN(SP_ACQ_Lib[[#This Row],[File Name Convention]]))&lt;&gt;SP_ACQ_Lib[[#This Row],[File Name Convention]],ISERROR(SEARCH(SP_ACQ_Lib[[#This Row],[ACQ Document Type]],SP_ACQ_Lib[[#This Row],[Name]]))),1,0)</f>
        <v>0</v>
      </c>
    </row>
    <row r="127" spans="1:25" ht="15" x14ac:dyDescent="0.2">
      <c r="A127" s="157" t="str">
        <f>CONCATENATE(SP_ACQ_Lib[[#This Row],[Acquisition Tract No.]],"_",SP_ACQ_Lib[[#This Row],[ACQ Document Type]])</f>
        <v>207_NEGOTIATION Landowner Bill of Rights Letter</v>
      </c>
      <c r="B127" s="14" t="s">
        <v>3432</v>
      </c>
      <c r="C127" s="15" t="s">
        <v>34</v>
      </c>
      <c r="D127" s="12" t="s">
        <v>623</v>
      </c>
      <c r="E127" s="8" t="s">
        <v>1142</v>
      </c>
      <c r="F127" s="8" t="s">
        <v>1746</v>
      </c>
      <c r="G127" s="8" t="s">
        <v>1745</v>
      </c>
      <c r="H127" s="7" t="s">
        <v>592</v>
      </c>
      <c r="I127" s="16">
        <v>43748</v>
      </c>
      <c r="J127" s="16"/>
      <c r="K127" s="17"/>
      <c r="L127" s="3"/>
      <c r="M127" s="8" t="s">
        <v>4206</v>
      </c>
      <c r="N127" s="11">
        <v>43893.500162037039</v>
      </c>
      <c r="O127" s="8" t="s">
        <v>4325</v>
      </c>
      <c r="P127" s="11">
        <v>43752.468761574077</v>
      </c>
      <c r="Q127" s="13">
        <v>347257</v>
      </c>
      <c r="R127" s="19" t="s">
        <v>594</v>
      </c>
      <c r="S127" s="14" t="s">
        <v>1186</v>
      </c>
      <c r="T127" s="163">
        <v>423</v>
      </c>
      <c r="U127" s="164" t="str">
        <f>CONCATENATE(LEFT(SP_ACQ_Lib[[#This Row],[Tax Parcel ID]],7),"_",SP_ACQ_Lib[[#This Row],[ACQ Document Type]])</f>
        <v>R023702_NEGOTIATION Landowner Bill of Rights Letter</v>
      </c>
      <c r="V127" s="65" t="str">
        <f>INDEX(SP_AcqTract_DB[WCAD Tax Parcel ID],MATCH(SP_ACQ_Lib[[#This Row],[Acquisition Tract No.]],SP_AcqTract_DB[Acquisition Tract No.],0))</f>
        <v>R023702;#9;#R023703;#10;#R023704;#11;#R023705;#12;#R023706;#13;#R023707;#14</v>
      </c>
      <c r="W127" s="48" t="str">
        <f>INDEX(SP_TaxPar_DB[Acquisition Tract No.],MATCH(LEFT(SP_ACQ_Lib[[#This Row],[Tax Parcel ID]],7),SP_TaxPar_DB[Tax Parcel ID],0))</f>
        <v>207</v>
      </c>
      <c r="X127" s="238" t="str">
        <f>IF(OR(SP_ACQ_Lib[[#This Row],[Acquisition Tract No.]]="",SP_ACQ_Lib[[#This Row],[ACQ Document Type]]=""),0,CONCATENATE("COW-FRMP_TR-",SP_ACQ_Lib[[#This Row],[Acquisition Tract No.]]," ",SP_ACQ_Lib[[#This Row],[ACQ Document Type]]))</f>
        <v>COW-FRMP_TR-207 NEGOTIATION Landowner Bill of Rights Letter</v>
      </c>
      <c r="Y127" s="239">
        <f>IF(OR(SP_ACQ_Lib[[#This Row],[File Name Convention]]=0,LEFT(SP_ACQ_Lib[[#This Row],[Name]],LEN(SP_ACQ_Lib[[#This Row],[File Name Convention]]))&lt;&gt;SP_ACQ_Lib[[#This Row],[File Name Convention]],ISERROR(SEARCH(SP_ACQ_Lib[[#This Row],[ACQ Document Type]],SP_ACQ_Lib[[#This Row],[Name]]))),1,0)</f>
        <v>0</v>
      </c>
    </row>
    <row r="128" spans="1:25" ht="15" x14ac:dyDescent="0.2">
      <c r="A128" s="157" t="str">
        <f>CONCATENATE(SP_ACQ_Lib[[#This Row],[Acquisition Tract No.]],"_",SP_ACQ_Lib[[#This Row],[ACQ Document Type]])</f>
        <v>207_SURVEY Description-Plat_CITY</v>
      </c>
      <c r="B128" s="14" t="s">
        <v>3520</v>
      </c>
      <c r="C128" s="15" t="s">
        <v>34</v>
      </c>
      <c r="D128" s="12" t="s">
        <v>623</v>
      </c>
      <c r="E128" s="8" t="s">
        <v>858</v>
      </c>
      <c r="F128" s="8" t="s">
        <v>3503</v>
      </c>
      <c r="G128" s="8" t="s">
        <v>3502</v>
      </c>
      <c r="H128" s="7" t="s">
        <v>1749</v>
      </c>
      <c r="I128" s="16">
        <v>43767</v>
      </c>
      <c r="J128" s="16">
        <v>43886</v>
      </c>
      <c r="K128" s="17"/>
      <c r="L128" s="3"/>
      <c r="M128" s="8" t="s">
        <v>4207</v>
      </c>
      <c r="N128" s="11">
        <v>43979.30605324074</v>
      </c>
      <c r="O128" s="8" t="s">
        <v>4206</v>
      </c>
      <c r="P128" s="11">
        <v>43886.642025462963</v>
      </c>
      <c r="Q128" s="13">
        <v>264338</v>
      </c>
      <c r="R128" s="19" t="s">
        <v>594</v>
      </c>
      <c r="S128" s="14" t="s">
        <v>3543</v>
      </c>
      <c r="T128" s="163">
        <v>1010</v>
      </c>
      <c r="U128" s="164" t="str">
        <f>CONCATENATE(LEFT(SP_ACQ_Lib[[#This Row],[Tax Parcel ID]],7),"_",SP_ACQ_Lib[[#This Row],[ACQ Document Type]])</f>
        <v>R023702_SURVEY Description-Plat_CITY</v>
      </c>
      <c r="V128" s="65" t="str">
        <f>INDEX(SP_AcqTract_DB[WCAD Tax Parcel ID],MATCH(SP_ACQ_Lib[[#This Row],[Acquisition Tract No.]],SP_AcqTract_DB[Acquisition Tract No.],0))</f>
        <v>R023702;#9;#R023703;#10;#R023704;#11;#R023705;#12;#R023706;#13;#R023707;#14</v>
      </c>
      <c r="W128" s="48" t="str">
        <f>INDEX(SP_TaxPar_DB[Acquisition Tract No.],MATCH(LEFT(SP_ACQ_Lib[[#This Row],[Tax Parcel ID]],7),SP_TaxPar_DB[Tax Parcel ID],0))</f>
        <v>207</v>
      </c>
      <c r="X128" s="238" t="str">
        <f>IF(OR(SP_ACQ_Lib[[#This Row],[Acquisition Tract No.]]="",SP_ACQ_Lib[[#This Row],[ACQ Document Type]]=""),0,CONCATENATE("COW-FRMP_TR-",SP_ACQ_Lib[[#This Row],[Acquisition Tract No.]]," ",SP_ACQ_Lib[[#This Row],[ACQ Document Type]]))</f>
        <v>COW-FRMP_TR-207 SURVEY Description-Plat_CITY</v>
      </c>
      <c r="Y128" s="239">
        <f>IF(OR(SP_ACQ_Lib[[#This Row],[File Name Convention]]=0,LEFT(SP_ACQ_Lib[[#This Row],[Name]],LEN(SP_ACQ_Lib[[#This Row],[File Name Convention]]))&lt;&gt;SP_ACQ_Lib[[#This Row],[File Name Convention]],ISERROR(SEARCH(SP_ACQ_Lib[[#This Row],[ACQ Document Type]],SP_ACQ_Lib[[#This Row],[Name]]))),1,0)</f>
        <v>0</v>
      </c>
    </row>
    <row r="129" spans="1:25" ht="15" x14ac:dyDescent="0.2">
      <c r="A129" s="157" t="str">
        <f>CONCATENATE(SP_ACQ_Lib[[#This Row],[Acquisition Tract No.]],"_",SP_ACQ_Lib[[#This Row],[ACQ Document Type]])</f>
        <v>207_SURVEY Description-Plat_USACOE</v>
      </c>
      <c r="B129" s="14" t="s">
        <v>4896</v>
      </c>
      <c r="C129" s="15" t="s">
        <v>34</v>
      </c>
      <c r="D129" s="12" t="s">
        <v>623</v>
      </c>
      <c r="E129" s="8" t="s">
        <v>858</v>
      </c>
      <c r="F129" s="8" t="s">
        <v>3510</v>
      </c>
      <c r="G129" s="8" t="s">
        <v>3509</v>
      </c>
      <c r="H129" s="7" t="s">
        <v>1749</v>
      </c>
      <c r="I129" s="16">
        <v>43767</v>
      </c>
      <c r="J129" s="16">
        <v>43937</v>
      </c>
      <c r="K129" s="17"/>
      <c r="L129" s="3"/>
      <c r="M129" s="8" t="s">
        <v>4207</v>
      </c>
      <c r="N129" s="11">
        <v>43979.30605324074</v>
      </c>
      <c r="O129" s="8" t="s">
        <v>4206</v>
      </c>
      <c r="P129" s="11">
        <v>43937.470833333333</v>
      </c>
      <c r="Q129" s="13">
        <v>272936</v>
      </c>
      <c r="R129" s="19" t="s">
        <v>594</v>
      </c>
      <c r="S129" s="14" t="s">
        <v>4900</v>
      </c>
      <c r="T129" s="163">
        <v>1011</v>
      </c>
      <c r="U129" s="164" t="str">
        <f>CONCATENATE(LEFT(SP_ACQ_Lib[[#This Row],[Tax Parcel ID]],7),"_",SP_ACQ_Lib[[#This Row],[ACQ Document Type]])</f>
        <v>R023702_SURVEY Description-Plat_USACOE</v>
      </c>
      <c r="V129" s="65" t="str">
        <f>INDEX(SP_AcqTract_DB[WCAD Tax Parcel ID],MATCH(SP_ACQ_Lib[[#This Row],[Acquisition Tract No.]],SP_AcqTract_DB[Acquisition Tract No.],0))</f>
        <v>R023702;#9;#R023703;#10;#R023704;#11;#R023705;#12;#R023706;#13;#R023707;#14</v>
      </c>
      <c r="W129" s="48" t="str">
        <f>INDEX(SP_TaxPar_DB[Acquisition Tract No.],MATCH(LEFT(SP_ACQ_Lib[[#This Row],[Tax Parcel ID]],7),SP_TaxPar_DB[Tax Parcel ID],0))</f>
        <v>207</v>
      </c>
      <c r="X129" s="238" t="str">
        <f>IF(OR(SP_ACQ_Lib[[#This Row],[Acquisition Tract No.]]="",SP_ACQ_Lib[[#This Row],[ACQ Document Type]]=""),0,CONCATENATE("COW-FRMP_TR-",SP_ACQ_Lib[[#This Row],[Acquisition Tract No.]]," ",SP_ACQ_Lib[[#This Row],[ACQ Document Type]]))</f>
        <v>COW-FRMP_TR-207 SURVEY Description-Plat_USACOE</v>
      </c>
      <c r="Y129" s="239">
        <f>IF(OR(SP_ACQ_Lib[[#This Row],[File Name Convention]]=0,LEFT(SP_ACQ_Lib[[#This Row],[Name]],LEN(SP_ACQ_Lib[[#This Row],[File Name Convention]]))&lt;&gt;SP_ACQ_Lib[[#This Row],[File Name Convention]],ISERROR(SEARCH(SP_ACQ_Lib[[#This Row],[ACQ Document Type]],SP_ACQ_Lib[[#This Row],[Name]]))),1,0)</f>
        <v>0</v>
      </c>
    </row>
    <row r="130" spans="1:25" ht="15" x14ac:dyDescent="0.2">
      <c r="A130" s="157" t="str">
        <f>CONCATENATE(SP_ACQ_Lib[[#This Row],[Acquisition Tract No.]],"_",SP_ACQ_Lib[[#This Row],[ACQ Document Type]])</f>
        <v>207_SURVEY Right-of-Entry</v>
      </c>
      <c r="B130" s="14" t="s">
        <v>4336</v>
      </c>
      <c r="C130" s="15" t="s">
        <v>34</v>
      </c>
      <c r="D130" s="12" t="s">
        <v>623</v>
      </c>
      <c r="E130" s="8" t="s">
        <v>858</v>
      </c>
      <c r="F130" s="8" t="s">
        <v>859</v>
      </c>
      <c r="G130" s="8" t="s">
        <v>591</v>
      </c>
      <c r="H130" s="7" t="s">
        <v>592</v>
      </c>
      <c r="I130" s="16">
        <v>43678</v>
      </c>
      <c r="J130" s="16"/>
      <c r="K130" s="17"/>
      <c r="L130" s="3" t="s">
        <v>4330</v>
      </c>
      <c r="M130" s="8" t="s">
        <v>4206</v>
      </c>
      <c r="N130" s="11">
        <v>43893.486851851849</v>
      </c>
      <c r="O130" s="8" t="s">
        <v>4206</v>
      </c>
      <c r="P130" s="11">
        <v>43893.485532407409</v>
      </c>
      <c r="Q130" s="13">
        <v>4145949</v>
      </c>
      <c r="R130" s="19" t="s">
        <v>594</v>
      </c>
      <c r="S130" s="14" t="s">
        <v>4339</v>
      </c>
      <c r="T130" s="163">
        <v>752</v>
      </c>
      <c r="U130" s="164" t="str">
        <f>CONCATENATE(LEFT(SP_ACQ_Lib[[#This Row],[Tax Parcel ID]],7),"_",SP_ACQ_Lib[[#This Row],[ACQ Document Type]])</f>
        <v>R023702_SURVEY Right-of-Entry</v>
      </c>
      <c r="V130" s="65" t="str">
        <f>INDEX(SP_AcqTract_DB[WCAD Tax Parcel ID],MATCH(SP_ACQ_Lib[[#This Row],[Acquisition Tract No.]],SP_AcqTract_DB[Acquisition Tract No.],0))</f>
        <v>R023702;#9;#R023703;#10;#R023704;#11;#R023705;#12;#R023706;#13;#R023707;#14</v>
      </c>
      <c r="W130" s="48" t="str">
        <f>INDEX(SP_TaxPar_DB[Acquisition Tract No.],MATCH(LEFT(SP_ACQ_Lib[[#This Row],[Tax Parcel ID]],7),SP_TaxPar_DB[Tax Parcel ID],0))</f>
        <v>207</v>
      </c>
      <c r="X130" s="238" t="str">
        <f>IF(OR(SP_ACQ_Lib[[#This Row],[Acquisition Tract No.]]="",SP_ACQ_Lib[[#This Row],[ACQ Document Type]]=""),0,CONCATENATE("COW-FRMP_TR-",SP_ACQ_Lib[[#This Row],[Acquisition Tract No.]]," ",SP_ACQ_Lib[[#This Row],[ACQ Document Type]]))</f>
        <v>COW-FRMP_TR-207 SURVEY Right-of-Entry</v>
      </c>
      <c r="Y130" s="239">
        <f>IF(OR(SP_ACQ_Lib[[#This Row],[File Name Convention]]=0,LEFT(SP_ACQ_Lib[[#This Row],[Name]],LEN(SP_ACQ_Lib[[#This Row],[File Name Convention]]))&lt;&gt;SP_ACQ_Lib[[#This Row],[File Name Convention]],ISERROR(SEARCH(SP_ACQ_Lib[[#This Row],[ACQ Document Type]],SP_ACQ_Lib[[#This Row],[Name]]))),1,0)</f>
        <v>0</v>
      </c>
    </row>
    <row r="131" spans="1:25" ht="15" x14ac:dyDescent="0.2">
      <c r="A131" s="157" t="str">
        <f>CONCATENATE(SP_ACQ_Lib[[#This Row],[Acquisition Tract No.]],"_",SP_ACQ_Lib[[#This Row],[ACQ Document Type]])</f>
        <v>207_SURVEY Right-of-Entry CMRR</v>
      </c>
      <c r="B131" s="14" t="s">
        <v>1438</v>
      </c>
      <c r="C131" s="15" t="s">
        <v>34</v>
      </c>
      <c r="D131" s="12" t="s">
        <v>623</v>
      </c>
      <c r="E131" s="8" t="s">
        <v>858</v>
      </c>
      <c r="F131" s="8" t="s">
        <v>860</v>
      </c>
      <c r="G131" s="8" t="s">
        <v>598</v>
      </c>
      <c r="H131" s="7" t="s">
        <v>592</v>
      </c>
      <c r="I131" s="16">
        <v>43680</v>
      </c>
      <c r="J131" s="16"/>
      <c r="K131" s="17"/>
      <c r="L131" s="3" t="s">
        <v>3516</v>
      </c>
      <c r="M131" s="8" t="s">
        <v>4206</v>
      </c>
      <c r="N131" s="11">
        <v>43985.446932870371</v>
      </c>
      <c r="O131" s="8" t="s">
        <v>4207</v>
      </c>
      <c r="P131" s="11">
        <v>43693.360578703701</v>
      </c>
      <c r="Q131" s="13">
        <v>143939</v>
      </c>
      <c r="R131" s="19" t="s">
        <v>594</v>
      </c>
      <c r="S131" s="14" t="s">
        <v>728</v>
      </c>
      <c r="T131" s="163">
        <v>85</v>
      </c>
      <c r="U131" s="164" t="str">
        <f>CONCATENATE(LEFT(SP_ACQ_Lib[[#This Row],[Tax Parcel ID]],7),"_",SP_ACQ_Lib[[#This Row],[ACQ Document Type]])</f>
        <v>R023702_SURVEY Right-of-Entry CMRR</v>
      </c>
      <c r="V131" s="65" t="str">
        <f>INDEX(SP_AcqTract_DB[WCAD Tax Parcel ID],MATCH(SP_ACQ_Lib[[#This Row],[Acquisition Tract No.]],SP_AcqTract_DB[Acquisition Tract No.],0))</f>
        <v>R023702;#9;#R023703;#10;#R023704;#11;#R023705;#12;#R023706;#13;#R023707;#14</v>
      </c>
      <c r="W131" s="48" t="str">
        <f>INDEX(SP_TaxPar_DB[Acquisition Tract No.],MATCH(LEFT(SP_ACQ_Lib[[#This Row],[Tax Parcel ID]],7),SP_TaxPar_DB[Tax Parcel ID],0))</f>
        <v>207</v>
      </c>
      <c r="X131" s="238" t="str">
        <f>IF(OR(SP_ACQ_Lib[[#This Row],[Acquisition Tract No.]]="",SP_ACQ_Lib[[#This Row],[ACQ Document Type]]=""),0,CONCATENATE("COW-FRMP_TR-",SP_ACQ_Lib[[#This Row],[Acquisition Tract No.]]," ",SP_ACQ_Lib[[#This Row],[ACQ Document Type]]))</f>
        <v>COW-FRMP_TR-207 SURVEY Right-of-Entry CMRR</v>
      </c>
      <c r="Y131" s="239">
        <f>IF(OR(SP_ACQ_Lib[[#This Row],[File Name Convention]]=0,LEFT(SP_ACQ_Lib[[#This Row],[Name]],LEN(SP_ACQ_Lib[[#This Row],[File Name Convention]]))&lt;&gt;SP_ACQ_Lib[[#This Row],[File Name Convention]],ISERROR(SEARCH(SP_ACQ_Lib[[#This Row],[ACQ Document Type]],SP_ACQ_Lib[[#This Row],[Name]]))),1,0)</f>
        <v>0</v>
      </c>
    </row>
    <row r="132" spans="1:25" ht="15" x14ac:dyDescent="0.2">
      <c r="A132" s="157" t="str">
        <f>CONCATENATE(SP_ACQ_Lib[[#This Row],[Acquisition Tract No.]],"_",SP_ACQ_Lib[[#This Row],[ACQ Document Type]])</f>
        <v>207_TITLE Commitment</v>
      </c>
      <c r="B132" s="14" t="s">
        <v>1439</v>
      </c>
      <c r="C132" s="15" t="s">
        <v>34</v>
      </c>
      <c r="D132" s="12" t="s">
        <v>623</v>
      </c>
      <c r="E132" s="8" t="s">
        <v>861</v>
      </c>
      <c r="F132" s="8" t="s">
        <v>862</v>
      </c>
      <c r="G132" s="8" t="s">
        <v>614</v>
      </c>
      <c r="H132" s="7" t="s">
        <v>592</v>
      </c>
      <c r="I132" s="16">
        <v>43943</v>
      </c>
      <c r="J132" s="16">
        <v>43689</v>
      </c>
      <c r="K132" s="17"/>
      <c r="L132" s="3" t="s">
        <v>5033</v>
      </c>
      <c r="M132" s="8" t="s">
        <v>4325</v>
      </c>
      <c r="N132" s="11">
        <v>43951.596932870372</v>
      </c>
      <c r="O132" s="8" t="s">
        <v>4326</v>
      </c>
      <c r="P132" s="11">
        <v>43690.361319444448</v>
      </c>
      <c r="Q132" s="13">
        <v>578462</v>
      </c>
      <c r="R132" s="19" t="s">
        <v>594</v>
      </c>
      <c r="S132" s="14" t="s">
        <v>729</v>
      </c>
      <c r="T132" s="163">
        <v>37</v>
      </c>
      <c r="U132" s="164" t="str">
        <f>CONCATENATE(LEFT(SP_ACQ_Lib[[#This Row],[Tax Parcel ID]],7),"_",SP_ACQ_Lib[[#This Row],[ACQ Document Type]])</f>
        <v>R023702_TITLE Commitment</v>
      </c>
      <c r="V132" s="65" t="str">
        <f>INDEX(SP_AcqTract_DB[WCAD Tax Parcel ID],MATCH(SP_ACQ_Lib[[#This Row],[Acquisition Tract No.]],SP_AcqTract_DB[Acquisition Tract No.],0))</f>
        <v>R023702;#9;#R023703;#10;#R023704;#11;#R023705;#12;#R023706;#13;#R023707;#14</v>
      </c>
      <c r="W132" s="48" t="str">
        <f>INDEX(SP_TaxPar_DB[Acquisition Tract No.],MATCH(LEFT(SP_ACQ_Lib[[#This Row],[Tax Parcel ID]],7),SP_TaxPar_DB[Tax Parcel ID],0))</f>
        <v>207</v>
      </c>
      <c r="X132" s="238" t="str">
        <f>IF(OR(SP_ACQ_Lib[[#This Row],[Acquisition Tract No.]]="",SP_ACQ_Lib[[#This Row],[ACQ Document Type]]=""),0,CONCATENATE("COW-FRMP_TR-",SP_ACQ_Lib[[#This Row],[Acquisition Tract No.]]," ",SP_ACQ_Lib[[#This Row],[ACQ Document Type]]))</f>
        <v>COW-FRMP_TR-207 TITLE Commitment</v>
      </c>
      <c r="Y132" s="239">
        <f>IF(OR(SP_ACQ_Lib[[#This Row],[File Name Convention]]=0,LEFT(SP_ACQ_Lib[[#This Row],[Name]],LEN(SP_ACQ_Lib[[#This Row],[File Name Convention]]))&lt;&gt;SP_ACQ_Lib[[#This Row],[File Name Convention]],ISERROR(SEARCH(SP_ACQ_Lib[[#This Row],[ACQ Document Type]],SP_ACQ_Lib[[#This Row],[Name]]))),1,0)</f>
        <v>0</v>
      </c>
    </row>
    <row r="133" spans="1:25" ht="15" x14ac:dyDescent="0.2">
      <c r="A133" s="157" t="str">
        <f>CONCATENATE(SP_ACQ_Lib[[#This Row],[Acquisition Tract No.]],"_",SP_ACQ_Lib[[#This Row],[ACQ Document Type]])</f>
        <v>207_TITLE Commitment Backup Docs</v>
      </c>
      <c r="B133" s="14" t="s">
        <v>1440</v>
      </c>
      <c r="C133" s="15" t="s">
        <v>34</v>
      </c>
      <c r="D133" s="12" t="s">
        <v>623</v>
      </c>
      <c r="E133" s="8" t="s">
        <v>861</v>
      </c>
      <c r="F133" s="8" t="s">
        <v>863</v>
      </c>
      <c r="G133" s="8" t="s">
        <v>616</v>
      </c>
      <c r="H133" s="7" t="s">
        <v>592</v>
      </c>
      <c r="I133" s="16"/>
      <c r="J133" s="16"/>
      <c r="K133" s="17"/>
      <c r="L133" s="3"/>
      <c r="M133" s="8" t="s">
        <v>4325</v>
      </c>
      <c r="N133" s="11">
        <v>43809.408333333333</v>
      </c>
      <c r="O133" s="8" t="s">
        <v>4326</v>
      </c>
      <c r="P133" s="11">
        <v>43690.361805555556</v>
      </c>
      <c r="Q133" s="13">
        <v>78581</v>
      </c>
      <c r="R133" s="19" t="s">
        <v>594</v>
      </c>
      <c r="S133" s="14" t="s">
        <v>730</v>
      </c>
      <c r="T133" s="163">
        <v>38</v>
      </c>
      <c r="U133" s="164" t="str">
        <f>CONCATENATE(LEFT(SP_ACQ_Lib[[#This Row],[Tax Parcel ID]],7),"_",SP_ACQ_Lib[[#This Row],[ACQ Document Type]])</f>
        <v>R023702_TITLE Commitment Backup Docs</v>
      </c>
      <c r="V133" s="65" t="str">
        <f>INDEX(SP_AcqTract_DB[WCAD Tax Parcel ID],MATCH(SP_ACQ_Lib[[#This Row],[Acquisition Tract No.]],SP_AcqTract_DB[Acquisition Tract No.],0))</f>
        <v>R023702;#9;#R023703;#10;#R023704;#11;#R023705;#12;#R023706;#13;#R023707;#14</v>
      </c>
      <c r="W133" s="48" t="str">
        <f>INDEX(SP_TaxPar_DB[Acquisition Tract No.],MATCH(LEFT(SP_ACQ_Lib[[#This Row],[Tax Parcel ID]],7),SP_TaxPar_DB[Tax Parcel ID],0))</f>
        <v>207</v>
      </c>
      <c r="X133" s="238" t="str">
        <f>IF(OR(SP_ACQ_Lib[[#This Row],[Acquisition Tract No.]]="",SP_ACQ_Lib[[#This Row],[ACQ Document Type]]=""),0,CONCATENATE("COW-FRMP_TR-",SP_ACQ_Lib[[#This Row],[Acquisition Tract No.]]," ",SP_ACQ_Lib[[#This Row],[ACQ Document Type]]))</f>
        <v>COW-FRMP_TR-207 TITLE Commitment Backup Docs</v>
      </c>
      <c r="Y133" s="239">
        <f>IF(OR(SP_ACQ_Lib[[#This Row],[File Name Convention]]=0,LEFT(SP_ACQ_Lib[[#This Row],[Name]],LEN(SP_ACQ_Lib[[#This Row],[File Name Convention]]))&lt;&gt;SP_ACQ_Lib[[#This Row],[File Name Convention]],ISERROR(SEARCH(SP_ACQ_Lib[[#This Row],[ACQ Document Type]],SP_ACQ_Lib[[#This Row],[Name]]))),1,0)</f>
        <v>0</v>
      </c>
    </row>
    <row r="134" spans="1:25" ht="15" x14ac:dyDescent="0.2">
      <c r="A134" s="157" t="str">
        <f>CONCATENATE(SP_ACQ_Lib[[#This Row],[Acquisition Tract No.]],"_",SP_ACQ_Lib[[#This Row],[ACQ Document Type]])</f>
        <v>207_TITLE Curative Plan</v>
      </c>
      <c r="B134" s="14" t="s">
        <v>1441</v>
      </c>
      <c r="C134" s="15" t="s">
        <v>34</v>
      </c>
      <c r="D134" s="12" t="s">
        <v>623</v>
      </c>
      <c r="E134" s="8" t="s">
        <v>861</v>
      </c>
      <c r="F134" s="8" t="s">
        <v>864</v>
      </c>
      <c r="G134" s="8" t="s">
        <v>617</v>
      </c>
      <c r="H134" s="7" t="s">
        <v>592</v>
      </c>
      <c r="I134" s="16">
        <v>43809</v>
      </c>
      <c r="J134" s="16"/>
      <c r="K134" s="17"/>
      <c r="L134" s="3"/>
      <c r="M134" s="8" t="s">
        <v>4325</v>
      </c>
      <c r="N134" s="11">
        <v>43951.596134259256</v>
      </c>
      <c r="O134" s="8" t="s">
        <v>4326</v>
      </c>
      <c r="P134" s="11">
        <v>43742.547569444447</v>
      </c>
      <c r="Q134" s="13">
        <v>35107</v>
      </c>
      <c r="R134" s="19" t="s">
        <v>594</v>
      </c>
      <c r="S134" s="14" t="s">
        <v>1187</v>
      </c>
      <c r="T134" s="163">
        <v>384</v>
      </c>
      <c r="U134" s="164" t="str">
        <f>CONCATENATE(LEFT(SP_ACQ_Lib[[#This Row],[Tax Parcel ID]],7),"_",SP_ACQ_Lib[[#This Row],[ACQ Document Type]])</f>
        <v>R023702_TITLE Curative Plan</v>
      </c>
      <c r="V134" s="65" t="str">
        <f>INDEX(SP_AcqTract_DB[WCAD Tax Parcel ID],MATCH(SP_ACQ_Lib[[#This Row],[Acquisition Tract No.]],SP_AcqTract_DB[Acquisition Tract No.],0))</f>
        <v>R023702;#9;#R023703;#10;#R023704;#11;#R023705;#12;#R023706;#13;#R023707;#14</v>
      </c>
      <c r="W134" s="48" t="str">
        <f>INDEX(SP_TaxPar_DB[Acquisition Tract No.],MATCH(LEFT(SP_ACQ_Lib[[#This Row],[Tax Parcel ID]],7),SP_TaxPar_DB[Tax Parcel ID],0))</f>
        <v>207</v>
      </c>
      <c r="X134" s="238" t="str">
        <f>IF(OR(SP_ACQ_Lib[[#This Row],[Acquisition Tract No.]]="",SP_ACQ_Lib[[#This Row],[ACQ Document Type]]=""),0,CONCATENATE("COW-FRMP_TR-",SP_ACQ_Lib[[#This Row],[Acquisition Tract No.]]," ",SP_ACQ_Lib[[#This Row],[ACQ Document Type]]))</f>
        <v>COW-FRMP_TR-207 TITLE Curative Plan</v>
      </c>
      <c r="Y134" s="239">
        <f>IF(OR(SP_ACQ_Lib[[#This Row],[File Name Convention]]=0,LEFT(SP_ACQ_Lib[[#This Row],[Name]],LEN(SP_ACQ_Lib[[#This Row],[File Name Convention]]))&lt;&gt;SP_ACQ_Lib[[#This Row],[File Name Convention]],ISERROR(SEARCH(SP_ACQ_Lib[[#This Row],[ACQ Document Type]],SP_ACQ_Lib[[#This Row],[Name]]))),1,0)</f>
        <v>0</v>
      </c>
    </row>
    <row r="135" spans="1:25" ht="15" x14ac:dyDescent="0.2">
      <c r="A135" s="157" t="str">
        <f>CONCATENATE(SP_ACQ_Lib[[#This Row],[Acquisition Tract No.]],"_",SP_ACQ_Lib[[#This Row],[ACQ Document Type]])</f>
        <v>207_TITLE Tax Card</v>
      </c>
      <c r="B135" s="14" t="s">
        <v>3863</v>
      </c>
      <c r="C135" s="15" t="s">
        <v>34</v>
      </c>
      <c r="D135" s="12" t="s">
        <v>623</v>
      </c>
      <c r="E135" s="8" t="s">
        <v>861</v>
      </c>
      <c r="F135" s="8" t="s">
        <v>1150</v>
      </c>
      <c r="G135" s="8" t="s">
        <v>1149</v>
      </c>
      <c r="H135" s="7" t="s">
        <v>592</v>
      </c>
      <c r="I135" s="16"/>
      <c r="J135" s="16"/>
      <c r="K135" s="17"/>
      <c r="L135" s="3" t="s">
        <v>4330</v>
      </c>
      <c r="M135" s="8" t="s">
        <v>4206</v>
      </c>
      <c r="N135" s="11">
        <v>43893.497245370374</v>
      </c>
      <c r="O135" s="8" t="s">
        <v>4206</v>
      </c>
      <c r="P135" s="11">
        <v>43893.496655092589</v>
      </c>
      <c r="Q135" s="13">
        <v>1343942</v>
      </c>
      <c r="R135" s="19" t="s">
        <v>594</v>
      </c>
      <c r="S135" s="14" t="s">
        <v>4340</v>
      </c>
      <c r="T135" s="163">
        <v>753</v>
      </c>
      <c r="U135" s="164" t="str">
        <f>CONCATENATE(LEFT(SP_ACQ_Lib[[#This Row],[Tax Parcel ID]],7),"_",SP_ACQ_Lib[[#This Row],[ACQ Document Type]])</f>
        <v>R023702_TITLE Tax Card</v>
      </c>
      <c r="V135" s="65" t="str">
        <f>INDEX(SP_AcqTract_DB[WCAD Tax Parcel ID],MATCH(SP_ACQ_Lib[[#This Row],[Acquisition Tract No.]],SP_AcqTract_DB[Acquisition Tract No.],0))</f>
        <v>R023702;#9;#R023703;#10;#R023704;#11;#R023705;#12;#R023706;#13;#R023707;#14</v>
      </c>
      <c r="W135" s="48" t="str">
        <f>INDEX(SP_TaxPar_DB[Acquisition Tract No.],MATCH(LEFT(SP_ACQ_Lib[[#This Row],[Tax Parcel ID]],7),SP_TaxPar_DB[Tax Parcel ID],0))</f>
        <v>207</v>
      </c>
      <c r="X135" s="238" t="str">
        <f>IF(OR(SP_ACQ_Lib[[#This Row],[Acquisition Tract No.]]="",SP_ACQ_Lib[[#This Row],[ACQ Document Type]]=""),0,CONCATENATE("COW-FRMP_TR-",SP_ACQ_Lib[[#This Row],[Acquisition Tract No.]]," ",SP_ACQ_Lib[[#This Row],[ACQ Document Type]]))</f>
        <v>COW-FRMP_TR-207 TITLE Tax Card</v>
      </c>
      <c r="Y135" s="239">
        <f>IF(OR(SP_ACQ_Lib[[#This Row],[File Name Convention]]=0,LEFT(SP_ACQ_Lib[[#This Row],[Name]],LEN(SP_ACQ_Lib[[#This Row],[File Name Convention]]))&lt;&gt;SP_ACQ_Lib[[#This Row],[File Name Convention]],ISERROR(SEARCH(SP_ACQ_Lib[[#This Row],[ACQ Document Type]],SP_ACQ_Lib[[#This Row],[Name]]))),1,0)</f>
        <v>0</v>
      </c>
    </row>
    <row r="136" spans="1:25" ht="15" x14ac:dyDescent="0.2">
      <c r="A136" s="157" t="str">
        <f>CONCATENATE(SP_ACQ_Lib[[#This Row],[Acquisition Tract No.]],"_",SP_ACQ_Lib[[#This Row],[ACQ Document Type]])</f>
        <v>208_APPRAISAL Final Appraisal</v>
      </c>
      <c r="B136" s="14" t="s">
        <v>6680</v>
      </c>
      <c r="C136" s="15" t="s">
        <v>35</v>
      </c>
      <c r="D136" s="12" t="s">
        <v>625</v>
      </c>
      <c r="E136" s="8" t="s">
        <v>1131</v>
      </c>
      <c r="F136" s="8" t="s">
        <v>4755</v>
      </c>
      <c r="G136" s="8" t="s">
        <v>4754</v>
      </c>
      <c r="H136" s="7" t="s">
        <v>592</v>
      </c>
      <c r="I136" s="16">
        <v>43912</v>
      </c>
      <c r="J136" s="16"/>
      <c r="K136" s="17">
        <v>87608</v>
      </c>
      <c r="L136" s="3"/>
      <c r="M136" s="8" t="s">
        <v>4206</v>
      </c>
      <c r="N136" s="11">
        <v>44021.643692129626</v>
      </c>
      <c r="O136" s="8" t="s">
        <v>4206</v>
      </c>
      <c r="P136" s="11">
        <v>44021.642395833333</v>
      </c>
      <c r="Q136" s="13">
        <v>13098141</v>
      </c>
      <c r="R136" s="19" t="s">
        <v>594</v>
      </c>
      <c r="S136" s="14" t="s">
        <v>6690</v>
      </c>
      <c r="T136" s="163">
        <v>1369</v>
      </c>
      <c r="U136" s="164" t="str">
        <f>CONCATENATE(LEFT(SP_ACQ_Lib[[#This Row],[Tax Parcel ID]],7),"_",SP_ACQ_Lib[[#This Row],[ACQ Document Type]])</f>
        <v>R023708_APPRAISAL Final Appraisal</v>
      </c>
      <c r="V136" s="65" t="str">
        <f>INDEX(SP_AcqTract_DB[WCAD Tax Parcel ID],MATCH(SP_ACQ_Lib[[#This Row],[Acquisition Tract No.]],SP_AcqTract_DB[Acquisition Tract No.],0))</f>
        <v>R023708;#15;#R023709;#16;#R023710;#17;#R023711;#18</v>
      </c>
      <c r="W136" s="48" t="str">
        <f>INDEX(SP_TaxPar_DB[Acquisition Tract No.],MATCH(LEFT(SP_ACQ_Lib[[#This Row],[Tax Parcel ID]],7),SP_TaxPar_DB[Tax Parcel ID],0))</f>
        <v>208</v>
      </c>
      <c r="X136" s="238" t="str">
        <f>IF(OR(SP_ACQ_Lib[[#This Row],[Acquisition Tract No.]]="",SP_ACQ_Lib[[#This Row],[ACQ Document Type]]=""),0,CONCATENATE("COW-FRMP_TR-",SP_ACQ_Lib[[#This Row],[Acquisition Tract No.]]," ",SP_ACQ_Lib[[#This Row],[ACQ Document Type]]))</f>
        <v>COW-FRMP_TR-208 APPRAISAL Final Appraisal</v>
      </c>
      <c r="Y136" s="239">
        <f>IF(OR(SP_ACQ_Lib[[#This Row],[File Name Convention]]=0,LEFT(SP_ACQ_Lib[[#This Row],[Name]],LEN(SP_ACQ_Lib[[#This Row],[File Name Convention]]))&lt;&gt;SP_ACQ_Lib[[#This Row],[File Name Convention]],ISERROR(SEARCH(SP_ACQ_Lib[[#This Row],[ACQ Document Type]],SP_ACQ_Lib[[#This Row],[Name]]))),1,0)</f>
        <v>0</v>
      </c>
    </row>
    <row r="137" spans="1:25" ht="15" x14ac:dyDescent="0.2">
      <c r="A137" s="157" t="str">
        <f>CONCATENATE(SP_ACQ_Lib[[#This Row],[Acquisition Tract No.]],"_",SP_ACQ_Lib[[#This Row],[ACQ Document Type]])</f>
        <v>208_APPRAISAL Just Compensation Memo</v>
      </c>
      <c r="B137" s="14" t="s">
        <v>6681</v>
      </c>
      <c r="C137" s="15" t="s">
        <v>35</v>
      </c>
      <c r="D137" s="12" t="s">
        <v>625</v>
      </c>
      <c r="E137" s="8" t="s">
        <v>1131</v>
      </c>
      <c r="F137" s="8" t="s">
        <v>4757</v>
      </c>
      <c r="G137" s="8" t="s">
        <v>4756</v>
      </c>
      <c r="H137" s="7" t="s">
        <v>592</v>
      </c>
      <c r="I137" s="16">
        <v>44021</v>
      </c>
      <c r="J137" s="16">
        <v>44025</v>
      </c>
      <c r="K137" s="17">
        <v>87608</v>
      </c>
      <c r="L137" s="3"/>
      <c r="M137" s="8" t="s">
        <v>4206</v>
      </c>
      <c r="N137" s="11">
        <v>44025.478634259256</v>
      </c>
      <c r="O137" s="8" t="s">
        <v>4206</v>
      </c>
      <c r="P137" s="11">
        <v>44021.642407407409</v>
      </c>
      <c r="Q137" s="13">
        <v>26002</v>
      </c>
      <c r="R137" s="19" t="s">
        <v>594</v>
      </c>
      <c r="S137" s="14" t="s">
        <v>6691</v>
      </c>
      <c r="T137" s="163">
        <v>1370</v>
      </c>
      <c r="U137" s="164" t="str">
        <f>CONCATENATE(LEFT(SP_ACQ_Lib[[#This Row],[Tax Parcel ID]],7),"_",SP_ACQ_Lib[[#This Row],[ACQ Document Type]])</f>
        <v>R023708_APPRAISAL Just Compensation Memo</v>
      </c>
      <c r="V137" s="65" t="str">
        <f>INDEX(SP_AcqTract_DB[WCAD Tax Parcel ID],MATCH(SP_ACQ_Lib[[#This Row],[Acquisition Tract No.]],SP_AcqTract_DB[Acquisition Tract No.],0))</f>
        <v>R023708;#15;#R023709;#16;#R023710;#17;#R023711;#18</v>
      </c>
      <c r="W137" s="48" t="str">
        <f>INDEX(SP_TaxPar_DB[Acquisition Tract No.],MATCH(LEFT(SP_ACQ_Lib[[#This Row],[Tax Parcel ID]],7),SP_TaxPar_DB[Tax Parcel ID],0))</f>
        <v>208</v>
      </c>
      <c r="X137" s="238" t="str">
        <f>IF(OR(SP_ACQ_Lib[[#This Row],[Acquisition Tract No.]]="",SP_ACQ_Lib[[#This Row],[ACQ Document Type]]=""),0,CONCATENATE("COW-FRMP_TR-",SP_ACQ_Lib[[#This Row],[Acquisition Tract No.]]," ",SP_ACQ_Lib[[#This Row],[ACQ Document Type]]))</f>
        <v>COW-FRMP_TR-208 APPRAISAL Just Compensation Memo</v>
      </c>
      <c r="Y137" s="239">
        <f>IF(OR(SP_ACQ_Lib[[#This Row],[File Name Convention]]=0,LEFT(SP_ACQ_Lib[[#This Row],[Name]],LEN(SP_ACQ_Lib[[#This Row],[File Name Convention]]))&lt;&gt;SP_ACQ_Lib[[#This Row],[File Name Convention]],ISERROR(SEARCH(SP_ACQ_Lib[[#This Row],[ACQ Document Type]],SP_ACQ_Lib[[#This Row],[Name]]))),1,0)</f>
        <v>0</v>
      </c>
    </row>
    <row r="138" spans="1:25" ht="15" x14ac:dyDescent="0.2">
      <c r="A138" s="157" t="str">
        <f>CONCATENATE(SP_ACQ_Lib[[#This Row],[Acquisition Tract No.]],"_",SP_ACQ_Lib[[#This Row],[ACQ Document Type]])</f>
        <v>208_APPRAISAL USACOE Authorization to Proceed with Offer</v>
      </c>
      <c r="B138" s="14" t="s">
        <v>6682</v>
      </c>
      <c r="C138" s="15" t="s">
        <v>35</v>
      </c>
      <c r="D138" s="12" t="s">
        <v>625</v>
      </c>
      <c r="E138" s="8" t="s">
        <v>1131</v>
      </c>
      <c r="F138" s="8" t="s">
        <v>4959</v>
      </c>
      <c r="G138" s="8" t="s">
        <v>4958</v>
      </c>
      <c r="H138" s="7" t="s">
        <v>592</v>
      </c>
      <c r="I138" s="16">
        <v>44021</v>
      </c>
      <c r="J138" s="16">
        <v>44025</v>
      </c>
      <c r="K138" s="17">
        <v>87608</v>
      </c>
      <c r="L138" s="3"/>
      <c r="M138" s="8" t="s">
        <v>4206</v>
      </c>
      <c r="N138" s="11">
        <v>44025.478819444441</v>
      </c>
      <c r="O138" s="8" t="s">
        <v>4206</v>
      </c>
      <c r="P138" s="11">
        <v>44021.642407407409</v>
      </c>
      <c r="Q138" s="13">
        <v>422618</v>
      </c>
      <c r="R138" s="19" t="s">
        <v>594</v>
      </c>
      <c r="S138" s="14" t="s">
        <v>6692</v>
      </c>
      <c r="T138" s="163">
        <v>1371</v>
      </c>
      <c r="U138" s="164" t="str">
        <f>CONCATENATE(LEFT(SP_ACQ_Lib[[#This Row],[Tax Parcel ID]],7),"_",SP_ACQ_Lib[[#This Row],[ACQ Document Type]])</f>
        <v>R023708_APPRAISAL USACOE Authorization to Proceed with Offer</v>
      </c>
      <c r="V138" s="65" t="str">
        <f>INDEX(SP_AcqTract_DB[WCAD Tax Parcel ID],MATCH(SP_ACQ_Lib[[#This Row],[Acquisition Tract No.]],SP_AcqTract_DB[Acquisition Tract No.],0))</f>
        <v>R023708;#15;#R023709;#16;#R023710;#17;#R023711;#18</v>
      </c>
      <c r="W138" s="48" t="str">
        <f>INDEX(SP_TaxPar_DB[Acquisition Tract No.],MATCH(LEFT(SP_ACQ_Lib[[#This Row],[Tax Parcel ID]],7),SP_TaxPar_DB[Tax Parcel ID],0))</f>
        <v>208</v>
      </c>
      <c r="X138" s="238" t="str">
        <f>IF(OR(SP_ACQ_Lib[[#This Row],[Acquisition Tract No.]]="",SP_ACQ_Lib[[#This Row],[ACQ Document Type]]=""),0,CONCATENATE("COW-FRMP_TR-",SP_ACQ_Lib[[#This Row],[Acquisition Tract No.]]," ",SP_ACQ_Lib[[#This Row],[ACQ Document Type]]))</f>
        <v>COW-FRMP_TR-208 APPRAISAL USACOE Authorization to Proceed with Offer</v>
      </c>
      <c r="Y138" s="239">
        <f>IF(OR(SP_ACQ_Lib[[#This Row],[File Name Convention]]=0,LEFT(SP_ACQ_Lib[[#This Row],[Name]],LEN(SP_ACQ_Lib[[#This Row],[File Name Convention]]))&lt;&gt;SP_ACQ_Lib[[#This Row],[File Name Convention]],ISERROR(SEARCH(SP_ACQ_Lib[[#This Row],[ACQ Document Type]],SP_ACQ_Lib[[#This Row],[Name]]))),1,0)</f>
        <v>0</v>
      </c>
    </row>
    <row r="139" spans="1:25" ht="15" x14ac:dyDescent="0.2">
      <c r="A139" s="157" t="str">
        <f>CONCATENATE(SP_ACQ_Lib[[#This Row],[Acquisition Tract No.]],"_",SP_ACQ_Lib[[#This Row],[ACQ Document Type]])</f>
        <v>208_CONTACT Initial Interview - Business</v>
      </c>
      <c r="B139" s="14" t="s">
        <v>1442</v>
      </c>
      <c r="C139" s="15" t="s">
        <v>35</v>
      </c>
      <c r="D139" s="12" t="s">
        <v>625</v>
      </c>
      <c r="E139" s="8" t="s">
        <v>865</v>
      </c>
      <c r="F139" s="8" t="s">
        <v>867</v>
      </c>
      <c r="G139" s="8" t="s">
        <v>624</v>
      </c>
      <c r="H139" s="7" t="s">
        <v>592</v>
      </c>
      <c r="I139" s="16">
        <v>43685</v>
      </c>
      <c r="J139" s="16"/>
      <c r="K139" s="17"/>
      <c r="L139" s="3"/>
      <c r="M139" s="8" t="s">
        <v>4206</v>
      </c>
      <c r="N139" s="11">
        <v>43894.460682870369</v>
      </c>
      <c r="O139" s="8" t="s">
        <v>4325</v>
      </c>
      <c r="P139" s="11">
        <v>43696.416481481479</v>
      </c>
      <c r="Q139" s="13">
        <v>164001</v>
      </c>
      <c r="R139" s="19" t="s">
        <v>594</v>
      </c>
      <c r="S139" s="14" t="s">
        <v>731</v>
      </c>
      <c r="T139" s="163">
        <v>110</v>
      </c>
      <c r="U139" s="164" t="str">
        <f>CONCATENATE(LEFT(SP_ACQ_Lib[[#This Row],[Tax Parcel ID]],7),"_",SP_ACQ_Lib[[#This Row],[ACQ Document Type]])</f>
        <v>R023708_CONTACT Initial Interview - Business</v>
      </c>
      <c r="V139" s="65" t="str">
        <f>INDEX(SP_AcqTract_DB[WCAD Tax Parcel ID],MATCH(SP_ACQ_Lib[[#This Row],[Acquisition Tract No.]],SP_AcqTract_DB[Acquisition Tract No.],0))</f>
        <v>R023708;#15;#R023709;#16;#R023710;#17;#R023711;#18</v>
      </c>
      <c r="W139" s="48" t="str">
        <f>INDEX(SP_TaxPar_DB[Acquisition Tract No.],MATCH(LEFT(SP_ACQ_Lib[[#This Row],[Tax Parcel ID]],7),SP_TaxPar_DB[Tax Parcel ID],0))</f>
        <v>208</v>
      </c>
      <c r="X139" s="238" t="str">
        <f>IF(OR(SP_ACQ_Lib[[#This Row],[Acquisition Tract No.]]="",SP_ACQ_Lib[[#This Row],[ACQ Document Type]]=""),0,CONCATENATE("COW-FRMP_TR-",SP_ACQ_Lib[[#This Row],[Acquisition Tract No.]]," ",SP_ACQ_Lib[[#This Row],[ACQ Document Type]]))</f>
        <v>COW-FRMP_TR-208 CONTACT Initial Interview - Business</v>
      </c>
      <c r="Y139" s="239">
        <f>IF(OR(SP_ACQ_Lib[[#This Row],[File Name Convention]]=0,LEFT(SP_ACQ_Lib[[#This Row],[Name]],LEN(SP_ACQ_Lib[[#This Row],[File Name Convention]]))&lt;&gt;SP_ACQ_Lib[[#This Row],[File Name Convention]],ISERROR(SEARCH(SP_ACQ_Lib[[#This Row],[ACQ Document Type]],SP_ACQ_Lib[[#This Row],[Name]]))),1,0)</f>
        <v>0</v>
      </c>
    </row>
    <row r="140" spans="1:25" ht="15" x14ac:dyDescent="0.2">
      <c r="A140" s="157" t="str">
        <f>CONCATENATE(SP_ACQ_Lib[[#This Row],[Acquisition Tract No.]],"_",SP_ACQ_Lib[[#This Row],[ACQ Document Type]])</f>
        <v>208_CONTACT Initial Interview - Residential</v>
      </c>
      <c r="B140" s="14" t="s">
        <v>1443</v>
      </c>
      <c r="C140" s="21" t="s">
        <v>35</v>
      </c>
      <c r="D140" s="12" t="s">
        <v>625</v>
      </c>
      <c r="E140" s="8" t="s">
        <v>865</v>
      </c>
      <c r="F140" s="8" t="s">
        <v>866</v>
      </c>
      <c r="G140" s="8" t="s">
        <v>618</v>
      </c>
      <c r="H140" s="7" t="s">
        <v>592</v>
      </c>
      <c r="I140" s="16">
        <v>43685</v>
      </c>
      <c r="J140" s="16"/>
      <c r="K140" s="17"/>
      <c r="L140" s="3"/>
      <c r="M140" s="8" t="s">
        <v>4206</v>
      </c>
      <c r="N140" s="11">
        <v>43894.460960648146</v>
      </c>
      <c r="O140" s="8" t="s">
        <v>4325</v>
      </c>
      <c r="P140" s="11">
        <v>43696.412256944444</v>
      </c>
      <c r="Q140" s="13">
        <v>180781</v>
      </c>
      <c r="R140" s="22" t="s">
        <v>594</v>
      </c>
      <c r="S140" s="14" t="s">
        <v>732</v>
      </c>
      <c r="T140" s="163">
        <v>108</v>
      </c>
      <c r="U140" s="164" t="str">
        <f>CONCATENATE(LEFT(SP_ACQ_Lib[[#This Row],[Tax Parcel ID]],7),"_",SP_ACQ_Lib[[#This Row],[ACQ Document Type]])</f>
        <v>R023708_CONTACT Initial Interview - Residential</v>
      </c>
      <c r="V140" s="65" t="str">
        <f>INDEX(SP_AcqTract_DB[WCAD Tax Parcel ID],MATCH(SP_ACQ_Lib[[#This Row],[Acquisition Tract No.]],SP_AcqTract_DB[Acquisition Tract No.],0))</f>
        <v>R023708;#15;#R023709;#16;#R023710;#17;#R023711;#18</v>
      </c>
      <c r="W140" s="48" t="str">
        <f>INDEX(SP_TaxPar_DB[Acquisition Tract No.],MATCH(LEFT(SP_ACQ_Lib[[#This Row],[Tax Parcel ID]],7),SP_TaxPar_DB[Tax Parcel ID],0))</f>
        <v>208</v>
      </c>
      <c r="X140" s="238" t="str">
        <f>IF(OR(SP_ACQ_Lib[[#This Row],[Acquisition Tract No.]]="",SP_ACQ_Lib[[#This Row],[ACQ Document Type]]=""),0,CONCATENATE("COW-FRMP_TR-",SP_ACQ_Lib[[#This Row],[Acquisition Tract No.]]," ",SP_ACQ_Lib[[#This Row],[ACQ Document Type]]))</f>
        <v>COW-FRMP_TR-208 CONTACT Initial Interview - Residential</v>
      </c>
      <c r="Y140" s="239">
        <f>IF(OR(SP_ACQ_Lib[[#This Row],[File Name Convention]]=0,LEFT(SP_ACQ_Lib[[#This Row],[Name]],LEN(SP_ACQ_Lib[[#This Row],[File Name Convention]]))&lt;&gt;SP_ACQ_Lib[[#This Row],[File Name Convention]],ISERROR(SEARCH(SP_ACQ_Lib[[#This Row],[ACQ Document Type]],SP_ACQ_Lib[[#This Row],[Name]]))),1,0)</f>
        <v>0</v>
      </c>
    </row>
    <row r="141" spans="1:25" ht="15" x14ac:dyDescent="0.2">
      <c r="A141" s="157" t="str">
        <f>CONCATENATE(SP_ACQ_Lib[[#This Row],[Acquisition Tract No.]],"_",SP_ACQ_Lib[[#This Row],[ACQ Document Type]])</f>
        <v>208_CONTACT Letter of Intent-HDR</v>
      </c>
      <c r="B141" s="14" t="s">
        <v>4337</v>
      </c>
      <c r="C141" s="15" t="s">
        <v>35</v>
      </c>
      <c r="D141" s="12" t="s">
        <v>625</v>
      </c>
      <c r="E141" s="8" t="s">
        <v>865</v>
      </c>
      <c r="F141" s="8" t="s">
        <v>1401</v>
      </c>
      <c r="G141" s="8" t="s">
        <v>1400</v>
      </c>
      <c r="H141" s="7" t="s">
        <v>592</v>
      </c>
      <c r="I141" s="16">
        <v>43765</v>
      </c>
      <c r="J141" s="16"/>
      <c r="K141" s="17"/>
      <c r="L141" s="3"/>
      <c r="M141" s="8" t="s">
        <v>4206</v>
      </c>
      <c r="N141" s="11">
        <v>43906.539178240739</v>
      </c>
      <c r="O141" s="8" t="s">
        <v>4206</v>
      </c>
      <c r="P141" s="11">
        <v>43893.50472222222</v>
      </c>
      <c r="Q141" s="13">
        <v>794125</v>
      </c>
      <c r="R141" s="19" t="s">
        <v>594</v>
      </c>
      <c r="S141" s="14" t="s">
        <v>4341</v>
      </c>
      <c r="T141" s="163">
        <v>754</v>
      </c>
      <c r="U141" s="164" t="str">
        <f>CONCATENATE(LEFT(SP_ACQ_Lib[[#This Row],[Tax Parcel ID]],7),"_",SP_ACQ_Lib[[#This Row],[ACQ Document Type]])</f>
        <v>R023708_CONTACT Letter of Intent-HDR</v>
      </c>
      <c r="V141" s="65" t="str">
        <f>INDEX(SP_AcqTract_DB[WCAD Tax Parcel ID],MATCH(SP_ACQ_Lib[[#This Row],[Acquisition Tract No.]],SP_AcqTract_DB[Acquisition Tract No.],0))</f>
        <v>R023708;#15;#R023709;#16;#R023710;#17;#R023711;#18</v>
      </c>
      <c r="W141" s="48" t="str">
        <f>INDEX(SP_TaxPar_DB[Acquisition Tract No.],MATCH(LEFT(SP_ACQ_Lib[[#This Row],[Tax Parcel ID]],7),SP_TaxPar_DB[Tax Parcel ID],0))</f>
        <v>208</v>
      </c>
      <c r="X141" s="238" t="str">
        <f>IF(OR(SP_ACQ_Lib[[#This Row],[Acquisition Tract No.]]="",SP_ACQ_Lib[[#This Row],[ACQ Document Type]]=""),0,CONCATENATE("COW-FRMP_TR-",SP_ACQ_Lib[[#This Row],[Acquisition Tract No.]]," ",SP_ACQ_Lib[[#This Row],[ACQ Document Type]]))</f>
        <v>COW-FRMP_TR-208 CONTACT Letter of Intent-HDR</v>
      </c>
      <c r="Y141" s="239">
        <f>IF(OR(SP_ACQ_Lib[[#This Row],[File Name Convention]]=0,LEFT(SP_ACQ_Lib[[#This Row],[Name]],LEN(SP_ACQ_Lib[[#This Row],[File Name Convention]]))&lt;&gt;SP_ACQ_Lib[[#This Row],[File Name Convention]],ISERROR(SEARCH(SP_ACQ_Lib[[#This Row],[ACQ Document Type]],SP_ACQ_Lib[[#This Row],[Name]]))),1,0)</f>
        <v>0</v>
      </c>
    </row>
    <row r="142" spans="1:25" ht="15" x14ac:dyDescent="0.2">
      <c r="A142" s="157" t="str">
        <f>CONCATENATE(SP_ACQ_Lib[[#This Row],[Acquisition Tract No.]],"_",SP_ACQ_Lib[[#This Row],[ACQ Document Type]])</f>
        <v>208_CONTACT Negotiator Report</v>
      </c>
      <c r="B142" s="14" t="s">
        <v>3373</v>
      </c>
      <c r="C142" s="15" t="s">
        <v>35</v>
      </c>
      <c r="D142" s="12" t="s">
        <v>625</v>
      </c>
      <c r="E142" s="8" t="s">
        <v>865</v>
      </c>
      <c r="F142" s="8" t="s">
        <v>1068</v>
      </c>
      <c r="G142" s="8" t="s">
        <v>1067</v>
      </c>
      <c r="H142" s="7" t="s">
        <v>592</v>
      </c>
      <c r="I142" s="16"/>
      <c r="J142" s="16"/>
      <c r="K142" s="17"/>
      <c r="L142" s="3"/>
      <c r="M142" s="8" t="s">
        <v>1743</v>
      </c>
      <c r="N142" s="11">
        <v>43998.601782407408</v>
      </c>
      <c r="O142" s="8" t="s">
        <v>4325</v>
      </c>
      <c r="P142" s="11">
        <v>43732.516006944446</v>
      </c>
      <c r="Q142" s="13">
        <v>522825</v>
      </c>
      <c r="R142" s="19" t="s">
        <v>1069</v>
      </c>
      <c r="S142" s="14" t="s">
        <v>1081</v>
      </c>
      <c r="T142" s="163">
        <v>291</v>
      </c>
      <c r="U142" s="164" t="str">
        <f>CONCATENATE(LEFT(SP_ACQ_Lib[[#This Row],[Tax Parcel ID]],7),"_",SP_ACQ_Lib[[#This Row],[ACQ Document Type]])</f>
        <v>R023708_CONTACT Negotiator Report</v>
      </c>
      <c r="V142" s="65" t="str">
        <f>INDEX(SP_AcqTract_DB[WCAD Tax Parcel ID],MATCH(SP_ACQ_Lib[[#This Row],[Acquisition Tract No.]],SP_AcqTract_DB[Acquisition Tract No.],0))</f>
        <v>R023708;#15;#R023709;#16;#R023710;#17;#R023711;#18</v>
      </c>
      <c r="W142" s="48" t="str">
        <f>INDEX(SP_TaxPar_DB[Acquisition Tract No.],MATCH(LEFT(SP_ACQ_Lib[[#This Row],[Tax Parcel ID]],7),SP_TaxPar_DB[Tax Parcel ID],0))</f>
        <v>208</v>
      </c>
      <c r="X142" s="238" t="str">
        <f>IF(OR(SP_ACQ_Lib[[#This Row],[Acquisition Tract No.]]="",SP_ACQ_Lib[[#This Row],[ACQ Document Type]]=""),0,CONCATENATE("COW-FRMP_TR-",SP_ACQ_Lib[[#This Row],[Acquisition Tract No.]]," ",SP_ACQ_Lib[[#This Row],[ACQ Document Type]]))</f>
        <v>COW-FRMP_TR-208 CONTACT Negotiator Report</v>
      </c>
      <c r="Y142" s="239">
        <f>IF(OR(SP_ACQ_Lib[[#This Row],[File Name Convention]]=0,LEFT(SP_ACQ_Lib[[#This Row],[Name]],LEN(SP_ACQ_Lib[[#This Row],[File Name Convention]]))&lt;&gt;SP_ACQ_Lib[[#This Row],[File Name Convention]],ISERROR(SEARCH(SP_ACQ_Lib[[#This Row],[ACQ Document Type]],SP_ACQ_Lib[[#This Row],[Name]]))),1,0)</f>
        <v>0</v>
      </c>
    </row>
    <row r="143" spans="1:25" ht="15" x14ac:dyDescent="0.2">
      <c r="A143" s="157" t="str">
        <f>CONCATENATE(SP_ACQ_Lib[[#This Row],[Acquisition Tract No.]],"_",SP_ACQ_Lib[[#This Row],[ACQ Document Type]])</f>
        <v>208_CONTACT Pre-Appraisal Contact with Owner</v>
      </c>
      <c r="B143" s="14" t="s">
        <v>3374</v>
      </c>
      <c r="C143" s="15" t="s">
        <v>35</v>
      </c>
      <c r="D143" s="12" t="s">
        <v>625</v>
      </c>
      <c r="E143" s="8" t="s">
        <v>865</v>
      </c>
      <c r="F143" s="8" t="s">
        <v>1748</v>
      </c>
      <c r="G143" s="8" t="s">
        <v>1747</v>
      </c>
      <c r="H143" s="7" t="s">
        <v>592</v>
      </c>
      <c r="I143" s="16">
        <v>43788</v>
      </c>
      <c r="J143" s="16"/>
      <c r="K143" s="17"/>
      <c r="L143" s="3"/>
      <c r="M143" s="8" t="s">
        <v>4206</v>
      </c>
      <c r="N143" s="11">
        <v>43872.549004629633</v>
      </c>
      <c r="O143" s="8" t="s">
        <v>1272</v>
      </c>
      <c r="P143" s="11">
        <v>43822.641469907408</v>
      </c>
      <c r="Q143" s="13">
        <v>1807041</v>
      </c>
      <c r="R143" s="19" t="s">
        <v>594</v>
      </c>
      <c r="S143" s="14" t="s">
        <v>1764</v>
      </c>
      <c r="T143" s="163">
        <v>675</v>
      </c>
      <c r="U143" s="164" t="str">
        <f>CONCATENATE(LEFT(SP_ACQ_Lib[[#This Row],[Tax Parcel ID]],7),"_",SP_ACQ_Lib[[#This Row],[ACQ Document Type]])</f>
        <v>R023708_CONTACT Pre-Appraisal Contact with Owner</v>
      </c>
      <c r="V143" s="65" t="str">
        <f>INDEX(SP_AcqTract_DB[WCAD Tax Parcel ID],MATCH(SP_ACQ_Lib[[#This Row],[Acquisition Tract No.]],SP_AcqTract_DB[Acquisition Tract No.],0))</f>
        <v>R023708;#15;#R023709;#16;#R023710;#17;#R023711;#18</v>
      </c>
      <c r="W143" s="48" t="str">
        <f>INDEX(SP_TaxPar_DB[Acquisition Tract No.],MATCH(LEFT(SP_ACQ_Lib[[#This Row],[Tax Parcel ID]],7),SP_TaxPar_DB[Tax Parcel ID],0))</f>
        <v>208</v>
      </c>
      <c r="X143" s="238" t="str">
        <f>IF(OR(SP_ACQ_Lib[[#This Row],[Acquisition Tract No.]]="",SP_ACQ_Lib[[#This Row],[ACQ Document Type]]=""),0,CONCATENATE("COW-FRMP_TR-",SP_ACQ_Lib[[#This Row],[Acquisition Tract No.]]," ",SP_ACQ_Lib[[#This Row],[ACQ Document Type]]))</f>
        <v>COW-FRMP_TR-208 CONTACT Pre-Appraisal Contact with Owner</v>
      </c>
      <c r="Y143" s="239">
        <f>IF(OR(SP_ACQ_Lib[[#This Row],[File Name Convention]]=0,LEFT(SP_ACQ_Lib[[#This Row],[Name]],LEN(SP_ACQ_Lib[[#This Row],[File Name Convention]]))&lt;&gt;SP_ACQ_Lib[[#This Row],[File Name Convention]],ISERROR(SEARCH(SP_ACQ_Lib[[#This Row],[ACQ Document Type]],SP_ACQ_Lib[[#This Row],[Name]]))),1,0)</f>
        <v>0</v>
      </c>
    </row>
    <row r="144" spans="1:25" ht="15" x14ac:dyDescent="0.2">
      <c r="A144" s="157" t="str">
        <f>CONCATENATE(SP_ACQ_Lib[[#This Row],[Acquisition Tract No.]],"_",SP_ACQ_Lib[[#This Row],[ACQ Document Type]])</f>
        <v>208_NEGOTIATION Landowner Bill of Rights Letter</v>
      </c>
      <c r="B144" s="14" t="s">
        <v>3433</v>
      </c>
      <c r="C144" s="15" t="s">
        <v>35</v>
      </c>
      <c r="D144" s="12" t="s">
        <v>625</v>
      </c>
      <c r="E144" s="8" t="s">
        <v>1142</v>
      </c>
      <c r="F144" s="8" t="s">
        <v>1746</v>
      </c>
      <c r="G144" s="8" t="s">
        <v>1745</v>
      </c>
      <c r="H144" s="7" t="s">
        <v>592</v>
      </c>
      <c r="I144" s="16">
        <v>43748</v>
      </c>
      <c r="J144" s="16"/>
      <c r="K144" s="17"/>
      <c r="L144" s="3"/>
      <c r="M144" s="8" t="s">
        <v>4206</v>
      </c>
      <c r="N144" s="11">
        <v>43893.5544212963</v>
      </c>
      <c r="O144" s="8" t="s">
        <v>4325</v>
      </c>
      <c r="P144" s="11">
        <v>43752.471261574072</v>
      </c>
      <c r="Q144" s="13">
        <v>347222</v>
      </c>
      <c r="R144" s="19" t="s">
        <v>594</v>
      </c>
      <c r="S144" s="14" t="s">
        <v>1188</v>
      </c>
      <c r="T144" s="163">
        <v>424</v>
      </c>
      <c r="U144" s="164" t="str">
        <f>CONCATENATE(LEFT(SP_ACQ_Lib[[#This Row],[Tax Parcel ID]],7),"_",SP_ACQ_Lib[[#This Row],[ACQ Document Type]])</f>
        <v>R023708_NEGOTIATION Landowner Bill of Rights Letter</v>
      </c>
      <c r="V144" s="65" t="str">
        <f>INDEX(SP_AcqTract_DB[WCAD Tax Parcel ID],MATCH(SP_ACQ_Lib[[#This Row],[Acquisition Tract No.]],SP_AcqTract_DB[Acquisition Tract No.],0))</f>
        <v>R023708;#15;#R023709;#16;#R023710;#17;#R023711;#18</v>
      </c>
      <c r="W144" s="48" t="str">
        <f>INDEX(SP_TaxPar_DB[Acquisition Tract No.],MATCH(LEFT(SP_ACQ_Lib[[#This Row],[Tax Parcel ID]],7),SP_TaxPar_DB[Tax Parcel ID],0))</f>
        <v>208</v>
      </c>
      <c r="X144" s="238" t="str">
        <f>IF(OR(SP_ACQ_Lib[[#This Row],[Acquisition Tract No.]]="",SP_ACQ_Lib[[#This Row],[ACQ Document Type]]=""),0,CONCATENATE("COW-FRMP_TR-",SP_ACQ_Lib[[#This Row],[Acquisition Tract No.]]," ",SP_ACQ_Lib[[#This Row],[ACQ Document Type]]))</f>
        <v>COW-FRMP_TR-208 NEGOTIATION Landowner Bill of Rights Letter</v>
      </c>
      <c r="Y144" s="239">
        <f>IF(OR(SP_ACQ_Lib[[#This Row],[File Name Convention]]=0,LEFT(SP_ACQ_Lib[[#This Row],[Name]],LEN(SP_ACQ_Lib[[#This Row],[File Name Convention]]))&lt;&gt;SP_ACQ_Lib[[#This Row],[File Name Convention]],ISERROR(SEARCH(SP_ACQ_Lib[[#This Row],[ACQ Document Type]],SP_ACQ_Lib[[#This Row],[Name]]))),1,0)</f>
        <v>0</v>
      </c>
    </row>
    <row r="145" spans="1:25" ht="15" x14ac:dyDescent="0.2">
      <c r="A145" s="157" t="str">
        <f>CONCATENATE(SP_ACQ_Lib[[#This Row],[Acquisition Tract No.]],"_",SP_ACQ_Lib[[#This Row],[ACQ Document Type]])</f>
        <v>208_SURVEY Description-Plat_CITY</v>
      </c>
      <c r="B145" s="14" t="s">
        <v>6021</v>
      </c>
      <c r="C145" s="15" t="s">
        <v>35</v>
      </c>
      <c r="D145" s="12" t="s">
        <v>625</v>
      </c>
      <c r="E145" s="8" t="s">
        <v>858</v>
      </c>
      <c r="F145" s="8" t="s">
        <v>3503</v>
      </c>
      <c r="G145" s="8" t="s">
        <v>3502</v>
      </c>
      <c r="H145" s="7" t="s">
        <v>592</v>
      </c>
      <c r="I145" s="16">
        <v>43847</v>
      </c>
      <c r="J145" s="16">
        <v>43993</v>
      </c>
      <c r="K145" s="17"/>
      <c r="L145" s="3"/>
      <c r="M145" s="8" t="s">
        <v>4206</v>
      </c>
      <c r="N145" s="11">
        <v>43998.5078125</v>
      </c>
      <c r="O145" s="8" t="s">
        <v>4206</v>
      </c>
      <c r="P145" s="11">
        <v>43994.366585648146</v>
      </c>
      <c r="Q145" s="13">
        <v>267208</v>
      </c>
      <c r="R145" s="19" t="s">
        <v>594</v>
      </c>
      <c r="S145" s="14" t="s">
        <v>6042</v>
      </c>
      <c r="T145" s="163">
        <v>1184</v>
      </c>
      <c r="U145" s="164" t="str">
        <f>CONCATENATE(LEFT(SP_ACQ_Lib[[#This Row],[Tax Parcel ID]],7),"_",SP_ACQ_Lib[[#This Row],[ACQ Document Type]])</f>
        <v>R023708_SURVEY Description-Plat_CITY</v>
      </c>
      <c r="V145" s="65" t="str">
        <f>INDEX(SP_AcqTract_DB[WCAD Tax Parcel ID],MATCH(SP_ACQ_Lib[[#This Row],[Acquisition Tract No.]],SP_AcqTract_DB[Acquisition Tract No.],0))</f>
        <v>R023708;#15;#R023709;#16;#R023710;#17;#R023711;#18</v>
      </c>
      <c r="W145" s="48" t="str">
        <f>INDEX(SP_TaxPar_DB[Acquisition Tract No.],MATCH(LEFT(SP_ACQ_Lib[[#This Row],[Tax Parcel ID]],7),SP_TaxPar_DB[Tax Parcel ID],0))</f>
        <v>208</v>
      </c>
      <c r="X145" s="238" t="str">
        <f>IF(OR(SP_ACQ_Lib[[#This Row],[Acquisition Tract No.]]="",SP_ACQ_Lib[[#This Row],[ACQ Document Type]]=""),0,CONCATENATE("COW-FRMP_TR-",SP_ACQ_Lib[[#This Row],[Acquisition Tract No.]]," ",SP_ACQ_Lib[[#This Row],[ACQ Document Type]]))</f>
        <v>COW-FRMP_TR-208 SURVEY Description-Plat_CITY</v>
      </c>
      <c r="Y145" s="239">
        <f>IF(OR(SP_ACQ_Lib[[#This Row],[File Name Convention]]=0,LEFT(SP_ACQ_Lib[[#This Row],[Name]],LEN(SP_ACQ_Lib[[#This Row],[File Name Convention]]))&lt;&gt;SP_ACQ_Lib[[#This Row],[File Name Convention]],ISERROR(SEARCH(SP_ACQ_Lib[[#This Row],[ACQ Document Type]],SP_ACQ_Lib[[#This Row],[Name]]))),1,0)</f>
        <v>0</v>
      </c>
    </row>
    <row r="146" spans="1:25" ht="15" x14ac:dyDescent="0.2">
      <c r="A146" s="157" t="str">
        <f>CONCATENATE(SP_ACQ_Lib[[#This Row],[Acquisition Tract No.]],"_",SP_ACQ_Lib[[#This Row],[ACQ Document Type]])</f>
        <v>208_SURVEY Description-Plat_USACOE</v>
      </c>
      <c r="B146" s="14" t="s">
        <v>6022</v>
      </c>
      <c r="C146" s="15" t="s">
        <v>35</v>
      </c>
      <c r="D146" s="12" t="s">
        <v>625</v>
      </c>
      <c r="E146" s="8" t="s">
        <v>858</v>
      </c>
      <c r="F146" s="8" t="s">
        <v>3510</v>
      </c>
      <c r="G146" s="8" t="s">
        <v>3509</v>
      </c>
      <c r="H146" s="7" t="s">
        <v>592</v>
      </c>
      <c r="I146" s="16">
        <v>43847</v>
      </c>
      <c r="J146" s="16">
        <v>43993</v>
      </c>
      <c r="K146" s="17"/>
      <c r="L146" s="3"/>
      <c r="M146" s="8" t="s">
        <v>4206</v>
      </c>
      <c r="N146" s="11">
        <v>43998.508310185185</v>
      </c>
      <c r="O146" s="8" t="s">
        <v>4206</v>
      </c>
      <c r="P146" s="11">
        <v>43994.366585648146</v>
      </c>
      <c r="Q146" s="13">
        <v>269581</v>
      </c>
      <c r="R146" s="19" t="s">
        <v>594</v>
      </c>
      <c r="S146" s="14" t="s">
        <v>6043</v>
      </c>
      <c r="T146" s="163">
        <v>1185</v>
      </c>
      <c r="U146" s="164" t="str">
        <f>CONCATENATE(LEFT(SP_ACQ_Lib[[#This Row],[Tax Parcel ID]],7),"_",SP_ACQ_Lib[[#This Row],[ACQ Document Type]])</f>
        <v>R023708_SURVEY Description-Plat_USACOE</v>
      </c>
      <c r="V146" s="65" t="str">
        <f>INDEX(SP_AcqTract_DB[WCAD Tax Parcel ID],MATCH(SP_ACQ_Lib[[#This Row],[Acquisition Tract No.]],SP_AcqTract_DB[Acquisition Tract No.],0))</f>
        <v>R023708;#15;#R023709;#16;#R023710;#17;#R023711;#18</v>
      </c>
      <c r="W146" s="48" t="str">
        <f>INDEX(SP_TaxPar_DB[Acquisition Tract No.],MATCH(LEFT(SP_ACQ_Lib[[#This Row],[Tax Parcel ID]],7),SP_TaxPar_DB[Tax Parcel ID],0))</f>
        <v>208</v>
      </c>
      <c r="X146" s="238" t="str">
        <f>IF(OR(SP_ACQ_Lib[[#This Row],[Acquisition Tract No.]]="",SP_ACQ_Lib[[#This Row],[ACQ Document Type]]=""),0,CONCATENATE("COW-FRMP_TR-",SP_ACQ_Lib[[#This Row],[Acquisition Tract No.]]," ",SP_ACQ_Lib[[#This Row],[ACQ Document Type]]))</f>
        <v>COW-FRMP_TR-208 SURVEY Description-Plat_USACOE</v>
      </c>
      <c r="Y146" s="239">
        <f>IF(OR(SP_ACQ_Lib[[#This Row],[File Name Convention]]=0,LEFT(SP_ACQ_Lib[[#This Row],[Name]],LEN(SP_ACQ_Lib[[#This Row],[File Name Convention]]))&lt;&gt;SP_ACQ_Lib[[#This Row],[File Name Convention]],ISERROR(SEARCH(SP_ACQ_Lib[[#This Row],[ACQ Document Type]],SP_ACQ_Lib[[#This Row],[Name]]))),1,0)</f>
        <v>0</v>
      </c>
    </row>
    <row r="147" spans="1:25" ht="15" x14ac:dyDescent="0.2">
      <c r="A147" s="157" t="str">
        <f>CONCATENATE(SP_ACQ_Lib[[#This Row],[Acquisition Tract No.]],"_",SP_ACQ_Lib[[#This Row],[ACQ Document Type]])</f>
        <v>208_SURVEY Right-of-Entry</v>
      </c>
      <c r="B147" s="14" t="s">
        <v>4458</v>
      </c>
      <c r="C147" s="15" t="s">
        <v>35</v>
      </c>
      <c r="D147" s="12" t="s">
        <v>625</v>
      </c>
      <c r="E147" s="8" t="s">
        <v>858</v>
      </c>
      <c r="F147" s="8" t="s">
        <v>859</v>
      </c>
      <c r="G147" s="8" t="s">
        <v>591</v>
      </c>
      <c r="H147" s="7" t="s">
        <v>592</v>
      </c>
      <c r="I147" s="16">
        <v>43690</v>
      </c>
      <c r="J147" s="16"/>
      <c r="K147" s="17"/>
      <c r="L147" s="3" t="s">
        <v>4442</v>
      </c>
      <c r="M147" s="8" t="s">
        <v>4206</v>
      </c>
      <c r="N147" s="11">
        <v>43893.560034722221</v>
      </c>
      <c r="O147" s="8" t="s">
        <v>4206</v>
      </c>
      <c r="P147" s="11">
        <v>43893.559108796297</v>
      </c>
      <c r="Q147" s="13">
        <v>3387253</v>
      </c>
      <c r="R147" s="19" t="s">
        <v>594</v>
      </c>
      <c r="S147" s="14" t="s">
        <v>4487</v>
      </c>
      <c r="T147" s="163">
        <v>755</v>
      </c>
      <c r="U147" s="164" t="str">
        <f>CONCATENATE(LEFT(SP_ACQ_Lib[[#This Row],[Tax Parcel ID]],7),"_",SP_ACQ_Lib[[#This Row],[ACQ Document Type]])</f>
        <v>R023708_SURVEY Right-of-Entry</v>
      </c>
      <c r="V147" s="65" t="str">
        <f>INDEX(SP_AcqTract_DB[WCAD Tax Parcel ID],MATCH(SP_ACQ_Lib[[#This Row],[Acquisition Tract No.]],SP_AcqTract_DB[Acquisition Tract No.],0))</f>
        <v>R023708;#15;#R023709;#16;#R023710;#17;#R023711;#18</v>
      </c>
      <c r="W147" s="48" t="str">
        <f>INDEX(SP_TaxPar_DB[Acquisition Tract No.],MATCH(LEFT(SP_ACQ_Lib[[#This Row],[Tax Parcel ID]],7),SP_TaxPar_DB[Tax Parcel ID],0))</f>
        <v>208</v>
      </c>
      <c r="X147" s="238" t="str">
        <f>IF(OR(SP_ACQ_Lib[[#This Row],[Acquisition Tract No.]]="",SP_ACQ_Lib[[#This Row],[ACQ Document Type]]=""),0,CONCATENATE("COW-FRMP_TR-",SP_ACQ_Lib[[#This Row],[Acquisition Tract No.]]," ",SP_ACQ_Lib[[#This Row],[ACQ Document Type]]))</f>
        <v>COW-FRMP_TR-208 SURVEY Right-of-Entry</v>
      </c>
      <c r="Y147" s="239">
        <f>IF(OR(SP_ACQ_Lib[[#This Row],[File Name Convention]]=0,LEFT(SP_ACQ_Lib[[#This Row],[Name]],LEN(SP_ACQ_Lib[[#This Row],[File Name Convention]]))&lt;&gt;SP_ACQ_Lib[[#This Row],[File Name Convention]],ISERROR(SEARCH(SP_ACQ_Lib[[#This Row],[ACQ Document Type]],SP_ACQ_Lib[[#This Row],[Name]]))),1,0)</f>
        <v>0</v>
      </c>
    </row>
    <row r="148" spans="1:25" ht="15" x14ac:dyDescent="0.2">
      <c r="A148" s="157" t="str">
        <f>CONCATENATE(SP_ACQ_Lib[[#This Row],[Acquisition Tract No.]],"_",SP_ACQ_Lib[[#This Row],[ACQ Document Type]])</f>
        <v>208_TITLE Commitment</v>
      </c>
      <c r="B148" s="14" t="s">
        <v>1444</v>
      </c>
      <c r="C148" s="15" t="s">
        <v>35</v>
      </c>
      <c r="D148" s="12" t="s">
        <v>625</v>
      </c>
      <c r="E148" s="8" t="s">
        <v>861</v>
      </c>
      <c r="F148" s="8" t="s">
        <v>862</v>
      </c>
      <c r="G148" s="8" t="s">
        <v>614</v>
      </c>
      <c r="H148" s="7" t="s">
        <v>592</v>
      </c>
      <c r="I148" s="16">
        <v>43930</v>
      </c>
      <c r="J148" s="16">
        <v>43941</v>
      </c>
      <c r="K148" s="17"/>
      <c r="L148" s="3" t="s">
        <v>4937</v>
      </c>
      <c r="M148" s="8" t="s">
        <v>4325</v>
      </c>
      <c r="N148" s="11">
        <v>43941.521423611113</v>
      </c>
      <c r="O148" s="8" t="s">
        <v>4326</v>
      </c>
      <c r="P148" s="11">
        <v>43706.534849537034</v>
      </c>
      <c r="Q148" s="13">
        <v>414349</v>
      </c>
      <c r="R148" s="19" t="s">
        <v>594</v>
      </c>
      <c r="S148" s="14" t="s">
        <v>733</v>
      </c>
      <c r="T148" s="163">
        <v>201</v>
      </c>
      <c r="U148" s="164" t="str">
        <f>CONCATENATE(LEFT(SP_ACQ_Lib[[#This Row],[Tax Parcel ID]],7),"_",SP_ACQ_Lib[[#This Row],[ACQ Document Type]])</f>
        <v>R023708_TITLE Commitment</v>
      </c>
      <c r="V148" s="65" t="str">
        <f>INDEX(SP_AcqTract_DB[WCAD Tax Parcel ID],MATCH(SP_ACQ_Lib[[#This Row],[Acquisition Tract No.]],SP_AcqTract_DB[Acquisition Tract No.],0))</f>
        <v>R023708;#15;#R023709;#16;#R023710;#17;#R023711;#18</v>
      </c>
      <c r="W148" s="48" t="str">
        <f>INDEX(SP_TaxPar_DB[Acquisition Tract No.],MATCH(LEFT(SP_ACQ_Lib[[#This Row],[Tax Parcel ID]],7),SP_TaxPar_DB[Tax Parcel ID],0))</f>
        <v>208</v>
      </c>
      <c r="X148" s="238" t="str">
        <f>IF(OR(SP_ACQ_Lib[[#This Row],[Acquisition Tract No.]]="",SP_ACQ_Lib[[#This Row],[ACQ Document Type]]=""),0,CONCATENATE("COW-FRMP_TR-",SP_ACQ_Lib[[#This Row],[Acquisition Tract No.]]," ",SP_ACQ_Lib[[#This Row],[ACQ Document Type]]))</f>
        <v>COW-FRMP_TR-208 TITLE Commitment</v>
      </c>
      <c r="Y148" s="239">
        <f>IF(OR(SP_ACQ_Lib[[#This Row],[File Name Convention]]=0,LEFT(SP_ACQ_Lib[[#This Row],[Name]],LEN(SP_ACQ_Lib[[#This Row],[File Name Convention]]))&lt;&gt;SP_ACQ_Lib[[#This Row],[File Name Convention]],ISERROR(SEARCH(SP_ACQ_Lib[[#This Row],[ACQ Document Type]],SP_ACQ_Lib[[#This Row],[Name]]))),1,0)</f>
        <v>0</v>
      </c>
    </row>
    <row r="149" spans="1:25" ht="15" x14ac:dyDescent="0.2">
      <c r="A149" s="157" t="str">
        <f>CONCATENATE(SP_ACQ_Lib[[#This Row],[Acquisition Tract No.]],"_",SP_ACQ_Lib[[#This Row],[ACQ Document Type]])</f>
        <v>208_TITLE Commitment Backup Docs</v>
      </c>
      <c r="B149" s="14" t="s">
        <v>1445</v>
      </c>
      <c r="C149" s="15" t="s">
        <v>35</v>
      </c>
      <c r="D149" s="12" t="s">
        <v>625</v>
      </c>
      <c r="E149" s="8" t="s">
        <v>861</v>
      </c>
      <c r="F149" s="8" t="s">
        <v>863</v>
      </c>
      <c r="G149" s="8" t="s">
        <v>616</v>
      </c>
      <c r="H149" s="7" t="s">
        <v>5128</v>
      </c>
      <c r="I149" s="16"/>
      <c r="J149" s="16"/>
      <c r="K149" s="17"/>
      <c r="L149" s="3"/>
      <c r="M149" s="8" t="s">
        <v>4325</v>
      </c>
      <c r="N149" s="11">
        <v>43969.590266203704</v>
      </c>
      <c r="O149" s="8" t="s">
        <v>4326</v>
      </c>
      <c r="P149" s="11">
        <v>43706.535462962966</v>
      </c>
      <c r="Q149" s="13">
        <v>1605420</v>
      </c>
      <c r="R149" s="19" t="s">
        <v>594</v>
      </c>
      <c r="S149" s="14" t="s">
        <v>734</v>
      </c>
      <c r="T149" s="163">
        <v>202</v>
      </c>
      <c r="U149" s="164" t="str">
        <f>CONCATENATE(LEFT(SP_ACQ_Lib[[#This Row],[Tax Parcel ID]],7),"_",SP_ACQ_Lib[[#This Row],[ACQ Document Type]])</f>
        <v>R023708_TITLE Commitment Backup Docs</v>
      </c>
      <c r="V149" s="65" t="str">
        <f>INDEX(SP_AcqTract_DB[WCAD Tax Parcel ID],MATCH(SP_ACQ_Lib[[#This Row],[Acquisition Tract No.]],SP_AcqTract_DB[Acquisition Tract No.],0))</f>
        <v>R023708;#15;#R023709;#16;#R023710;#17;#R023711;#18</v>
      </c>
      <c r="W149" s="48" t="str">
        <f>INDEX(SP_TaxPar_DB[Acquisition Tract No.],MATCH(LEFT(SP_ACQ_Lib[[#This Row],[Tax Parcel ID]],7),SP_TaxPar_DB[Tax Parcel ID],0))</f>
        <v>208</v>
      </c>
      <c r="X149" s="238" t="str">
        <f>IF(OR(SP_ACQ_Lib[[#This Row],[Acquisition Tract No.]]="",SP_ACQ_Lib[[#This Row],[ACQ Document Type]]=""),0,CONCATENATE("COW-FRMP_TR-",SP_ACQ_Lib[[#This Row],[Acquisition Tract No.]]," ",SP_ACQ_Lib[[#This Row],[ACQ Document Type]]))</f>
        <v>COW-FRMP_TR-208 TITLE Commitment Backup Docs</v>
      </c>
      <c r="Y149" s="239">
        <f>IF(OR(SP_ACQ_Lib[[#This Row],[File Name Convention]]=0,LEFT(SP_ACQ_Lib[[#This Row],[Name]],LEN(SP_ACQ_Lib[[#This Row],[File Name Convention]]))&lt;&gt;SP_ACQ_Lib[[#This Row],[File Name Convention]],ISERROR(SEARCH(SP_ACQ_Lib[[#This Row],[ACQ Document Type]],SP_ACQ_Lib[[#This Row],[Name]]))),1,0)</f>
        <v>0</v>
      </c>
    </row>
    <row r="150" spans="1:25" ht="15" x14ac:dyDescent="0.2">
      <c r="A150" s="157" t="str">
        <f>CONCATENATE(SP_ACQ_Lib[[#This Row],[Acquisition Tract No.]],"_",SP_ACQ_Lib[[#This Row],[ACQ Document Type]])</f>
        <v>208_TITLE Commitment Backup Docs</v>
      </c>
      <c r="B150" s="14" t="s">
        <v>5130</v>
      </c>
      <c r="C150" s="15" t="s">
        <v>35</v>
      </c>
      <c r="D150" s="12" t="s">
        <v>625</v>
      </c>
      <c r="E150" s="8" t="s">
        <v>861</v>
      </c>
      <c r="F150" s="8" t="s">
        <v>863</v>
      </c>
      <c r="G150" s="8" t="s">
        <v>616</v>
      </c>
      <c r="H150" s="7" t="s">
        <v>592</v>
      </c>
      <c r="I150" s="16">
        <v>43969</v>
      </c>
      <c r="J150" s="16"/>
      <c r="K150" s="17"/>
      <c r="L150" s="3" t="s">
        <v>5129</v>
      </c>
      <c r="M150" s="8" t="s">
        <v>4325</v>
      </c>
      <c r="N150" s="11">
        <v>43969.589363425926</v>
      </c>
      <c r="O150" s="8" t="s">
        <v>4325</v>
      </c>
      <c r="P150" s="11">
        <v>43969.584224537037</v>
      </c>
      <c r="Q150" s="13">
        <v>5270559</v>
      </c>
      <c r="R150" s="19" t="s">
        <v>594</v>
      </c>
      <c r="S150" s="14" t="s">
        <v>5131</v>
      </c>
      <c r="T150" s="163">
        <v>880</v>
      </c>
      <c r="U150" s="164" t="str">
        <f>CONCATENATE(LEFT(SP_ACQ_Lib[[#This Row],[Tax Parcel ID]],7),"_",SP_ACQ_Lib[[#This Row],[ACQ Document Type]])</f>
        <v>R023708_TITLE Commitment Backup Docs</v>
      </c>
      <c r="V150" s="65" t="str">
        <f>INDEX(SP_AcqTract_DB[WCAD Tax Parcel ID],MATCH(SP_ACQ_Lib[[#This Row],[Acquisition Tract No.]],SP_AcqTract_DB[Acquisition Tract No.],0))</f>
        <v>R023708;#15;#R023709;#16;#R023710;#17;#R023711;#18</v>
      </c>
      <c r="W150" s="48" t="str">
        <f>INDEX(SP_TaxPar_DB[Acquisition Tract No.],MATCH(LEFT(SP_ACQ_Lib[[#This Row],[Tax Parcel ID]],7),SP_TaxPar_DB[Tax Parcel ID],0))</f>
        <v>208</v>
      </c>
      <c r="X150" s="238" t="str">
        <f>IF(OR(SP_ACQ_Lib[[#This Row],[Acquisition Tract No.]]="",SP_ACQ_Lib[[#This Row],[ACQ Document Type]]=""),0,CONCATENATE("COW-FRMP_TR-",SP_ACQ_Lib[[#This Row],[Acquisition Tract No.]]," ",SP_ACQ_Lib[[#This Row],[ACQ Document Type]]))</f>
        <v>COW-FRMP_TR-208 TITLE Commitment Backup Docs</v>
      </c>
      <c r="Y150" s="239">
        <f>IF(OR(SP_ACQ_Lib[[#This Row],[File Name Convention]]=0,LEFT(SP_ACQ_Lib[[#This Row],[Name]],LEN(SP_ACQ_Lib[[#This Row],[File Name Convention]]))&lt;&gt;SP_ACQ_Lib[[#This Row],[File Name Convention]],ISERROR(SEARCH(SP_ACQ_Lib[[#This Row],[ACQ Document Type]],SP_ACQ_Lib[[#This Row],[Name]]))),1,0)</f>
        <v>1</v>
      </c>
    </row>
    <row r="151" spans="1:25" ht="15" x14ac:dyDescent="0.2">
      <c r="A151" s="157" t="str">
        <f>CONCATENATE(SP_ACQ_Lib[[#This Row],[Acquisition Tract No.]],"_",SP_ACQ_Lib[[#This Row],[ACQ Document Type]])</f>
        <v>208_TITLE Curative Plan</v>
      </c>
      <c r="B151" s="14" t="s">
        <v>1446</v>
      </c>
      <c r="C151" s="15" t="s">
        <v>35</v>
      </c>
      <c r="D151" s="12" t="s">
        <v>625</v>
      </c>
      <c r="E151" s="8" t="s">
        <v>861</v>
      </c>
      <c r="F151" s="8" t="s">
        <v>864</v>
      </c>
      <c r="G151" s="8" t="s">
        <v>617</v>
      </c>
      <c r="H151" s="7" t="s">
        <v>592</v>
      </c>
      <c r="I151" s="16">
        <v>43809</v>
      </c>
      <c r="J151" s="16"/>
      <c r="K151" s="17"/>
      <c r="L151" s="3"/>
      <c r="M151" s="8" t="s">
        <v>4325</v>
      </c>
      <c r="N151" s="11">
        <v>43941.521967592591</v>
      </c>
      <c r="O151" s="8" t="s">
        <v>4326</v>
      </c>
      <c r="P151" s="11">
        <v>43742.555138888885</v>
      </c>
      <c r="Q151" s="13">
        <v>35447</v>
      </c>
      <c r="R151" s="19" t="s">
        <v>594</v>
      </c>
      <c r="S151" s="14" t="s">
        <v>1189</v>
      </c>
      <c r="T151" s="163">
        <v>385</v>
      </c>
      <c r="U151" s="164" t="str">
        <f>CONCATENATE(LEFT(SP_ACQ_Lib[[#This Row],[Tax Parcel ID]],7),"_",SP_ACQ_Lib[[#This Row],[ACQ Document Type]])</f>
        <v>R023708_TITLE Curative Plan</v>
      </c>
      <c r="V151" s="65" t="str">
        <f>INDEX(SP_AcqTract_DB[WCAD Tax Parcel ID],MATCH(SP_ACQ_Lib[[#This Row],[Acquisition Tract No.]],SP_AcqTract_DB[Acquisition Tract No.],0))</f>
        <v>R023708;#15;#R023709;#16;#R023710;#17;#R023711;#18</v>
      </c>
      <c r="W151" s="48" t="str">
        <f>INDEX(SP_TaxPar_DB[Acquisition Tract No.],MATCH(LEFT(SP_ACQ_Lib[[#This Row],[Tax Parcel ID]],7),SP_TaxPar_DB[Tax Parcel ID],0))</f>
        <v>208</v>
      </c>
      <c r="X151" s="238" t="str">
        <f>IF(OR(SP_ACQ_Lib[[#This Row],[Acquisition Tract No.]]="",SP_ACQ_Lib[[#This Row],[ACQ Document Type]]=""),0,CONCATENATE("COW-FRMP_TR-",SP_ACQ_Lib[[#This Row],[Acquisition Tract No.]]," ",SP_ACQ_Lib[[#This Row],[ACQ Document Type]]))</f>
        <v>COW-FRMP_TR-208 TITLE Curative Plan</v>
      </c>
      <c r="Y151" s="239">
        <f>IF(OR(SP_ACQ_Lib[[#This Row],[File Name Convention]]=0,LEFT(SP_ACQ_Lib[[#This Row],[Name]],LEN(SP_ACQ_Lib[[#This Row],[File Name Convention]]))&lt;&gt;SP_ACQ_Lib[[#This Row],[File Name Convention]],ISERROR(SEARCH(SP_ACQ_Lib[[#This Row],[ACQ Document Type]],SP_ACQ_Lib[[#This Row],[Name]]))),1,0)</f>
        <v>0</v>
      </c>
    </row>
    <row r="152" spans="1:25" ht="15" x14ac:dyDescent="0.2">
      <c r="A152" s="157" t="str">
        <f>CONCATENATE(SP_ACQ_Lib[[#This Row],[Acquisition Tract No.]],"_",SP_ACQ_Lib[[#This Row],[ACQ Document Type]])</f>
        <v>208_TITLE Tax Card</v>
      </c>
      <c r="B152" s="14" t="s">
        <v>4459</v>
      </c>
      <c r="C152" s="15" t="s">
        <v>35</v>
      </c>
      <c r="D152" s="12" t="s">
        <v>625</v>
      </c>
      <c r="E152" s="8" t="s">
        <v>861</v>
      </c>
      <c r="F152" s="8" t="s">
        <v>1150</v>
      </c>
      <c r="G152" s="8" t="s">
        <v>1149</v>
      </c>
      <c r="H152" s="7" t="s">
        <v>592</v>
      </c>
      <c r="I152" s="16"/>
      <c r="J152" s="16"/>
      <c r="K152" s="17"/>
      <c r="L152" s="3" t="s">
        <v>4442</v>
      </c>
      <c r="M152" s="8" t="s">
        <v>4206</v>
      </c>
      <c r="N152" s="11">
        <v>43893.563009259262</v>
      </c>
      <c r="O152" s="8" t="s">
        <v>4206</v>
      </c>
      <c r="P152" s="11">
        <v>43893.562476851854</v>
      </c>
      <c r="Q152" s="13">
        <v>953734</v>
      </c>
      <c r="R152" s="19" t="s">
        <v>594</v>
      </c>
      <c r="S152" s="14" t="s">
        <v>4488</v>
      </c>
      <c r="T152" s="163">
        <v>756</v>
      </c>
      <c r="U152" s="164" t="str">
        <f>CONCATENATE(LEFT(SP_ACQ_Lib[[#This Row],[Tax Parcel ID]],7),"_",SP_ACQ_Lib[[#This Row],[ACQ Document Type]])</f>
        <v>R023708_TITLE Tax Card</v>
      </c>
      <c r="V152" s="65" t="str">
        <f>INDEX(SP_AcqTract_DB[WCAD Tax Parcel ID],MATCH(SP_ACQ_Lib[[#This Row],[Acquisition Tract No.]],SP_AcqTract_DB[Acquisition Tract No.],0))</f>
        <v>R023708;#15;#R023709;#16;#R023710;#17;#R023711;#18</v>
      </c>
      <c r="W152" s="48" t="str">
        <f>INDEX(SP_TaxPar_DB[Acquisition Tract No.],MATCH(LEFT(SP_ACQ_Lib[[#This Row],[Tax Parcel ID]],7),SP_TaxPar_DB[Tax Parcel ID],0))</f>
        <v>208</v>
      </c>
      <c r="X152" s="238" t="str">
        <f>IF(OR(SP_ACQ_Lib[[#This Row],[Acquisition Tract No.]]="",SP_ACQ_Lib[[#This Row],[ACQ Document Type]]=""),0,CONCATENATE("COW-FRMP_TR-",SP_ACQ_Lib[[#This Row],[Acquisition Tract No.]]," ",SP_ACQ_Lib[[#This Row],[ACQ Document Type]]))</f>
        <v>COW-FRMP_TR-208 TITLE Tax Card</v>
      </c>
      <c r="Y152" s="239">
        <f>IF(OR(SP_ACQ_Lib[[#This Row],[File Name Convention]]=0,LEFT(SP_ACQ_Lib[[#This Row],[Name]],LEN(SP_ACQ_Lib[[#This Row],[File Name Convention]]))&lt;&gt;SP_ACQ_Lib[[#This Row],[File Name Convention]],ISERROR(SEARCH(SP_ACQ_Lib[[#This Row],[ACQ Document Type]],SP_ACQ_Lib[[#This Row],[Name]]))),1,0)</f>
        <v>0</v>
      </c>
    </row>
    <row r="153" spans="1:25" ht="15" x14ac:dyDescent="0.2">
      <c r="A153" s="157" t="str">
        <f>CONCATENATE(SP_ACQ_Lib[[#This Row],[Acquisition Tract No.]],"_",SP_ACQ_Lib[[#This Row],[ACQ Document Type]])</f>
        <v>209_SURVEY Description-Plat_USACOE</v>
      </c>
      <c r="B153" s="14" t="s">
        <v>6023</v>
      </c>
      <c r="C153" s="15" t="s">
        <v>36</v>
      </c>
      <c r="D153" s="12" t="s">
        <v>1676</v>
      </c>
      <c r="E153" s="8" t="s">
        <v>858</v>
      </c>
      <c r="F153" s="8" t="s">
        <v>3510</v>
      </c>
      <c r="G153" s="8" t="s">
        <v>3509</v>
      </c>
      <c r="H153" s="7" t="s">
        <v>592</v>
      </c>
      <c r="I153" s="16">
        <v>43991</v>
      </c>
      <c r="J153" s="16">
        <v>43993</v>
      </c>
      <c r="K153" s="17"/>
      <c r="L153" s="3"/>
      <c r="M153" s="8" t="s">
        <v>4206</v>
      </c>
      <c r="N153" s="11">
        <v>43994.37096064815</v>
      </c>
      <c r="O153" s="8" t="s">
        <v>4206</v>
      </c>
      <c r="P153" s="11">
        <v>43994.366608796299</v>
      </c>
      <c r="Q153" s="13">
        <v>686656</v>
      </c>
      <c r="R153" s="19" t="s">
        <v>594</v>
      </c>
      <c r="S153" s="14" t="s">
        <v>6044</v>
      </c>
      <c r="T153" s="163">
        <v>1186</v>
      </c>
      <c r="U153" s="164" t="str">
        <f>CONCATENATE(LEFT(SP_ACQ_Lib[[#This Row],[Tax Parcel ID]],7),"_",SP_ACQ_Lib[[#This Row],[ACQ Document Type]])</f>
        <v>UNKN003_SURVEY Description-Plat_USACOE</v>
      </c>
      <c r="V153" s="65" t="str">
        <f>INDEX(SP_AcqTract_DB[WCAD Tax Parcel ID],MATCH(SP_ACQ_Lib[[#This Row],[Acquisition Tract No.]],SP_AcqTract_DB[Acquisition Tract No.],0))</f>
        <v>UNKN003;#19</v>
      </c>
      <c r="W153" s="48" t="str">
        <f>INDEX(SP_TaxPar_DB[Acquisition Tract No.],MATCH(LEFT(SP_ACQ_Lib[[#This Row],[Tax Parcel ID]],7),SP_TaxPar_DB[Tax Parcel ID],0))</f>
        <v>209</v>
      </c>
      <c r="X153" s="238" t="str">
        <f>IF(OR(SP_ACQ_Lib[[#This Row],[Acquisition Tract No.]]="",SP_ACQ_Lib[[#This Row],[ACQ Document Type]]=""),0,CONCATENATE("COW-FRMP_TR-",SP_ACQ_Lib[[#This Row],[Acquisition Tract No.]]," ",SP_ACQ_Lib[[#This Row],[ACQ Document Type]]))</f>
        <v>COW-FRMP_TR-209 SURVEY Description-Plat_USACOE</v>
      </c>
      <c r="Y153" s="239">
        <f>IF(OR(SP_ACQ_Lib[[#This Row],[File Name Convention]]=0,LEFT(SP_ACQ_Lib[[#This Row],[Name]],LEN(SP_ACQ_Lib[[#This Row],[File Name Convention]]))&lt;&gt;SP_ACQ_Lib[[#This Row],[File Name Convention]],ISERROR(SEARCH(SP_ACQ_Lib[[#This Row],[ACQ Document Type]],SP_ACQ_Lib[[#This Row],[Name]]))),1,0)</f>
        <v>0</v>
      </c>
    </row>
    <row r="154" spans="1:25" ht="15" x14ac:dyDescent="0.2">
      <c r="A154" s="157" t="str">
        <f>CONCATENATE(SP_ACQ_Lib[[#This Row],[Acquisition Tract No.]],"_",SP_ACQ_Lib[[#This Row],[ACQ Document Type]])</f>
        <v>210_APPRAISAL Appraisal Review</v>
      </c>
      <c r="B154" s="14" t="s">
        <v>6499</v>
      </c>
      <c r="C154" s="15" t="s">
        <v>37</v>
      </c>
      <c r="D154" s="12" t="s">
        <v>626</v>
      </c>
      <c r="E154" s="8" t="s">
        <v>1131</v>
      </c>
      <c r="F154" s="8" t="s">
        <v>4753</v>
      </c>
      <c r="G154" s="8" t="s">
        <v>4751</v>
      </c>
      <c r="H154" s="7" t="s">
        <v>592</v>
      </c>
      <c r="I154" s="16">
        <v>44013</v>
      </c>
      <c r="J154" s="16"/>
      <c r="K154" s="17">
        <v>12303</v>
      </c>
      <c r="L154" s="3"/>
      <c r="M154" s="8" t="s">
        <v>4206</v>
      </c>
      <c r="N154" s="11">
        <v>44013.756180555552</v>
      </c>
      <c r="O154" s="8" t="s">
        <v>4206</v>
      </c>
      <c r="P154" s="11">
        <v>44013.741805555554</v>
      </c>
      <c r="Q154" s="13">
        <v>17436</v>
      </c>
      <c r="R154" s="19" t="s">
        <v>594</v>
      </c>
      <c r="S154" s="14" t="s">
        <v>6562</v>
      </c>
      <c r="T154" s="163">
        <v>1318</v>
      </c>
      <c r="U154" s="164" t="str">
        <f>CONCATENATE(LEFT(SP_ACQ_Lib[[#This Row],[Tax Parcel ID]],7),"_",SP_ACQ_Lib[[#This Row],[ACQ Document Type]])</f>
        <v>R023712_APPRAISAL Appraisal Review</v>
      </c>
      <c r="V154" s="65" t="str">
        <f>INDEX(SP_AcqTract_DB[WCAD Tax Parcel ID],MATCH(SP_ACQ_Lib[[#This Row],[Acquisition Tract No.]],SP_AcqTract_DB[Acquisition Tract No.],0))</f>
        <v>R023712;#20</v>
      </c>
      <c r="W154" s="48" t="str">
        <f>INDEX(SP_TaxPar_DB[Acquisition Tract No.],MATCH(LEFT(SP_ACQ_Lib[[#This Row],[Tax Parcel ID]],7),SP_TaxPar_DB[Tax Parcel ID],0))</f>
        <v>210</v>
      </c>
      <c r="X154" s="238" t="str">
        <f>IF(OR(SP_ACQ_Lib[[#This Row],[Acquisition Tract No.]]="",SP_ACQ_Lib[[#This Row],[ACQ Document Type]]=""),0,CONCATENATE("COW-FRMP_TR-",SP_ACQ_Lib[[#This Row],[Acquisition Tract No.]]," ",SP_ACQ_Lib[[#This Row],[ACQ Document Type]]))</f>
        <v>COW-FRMP_TR-210 APPRAISAL Appraisal Review</v>
      </c>
      <c r="Y154" s="239">
        <f>IF(OR(SP_ACQ_Lib[[#This Row],[File Name Convention]]=0,LEFT(SP_ACQ_Lib[[#This Row],[Name]],LEN(SP_ACQ_Lib[[#This Row],[File Name Convention]]))&lt;&gt;SP_ACQ_Lib[[#This Row],[File Name Convention]],ISERROR(SEARCH(SP_ACQ_Lib[[#This Row],[ACQ Document Type]],SP_ACQ_Lib[[#This Row],[Name]]))),1,0)</f>
        <v>0</v>
      </c>
    </row>
    <row r="155" spans="1:25" ht="15" x14ac:dyDescent="0.2">
      <c r="A155" s="157" t="str">
        <f>CONCATENATE(SP_ACQ_Lib[[#This Row],[Acquisition Tract No.]],"_",SP_ACQ_Lib[[#This Row],[ACQ Document Type]])</f>
        <v>210_APPRAISAL Final Appraisal</v>
      </c>
      <c r="B155" s="14" t="s">
        <v>6300</v>
      </c>
      <c r="C155" s="15" t="s">
        <v>37</v>
      </c>
      <c r="D155" s="12" t="s">
        <v>626</v>
      </c>
      <c r="E155" s="8" t="s">
        <v>1131</v>
      </c>
      <c r="F155" s="8" t="s">
        <v>4755</v>
      </c>
      <c r="G155" s="8" t="s">
        <v>4754</v>
      </c>
      <c r="H155" s="7" t="s">
        <v>592</v>
      </c>
      <c r="I155" s="16">
        <v>43912</v>
      </c>
      <c r="J155" s="16"/>
      <c r="K155" s="17">
        <v>12303</v>
      </c>
      <c r="L155" s="3"/>
      <c r="M155" s="8" t="s">
        <v>4206</v>
      </c>
      <c r="N155" s="11">
        <v>44004.656122685185</v>
      </c>
      <c r="O155" s="8" t="s">
        <v>4206</v>
      </c>
      <c r="P155" s="11">
        <v>44004.65525462963</v>
      </c>
      <c r="Q155" s="13">
        <v>6766056</v>
      </c>
      <c r="R155" s="19" t="s">
        <v>594</v>
      </c>
      <c r="S155" s="14" t="s">
        <v>6369</v>
      </c>
      <c r="T155" s="163">
        <v>1261</v>
      </c>
      <c r="U155" s="164" t="str">
        <f>CONCATENATE(LEFT(SP_ACQ_Lib[[#This Row],[Tax Parcel ID]],7),"_",SP_ACQ_Lib[[#This Row],[ACQ Document Type]])</f>
        <v>R023712_APPRAISAL Final Appraisal</v>
      </c>
      <c r="V155" s="65" t="str">
        <f>INDEX(SP_AcqTract_DB[WCAD Tax Parcel ID],MATCH(SP_ACQ_Lib[[#This Row],[Acquisition Tract No.]],SP_AcqTract_DB[Acquisition Tract No.],0))</f>
        <v>R023712;#20</v>
      </c>
      <c r="W155" s="48" t="str">
        <f>INDEX(SP_TaxPar_DB[Acquisition Tract No.],MATCH(LEFT(SP_ACQ_Lib[[#This Row],[Tax Parcel ID]],7),SP_TaxPar_DB[Tax Parcel ID],0))</f>
        <v>210</v>
      </c>
      <c r="X155" s="238" t="str">
        <f>IF(OR(SP_ACQ_Lib[[#This Row],[Acquisition Tract No.]]="",SP_ACQ_Lib[[#This Row],[ACQ Document Type]]=""),0,CONCATENATE("COW-FRMP_TR-",SP_ACQ_Lib[[#This Row],[Acquisition Tract No.]]," ",SP_ACQ_Lib[[#This Row],[ACQ Document Type]]))</f>
        <v>COW-FRMP_TR-210 APPRAISAL Final Appraisal</v>
      </c>
      <c r="Y155" s="239">
        <f>IF(OR(SP_ACQ_Lib[[#This Row],[File Name Convention]]=0,LEFT(SP_ACQ_Lib[[#This Row],[Name]],LEN(SP_ACQ_Lib[[#This Row],[File Name Convention]]))&lt;&gt;SP_ACQ_Lib[[#This Row],[File Name Convention]],ISERROR(SEARCH(SP_ACQ_Lib[[#This Row],[ACQ Document Type]],SP_ACQ_Lib[[#This Row],[Name]]))),1,0)</f>
        <v>0</v>
      </c>
    </row>
    <row r="156" spans="1:25" ht="15" x14ac:dyDescent="0.2">
      <c r="A156" s="157" t="str">
        <f>CONCATENATE(SP_ACQ_Lib[[#This Row],[Acquisition Tract No.]],"_",SP_ACQ_Lib[[#This Row],[ACQ Document Type]])</f>
        <v>210_APPRAISAL Just Compensation Approval</v>
      </c>
      <c r="B156" s="14" t="s">
        <v>6500</v>
      </c>
      <c r="C156" s="15" t="s">
        <v>37</v>
      </c>
      <c r="D156" s="12" t="s">
        <v>626</v>
      </c>
      <c r="E156" s="8" t="s">
        <v>1131</v>
      </c>
      <c r="F156" s="8" t="s">
        <v>4828</v>
      </c>
      <c r="G156" s="8" t="s">
        <v>4827</v>
      </c>
      <c r="H156" s="7" t="s">
        <v>1749</v>
      </c>
      <c r="I156" s="16">
        <v>44012</v>
      </c>
      <c r="J156" s="16"/>
      <c r="K156" s="17">
        <v>12303</v>
      </c>
      <c r="L156" s="3"/>
      <c r="M156" s="8" t="s">
        <v>4206</v>
      </c>
      <c r="N156" s="11">
        <v>44012.533761574072</v>
      </c>
      <c r="O156" s="8" t="s">
        <v>4206</v>
      </c>
      <c r="P156" s="11">
        <v>44012.517592592594</v>
      </c>
      <c r="Q156" s="13">
        <v>171059</v>
      </c>
      <c r="R156" s="19" t="s">
        <v>594</v>
      </c>
      <c r="S156" s="14" t="s">
        <v>6563</v>
      </c>
      <c r="T156" s="163">
        <v>1307</v>
      </c>
      <c r="U156" s="164" t="str">
        <f>CONCATENATE(LEFT(SP_ACQ_Lib[[#This Row],[Tax Parcel ID]],7),"_",SP_ACQ_Lib[[#This Row],[ACQ Document Type]])</f>
        <v>R023712_APPRAISAL Just Compensation Approval</v>
      </c>
      <c r="V156" s="65" t="str">
        <f>INDEX(SP_AcqTract_DB[WCAD Tax Parcel ID],MATCH(SP_ACQ_Lib[[#This Row],[Acquisition Tract No.]],SP_AcqTract_DB[Acquisition Tract No.],0))</f>
        <v>R023712;#20</v>
      </c>
      <c r="W156" s="48" t="str">
        <f>INDEX(SP_TaxPar_DB[Acquisition Tract No.],MATCH(LEFT(SP_ACQ_Lib[[#This Row],[Tax Parcel ID]],7),SP_TaxPar_DB[Tax Parcel ID],0))</f>
        <v>210</v>
      </c>
      <c r="X156" s="238" t="str">
        <f>IF(OR(SP_ACQ_Lib[[#This Row],[Acquisition Tract No.]]="",SP_ACQ_Lib[[#This Row],[ACQ Document Type]]=""),0,CONCATENATE("COW-FRMP_TR-",SP_ACQ_Lib[[#This Row],[Acquisition Tract No.]]," ",SP_ACQ_Lib[[#This Row],[ACQ Document Type]]))</f>
        <v>COW-FRMP_TR-210 APPRAISAL Just Compensation Approval</v>
      </c>
      <c r="Y156" s="239">
        <f>IF(OR(SP_ACQ_Lib[[#This Row],[File Name Convention]]=0,LEFT(SP_ACQ_Lib[[#This Row],[Name]],LEN(SP_ACQ_Lib[[#This Row],[File Name Convention]]))&lt;&gt;SP_ACQ_Lib[[#This Row],[File Name Convention]],ISERROR(SEARCH(SP_ACQ_Lib[[#This Row],[ACQ Document Type]],SP_ACQ_Lib[[#This Row],[Name]]))),1,0)</f>
        <v>0</v>
      </c>
    </row>
    <row r="157" spans="1:25" ht="15" x14ac:dyDescent="0.2">
      <c r="A157" s="157" t="str">
        <f>CONCATENATE(SP_ACQ_Lib[[#This Row],[Acquisition Tract No.]],"_",SP_ACQ_Lib[[#This Row],[ACQ Document Type]])</f>
        <v>210_APPRAISAL Just Compensation Memo</v>
      </c>
      <c r="B157" s="14" t="s">
        <v>6301</v>
      </c>
      <c r="C157" s="15" t="s">
        <v>37</v>
      </c>
      <c r="D157" s="12" t="s">
        <v>626</v>
      </c>
      <c r="E157" s="8" t="s">
        <v>1131</v>
      </c>
      <c r="F157" s="8" t="s">
        <v>4757</v>
      </c>
      <c r="G157" s="8" t="s">
        <v>4756</v>
      </c>
      <c r="H157" s="7" t="s">
        <v>592</v>
      </c>
      <c r="I157" s="16">
        <v>44004</v>
      </c>
      <c r="J157" s="16">
        <v>44004</v>
      </c>
      <c r="K157" s="17">
        <v>12303</v>
      </c>
      <c r="L157" s="3"/>
      <c r="M157" s="8" t="s">
        <v>4206</v>
      </c>
      <c r="N157" s="11">
        <v>44006.405624999999</v>
      </c>
      <c r="O157" s="8" t="s">
        <v>4206</v>
      </c>
      <c r="P157" s="11">
        <v>44004.65525462963</v>
      </c>
      <c r="Q157" s="13">
        <v>25893</v>
      </c>
      <c r="R157" s="19" t="s">
        <v>594</v>
      </c>
      <c r="S157" s="14" t="s">
        <v>6370</v>
      </c>
      <c r="T157" s="163">
        <v>1262</v>
      </c>
      <c r="U157" s="164" t="str">
        <f>CONCATENATE(LEFT(SP_ACQ_Lib[[#This Row],[Tax Parcel ID]],7),"_",SP_ACQ_Lib[[#This Row],[ACQ Document Type]])</f>
        <v>R023712_APPRAISAL Just Compensation Memo</v>
      </c>
      <c r="V157" s="65" t="str">
        <f>INDEX(SP_AcqTract_DB[WCAD Tax Parcel ID],MATCH(SP_ACQ_Lib[[#This Row],[Acquisition Tract No.]],SP_AcqTract_DB[Acquisition Tract No.],0))</f>
        <v>R023712;#20</v>
      </c>
      <c r="W157" s="48" t="str">
        <f>INDEX(SP_TaxPar_DB[Acquisition Tract No.],MATCH(LEFT(SP_ACQ_Lib[[#This Row],[Tax Parcel ID]],7),SP_TaxPar_DB[Tax Parcel ID],0))</f>
        <v>210</v>
      </c>
      <c r="X157" s="238" t="str">
        <f>IF(OR(SP_ACQ_Lib[[#This Row],[Acquisition Tract No.]]="",SP_ACQ_Lib[[#This Row],[ACQ Document Type]]=""),0,CONCATENATE("COW-FRMP_TR-",SP_ACQ_Lib[[#This Row],[Acquisition Tract No.]]," ",SP_ACQ_Lib[[#This Row],[ACQ Document Type]]))</f>
        <v>COW-FRMP_TR-210 APPRAISAL Just Compensation Memo</v>
      </c>
      <c r="Y157" s="239">
        <f>IF(OR(SP_ACQ_Lib[[#This Row],[File Name Convention]]=0,LEFT(SP_ACQ_Lib[[#This Row],[Name]],LEN(SP_ACQ_Lib[[#This Row],[File Name Convention]]))&lt;&gt;SP_ACQ_Lib[[#This Row],[File Name Convention]],ISERROR(SEARCH(SP_ACQ_Lib[[#This Row],[ACQ Document Type]],SP_ACQ_Lib[[#This Row],[Name]]))),1,0)</f>
        <v>0</v>
      </c>
    </row>
    <row r="158" spans="1:25" ht="15" x14ac:dyDescent="0.2">
      <c r="A158" s="157" t="str">
        <f>CONCATENATE(SP_ACQ_Lib[[#This Row],[Acquisition Tract No.]],"_",SP_ACQ_Lib[[#This Row],[ACQ Document Type]])</f>
        <v>210_APPRAISAL USACOE Authorization to Proceed with Offer</v>
      </c>
      <c r="B158" s="14" t="s">
        <v>6302</v>
      </c>
      <c r="C158" s="15" t="s">
        <v>37</v>
      </c>
      <c r="D158" s="12" t="s">
        <v>626</v>
      </c>
      <c r="E158" s="8" t="s">
        <v>1131</v>
      </c>
      <c r="F158" s="8" t="s">
        <v>4959</v>
      </c>
      <c r="G158" s="8" t="s">
        <v>4958</v>
      </c>
      <c r="H158" s="7" t="s">
        <v>592</v>
      </c>
      <c r="I158" s="16">
        <v>44004</v>
      </c>
      <c r="J158" s="16">
        <v>44004</v>
      </c>
      <c r="K158" s="17">
        <v>12303</v>
      </c>
      <c r="L158" s="3"/>
      <c r="M158" s="8" t="s">
        <v>4206</v>
      </c>
      <c r="N158" s="11">
        <v>44006.405763888892</v>
      </c>
      <c r="O158" s="8" t="s">
        <v>4206</v>
      </c>
      <c r="P158" s="11">
        <v>44004.655266203707</v>
      </c>
      <c r="Q158" s="13">
        <v>421944</v>
      </c>
      <c r="R158" s="19" t="s">
        <v>594</v>
      </c>
      <c r="S158" s="14" t="s">
        <v>6371</v>
      </c>
      <c r="T158" s="163">
        <v>1263</v>
      </c>
      <c r="U158" s="164" t="str">
        <f>CONCATENATE(LEFT(SP_ACQ_Lib[[#This Row],[Tax Parcel ID]],7),"_",SP_ACQ_Lib[[#This Row],[ACQ Document Type]])</f>
        <v>R023712_APPRAISAL USACOE Authorization to Proceed with Offer</v>
      </c>
      <c r="V158" s="65" t="str">
        <f>INDEX(SP_AcqTract_DB[WCAD Tax Parcel ID],MATCH(SP_ACQ_Lib[[#This Row],[Acquisition Tract No.]],SP_AcqTract_DB[Acquisition Tract No.],0))</f>
        <v>R023712;#20</v>
      </c>
      <c r="W158" s="48" t="str">
        <f>INDEX(SP_TaxPar_DB[Acquisition Tract No.],MATCH(LEFT(SP_ACQ_Lib[[#This Row],[Tax Parcel ID]],7),SP_TaxPar_DB[Tax Parcel ID],0))</f>
        <v>210</v>
      </c>
      <c r="X158" s="238" t="str">
        <f>IF(OR(SP_ACQ_Lib[[#This Row],[Acquisition Tract No.]]="",SP_ACQ_Lib[[#This Row],[ACQ Document Type]]=""),0,CONCATENATE("COW-FRMP_TR-",SP_ACQ_Lib[[#This Row],[Acquisition Tract No.]]," ",SP_ACQ_Lib[[#This Row],[ACQ Document Type]]))</f>
        <v>COW-FRMP_TR-210 APPRAISAL USACOE Authorization to Proceed with Offer</v>
      </c>
      <c r="Y158" s="239">
        <f>IF(OR(SP_ACQ_Lib[[#This Row],[File Name Convention]]=0,LEFT(SP_ACQ_Lib[[#This Row],[Name]],LEN(SP_ACQ_Lib[[#This Row],[File Name Convention]]))&lt;&gt;SP_ACQ_Lib[[#This Row],[File Name Convention]],ISERROR(SEARCH(SP_ACQ_Lib[[#This Row],[ACQ Document Type]],SP_ACQ_Lib[[#This Row],[Name]]))),1,0)</f>
        <v>0</v>
      </c>
    </row>
    <row r="159" spans="1:25" ht="15" x14ac:dyDescent="0.2">
      <c r="A159" s="157" t="str">
        <f>CONCATENATE(SP_ACQ_Lib[[#This Row],[Acquisition Tract No.]],"_",SP_ACQ_Lib[[#This Row],[ACQ Document Type]])</f>
        <v>210_APPRAISAL USACOE Authorization to Proceed with Offer Approval</v>
      </c>
      <c r="B159" s="14" t="s">
        <v>6501</v>
      </c>
      <c r="C159" s="15" t="s">
        <v>37</v>
      </c>
      <c r="D159" s="12" t="s">
        <v>626</v>
      </c>
      <c r="E159" s="8" t="s">
        <v>1131</v>
      </c>
      <c r="F159" s="8" t="s">
        <v>4973</v>
      </c>
      <c r="G159" s="8" t="s">
        <v>4972</v>
      </c>
      <c r="H159" s="7" t="s">
        <v>1749</v>
      </c>
      <c r="I159" s="16">
        <v>44012</v>
      </c>
      <c r="J159" s="16"/>
      <c r="K159" s="17">
        <v>12303</v>
      </c>
      <c r="L159" s="3"/>
      <c r="M159" s="8" t="s">
        <v>4206</v>
      </c>
      <c r="N159" s="11">
        <v>44012.538726851853</v>
      </c>
      <c r="O159" s="8" t="s">
        <v>4206</v>
      </c>
      <c r="P159" s="11">
        <v>44012.517592592594</v>
      </c>
      <c r="Q159" s="13">
        <v>514302</v>
      </c>
      <c r="R159" s="19" t="s">
        <v>594</v>
      </c>
      <c r="S159" s="14" t="s">
        <v>6564</v>
      </c>
      <c r="T159" s="163">
        <v>1308</v>
      </c>
      <c r="U159" s="164" t="str">
        <f>CONCATENATE(LEFT(SP_ACQ_Lib[[#This Row],[Tax Parcel ID]],7),"_",SP_ACQ_Lib[[#This Row],[ACQ Document Type]])</f>
        <v>R023712_APPRAISAL USACOE Authorization to Proceed with Offer Approval</v>
      </c>
      <c r="V159" s="65" t="str">
        <f>INDEX(SP_AcqTract_DB[WCAD Tax Parcel ID],MATCH(SP_ACQ_Lib[[#This Row],[Acquisition Tract No.]],SP_AcqTract_DB[Acquisition Tract No.],0))</f>
        <v>R023712;#20</v>
      </c>
      <c r="W159" s="48" t="str">
        <f>INDEX(SP_TaxPar_DB[Acquisition Tract No.],MATCH(LEFT(SP_ACQ_Lib[[#This Row],[Tax Parcel ID]],7),SP_TaxPar_DB[Tax Parcel ID],0))</f>
        <v>210</v>
      </c>
      <c r="X159" s="238" t="str">
        <f>IF(OR(SP_ACQ_Lib[[#This Row],[Acquisition Tract No.]]="",SP_ACQ_Lib[[#This Row],[ACQ Document Type]]=""),0,CONCATENATE("COW-FRMP_TR-",SP_ACQ_Lib[[#This Row],[Acquisition Tract No.]]," ",SP_ACQ_Lib[[#This Row],[ACQ Document Type]]))</f>
        <v>COW-FRMP_TR-210 APPRAISAL USACOE Authorization to Proceed with Offer Approval</v>
      </c>
      <c r="Y159" s="239">
        <f>IF(OR(SP_ACQ_Lib[[#This Row],[File Name Convention]]=0,LEFT(SP_ACQ_Lib[[#This Row],[Name]],LEN(SP_ACQ_Lib[[#This Row],[File Name Convention]]))&lt;&gt;SP_ACQ_Lib[[#This Row],[File Name Convention]],ISERROR(SEARCH(SP_ACQ_Lib[[#This Row],[ACQ Document Type]],SP_ACQ_Lib[[#This Row],[Name]]))),1,0)</f>
        <v>0</v>
      </c>
    </row>
    <row r="160" spans="1:25" ht="15" x14ac:dyDescent="0.2">
      <c r="A160" s="157" t="str">
        <f>CONCATENATE(SP_ACQ_Lib[[#This Row],[Acquisition Tract No.]],"_",SP_ACQ_Lib[[#This Row],[ACQ Document Type]])</f>
        <v>210_CONTACT Letter of Intent-HDR</v>
      </c>
      <c r="B160" s="14" t="s">
        <v>1447</v>
      </c>
      <c r="C160" s="15" t="s">
        <v>37</v>
      </c>
      <c r="D160" s="12" t="s">
        <v>626</v>
      </c>
      <c r="E160" s="8" t="s">
        <v>865</v>
      </c>
      <c r="F160" s="8" t="s">
        <v>1401</v>
      </c>
      <c r="G160" s="8" t="s">
        <v>1400</v>
      </c>
      <c r="H160" s="7" t="s">
        <v>592</v>
      </c>
      <c r="I160" s="16">
        <v>43765</v>
      </c>
      <c r="J160" s="16"/>
      <c r="K160" s="17"/>
      <c r="L160" s="3"/>
      <c r="M160" s="8" t="s">
        <v>23</v>
      </c>
      <c r="N160" s="11">
        <v>43770.449074074073</v>
      </c>
      <c r="O160" s="8" t="s">
        <v>1377</v>
      </c>
      <c r="P160" s="11">
        <v>43768.664733796293</v>
      </c>
      <c r="Q160" s="13">
        <v>324546</v>
      </c>
      <c r="R160" s="19" t="s">
        <v>594</v>
      </c>
      <c r="S160" s="14" t="s">
        <v>1621</v>
      </c>
      <c r="T160" s="163">
        <v>486</v>
      </c>
      <c r="U160" s="164" t="str">
        <f>CONCATENATE(LEFT(SP_ACQ_Lib[[#This Row],[Tax Parcel ID]],7),"_",SP_ACQ_Lib[[#This Row],[ACQ Document Type]])</f>
        <v>R023712_CONTACT Letter of Intent-HDR</v>
      </c>
      <c r="V160" s="65" t="str">
        <f>INDEX(SP_AcqTract_DB[WCAD Tax Parcel ID],MATCH(SP_ACQ_Lib[[#This Row],[Acquisition Tract No.]],SP_AcqTract_DB[Acquisition Tract No.],0))</f>
        <v>R023712;#20</v>
      </c>
      <c r="W160" s="48" t="str">
        <f>INDEX(SP_TaxPar_DB[Acquisition Tract No.],MATCH(LEFT(SP_ACQ_Lib[[#This Row],[Tax Parcel ID]],7),SP_TaxPar_DB[Tax Parcel ID],0))</f>
        <v>210</v>
      </c>
      <c r="X160" s="238" t="str">
        <f>IF(OR(SP_ACQ_Lib[[#This Row],[Acquisition Tract No.]]="",SP_ACQ_Lib[[#This Row],[ACQ Document Type]]=""),0,CONCATENATE("COW-FRMP_TR-",SP_ACQ_Lib[[#This Row],[Acquisition Tract No.]]," ",SP_ACQ_Lib[[#This Row],[ACQ Document Type]]))</f>
        <v>COW-FRMP_TR-210 CONTACT Letter of Intent-HDR</v>
      </c>
      <c r="Y160" s="239">
        <f>IF(OR(SP_ACQ_Lib[[#This Row],[File Name Convention]]=0,LEFT(SP_ACQ_Lib[[#This Row],[Name]],LEN(SP_ACQ_Lib[[#This Row],[File Name Convention]]))&lt;&gt;SP_ACQ_Lib[[#This Row],[File Name Convention]],ISERROR(SEARCH(SP_ACQ_Lib[[#This Row],[ACQ Document Type]],SP_ACQ_Lib[[#This Row],[Name]]))),1,0)</f>
        <v>0</v>
      </c>
    </row>
    <row r="161" spans="1:25" ht="15" x14ac:dyDescent="0.2">
      <c r="A161" s="157" t="str">
        <f>CONCATENATE(SP_ACQ_Lib[[#This Row],[Acquisition Tract No.]],"_",SP_ACQ_Lib[[#This Row],[ACQ Document Type]])</f>
        <v>210_CONTACT Negotiator Report</v>
      </c>
      <c r="B161" s="14" t="s">
        <v>3375</v>
      </c>
      <c r="C161" s="15" t="s">
        <v>37</v>
      </c>
      <c r="D161" s="12" t="s">
        <v>626</v>
      </c>
      <c r="E161" s="8" t="s">
        <v>865</v>
      </c>
      <c r="F161" s="8" t="s">
        <v>1068</v>
      </c>
      <c r="G161" s="8" t="s">
        <v>1067</v>
      </c>
      <c r="H161" s="7" t="s">
        <v>592</v>
      </c>
      <c r="I161" s="16"/>
      <c r="J161" s="16"/>
      <c r="K161" s="17"/>
      <c r="L161" s="3"/>
      <c r="M161" s="8" t="s">
        <v>1743</v>
      </c>
      <c r="N161" s="11">
        <v>44019.73228009259</v>
      </c>
      <c r="O161" s="8" t="s">
        <v>1743</v>
      </c>
      <c r="P161" s="11">
        <v>43838.426388888889</v>
      </c>
      <c r="Q161" s="13">
        <v>520815</v>
      </c>
      <c r="R161" s="19" t="s">
        <v>1069</v>
      </c>
      <c r="S161" s="14" t="s">
        <v>1765</v>
      </c>
      <c r="T161" s="163">
        <v>711</v>
      </c>
      <c r="U161" s="164" t="str">
        <f>CONCATENATE(LEFT(SP_ACQ_Lib[[#This Row],[Tax Parcel ID]],7),"_",SP_ACQ_Lib[[#This Row],[ACQ Document Type]])</f>
        <v>R023712_CONTACT Negotiator Report</v>
      </c>
      <c r="V161" s="65" t="str">
        <f>INDEX(SP_AcqTract_DB[WCAD Tax Parcel ID],MATCH(SP_ACQ_Lib[[#This Row],[Acquisition Tract No.]],SP_AcqTract_DB[Acquisition Tract No.],0))</f>
        <v>R023712;#20</v>
      </c>
      <c r="W161" s="48" t="str">
        <f>INDEX(SP_TaxPar_DB[Acquisition Tract No.],MATCH(LEFT(SP_ACQ_Lib[[#This Row],[Tax Parcel ID]],7),SP_TaxPar_DB[Tax Parcel ID],0))</f>
        <v>210</v>
      </c>
      <c r="X161" s="238" t="str">
        <f>IF(OR(SP_ACQ_Lib[[#This Row],[Acquisition Tract No.]]="",SP_ACQ_Lib[[#This Row],[ACQ Document Type]]=""),0,CONCATENATE("COW-FRMP_TR-",SP_ACQ_Lib[[#This Row],[Acquisition Tract No.]]," ",SP_ACQ_Lib[[#This Row],[ACQ Document Type]]))</f>
        <v>COW-FRMP_TR-210 CONTACT Negotiator Report</v>
      </c>
      <c r="Y161" s="239">
        <f>IF(OR(SP_ACQ_Lib[[#This Row],[File Name Convention]]=0,LEFT(SP_ACQ_Lib[[#This Row],[Name]],LEN(SP_ACQ_Lib[[#This Row],[File Name Convention]]))&lt;&gt;SP_ACQ_Lib[[#This Row],[File Name Convention]],ISERROR(SEARCH(SP_ACQ_Lib[[#This Row],[ACQ Document Type]],SP_ACQ_Lib[[#This Row],[Name]]))),1,0)</f>
        <v>0</v>
      </c>
    </row>
    <row r="162" spans="1:25" ht="15" x14ac:dyDescent="0.2">
      <c r="A162" s="157" t="str">
        <f>CONCATENATE(SP_ACQ_Lib[[#This Row],[Acquisition Tract No.]],"_",SP_ACQ_Lib[[#This Row],[ACQ Document Type]])</f>
        <v>210_NEGOTIATION Initial Offer Package</v>
      </c>
      <c r="B162" s="14" t="s">
        <v>6502</v>
      </c>
      <c r="C162" s="15" t="s">
        <v>37</v>
      </c>
      <c r="D162" s="12" t="s">
        <v>626</v>
      </c>
      <c r="E162" s="8" t="s">
        <v>1142</v>
      </c>
      <c r="F162" s="8" t="s">
        <v>1143</v>
      </c>
      <c r="G162" s="8" t="s">
        <v>1709</v>
      </c>
      <c r="H162" s="7" t="s">
        <v>592</v>
      </c>
      <c r="I162" s="16">
        <v>44018</v>
      </c>
      <c r="J162" s="16"/>
      <c r="K162" s="17">
        <v>12303</v>
      </c>
      <c r="L162" s="3"/>
      <c r="M162" s="8" t="s">
        <v>4206</v>
      </c>
      <c r="N162" s="11">
        <v>44019.408159722225</v>
      </c>
      <c r="O162" s="8" t="s">
        <v>4206</v>
      </c>
      <c r="P162" s="11">
        <v>44019.398576388892</v>
      </c>
      <c r="Q162" s="13">
        <v>9581065</v>
      </c>
      <c r="R162" s="19" t="s">
        <v>594</v>
      </c>
      <c r="S162" s="14" t="s">
        <v>6565</v>
      </c>
      <c r="T162" s="163">
        <v>1352</v>
      </c>
      <c r="U162" s="164" t="str">
        <f>CONCATENATE(LEFT(SP_ACQ_Lib[[#This Row],[Tax Parcel ID]],7),"_",SP_ACQ_Lib[[#This Row],[ACQ Document Type]])</f>
        <v>R023712_NEGOTIATION Initial Offer Package</v>
      </c>
      <c r="V162" s="65" t="str">
        <f>INDEX(SP_AcqTract_DB[WCAD Tax Parcel ID],MATCH(SP_ACQ_Lib[[#This Row],[Acquisition Tract No.]],SP_AcqTract_DB[Acquisition Tract No.],0))</f>
        <v>R023712;#20</v>
      </c>
      <c r="W162" s="48" t="str">
        <f>INDEX(SP_TaxPar_DB[Acquisition Tract No.],MATCH(LEFT(SP_ACQ_Lib[[#This Row],[Tax Parcel ID]],7),SP_TaxPar_DB[Tax Parcel ID],0))</f>
        <v>210</v>
      </c>
      <c r="X162" s="238" t="str">
        <f>IF(OR(SP_ACQ_Lib[[#This Row],[Acquisition Tract No.]]="",SP_ACQ_Lib[[#This Row],[ACQ Document Type]]=""),0,CONCATENATE("COW-FRMP_TR-",SP_ACQ_Lib[[#This Row],[Acquisition Tract No.]]," ",SP_ACQ_Lib[[#This Row],[ACQ Document Type]]))</f>
        <v>COW-FRMP_TR-210 NEGOTIATION Initial Offer Package</v>
      </c>
      <c r="Y162" s="239">
        <f>IF(OR(SP_ACQ_Lib[[#This Row],[File Name Convention]]=0,LEFT(SP_ACQ_Lib[[#This Row],[Name]],LEN(SP_ACQ_Lib[[#This Row],[File Name Convention]]))&lt;&gt;SP_ACQ_Lib[[#This Row],[File Name Convention]],ISERROR(SEARCH(SP_ACQ_Lib[[#This Row],[ACQ Document Type]],SP_ACQ_Lib[[#This Row],[Name]]))),1,0)</f>
        <v>0</v>
      </c>
    </row>
    <row r="163" spans="1:25" ht="15" x14ac:dyDescent="0.2">
      <c r="A163" s="157" t="str">
        <f>CONCATENATE(SP_ACQ_Lib[[#This Row],[Acquisition Tract No.]],"_",SP_ACQ_Lib[[#This Row],[ACQ Document Type]])</f>
        <v>210_NEGOTIATION Initial Offer Package CMRR</v>
      </c>
      <c r="B163" s="14" t="s">
        <v>6503</v>
      </c>
      <c r="C163" s="15" t="s">
        <v>37</v>
      </c>
      <c r="D163" s="12" t="s">
        <v>626</v>
      </c>
      <c r="E163" s="8" t="s">
        <v>1142</v>
      </c>
      <c r="F163" s="8" t="s">
        <v>1144</v>
      </c>
      <c r="G163" s="8" t="s">
        <v>1710</v>
      </c>
      <c r="H163" s="7" t="s">
        <v>592</v>
      </c>
      <c r="I163" s="16">
        <v>44018</v>
      </c>
      <c r="J163" s="16">
        <v>44019</v>
      </c>
      <c r="K163" s="17"/>
      <c r="L163" s="3"/>
      <c r="M163" s="8" t="s">
        <v>4206</v>
      </c>
      <c r="N163" s="11">
        <v>44020.381030092591</v>
      </c>
      <c r="O163" s="8" t="s">
        <v>4206</v>
      </c>
      <c r="P163" s="11">
        <v>44019.398460648146</v>
      </c>
      <c r="Q163" s="13">
        <v>1297533</v>
      </c>
      <c r="R163" s="19" t="s">
        <v>594</v>
      </c>
      <c r="S163" s="14" t="s">
        <v>6566</v>
      </c>
      <c r="T163" s="163">
        <v>1351</v>
      </c>
      <c r="U163" s="164" t="str">
        <f>CONCATENATE(LEFT(SP_ACQ_Lib[[#This Row],[Tax Parcel ID]],7),"_",SP_ACQ_Lib[[#This Row],[ACQ Document Type]])</f>
        <v>R023712_NEGOTIATION Initial Offer Package CMRR</v>
      </c>
      <c r="V163" s="65" t="str">
        <f>INDEX(SP_AcqTract_DB[WCAD Tax Parcel ID],MATCH(SP_ACQ_Lib[[#This Row],[Acquisition Tract No.]],SP_AcqTract_DB[Acquisition Tract No.],0))</f>
        <v>R023712;#20</v>
      </c>
      <c r="W163" s="48" t="str">
        <f>INDEX(SP_TaxPar_DB[Acquisition Tract No.],MATCH(LEFT(SP_ACQ_Lib[[#This Row],[Tax Parcel ID]],7),SP_TaxPar_DB[Tax Parcel ID],0))</f>
        <v>210</v>
      </c>
      <c r="X163" s="238" t="str">
        <f>IF(OR(SP_ACQ_Lib[[#This Row],[Acquisition Tract No.]]="",SP_ACQ_Lib[[#This Row],[ACQ Document Type]]=""),0,CONCATENATE("COW-FRMP_TR-",SP_ACQ_Lib[[#This Row],[Acquisition Tract No.]]," ",SP_ACQ_Lib[[#This Row],[ACQ Document Type]]))</f>
        <v>COW-FRMP_TR-210 NEGOTIATION Initial Offer Package CMRR</v>
      </c>
      <c r="Y163" s="239">
        <f>IF(OR(SP_ACQ_Lib[[#This Row],[File Name Convention]]=0,LEFT(SP_ACQ_Lib[[#This Row],[Name]],LEN(SP_ACQ_Lib[[#This Row],[File Name Convention]]))&lt;&gt;SP_ACQ_Lib[[#This Row],[File Name Convention]],ISERROR(SEARCH(SP_ACQ_Lib[[#This Row],[ACQ Document Type]],SP_ACQ_Lib[[#This Row],[Name]]))),1,0)</f>
        <v>0</v>
      </c>
    </row>
    <row r="164" spans="1:25" ht="15" x14ac:dyDescent="0.2">
      <c r="A164" s="157" t="str">
        <f>CONCATENATE(SP_ACQ_Lib[[#This Row],[Acquisition Tract No.]],"_",SP_ACQ_Lib[[#This Row],[ACQ Document Type]])</f>
        <v>210_NEGOTIATION Landowner Bill of Rights Letter</v>
      </c>
      <c r="B164" s="14" t="s">
        <v>3434</v>
      </c>
      <c r="C164" s="15" t="s">
        <v>37</v>
      </c>
      <c r="D164" s="12" t="s">
        <v>626</v>
      </c>
      <c r="E164" s="8" t="s">
        <v>1142</v>
      </c>
      <c r="F164" s="8" t="s">
        <v>1746</v>
      </c>
      <c r="G164" s="8" t="s">
        <v>1745</v>
      </c>
      <c r="H164" s="7" t="s">
        <v>592</v>
      </c>
      <c r="I164" s="16">
        <v>43748</v>
      </c>
      <c r="J164" s="16"/>
      <c r="K164" s="17"/>
      <c r="L164" s="3"/>
      <c r="M164" s="8" t="s">
        <v>4206</v>
      </c>
      <c r="N164" s="11">
        <v>43872.559236111112</v>
      </c>
      <c r="O164" s="8" t="s">
        <v>4325</v>
      </c>
      <c r="P164" s="11">
        <v>43752.47314814815</v>
      </c>
      <c r="Q164" s="13">
        <v>349304</v>
      </c>
      <c r="R164" s="19" t="s">
        <v>594</v>
      </c>
      <c r="S164" s="14" t="s">
        <v>1190</v>
      </c>
      <c r="T164" s="163">
        <v>425</v>
      </c>
      <c r="U164" s="164" t="str">
        <f>CONCATENATE(LEFT(SP_ACQ_Lib[[#This Row],[Tax Parcel ID]],7),"_",SP_ACQ_Lib[[#This Row],[ACQ Document Type]])</f>
        <v>R023712_NEGOTIATION Landowner Bill of Rights Letter</v>
      </c>
      <c r="V164" s="65" t="str">
        <f>INDEX(SP_AcqTract_DB[WCAD Tax Parcel ID],MATCH(SP_ACQ_Lib[[#This Row],[Acquisition Tract No.]],SP_AcqTract_DB[Acquisition Tract No.],0))</f>
        <v>R023712;#20</v>
      </c>
      <c r="W164" s="48" t="str">
        <f>INDEX(SP_TaxPar_DB[Acquisition Tract No.],MATCH(LEFT(SP_ACQ_Lib[[#This Row],[Tax Parcel ID]],7),SP_TaxPar_DB[Tax Parcel ID],0))</f>
        <v>210</v>
      </c>
      <c r="X164" s="238" t="str">
        <f>IF(OR(SP_ACQ_Lib[[#This Row],[Acquisition Tract No.]]="",SP_ACQ_Lib[[#This Row],[ACQ Document Type]]=""),0,CONCATENATE("COW-FRMP_TR-",SP_ACQ_Lib[[#This Row],[Acquisition Tract No.]]," ",SP_ACQ_Lib[[#This Row],[ACQ Document Type]]))</f>
        <v>COW-FRMP_TR-210 NEGOTIATION Landowner Bill of Rights Letter</v>
      </c>
      <c r="Y164" s="239">
        <f>IF(OR(SP_ACQ_Lib[[#This Row],[File Name Convention]]=0,LEFT(SP_ACQ_Lib[[#This Row],[Name]],LEN(SP_ACQ_Lib[[#This Row],[File Name Convention]]))&lt;&gt;SP_ACQ_Lib[[#This Row],[File Name Convention]],ISERROR(SEARCH(SP_ACQ_Lib[[#This Row],[ACQ Document Type]],SP_ACQ_Lib[[#This Row],[Name]]))),1,0)</f>
        <v>0</v>
      </c>
    </row>
    <row r="165" spans="1:25" ht="15" x14ac:dyDescent="0.2">
      <c r="A165" s="157" t="str">
        <f>CONCATENATE(SP_ACQ_Lib[[#This Row],[Acquisition Tract No.]],"_",SP_ACQ_Lib[[#This Row],[ACQ Document Type]])</f>
        <v>210_SURVEY Description-Plat_CITY</v>
      </c>
      <c r="B165" s="14" t="s">
        <v>3521</v>
      </c>
      <c r="C165" s="15" t="s">
        <v>37</v>
      </c>
      <c r="D165" s="12" t="s">
        <v>626</v>
      </c>
      <c r="E165" s="8" t="s">
        <v>858</v>
      </c>
      <c r="F165" s="8" t="s">
        <v>3503</v>
      </c>
      <c r="G165" s="8" t="s">
        <v>3502</v>
      </c>
      <c r="H165" s="7" t="s">
        <v>1749</v>
      </c>
      <c r="I165" s="16">
        <v>43859</v>
      </c>
      <c r="J165" s="16">
        <v>43886</v>
      </c>
      <c r="K165" s="17"/>
      <c r="L165" s="3"/>
      <c r="M165" s="8" t="s">
        <v>4207</v>
      </c>
      <c r="N165" s="11">
        <v>43979.306064814817</v>
      </c>
      <c r="O165" s="8" t="s">
        <v>4206</v>
      </c>
      <c r="P165" s="11">
        <v>43886.64203703704</v>
      </c>
      <c r="Q165" s="13">
        <v>246878</v>
      </c>
      <c r="R165" s="19" t="s">
        <v>594</v>
      </c>
      <c r="S165" s="14" t="s">
        <v>3544</v>
      </c>
      <c r="T165" s="163">
        <v>1012</v>
      </c>
      <c r="U165" s="164" t="str">
        <f>CONCATENATE(LEFT(SP_ACQ_Lib[[#This Row],[Tax Parcel ID]],7),"_",SP_ACQ_Lib[[#This Row],[ACQ Document Type]])</f>
        <v>R023712_SURVEY Description-Plat_CITY</v>
      </c>
      <c r="V165" s="65" t="str">
        <f>INDEX(SP_AcqTract_DB[WCAD Tax Parcel ID],MATCH(SP_ACQ_Lib[[#This Row],[Acquisition Tract No.]],SP_AcqTract_DB[Acquisition Tract No.],0))</f>
        <v>R023712;#20</v>
      </c>
      <c r="W165" s="48" t="str">
        <f>INDEX(SP_TaxPar_DB[Acquisition Tract No.],MATCH(LEFT(SP_ACQ_Lib[[#This Row],[Tax Parcel ID]],7),SP_TaxPar_DB[Tax Parcel ID],0))</f>
        <v>210</v>
      </c>
      <c r="X165" s="238" t="str">
        <f>IF(OR(SP_ACQ_Lib[[#This Row],[Acquisition Tract No.]]="",SP_ACQ_Lib[[#This Row],[ACQ Document Type]]=""),0,CONCATENATE("COW-FRMP_TR-",SP_ACQ_Lib[[#This Row],[Acquisition Tract No.]]," ",SP_ACQ_Lib[[#This Row],[ACQ Document Type]]))</f>
        <v>COW-FRMP_TR-210 SURVEY Description-Plat_CITY</v>
      </c>
      <c r="Y165" s="239">
        <f>IF(OR(SP_ACQ_Lib[[#This Row],[File Name Convention]]=0,LEFT(SP_ACQ_Lib[[#This Row],[Name]],LEN(SP_ACQ_Lib[[#This Row],[File Name Convention]]))&lt;&gt;SP_ACQ_Lib[[#This Row],[File Name Convention]],ISERROR(SEARCH(SP_ACQ_Lib[[#This Row],[ACQ Document Type]],SP_ACQ_Lib[[#This Row],[Name]]))),1,0)</f>
        <v>0</v>
      </c>
    </row>
    <row r="166" spans="1:25" ht="15" x14ac:dyDescent="0.2">
      <c r="A166" s="157" t="str">
        <f>CONCATENATE(SP_ACQ_Lib[[#This Row],[Acquisition Tract No.]],"_",SP_ACQ_Lib[[#This Row],[ACQ Document Type]])</f>
        <v>210_SURVEY Description-Plat_USACOE</v>
      </c>
      <c r="B166" s="14" t="s">
        <v>4897</v>
      </c>
      <c r="C166" s="15" t="s">
        <v>37</v>
      </c>
      <c r="D166" s="12" t="s">
        <v>626</v>
      </c>
      <c r="E166" s="8" t="s">
        <v>858</v>
      </c>
      <c r="F166" s="8" t="s">
        <v>3510</v>
      </c>
      <c r="G166" s="8" t="s">
        <v>3509</v>
      </c>
      <c r="H166" s="7" t="s">
        <v>1749</v>
      </c>
      <c r="I166" s="16">
        <v>43859</v>
      </c>
      <c r="J166" s="16">
        <v>43937</v>
      </c>
      <c r="K166" s="17"/>
      <c r="L166" s="3"/>
      <c r="M166" s="8" t="s">
        <v>4207</v>
      </c>
      <c r="N166" s="11">
        <v>43979.306064814817</v>
      </c>
      <c r="O166" s="8" t="s">
        <v>4206</v>
      </c>
      <c r="P166" s="11">
        <v>43937.578564814816</v>
      </c>
      <c r="Q166" s="13">
        <v>505467</v>
      </c>
      <c r="R166" s="19" t="s">
        <v>594</v>
      </c>
      <c r="S166" s="14" t="s">
        <v>4901</v>
      </c>
      <c r="T166" s="163">
        <v>1013</v>
      </c>
      <c r="U166" s="164" t="str">
        <f>CONCATENATE(LEFT(SP_ACQ_Lib[[#This Row],[Tax Parcel ID]],7),"_",SP_ACQ_Lib[[#This Row],[ACQ Document Type]])</f>
        <v>R023712_SURVEY Description-Plat_USACOE</v>
      </c>
      <c r="V166" s="65" t="str">
        <f>INDEX(SP_AcqTract_DB[WCAD Tax Parcel ID],MATCH(SP_ACQ_Lib[[#This Row],[Acquisition Tract No.]],SP_AcqTract_DB[Acquisition Tract No.],0))</f>
        <v>R023712;#20</v>
      </c>
      <c r="W166" s="48" t="str">
        <f>INDEX(SP_TaxPar_DB[Acquisition Tract No.],MATCH(LEFT(SP_ACQ_Lib[[#This Row],[Tax Parcel ID]],7),SP_TaxPar_DB[Tax Parcel ID],0))</f>
        <v>210</v>
      </c>
      <c r="X166" s="238" t="str">
        <f>IF(OR(SP_ACQ_Lib[[#This Row],[Acquisition Tract No.]]="",SP_ACQ_Lib[[#This Row],[ACQ Document Type]]=""),0,CONCATENATE("COW-FRMP_TR-",SP_ACQ_Lib[[#This Row],[Acquisition Tract No.]]," ",SP_ACQ_Lib[[#This Row],[ACQ Document Type]]))</f>
        <v>COW-FRMP_TR-210 SURVEY Description-Plat_USACOE</v>
      </c>
      <c r="Y166" s="239">
        <f>IF(OR(SP_ACQ_Lib[[#This Row],[File Name Convention]]=0,LEFT(SP_ACQ_Lib[[#This Row],[Name]],LEN(SP_ACQ_Lib[[#This Row],[File Name Convention]]))&lt;&gt;SP_ACQ_Lib[[#This Row],[File Name Convention]],ISERROR(SEARCH(SP_ACQ_Lib[[#This Row],[ACQ Document Type]],SP_ACQ_Lib[[#This Row],[Name]]))),1,0)</f>
        <v>0</v>
      </c>
    </row>
    <row r="167" spans="1:25" ht="15" x14ac:dyDescent="0.2">
      <c r="A167" s="157" t="str">
        <f>CONCATENATE(SP_ACQ_Lib[[#This Row],[Acquisition Tract No.]],"_",SP_ACQ_Lib[[#This Row],[ACQ Document Type]])</f>
        <v>210_SURVEY Right-of-Entry</v>
      </c>
      <c r="B167" s="14" t="s">
        <v>4573</v>
      </c>
      <c r="C167" s="15" t="s">
        <v>37</v>
      </c>
      <c r="D167" s="12" t="s">
        <v>626</v>
      </c>
      <c r="E167" s="8" t="s">
        <v>858</v>
      </c>
      <c r="F167" s="8" t="s">
        <v>859</v>
      </c>
      <c r="G167" s="8" t="s">
        <v>591</v>
      </c>
      <c r="H167" s="7" t="s">
        <v>592</v>
      </c>
      <c r="I167" s="16">
        <v>43690</v>
      </c>
      <c r="J167" s="16"/>
      <c r="K167" s="17"/>
      <c r="L167" s="3"/>
      <c r="M167" s="8" t="s">
        <v>4206</v>
      </c>
      <c r="N167" s="11">
        <v>43922.375162037039</v>
      </c>
      <c r="O167" s="8" t="s">
        <v>4207</v>
      </c>
      <c r="P167" s="11">
        <v>43691.671296296299</v>
      </c>
      <c r="Q167" s="13">
        <v>827855</v>
      </c>
      <c r="R167" s="19" t="s">
        <v>594</v>
      </c>
      <c r="S167" s="14" t="s">
        <v>735</v>
      </c>
      <c r="T167" s="163">
        <v>71</v>
      </c>
      <c r="U167" s="164" t="str">
        <f>CONCATENATE(LEFT(SP_ACQ_Lib[[#This Row],[Tax Parcel ID]],7),"_",SP_ACQ_Lib[[#This Row],[ACQ Document Type]])</f>
        <v>R023712_SURVEY Right-of-Entry</v>
      </c>
      <c r="V167" s="65" t="str">
        <f>INDEX(SP_AcqTract_DB[WCAD Tax Parcel ID],MATCH(SP_ACQ_Lib[[#This Row],[Acquisition Tract No.]],SP_AcqTract_DB[Acquisition Tract No.],0))</f>
        <v>R023712;#20</v>
      </c>
      <c r="W167" s="48" t="str">
        <f>INDEX(SP_TaxPar_DB[Acquisition Tract No.],MATCH(LEFT(SP_ACQ_Lib[[#This Row],[Tax Parcel ID]],7),SP_TaxPar_DB[Tax Parcel ID],0))</f>
        <v>210</v>
      </c>
      <c r="X167" s="238" t="str">
        <f>IF(OR(SP_ACQ_Lib[[#This Row],[Acquisition Tract No.]]="",SP_ACQ_Lib[[#This Row],[ACQ Document Type]]=""),0,CONCATENATE("COW-FRMP_TR-",SP_ACQ_Lib[[#This Row],[Acquisition Tract No.]]," ",SP_ACQ_Lib[[#This Row],[ACQ Document Type]]))</f>
        <v>COW-FRMP_TR-210 SURVEY Right-of-Entry</v>
      </c>
      <c r="Y167" s="239">
        <f>IF(OR(SP_ACQ_Lib[[#This Row],[File Name Convention]]=0,LEFT(SP_ACQ_Lib[[#This Row],[Name]],LEN(SP_ACQ_Lib[[#This Row],[File Name Convention]]))&lt;&gt;SP_ACQ_Lib[[#This Row],[File Name Convention]],ISERROR(SEARCH(SP_ACQ_Lib[[#This Row],[ACQ Document Type]],SP_ACQ_Lib[[#This Row],[Name]]))),1,0)</f>
        <v>0</v>
      </c>
    </row>
    <row r="168" spans="1:25" ht="15" x14ac:dyDescent="0.2">
      <c r="A168" s="157" t="str">
        <f>CONCATENATE(SP_ACQ_Lib[[#This Row],[Acquisition Tract No.]],"_",SP_ACQ_Lib[[#This Row],[ACQ Document Type]])</f>
        <v>210_TITLE Commitment</v>
      </c>
      <c r="B168" s="14" t="s">
        <v>1448</v>
      </c>
      <c r="C168" s="15" t="s">
        <v>37</v>
      </c>
      <c r="D168" s="12" t="s">
        <v>626</v>
      </c>
      <c r="E168" s="8" t="s">
        <v>861</v>
      </c>
      <c r="F168" s="8" t="s">
        <v>862</v>
      </c>
      <c r="G168" s="8" t="s">
        <v>614</v>
      </c>
      <c r="H168" s="7" t="s">
        <v>592</v>
      </c>
      <c r="I168" s="16">
        <v>43943</v>
      </c>
      <c r="J168" s="16">
        <v>43951</v>
      </c>
      <c r="K168" s="17"/>
      <c r="L168" s="3" t="s">
        <v>4937</v>
      </c>
      <c r="M168" s="8" t="s">
        <v>4325</v>
      </c>
      <c r="N168" s="11">
        <v>43951.639837962961</v>
      </c>
      <c r="O168" s="8" t="s">
        <v>4326</v>
      </c>
      <c r="P168" s="11">
        <v>43706.536180555559</v>
      </c>
      <c r="Q168" s="13">
        <v>613419</v>
      </c>
      <c r="R168" s="19" t="s">
        <v>594</v>
      </c>
      <c r="S168" s="14" t="s">
        <v>736</v>
      </c>
      <c r="T168" s="163">
        <v>203</v>
      </c>
      <c r="U168" s="164" t="str">
        <f>CONCATENATE(LEFT(SP_ACQ_Lib[[#This Row],[Tax Parcel ID]],7),"_",SP_ACQ_Lib[[#This Row],[ACQ Document Type]])</f>
        <v>R023712_TITLE Commitment</v>
      </c>
      <c r="V168" s="65" t="str">
        <f>INDEX(SP_AcqTract_DB[WCAD Tax Parcel ID],MATCH(SP_ACQ_Lib[[#This Row],[Acquisition Tract No.]],SP_AcqTract_DB[Acquisition Tract No.],0))</f>
        <v>R023712;#20</v>
      </c>
      <c r="W168" s="48" t="str">
        <f>INDEX(SP_TaxPar_DB[Acquisition Tract No.],MATCH(LEFT(SP_ACQ_Lib[[#This Row],[Tax Parcel ID]],7),SP_TaxPar_DB[Tax Parcel ID],0))</f>
        <v>210</v>
      </c>
      <c r="X168" s="238" t="str">
        <f>IF(OR(SP_ACQ_Lib[[#This Row],[Acquisition Tract No.]]="",SP_ACQ_Lib[[#This Row],[ACQ Document Type]]=""),0,CONCATENATE("COW-FRMP_TR-",SP_ACQ_Lib[[#This Row],[Acquisition Tract No.]]," ",SP_ACQ_Lib[[#This Row],[ACQ Document Type]]))</f>
        <v>COW-FRMP_TR-210 TITLE Commitment</v>
      </c>
      <c r="Y168" s="239">
        <f>IF(OR(SP_ACQ_Lib[[#This Row],[File Name Convention]]=0,LEFT(SP_ACQ_Lib[[#This Row],[Name]],LEN(SP_ACQ_Lib[[#This Row],[File Name Convention]]))&lt;&gt;SP_ACQ_Lib[[#This Row],[File Name Convention]],ISERROR(SEARCH(SP_ACQ_Lib[[#This Row],[ACQ Document Type]],SP_ACQ_Lib[[#This Row],[Name]]))),1,0)</f>
        <v>0</v>
      </c>
    </row>
    <row r="169" spans="1:25" ht="15" x14ac:dyDescent="0.2">
      <c r="A169" s="157" t="str">
        <f>CONCATENATE(SP_ACQ_Lib[[#This Row],[Acquisition Tract No.]],"_",SP_ACQ_Lib[[#This Row],[ACQ Document Type]])</f>
        <v>210_TITLE Commitment Backup Docs</v>
      </c>
      <c r="B169" s="14" t="s">
        <v>1449</v>
      </c>
      <c r="C169" s="15" t="s">
        <v>37</v>
      </c>
      <c r="D169" s="12" t="s">
        <v>626</v>
      </c>
      <c r="E169" s="8" t="s">
        <v>861</v>
      </c>
      <c r="F169" s="8" t="s">
        <v>863</v>
      </c>
      <c r="G169" s="8" t="s">
        <v>616</v>
      </c>
      <c r="H169" s="7" t="s">
        <v>592</v>
      </c>
      <c r="I169" s="16"/>
      <c r="J169" s="16"/>
      <c r="K169" s="17"/>
      <c r="L169" s="3"/>
      <c r="M169" s="8" t="s">
        <v>23</v>
      </c>
      <c r="N169" s="11">
        <v>43770.44908564815</v>
      </c>
      <c r="O169" s="8" t="s">
        <v>4326</v>
      </c>
      <c r="P169" s="11">
        <v>43706.536620370367</v>
      </c>
      <c r="Q169" s="13">
        <v>1598438</v>
      </c>
      <c r="R169" s="19" t="s">
        <v>594</v>
      </c>
      <c r="S169" s="14" t="s">
        <v>737</v>
      </c>
      <c r="T169" s="163">
        <v>204</v>
      </c>
      <c r="U169" s="164" t="str">
        <f>CONCATENATE(LEFT(SP_ACQ_Lib[[#This Row],[Tax Parcel ID]],7),"_",SP_ACQ_Lib[[#This Row],[ACQ Document Type]])</f>
        <v>R023712_TITLE Commitment Backup Docs</v>
      </c>
      <c r="V169" s="65" t="str">
        <f>INDEX(SP_AcqTract_DB[WCAD Tax Parcel ID],MATCH(SP_ACQ_Lib[[#This Row],[Acquisition Tract No.]],SP_AcqTract_DB[Acquisition Tract No.],0))</f>
        <v>R023712;#20</v>
      </c>
      <c r="W169" s="48" t="str">
        <f>INDEX(SP_TaxPar_DB[Acquisition Tract No.],MATCH(LEFT(SP_ACQ_Lib[[#This Row],[Tax Parcel ID]],7),SP_TaxPar_DB[Tax Parcel ID],0))</f>
        <v>210</v>
      </c>
      <c r="X169" s="238" t="str">
        <f>IF(OR(SP_ACQ_Lib[[#This Row],[Acquisition Tract No.]]="",SP_ACQ_Lib[[#This Row],[ACQ Document Type]]=""),0,CONCATENATE("COW-FRMP_TR-",SP_ACQ_Lib[[#This Row],[Acquisition Tract No.]]," ",SP_ACQ_Lib[[#This Row],[ACQ Document Type]]))</f>
        <v>COW-FRMP_TR-210 TITLE Commitment Backup Docs</v>
      </c>
      <c r="Y169" s="239">
        <f>IF(OR(SP_ACQ_Lib[[#This Row],[File Name Convention]]=0,LEFT(SP_ACQ_Lib[[#This Row],[Name]],LEN(SP_ACQ_Lib[[#This Row],[File Name Convention]]))&lt;&gt;SP_ACQ_Lib[[#This Row],[File Name Convention]],ISERROR(SEARCH(SP_ACQ_Lib[[#This Row],[ACQ Document Type]],SP_ACQ_Lib[[#This Row],[Name]]))),1,0)</f>
        <v>0</v>
      </c>
    </row>
    <row r="170" spans="1:25" ht="15" x14ac:dyDescent="0.2">
      <c r="A170" s="157" t="str">
        <f>CONCATENATE(SP_ACQ_Lib[[#This Row],[Acquisition Tract No.]],"_",SP_ACQ_Lib[[#This Row],[ACQ Document Type]])</f>
        <v>210_TITLE Curative Plan</v>
      </c>
      <c r="B170" s="14" t="s">
        <v>1450</v>
      </c>
      <c r="C170" s="15" t="s">
        <v>37</v>
      </c>
      <c r="D170" s="12" t="s">
        <v>626</v>
      </c>
      <c r="E170" s="8" t="s">
        <v>861</v>
      </c>
      <c r="F170" s="8" t="s">
        <v>864</v>
      </c>
      <c r="G170" s="8" t="s">
        <v>617</v>
      </c>
      <c r="H170" s="7" t="s">
        <v>592</v>
      </c>
      <c r="I170" s="16">
        <v>43809</v>
      </c>
      <c r="J170" s="16"/>
      <c r="K170" s="17"/>
      <c r="L170" s="3"/>
      <c r="M170" s="8" t="s">
        <v>4325</v>
      </c>
      <c r="N170" s="11">
        <v>43951.63921296296</v>
      </c>
      <c r="O170" s="8" t="s">
        <v>4326</v>
      </c>
      <c r="P170" s="11">
        <v>43742.556006944447</v>
      </c>
      <c r="Q170" s="13">
        <v>35479</v>
      </c>
      <c r="R170" s="19" t="s">
        <v>594</v>
      </c>
      <c r="S170" s="14" t="s">
        <v>1191</v>
      </c>
      <c r="T170" s="163">
        <v>386</v>
      </c>
      <c r="U170" s="164" t="str">
        <f>CONCATENATE(LEFT(SP_ACQ_Lib[[#This Row],[Tax Parcel ID]],7),"_",SP_ACQ_Lib[[#This Row],[ACQ Document Type]])</f>
        <v>R023712_TITLE Curative Plan</v>
      </c>
      <c r="V170" s="65" t="str">
        <f>INDEX(SP_AcqTract_DB[WCAD Tax Parcel ID],MATCH(SP_ACQ_Lib[[#This Row],[Acquisition Tract No.]],SP_AcqTract_DB[Acquisition Tract No.],0))</f>
        <v>R023712;#20</v>
      </c>
      <c r="W170" s="48" t="str">
        <f>INDEX(SP_TaxPar_DB[Acquisition Tract No.],MATCH(LEFT(SP_ACQ_Lib[[#This Row],[Tax Parcel ID]],7),SP_TaxPar_DB[Tax Parcel ID],0))</f>
        <v>210</v>
      </c>
      <c r="X170" s="238" t="str">
        <f>IF(OR(SP_ACQ_Lib[[#This Row],[Acquisition Tract No.]]="",SP_ACQ_Lib[[#This Row],[ACQ Document Type]]=""),0,CONCATENATE("COW-FRMP_TR-",SP_ACQ_Lib[[#This Row],[Acquisition Tract No.]]," ",SP_ACQ_Lib[[#This Row],[ACQ Document Type]]))</f>
        <v>COW-FRMP_TR-210 TITLE Curative Plan</v>
      </c>
      <c r="Y170" s="239">
        <f>IF(OR(SP_ACQ_Lib[[#This Row],[File Name Convention]]=0,LEFT(SP_ACQ_Lib[[#This Row],[Name]],LEN(SP_ACQ_Lib[[#This Row],[File Name Convention]]))&lt;&gt;SP_ACQ_Lib[[#This Row],[File Name Convention]],ISERROR(SEARCH(SP_ACQ_Lib[[#This Row],[ACQ Document Type]],SP_ACQ_Lib[[#This Row],[Name]]))),1,0)</f>
        <v>0</v>
      </c>
    </row>
    <row r="171" spans="1:25" ht="15" x14ac:dyDescent="0.2">
      <c r="A171" s="157" t="str">
        <f>CONCATENATE(SP_ACQ_Lib[[#This Row],[Acquisition Tract No.]],"_",SP_ACQ_Lib[[#This Row],[ACQ Document Type]])</f>
        <v>210_TITLE Tax Card</v>
      </c>
      <c r="B171" s="14" t="s">
        <v>3435</v>
      </c>
      <c r="C171" s="15" t="s">
        <v>37</v>
      </c>
      <c r="D171" s="12" t="s">
        <v>626</v>
      </c>
      <c r="E171" s="8" t="s">
        <v>861</v>
      </c>
      <c r="F171" s="8" t="s">
        <v>1150</v>
      </c>
      <c r="G171" s="8" t="s">
        <v>1149</v>
      </c>
      <c r="H171" s="7" t="s">
        <v>592</v>
      </c>
      <c r="I171" s="16"/>
      <c r="J171" s="16"/>
      <c r="K171" s="17"/>
      <c r="L171" s="3"/>
      <c r="M171" s="8" t="s">
        <v>4206</v>
      </c>
      <c r="N171" s="11">
        <v>43874.590763888889</v>
      </c>
      <c r="O171" s="8" t="s">
        <v>1272</v>
      </c>
      <c r="P171" s="11">
        <v>43817.464826388888</v>
      </c>
      <c r="Q171" s="13">
        <v>594554</v>
      </c>
      <c r="R171" s="19" t="s">
        <v>594</v>
      </c>
      <c r="S171" s="14" t="s">
        <v>1766</v>
      </c>
      <c r="T171" s="163">
        <v>590</v>
      </c>
      <c r="U171" s="164" t="str">
        <f>CONCATENATE(LEFT(SP_ACQ_Lib[[#This Row],[Tax Parcel ID]],7),"_",SP_ACQ_Lib[[#This Row],[ACQ Document Type]])</f>
        <v>R023712_TITLE Tax Card</v>
      </c>
      <c r="V171" s="65" t="str">
        <f>INDEX(SP_AcqTract_DB[WCAD Tax Parcel ID],MATCH(SP_ACQ_Lib[[#This Row],[Acquisition Tract No.]],SP_AcqTract_DB[Acquisition Tract No.],0))</f>
        <v>R023712;#20</v>
      </c>
      <c r="W171" s="48" t="str">
        <f>INDEX(SP_TaxPar_DB[Acquisition Tract No.],MATCH(LEFT(SP_ACQ_Lib[[#This Row],[Tax Parcel ID]],7),SP_TaxPar_DB[Tax Parcel ID],0))</f>
        <v>210</v>
      </c>
      <c r="X171" s="238" t="str">
        <f>IF(OR(SP_ACQ_Lib[[#This Row],[Acquisition Tract No.]]="",SP_ACQ_Lib[[#This Row],[ACQ Document Type]]=""),0,CONCATENATE("COW-FRMP_TR-",SP_ACQ_Lib[[#This Row],[Acquisition Tract No.]]," ",SP_ACQ_Lib[[#This Row],[ACQ Document Type]]))</f>
        <v>COW-FRMP_TR-210 TITLE Tax Card</v>
      </c>
      <c r="Y171" s="239">
        <f>IF(OR(SP_ACQ_Lib[[#This Row],[File Name Convention]]=0,LEFT(SP_ACQ_Lib[[#This Row],[Name]],LEN(SP_ACQ_Lib[[#This Row],[File Name Convention]]))&lt;&gt;SP_ACQ_Lib[[#This Row],[File Name Convention]],ISERROR(SEARCH(SP_ACQ_Lib[[#This Row],[ACQ Document Type]],SP_ACQ_Lib[[#This Row],[Name]]))),1,0)</f>
        <v>0</v>
      </c>
    </row>
    <row r="172" spans="1:25" ht="15" x14ac:dyDescent="0.2">
      <c r="A172" s="157" t="str">
        <f>CONCATENATE(SP_ACQ_Lib[[#This Row],[Acquisition Tract No.]],"_",SP_ACQ_Lib[[#This Row],[ACQ Document Type]])</f>
        <v>211_CONTACT Initial Interview - Residential</v>
      </c>
      <c r="B172" s="14" t="s">
        <v>1451</v>
      </c>
      <c r="C172" s="15" t="s">
        <v>38</v>
      </c>
      <c r="D172" s="12" t="s">
        <v>627</v>
      </c>
      <c r="E172" s="8" t="s">
        <v>865</v>
      </c>
      <c r="F172" s="8" t="s">
        <v>866</v>
      </c>
      <c r="G172" s="8" t="s">
        <v>618</v>
      </c>
      <c r="H172" s="7" t="s">
        <v>592</v>
      </c>
      <c r="I172" s="16">
        <v>43685</v>
      </c>
      <c r="J172" s="16"/>
      <c r="K172" s="17"/>
      <c r="L172" s="3"/>
      <c r="M172" s="8" t="s">
        <v>23</v>
      </c>
      <c r="N172" s="11">
        <v>43770.44908564815</v>
      </c>
      <c r="O172" s="8" t="s">
        <v>4325</v>
      </c>
      <c r="P172" s="11">
        <v>43696.413263888891</v>
      </c>
      <c r="Q172" s="13">
        <v>150637</v>
      </c>
      <c r="R172" s="19" t="s">
        <v>594</v>
      </c>
      <c r="S172" s="14" t="s">
        <v>738</v>
      </c>
      <c r="T172" s="163">
        <v>109</v>
      </c>
      <c r="U172" s="164" t="str">
        <f>CONCATENATE(LEFT(SP_ACQ_Lib[[#This Row],[Tax Parcel ID]],7),"_",SP_ACQ_Lib[[#This Row],[ACQ Document Type]])</f>
        <v>R031204_CONTACT Initial Interview - Residential</v>
      </c>
      <c r="V172" s="65" t="str">
        <f>INDEX(SP_AcqTract_DB[WCAD Tax Parcel ID],MATCH(SP_ACQ_Lib[[#This Row],[Acquisition Tract No.]],SP_AcqTract_DB[Acquisition Tract No.],0))</f>
        <v>R031204;#21</v>
      </c>
      <c r="W172" s="48" t="str">
        <f>INDEX(SP_TaxPar_DB[Acquisition Tract No.],MATCH(LEFT(SP_ACQ_Lib[[#This Row],[Tax Parcel ID]],7),SP_TaxPar_DB[Tax Parcel ID],0))</f>
        <v>211</v>
      </c>
      <c r="X172" s="238" t="str">
        <f>IF(OR(SP_ACQ_Lib[[#This Row],[Acquisition Tract No.]]="",SP_ACQ_Lib[[#This Row],[ACQ Document Type]]=""),0,CONCATENATE("COW-FRMP_TR-",SP_ACQ_Lib[[#This Row],[Acquisition Tract No.]]," ",SP_ACQ_Lib[[#This Row],[ACQ Document Type]]))</f>
        <v>COW-FRMP_TR-211 CONTACT Initial Interview - Residential</v>
      </c>
      <c r="Y172" s="239">
        <f>IF(OR(SP_ACQ_Lib[[#This Row],[File Name Convention]]=0,LEFT(SP_ACQ_Lib[[#This Row],[Name]],LEN(SP_ACQ_Lib[[#This Row],[File Name Convention]]))&lt;&gt;SP_ACQ_Lib[[#This Row],[File Name Convention]],ISERROR(SEARCH(SP_ACQ_Lib[[#This Row],[ACQ Document Type]],SP_ACQ_Lib[[#This Row],[Name]]))),1,0)</f>
        <v>0</v>
      </c>
    </row>
    <row r="173" spans="1:25" ht="15" x14ac:dyDescent="0.2">
      <c r="A173" s="157" t="str">
        <f>CONCATENATE(SP_ACQ_Lib[[#This Row],[Acquisition Tract No.]],"_",SP_ACQ_Lib[[#This Row],[ACQ Document Type]])</f>
        <v>211_CONTACT Letter of Intent-HDR</v>
      </c>
      <c r="B173" s="14" t="s">
        <v>1452</v>
      </c>
      <c r="C173" s="15" t="s">
        <v>38</v>
      </c>
      <c r="D173" s="12" t="s">
        <v>627</v>
      </c>
      <c r="E173" s="8" t="s">
        <v>865</v>
      </c>
      <c r="F173" s="8" t="s">
        <v>1401</v>
      </c>
      <c r="G173" s="8" t="s">
        <v>1400</v>
      </c>
      <c r="H173" s="7" t="s">
        <v>592</v>
      </c>
      <c r="I173" s="16">
        <v>43765</v>
      </c>
      <c r="J173" s="16"/>
      <c r="K173" s="17"/>
      <c r="L173" s="3"/>
      <c r="M173" s="8" t="s">
        <v>1402</v>
      </c>
      <c r="N173" s="11">
        <v>43781.380370370367</v>
      </c>
      <c r="O173" s="8" t="s">
        <v>1377</v>
      </c>
      <c r="P173" s="11">
        <v>43768.733877314815</v>
      </c>
      <c r="Q173" s="13">
        <v>409991</v>
      </c>
      <c r="R173" s="19" t="s">
        <v>594</v>
      </c>
      <c r="S173" s="14" t="s">
        <v>1622</v>
      </c>
      <c r="T173" s="163">
        <v>502</v>
      </c>
      <c r="U173" s="164" t="str">
        <f>CONCATENATE(LEFT(SP_ACQ_Lib[[#This Row],[Tax Parcel ID]],7),"_",SP_ACQ_Lib[[#This Row],[ACQ Document Type]])</f>
        <v>R031204_CONTACT Letter of Intent-HDR</v>
      </c>
      <c r="V173" s="65" t="str">
        <f>INDEX(SP_AcqTract_DB[WCAD Tax Parcel ID],MATCH(SP_ACQ_Lib[[#This Row],[Acquisition Tract No.]],SP_AcqTract_DB[Acquisition Tract No.],0))</f>
        <v>R031204;#21</v>
      </c>
      <c r="W173" s="48" t="str">
        <f>INDEX(SP_TaxPar_DB[Acquisition Tract No.],MATCH(LEFT(SP_ACQ_Lib[[#This Row],[Tax Parcel ID]],7),SP_TaxPar_DB[Tax Parcel ID],0))</f>
        <v>211</v>
      </c>
      <c r="X173" s="238" t="str">
        <f>IF(OR(SP_ACQ_Lib[[#This Row],[Acquisition Tract No.]]="",SP_ACQ_Lib[[#This Row],[ACQ Document Type]]=""),0,CONCATENATE("COW-FRMP_TR-",SP_ACQ_Lib[[#This Row],[Acquisition Tract No.]]," ",SP_ACQ_Lib[[#This Row],[ACQ Document Type]]))</f>
        <v>COW-FRMP_TR-211 CONTACT Letter of Intent-HDR</v>
      </c>
      <c r="Y173" s="239">
        <f>IF(OR(SP_ACQ_Lib[[#This Row],[File Name Convention]]=0,LEFT(SP_ACQ_Lib[[#This Row],[Name]],LEN(SP_ACQ_Lib[[#This Row],[File Name Convention]]))&lt;&gt;SP_ACQ_Lib[[#This Row],[File Name Convention]],ISERROR(SEARCH(SP_ACQ_Lib[[#This Row],[ACQ Document Type]],SP_ACQ_Lib[[#This Row],[Name]]))),1,0)</f>
        <v>0</v>
      </c>
    </row>
    <row r="174" spans="1:25" ht="15" x14ac:dyDescent="0.2">
      <c r="A174" s="157" t="str">
        <f>CONCATENATE(SP_ACQ_Lib[[#This Row],[Acquisition Tract No.]],"_",SP_ACQ_Lib[[#This Row],[ACQ Document Type]])</f>
        <v>211_CONTACT Letter of Intent-HDR</v>
      </c>
      <c r="B174" s="14" t="s">
        <v>3376</v>
      </c>
      <c r="C174" s="15" t="s">
        <v>38</v>
      </c>
      <c r="D174" s="12" t="s">
        <v>627</v>
      </c>
      <c r="E174" s="8" t="s">
        <v>865</v>
      </c>
      <c r="F174" s="8" t="s">
        <v>1401</v>
      </c>
      <c r="G174" s="8" t="s">
        <v>1400</v>
      </c>
      <c r="H174" s="7" t="s">
        <v>592</v>
      </c>
      <c r="I174" s="16">
        <v>43812</v>
      </c>
      <c r="J174" s="16"/>
      <c r="K174" s="17"/>
      <c r="L174" s="3"/>
      <c r="M174" s="8" t="s">
        <v>4206</v>
      </c>
      <c r="N174" s="11">
        <v>43872.541620370372</v>
      </c>
      <c r="O174" s="8" t="s">
        <v>1377</v>
      </c>
      <c r="P174" s="11">
        <v>43823.668738425928</v>
      </c>
      <c r="Q174" s="13">
        <v>30058</v>
      </c>
      <c r="R174" s="19" t="s">
        <v>594</v>
      </c>
      <c r="S174" s="14" t="s">
        <v>1767</v>
      </c>
      <c r="T174" s="163">
        <v>703</v>
      </c>
      <c r="U174" s="164" t="str">
        <f>CONCATENATE(LEFT(SP_ACQ_Lib[[#This Row],[Tax Parcel ID]],7),"_",SP_ACQ_Lib[[#This Row],[ACQ Document Type]])</f>
        <v>R031204_CONTACT Letter of Intent-HDR</v>
      </c>
      <c r="V174" s="65" t="str">
        <f>INDEX(SP_AcqTract_DB[WCAD Tax Parcel ID],MATCH(SP_ACQ_Lib[[#This Row],[Acquisition Tract No.]],SP_AcqTract_DB[Acquisition Tract No.],0))</f>
        <v>R031204;#21</v>
      </c>
      <c r="W174" s="48" t="str">
        <f>INDEX(SP_TaxPar_DB[Acquisition Tract No.],MATCH(LEFT(SP_ACQ_Lib[[#This Row],[Tax Parcel ID]],7),SP_TaxPar_DB[Tax Parcel ID],0))</f>
        <v>211</v>
      </c>
      <c r="X174" s="238" t="str">
        <f>IF(OR(SP_ACQ_Lib[[#This Row],[Acquisition Tract No.]]="",SP_ACQ_Lib[[#This Row],[ACQ Document Type]]=""),0,CONCATENATE("COW-FRMP_TR-",SP_ACQ_Lib[[#This Row],[Acquisition Tract No.]]," ",SP_ACQ_Lib[[#This Row],[ACQ Document Type]]))</f>
        <v>COW-FRMP_TR-211 CONTACT Letter of Intent-HDR</v>
      </c>
      <c r="Y174" s="239">
        <f>IF(OR(SP_ACQ_Lib[[#This Row],[File Name Convention]]=0,LEFT(SP_ACQ_Lib[[#This Row],[Name]],LEN(SP_ACQ_Lib[[#This Row],[File Name Convention]]))&lt;&gt;SP_ACQ_Lib[[#This Row],[File Name Convention]],ISERROR(SEARCH(SP_ACQ_Lib[[#This Row],[ACQ Document Type]],SP_ACQ_Lib[[#This Row],[Name]]))),1,0)</f>
        <v>0</v>
      </c>
    </row>
    <row r="175" spans="1:25" ht="15" x14ac:dyDescent="0.2">
      <c r="A175" s="157" t="str">
        <f>CONCATENATE(SP_ACQ_Lib[[#This Row],[Acquisition Tract No.]],"_",SP_ACQ_Lib[[#This Row],[ACQ Document Type]])</f>
        <v>211_CONTACT Negotiator Report</v>
      </c>
      <c r="B175" s="14" t="s">
        <v>3377</v>
      </c>
      <c r="C175" s="15" t="s">
        <v>38</v>
      </c>
      <c r="D175" s="12" t="s">
        <v>627</v>
      </c>
      <c r="E175" s="8" t="s">
        <v>865</v>
      </c>
      <c r="F175" s="8" t="s">
        <v>1068</v>
      </c>
      <c r="G175" s="8" t="s">
        <v>1067</v>
      </c>
      <c r="H175" s="7" t="s">
        <v>592</v>
      </c>
      <c r="I175" s="16"/>
      <c r="J175" s="16"/>
      <c r="K175" s="17"/>
      <c r="L175" s="3"/>
      <c r="M175" s="8" t="s">
        <v>1744</v>
      </c>
      <c r="N175" s="11">
        <v>43937.748993055553</v>
      </c>
      <c r="O175" s="8" t="s">
        <v>4207</v>
      </c>
      <c r="P175" s="11">
        <v>43735.689826388887</v>
      </c>
      <c r="Q175" s="13">
        <v>56016</v>
      </c>
      <c r="R175" s="19" t="s">
        <v>1069</v>
      </c>
      <c r="S175" s="14" t="s">
        <v>1082</v>
      </c>
      <c r="T175" s="163">
        <v>358</v>
      </c>
      <c r="U175" s="164" t="str">
        <f>CONCATENATE(LEFT(SP_ACQ_Lib[[#This Row],[Tax Parcel ID]],7),"_",SP_ACQ_Lib[[#This Row],[ACQ Document Type]])</f>
        <v>R031204_CONTACT Negotiator Report</v>
      </c>
      <c r="V175" s="65" t="str">
        <f>INDEX(SP_AcqTract_DB[WCAD Tax Parcel ID],MATCH(SP_ACQ_Lib[[#This Row],[Acquisition Tract No.]],SP_AcqTract_DB[Acquisition Tract No.],0))</f>
        <v>R031204;#21</v>
      </c>
      <c r="W175" s="48" t="str">
        <f>INDEX(SP_TaxPar_DB[Acquisition Tract No.],MATCH(LEFT(SP_ACQ_Lib[[#This Row],[Tax Parcel ID]],7),SP_TaxPar_DB[Tax Parcel ID],0))</f>
        <v>211</v>
      </c>
      <c r="X175" s="238" t="str">
        <f>IF(OR(SP_ACQ_Lib[[#This Row],[Acquisition Tract No.]]="",SP_ACQ_Lib[[#This Row],[ACQ Document Type]]=""),0,CONCATENATE("COW-FRMP_TR-",SP_ACQ_Lib[[#This Row],[Acquisition Tract No.]]," ",SP_ACQ_Lib[[#This Row],[ACQ Document Type]]))</f>
        <v>COW-FRMP_TR-211 CONTACT Negotiator Report</v>
      </c>
      <c r="Y175" s="239">
        <f>IF(OR(SP_ACQ_Lib[[#This Row],[File Name Convention]]=0,LEFT(SP_ACQ_Lib[[#This Row],[Name]],LEN(SP_ACQ_Lib[[#This Row],[File Name Convention]]))&lt;&gt;SP_ACQ_Lib[[#This Row],[File Name Convention]],ISERROR(SEARCH(SP_ACQ_Lib[[#This Row],[ACQ Document Type]],SP_ACQ_Lib[[#This Row],[Name]]))),1,0)</f>
        <v>0</v>
      </c>
    </row>
    <row r="176" spans="1:25" ht="15" x14ac:dyDescent="0.2">
      <c r="A176" s="157" t="str">
        <f>CONCATENATE(SP_ACQ_Lib[[#This Row],[Acquisition Tract No.]],"_",SP_ACQ_Lib[[#This Row],[ACQ Document Type]])</f>
        <v>211_NEGOTIATION Landowner Bill of Rights Letter</v>
      </c>
      <c r="B176" s="14" t="s">
        <v>3436</v>
      </c>
      <c r="C176" s="15" t="s">
        <v>38</v>
      </c>
      <c r="D176" s="12" t="s">
        <v>627</v>
      </c>
      <c r="E176" s="8" t="s">
        <v>1142</v>
      </c>
      <c r="F176" s="8" t="s">
        <v>1746</v>
      </c>
      <c r="G176" s="8" t="s">
        <v>1745</v>
      </c>
      <c r="H176" s="7" t="s">
        <v>592</v>
      </c>
      <c r="I176" s="16">
        <v>43748</v>
      </c>
      <c r="J176" s="16"/>
      <c r="K176" s="17"/>
      <c r="L176" s="3"/>
      <c r="M176" s="8" t="s">
        <v>4206</v>
      </c>
      <c r="N176" s="11">
        <v>43872.55940972222</v>
      </c>
      <c r="O176" s="8" t="s">
        <v>4325</v>
      </c>
      <c r="P176" s="11">
        <v>43752.475138888891</v>
      </c>
      <c r="Q176" s="13">
        <v>497012</v>
      </c>
      <c r="R176" s="19" t="s">
        <v>594</v>
      </c>
      <c r="S176" s="14" t="s">
        <v>1192</v>
      </c>
      <c r="T176" s="163">
        <v>426</v>
      </c>
      <c r="U176" s="164" t="str">
        <f>CONCATENATE(LEFT(SP_ACQ_Lib[[#This Row],[Tax Parcel ID]],7),"_",SP_ACQ_Lib[[#This Row],[ACQ Document Type]])</f>
        <v>R031204_NEGOTIATION Landowner Bill of Rights Letter</v>
      </c>
      <c r="V176" s="65" t="str">
        <f>INDEX(SP_AcqTract_DB[WCAD Tax Parcel ID],MATCH(SP_ACQ_Lib[[#This Row],[Acquisition Tract No.]],SP_AcqTract_DB[Acquisition Tract No.],0))</f>
        <v>R031204;#21</v>
      </c>
      <c r="W176" s="48" t="str">
        <f>INDEX(SP_TaxPar_DB[Acquisition Tract No.],MATCH(LEFT(SP_ACQ_Lib[[#This Row],[Tax Parcel ID]],7),SP_TaxPar_DB[Tax Parcel ID],0))</f>
        <v>211</v>
      </c>
      <c r="X176" s="238" t="str">
        <f>IF(OR(SP_ACQ_Lib[[#This Row],[Acquisition Tract No.]]="",SP_ACQ_Lib[[#This Row],[ACQ Document Type]]=""),0,CONCATENATE("COW-FRMP_TR-",SP_ACQ_Lib[[#This Row],[Acquisition Tract No.]]," ",SP_ACQ_Lib[[#This Row],[ACQ Document Type]]))</f>
        <v>COW-FRMP_TR-211 NEGOTIATION Landowner Bill of Rights Letter</v>
      </c>
      <c r="Y176" s="239">
        <f>IF(OR(SP_ACQ_Lib[[#This Row],[File Name Convention]]=0,LEFT(SP_ACQ_Lib[[#This Row],[Name]],LEN(SP_ACQ_Lib[[#This Row],[File Name Convention]]))&lt;&gt;SP_ACQ_Lib[[#This Row],[File Name Convention]],ISERROR(SEARCH(SP_ACQ_Lib[[#This Row],[ACQ Document Type]],SP_ACQ_Lib[[#This Row],[Name]]))),1,0)</f>
        <v>0</v>
      </c>
    </row>
    <row r="177" spans="1:25" ht="15" x14ac:dyDescent="0.2">
      <c r="A177" s="157" t="str">
        <f>CONCATENATE(SP_ACQ_Lib[[#This Row],[Acquisition Tract No.]],"_",SP_ACQ_Lib[[#This Row],[ACQ Document Type]])</f>
        <v>211_SURVEY Description-Plat_CITY</v>
      </c>
      <c r="B177" s="14" t="s">
        <v>4700</v>
      </c>
      <c r="C177" s="15" t="s">
        <v>38</v>
      </c>
      <c r="D177" s="12" t="s">
        <v>627</v>
      </c>
      <c r="E177" s="8" t="s">
        <v>858</v>
      </c>
      <c r="F177" s="8" t="s">
        <v>3503</v>
      </c>
      <c r="G177" s="8" t="s">
        <v>3502</v>
      </c>
      <c r="H177" s="7" t="s">
        <v>1749</v>
      </c>
      <c r="I177" s="16">
        <v>43840</v>
      </c>
      <c r="J177" s="16">
        <v>43926</v>
      </c>
      <c r="K177" s="17"/>
      <c r="L177" s="3"/>
      <c r="M177" s="8" t="s">
        <v>4207</v>
      </c>
      <c r="N177" s="11">
        <v>43979.306076388886</v>
      </c>
      <c r="O177" s="8" t="s">
        <v>4206</v>
      </c>
      <c r="P177" s="11">
        <v>43927.600590277776</v>
      </c>
      <c r="Q177" s="13">
        <v>366195</v>
      </c>
      <c r="R177" s="19" t="s">
        <v>594</v>
      </c>
      <c r="S177" s="14" t="s">
        <v>4704</v>
      </c>
      <c r="T177" s="163">
        <v>1014</v>
      </c>
      <c r="U177" s="164" t="str">
        <f>CONCATENATE(LEFT(SP_ACQ_Lib[[#This Row],[Tax Parcel ID]],7),"_",SP_ACQ_Lib[[#This Row],[ACQ Document Type]])</f>
        <v>R031204_SURVEY Description-Plat_CITY</v>
      </c>
      <c r="V177" s="65" t="str">
        <f>INDEX(SP_AcqTract_DB[WCAD Tax Parcel ID],MATCH(SP_ACQ_Lib[[#This Row],[Acquisition Tract No.]],SP_AcqTract_DB[Acquisition Tract No.],0))</f>
        <v>R031204;#21</v>
      </c>
      <c r="W177" s="48" t="str">
        <f>INDEX(SP_TaxPar_DB[Acquisition Tract No.],MATCH(LEFT(SP_ACQ_Lib[[#This Row],[Tax Parcel ID]],7),SP_TaxPar_DB[Tax Parcel ID],0))</f>
        <v>211</v>
      </c>
      <c r="X177" s="238" t="str">
        <f>IF(OR(SP_ACQ_Lib[[#This Row],[Acquisition Tract No.]]="",SP_ACQ_Lib[[#This Row],[ACQ Document Type]]=""),0,CONCATENATE("COW-FRMP_TR-",SP_ACQ_Lib[[#This Row],[Acquisition Tract No.]]," ",SP_ACQ_Lib[[#This Row],[ACQ Document Type]]))</f>
        <v>COW-FRMP_TR-211 SURVEY Description-Plat_CITY</v>
      </c>
      <c r="Y177" s="239">
        <f>IF(OR(SP_ACQ_Lib[[#This Row],[File Name Convention]]=0,LEFT(SP_ACQ_Lib[[#This Row],[Name]],LEN(SP_ACQ_Lib[[#This Row],[File Name Convention]]))&lt;&gt;SP_ACQ_Lib[[#This Row],[File Name Convention]],ISERROR(SEARCH(SP_ACQ_Lib[[#This Row],[ACQ Document Type]],SP_ACQ_Lib[[#This Row],[Name]]))),1,0)</f>
        <v>0</v>
      </c>
    </row>
    <row r="178" spans="1:25" ht="15" x14ac:dyDescent="0.2">
      <c r="A178" s="157" t="str">
        <f>CONCATENATE(SP_ACQ_Lib[[#This Row],[Acquisition Tract No.]],"_",SP_ACQ_Lib[[#This Row],[ACQ Document Type]])</f>
        <v>211_SURVEY Description-Plat_USACOE</v>
      </c>
      <c r="B178" s="14" t="s">
        <v>6024</v>
      </c>
      <c r="C178" s="15" t="s">
        <v>38</v>
      </c>
      <c r="D178" s="12" t="s">
        <v>627</v>
      </c>
      <c r="E178" s="8" t="s">
        <v>858</v>
      </c>
      <c r="F178" s="8" t="s">
        <v>3510</v>
      </c>
      <c r="G178" s="8" t="s">
        <v>3509</v>
      </c>
      <c r="H178" s="7" t="s">
        <v>592</v>
      </c>
      <c r="I178" s="16">
        <v>43991</v>
      </c>
      <c r="J178" s="16">
        <v>43993</v>
      </c>
      <c r="K178" s="17"/>
      <c r="L178" s="3"/>
      <c r="M178" s="8" t="s">
        <v>4206</v>
      </c>
      <c r="N178" s="11">
        <v>43994.371527777781</v>
      </c>
      <c r="O178" s="8" t="s">
        <v>4206</v>
      </c>
      <c r="P178" s="11">
        <v>43994.366620370369</v>
      </c>
      <c r="Q178" s="13">
        <v>721347</v>
      </c>
      <c r="R178" s="19" t="s">
        <v>594</v>
      </c>
      <c r="S178" s="14" t="s">
        <v>6045</v>
      </c>
      <c r="T178" s="163">
        <v>1187</v>
      </c>
      <c r="U178" s="164" t="str">
        <f>CONCATENATE(LEFT(SP_ACQ_Lib[[#This Row],[Tax Parcel ID]],7),"_",SP_ACQ_Lib[[#This Row],[ACQ Document Type]])</f>
        <v>R031204_SURVEY Description-Plat_USACOE</v>
      </c>
      <c r="V178" s="65" t="str">
        <f>INDEX(SP_AcqTract_DB[WCAD Tax Parcel ID],MATCH(SP_ACQ_Lib[[#This Row],[Acquisition Tract No.]],SP_AcqTract_DB[Acquisition Tract No.],0))</f>
        <v>R031204;#21</v>
      </c>
      <c r="W178" s="48" t="str">
        <f>INDEX(SP_TaxPar_DB[Acquisition Tract No.],MATCH(LEFT(SP_ACQ_Lib[[#This Row],[Tax Parcel ID]],7),SP_TaxPar_DB[Tax Parcel ID],0))</f>
        <v>211</v>
      </c>
      <c r="X178" s="238" t="str">
        <f>IF(OR(SP_ACQ_Lib[[#This Row],[Acquisition Tract No.]]="",SP_ACQ_Lib[[#This Row],[ACQ Document Type]]=""),0,CONCATENATE("COW-FRMP_TR-",SP_ACQ_Lib[[#This Row],[Acquisition Tract No.]]," ",SP_ACQ_Lib[[#This Row],[ACQ Document Type]]))</f>
        <v>COW-FRMP_TR-211 SURVEY Description-Plat_USACOE</v>
      </c>
      <c r="Y178" s="239">
        <f>IF(OR(SP_ACQ_Lib[[#This Row],[File Name Convention]]=0,LEFT(SP_ACQ_Lib[[#This Row],[Name]],LEN(SP_ACQ_Lib[[#This Row],[File Name Convention]]))&lt;&gt;SP_ACQ_Lib[[#This Row],[File Name Convention]],ISERROR(SEARCH(SP_ACQ_Lib[[#This Row],[ACQ Document Type]],SP_ACQ_Lib[[#This Row],[Name]]))),1,0)</f>
        <v>0</v>
      </c>
    </row>
    <row r="179" spans="1:25" ht="15" x14ac:dyDescent="0.2">
      <c r="A179" s="157" t="str">
        <f>CONCATENATE(SP_ACQ_Lib[[#This Row],[Acquisition Tract No.]],"_",SP_ACQ_Lib[[#This Row],[ACQ Document Type]])</f>
        <v>211_SURVEY Right-of-Entry</v>
      </c>
      <c r="B179" s="14" t="s">
        <v>4574</v>
      </c>
      <c r="C179" s="15" t="s">
        <v>38</v>
      </c>
      <c r="D179" s="12" t="s">
        <v>627</v>
      </c>
      <c r="E179" s="8" t="s">
        <v>858</v>
      </c>
      <c r="F179" s="8" t="s">
        <v>859</v>
      </c>
      <c r="G179" s="8" t="s">
        <v>591</v>
      </c>
      <c r="H179" s="7" t="s">
        <v>592</v>
      </c>
      <c r="I179" s="16">
        <v>43613</v>
      </c>
      <c r="J179" s="16"/>
      <c r="K179" s="17"/>
      <c r="L179" s="3"/>
      <c r="M179" s="8" t="s">
        <v>4206</v>
      </c>
      <c r="N179" s="11">
        <v>43922.375358796293</v>
      </c>
      <c r="O179" s="8" t="s">
        <v>4325</v>
      </c>
      <c r="P179" s="11">
        <v>43686.615335648145</v>
      </c>
      <c r="Q179" s="13">
        <v>2942468</v>
      </c>
      <c r="R179" s="19" t="s">
        <v>594</v>
      </c>
      <c r="S179" s="14" t="s">
        <v>739</v>
      </c>
      <c r="T179" s="163">
        <v>7</v>
      </c>
      <c r="U179" s="164" t="str">
        <f>CONCATENATE(LEFT(SP_ACQ_Lib[[#This Row],[Tax Parcel ID]],7),"_",SP_ACQ_Lib[[#This Row],[ACQ Document Type]])</f>
        <v>R031204_SURVEY Right-of-Entry</v>
      </c>
      <c r="V179" s="65" t="str">
        <f>INDEX(SP_AcqTract_DB[WCAD Tax Parcel ID],MATCH(SP_ACQ_Lib[[#This Row],[Acquisition Tract No.]],SP_AcqTract_DB[Acquisition Tract No.],0))</f>
        <v>R031204;#21</v>
      </c>
      <c r="W179" s="48" t="str">
        <f>INDEX(SP_TaxPar_DB[Acquisition Tract No.],MATCH(LEFT(SP_ACQ_Lib[[#This Row],[Tax Parcel ID]],7),SP_TaxPar_DB[Tax Parcel ID],0))</f>
        <v>211</v>
      </c>
      <c r="X179" s="238" t="str">
        <f>IF(OR(SP_ACQ_Lib[[#This Row],[Acquisition Tract No.]]="",SP_ACQ_Lib[[#This Row],[ACQ Document Type]]=""),0,CONCATENATE("COW-FRMP_TR-",SP_ACQ_Lib[[#This Row],[Acquisition Tract No.]]," ",SP_ACQ_Lib[[#This Row],[ACQ Document Type]]))</f>
        <v>COW-FRMP_TR-211 SURVEY Right-of-Entry</v>
      </c>
      <c r="Y179" s="239">
        <f>IF(OR(SP_ACQ_Lib[[#This Row],[File Name Convention]]=0,LEFT(SP_ACQ_Lib[[#This Row],[Name]],LEN(SP_ACQ_Lib[[#This Row],[File Name Convention]]))&lt;&gt;SP_ACQ_Lib[[#This Row],[File Name Convention]],ISERROR(SEARCH(SP_ACQ_Lib[[#This Row],[ACQ Document Type]],SP_ACQ_Lib[[#This Row],[Name]]))),1,0)</f>
        <v>0</v>
      </c>
    </row>
    <row r="180" spans="1:25" ht="15" x14ac:dyDescent="0.2">
      <c r="A180" s="157" t="str">
        <f>CONCATENATE(SP_ACQ_Lib[[#This Row],[Acquisition Tract No.]],"_",SP_ACQ_Lib[[#This Row],[ACQ Document Type]])</f>
        <v>211_TITLE Commitment</v>
      </c>
      <c r="B180" s="14" t="s">
        <v>1453</v>
      </c>
      <c r="C180" s="15" t="s">
        <v>38</v>
      </c>
      <c r="D180" s="12" t="s">
        <v>627</v>
      </c>
      <c r="E180" s="8" t="s">
        <v>861</v>
      </c>
      <c r="F180" s="8" t="s">
        <v>862</v>
      </c>
      <c r="G180" s="8" t="s">
        <v>614</v>
      </c>
      <c r="H180" s="7" t="s">
        <v>592</v>
      </c>
      <c r="I180" s="16">
        <v>43917</v>
      </c>
      <c r="J180" s="16">
        <v>43928</v>
      </c>
      <c r="K180" s="17"/>
      <c r="L180" s="3" t="s">
        <v>4707</v>
      </c>
      <c r="M180" s="8" t="s">
        <v>4325</v>
      </c>
      <c r="N180" s="11">
        <v>43928.672395833331</v>
      </c>
      <c r="O180" s="8" t="s">
        <v>4326</v>
      </c>
      <c r="P180" s="11">
        <v>43725.345231481479</v>
      </c>
      <c r="Q180" s="13">
        <v>2080765</v>
      </c>
      <c r="R180" s="19" t="s">
        <v>594</v>
      </c>
      <c r="S180" s="14" t="s">
        <v>740</v>
      </c>
      <c r="T180" s="163">
        <v>246</v>
      </c>
      <c r="U180" s="164" t="str">
        <f>CONCATENATE(LEFT(SP_ACQ_Lib[[#This Row],[Tax Parcel ID]],7),"_",SP_ACQ_Lib[[#This Row],[ACQ Document Type]])</f>
        <v>R031204_TITLE Commitment</v>
      </c>
      <c r="V180" s="65" t="str">
        <f>INDEX(SP_AcqTract_DB[WCAD Tax Parcel ID],MATCH(SP_ACQ_Lib[[#This Row],[Acquisition Tract No.]],SP_AcqTract_DB[Acquisition Tract No.],0))</f>
        <v>R031204;#21</v>
      </c>
      <c r="W180" s="48" t="str">
        <f>INDEX(SP_TaxPar_DB[Acquisition Tract No.],MATCH(LEFT(SP_ACQ_Lib[[#This Row],[Tax Parcel ID]],7),SP_TaxPar_DB[Tax Parcel ID],0))</f>
        <v>211</v>
      </c>
      <c r="X180" s="238" t="str">
        <f>IF(OR(SP_ACQ_Lib[[#This Row],[Acquisition Tract No.]]="",SP_ACQ_Lib[[#This Row],[ACQ Document Type]]=""),0,CONCATENATE("COW-FRMP_TR-",SP_ACQ_Lib[[#This Row],[Acquisition Tract No.]]," ",SP_ACQ_Lib[[#This Row],[ACQ Document Type]]))</f>
        <v>COW-FRMP_TR-211 TITLE Commitment</v>
      </c>
      <c r="Y180" s="239">
        <f>IF(OR(SP_ACQ_Lib[[#This Row],[File Name Convention]]=0,LEFT(SP_ACQ_Lib[[#This Row],[Name]],LEN(SP_ACQ_Lib[[#This Row],[File Name Convention]]))&lt;&gt;SP_ACQ_Lib[[#This Row],[File Name Convention]],ISERROR(SEARCH(SP_ACQ_Lib[[#This Row],[ACQ Document Type]],SP_ACQ_Lib[[#This Row],[Name]]))),1,0)</f>
        <v>0</v>
      </c>
    </row>
    <row r="181" spans="1:25" ht="15" x14ac:dyDescent="0.2">
      <c r="A181" s="157" t="str">
        <f>CONCATENATE(SP_ACQ_Lib[[#This Row],[Acquisition Tract No.]],"_",SP_ACQ_Lib[[#This Row],[ACQ Document Type]])</f>
        <v>211_TITLE Commitment Backup Docs</v>
      </c>
      <c r="B181" s="14" t="s">
        <v>1454</v>
      </c>
      <c r="C181" s="15" t="s">
        <v>38</v>
      </c>
      <c r="D181" s="12" t="s">
        <v>627</v>
      </c>
      <c r="E181" s="8" t="s">
        <v>861</v>
      </c>
      <c r="F181" s="8" t="s">
        <v>863</v>
      </c>
      <c r="G181" s="8" t="s">
        <v>616</v>
      </c>
      <c r="H181" s="7" t="s">
        <v>592</v>
      </c>
      <c r="I181" s="16"/>
      <c r="J181" s="16"/>
      <c r="K181" s="17"/>
      <c r="L181" s="3"/>
      <c r="M181" s="8" t="s">
        <v>23</v>
      </c>
      <c r="N181" s="11">
        <v>43770.449097222219</v>
      </c>
      <c r="O181" s="8" t="s">
        <v>4326</v>
      </c>
      <c r="P181" s="11">
        <v>43725.345694444448</v>
      </c>
      <c r="Q181" s="13">
        <v>3040783</v>
      </c>
      <c r="R181" s="19" t="s">
        <v>594</v>
      </c>
      <c r="S181" s="14" t="s">
        <v>741</v>
      </c>
      <c r="T181" s="163">
        <v>247</v>
      </c>
      <c r="U181" s="164" t="str">
        <f>CONCATENATE(LEFT(SP_ACQ_Lib[[#This Row],[Tax Parcel ID]],7),"_",SP_ACQ_Lib[[#This Row],[ACQ Document Type]])</f>
        <v>R031204_TITLE Commitment Backup Docs</v>
      </c>
      <c r="V181" s="65" t="str">
        <f>INDEX(SP_AcqTract_DB[WCAD Tax Parcel ID],MATCH(SP_ACQ_Lib[[#This Row],[Acquisition Tract No.]],SP_AcqTract_DB[Acquisition Tract No.],0))</f>
        <v>R031204;#21</v>
      </c>
      <c r="W181" s="48" t="str">
        <f>INDEX(SP_TaxPar_DB[Acquisition Tract No.],MATCH(LEFT(SP_ACQ_Lib[[#This Row],[Tax Parcel ID]],7),SP_TaxPar_DB[Tax Parcel ID],0))</f>
        <v>211</v>
      </c>
      <c r="X181" s="238" t="str">
        <f>IF(OR(SP_ACQ_Lib[[#This Row],[Acquisition Tract No.]]="",SP_ACQ_Lib[[#This Row],[ACQ Document Type]]=""),0,CONCATENATE("COW-FRMP_TR-",SP_ACQ_Lib[[#This Row],[Acquisition Tract No.]]," ",SP_ACQ_Lib[[#This Row],[ACQ Document Type]]))</f>
        <v>COW-FRMP_TR-211 TITLE Commitment Backup Docs</v>
      </c>
      <c r="Y181" s="239">
        <f>IF(OR(SP_ACQ_Lib[[#This Row],[File Name Convention]]=0,LEFT(SP_ACQ_Lib[[#This Row],[Name]],LEN(SP_ACQ_Lib[[#This Row],[File Name Convention]]))&lt;&gt;SP_ACQ_Lib[[#This Row],[File Name Convention]],ISERROR(SEARCH(SP_ACQ_Lib[[#This Row],[ACQ Document Type]],SP_ACQ_Lib[[#This Row],[Name]]))),1,0)</f>
        <v>0</v>
      </c>
    </row>
    <row r="182" spans="1:25" ht="15" x14ac:dyDescent="0.2">
      <c r="A182" s="157" t="str">
        <f>CONCATENATE(SP_ACQ_Lib[[#This Row],[Acquisition Tract No.]],"_",SP_ACQ_Lib[[#This Row],[ACQ Document Type]])</f>
        <v>211_TITLE Curative Plan</v>
      </c>
      <c r="B182" s="14" t="s">
        <v>1455</v>
      </c>
      <c r="C182" s="15" t="s">
        <v>38</v>
      </c>
      <c r="D182" s="12" t="s">
        <v>627</v>
      </c>
      <c r="E182" s="8" t="s">
        <v>861</v>
      </c>
      <c r="F182" s="8" t="s">
        <v>864</v>
      </c>
      <c r="G182" s="8" t="s">
        <v>617</v>
      </c>
      <c r="H182" s="7" t="s">
        <v>592</v>
      </c>
      <c r="I182" s="16">
        <v>43809</v>
      </c>
      <c r="J182" s="16"/>
      <c r="K182" s="17"/>
      <c r="L182" s="3"/>
      <c r="M182" s="8" t="s">
        <v>4325</v>
      </c>
      <c r="N182" s="11">
        <v>43928.671770833331</v>
      </c>
      <c r="O182" s="8" t="s">
        <v>4326</v>
      </c>
      <c r="P182" s="11">
        <v>43745.461030092592</v>
      </c>
      <c r="Q182" s="13">
        <v>36382</v>
      </c>
      <c r="R182" s="19" t="s">
        <v>594</v>
      </c>
      <c r="S182" s="14" t="s">
        <v>1193</v>
      </c>
      <c r="T182" s="163">
        <v>389</v>
      </c>
      <c r="U182" s="164" t="str">
        <f>CONCATENATE(LEFT(SP_ACQ_Lib[[#This Row],[Tax Parcel ID]],7),"_",SP_ACQ_Lib[[#This Row],[ACQ Document Type]])</f>
        <v>R031204_TITLE Curative Plan</v>
      </c>
      <c r="V182" s="65" t="str">
        <f>INDEX(SP_AcqTract_DB[WCAD Tax Parcel ID],MATCH(SP_ACQ_Lib[[#This Row],[Acquisition Tract No.]],SP_AcqTract_DB[Acquisition Tract No.],0))</f>
        <v>R031204;#21</v>
      </c>
      <c r="W182" s="48" t="str">
        <f>INDEX(SP_TaxPar_DB[Acquisition Tract No.],MATCH(LEFT(SP_ACQ_Lib[[#This Row],[Tax Parcel ID]],7),SP_TaxPar_DB[Tax Parcel ID],0))</f>
        <v>211</v>
      </c>
      <c r="X182" s="238" t="str">
        <f>IF(OR(SP_ACQ_Lib[[#This Row],[Acquisition Tract No.]]="",SP_ACQ_Lib[[#This Row],[ACQ Document Type]]=""),0,CONCATENATE("COW-FRMP_TR-",SP_ACQ_Lib[[#This Row],[Acquisition Tract No.]]," ",SP_ACQ_Lib[[#This Row],[ACQ Document Type]]))</f>
        <v>COW-FRMP_TR-211 TITLE Curative Plan</v>
      </c>
      <c r="Y182" s="239">
        <f>IF(OR(SP_ACQ_Lib[[#This Row],[File Name Convention]]=0,LEFT(SP_ACQ_Lib[[#This Row],[Name]],LEN(SP_ACQ_Lib[[#This Row],[File Name Convention]]))&lt;&gt;SP_ACQ_Lib[[#This Row],[File Name Convention]],ISERROR(SEARCH(SP_ACQ_Lib[[#This Row],[ACQ Document Type]],SP_ACQ_Lib[[#This Row],[Name]]))),1,0)</f>
        <v>0</v>
      </c>
    </row>
    <row r="183" spans="1:25" ht="15" x14ac:dyDescent="0.2">
      <c r="A183" s="157" t="str">
        <f>CONCATENATE(SP_ACQ_Lib[[#This Row],[Acquisition Tract No.]],"_",SP_ACQ_Lib[[#This Row],[ACQ Document Type]])</f>
        <v>211_TITLE SOS Business Organization Inquiry</v>
      </c>
      <c r="B183" s="14" t="s">
        <v>1456</v>
      </c>
      <c r="C183" s="15" t="s">
        <v>38</v>
      </c>
      <c r="D183" s="12" t="s">
        <v>627</v>
      </c>
      <c r="E183" s="8" t="s">
        <v>861</v>
      </c>
      <c r="F183" s="8" t="s">
        <v>1148</v>
      </c>
      <c r="G183" s="8" t="s">
        <v>1147</v>
      </c>
      <c r="H183" s="7" t="s">
        <v>592</v>
      </c>
      <c r="I183" s="16"/>
      <c r="J183" s="16"/>
      <c r="K183" s="17"/>
      <c r="L183" s="3"/>
      <c r="M183" s="8" t="s">
        <v>23</v>
      </c>
      <c r="N183" s="11">
        <v>43770.449097222219</v>
      </c>
      <c r="O183" s="8" t="s">
        <v>4326</v>
      </c>
      <c r="P183" s="11">
        <v>43767.559479166666</v>
      </c>
      <c r="Q183" s="13">
        <v>586505</v>
      </c>
      <c r="R183" s="19" t="s">
        <v>594</v>
      </c>
      <c r="S183" s="14" t="s">
        <v>1386</v>
      </c>
      <c r="T183" s="163">
        <v>470</v>
      </c>
      <c r="U183" s="164" t="str">
        <f>CONCATENATE(LEFT(SP_ACQ_Lib[[#This Row],[Tax Parcel ID]],7),"_",SP_ACQ_Lib[[#This Row],[ACQ Document Type]])</f>
        <v>R031204_TITLE SOS Business Organization Inquiry</v>
      </c>
      <c r="V183" s="65" t="str">
        <f>INDEX(SP_AcqTract_DB[WCAD Tax Parcel ID],MATCH(SP_ACQ_Lib[[#This Row],[Acquisition Tract No.]],SP_AcqTract_DB[Acquisition Tract No.],0))</f>
        <v>R031204;#21</v>
      </c>
      <c r="W183" s="48" t="str">
        <f>INDEX(SP_TaxPar_DB[Acquisition Tract No.],MATCH(LEFT(SP_ACQ_Lib[[#This Row],[Tax Parcel ID]],7),SP_TaxPar_DB[Tax Parcel ID],0))</f>
        <v>211</v>
      </c>
      <c r="X183" s="238" t="str">
        <f>IF(OR(SP_ACQ_Lib[[#This Row],[Acquisition Tract No.]]="",SP_ACQ_Lib[[#This Row],[ACQ Document Type]]=""),0,CONCATENATE("COW-FRMP_TR-",SP_ACQ_Lib[[#This Row],[Acquisition Tract No.]]," ",SP_ACQ_Lib[[#This Row],[ACQ Document Type]]))</f>
        <v>COW-FRMP_TR-211 TITLE SOS Business Organization Inquiry</v>
      </c>
      <c r="Y183" s="239">
        <f>IF(OR(SP_ACQ_Lib[[#This Row],[File Name Convention]]=0,LEFT(SP_ACQ_Lib[[#This Row],[Name]],LEN(SP_ACQ_Lib[[#This Row],[File Name Convention]]))&lt;&gt;SP_ACQ_Lib[[#This Row],[File Name Convention]],ISERROR(SEARCH(SP_ACQ_Lib[[#This Row],[ACQ Document Type]],SP_ACQ_Lib[[#This Row],[Name]]))),1,0)</f>
        <v>0</v>
      </c>
    </row>
    <row r="184" spans="1:25" ht="15" x14ac:dyDescent="0.2">
      <c r="A184" s="157" t="str">
        <f>CONCATENATE(SP_ACQ_Lib[[#This Row],[Acquisition Tract No.]],"_",SP_ACQ_Lib[[#This Row],[ACQ Document Type]])</f>
        <v>211_TITLE Tax Card</v>
      </c>
      <c r="B184" s="14" t="s">
        <v>3437</v>
      </c>
      <c r="C184" s="15" t="s">
        <v>38</v>
      </c>
      <c r="D184" s="12" t="s">
        <v>627</v>
      </c>
      <c r="E184" s="8" t="s">
        <v>861</v>
      </c>
      <c r="F184" s="8" t="s">
        <v>1150</v>
      </c>
      <c r="G184" s="8" t="s">
        <v>1149</v>
      </c>
      <c r="H184" s="7" t="s">
        <v>592</v>
      </c>
      <c r="I184" s="16"/>
      <c r="J184" s="16"/>
      <c r="K184" s="17"/>
      <c r="L184" s="3"/>
      <c r="M184" s="8" t="s">
        <v>4206</v>
      </c>
      <c r="N184" s="11">
        <v>43874.590856481482</v>
      </c>
      <c r="O184" s="8" t="s">
        <v>1272</v>
      </c>
      <c r="P184" s="11">
        <v>43817.464826388888</v>
      </c>
      <c r="Q184" s="13">
        <v>429752</v>
      </c>
      <c r="R184" s="19" t="s">
        <v>594</v>
      </c>
      <c r="S184" s="14" t="s">
        <v>1768</v>
      </c>
      <c r="T184" s="163">
        <v>591</v>
      </c>
      <c r="U184" s="164" t="str">
        <f>CONCATENATE(LEFT(SP_ACQ_Lib[[#This Row],[Tax Parcel ID]],7),"_",SP_ACQ_Lib[[#This Row],[ACQ Document Type]])</f>
        <v>R031204_TITLE Tax Card</v>
      </c>
      <c r="V184" s="65" t="str">
        <f>INDEX(SP_AcqTract_DB[WCAD Tax Parcel ID],MATCH(SP_ACQ_Lib[[#This Row],[Acquisition Tract No.]],SP_AcqTract_DB[Acquisition Tract No.],0))</f>
        <v>R031204;#21</v>
      </c>
      <c r="W184" s="48" t="str">
        <f>INDEX(SP_TaxPar_DB[Acquisition Tract No.],MATCH(LEFT(SP_ACQ_Lib[[#This Row],[Tax Parcel ID]],7),SP_TaxPar_DB[Tax Parcel ID],0))</f>
        <v>211</v>
      </c>
      <c r="X184" s="238" t="str">
        <f>IF(OR(SP_ACQ_Lib[[#This Row],[Acquisition Tract No.]]="",SP_ACQ_Lib[[#This Row],[ACQ Document Type]]=""),0,CONCATENATE("COW-FRMP_TR-",SP_ACQ_Lib[[#This Row],[Acquisition Tract No.]]," ",SP_ACQ_Lib[[#This Row],[ACQ Document Type]]))</f>
        <v>COW-FRMP_TR-211 TITLE Tax Card</v>
      </c>
      <c r="Y184" s="239">
        <f>IF(OR(SP_ACQ_Lib[[#This Row],[File Name Convention]]=0,LEFT(SP_ACQ_Lib[[#This Row],[Name]],LEN(SP_ACQ_Lib[[#This Row],[File Name Convention]]))&lt;&gt;SP_ACQ_Lib[[#This Row],[File Name Convention]],ISERROR(SEARCH(SP_ACQ_Lib[[#This Row],[ACQ Document Type]],SP_ACQ_Lib[[#This Row],[Name]]))),1,0)</f>
        <v>0</v>
      </c>
    </row>
    <row r="185" spans="1:25" ht="15" x14ac:dyDescent="0.2">
      <c r="A185" s="157" t="str">
        <f>CONCATENATE(SP_ACQ_Lib[[#This Row],[Acquisition Tract No.]],"_",SP_ACQ_Lib[[#This Row],[ACQ Document Type]])</f>
        <v>212_CONTACT Negotiator Report</v>
      </c>
      <c r="B185" s="14" t="s">
        <v>3378</v>
      </c>
      <c r="C185" s="15" t="s">
        <v>39</v>
      </c>
      <c r="D185" s="12" t="s">
        <v>985</v>
      </c>
      <c r="E185" s="8" t="s">
        <v>865</v>
      </c>
      <c r="F185" s="8" t="s">
        <v>1068</v>
      </c>
      <c r="G185" s="8" t="s">
        <v>1067</v>
      </c>
      <c r="H185" s="7" t="s">
        <v>592</v>
      </c>
      <c r="I185" s="16"/>
      <c r="J185" s="16"/>
      <c r="K185" s="17"/>
      <c r="L185" s="3"/>
      <c r="M185" s="8" t="s">
        <v>4206</v>
      </c>
      <c r="N185" s="11">
        <v>43872.544270833336</v>
      </c>
      <c r="O185" s="8" t="s">
        <v>4207</v>
      </c>
      <c r="P185" s="11">
        <v>43735.690821759257</v>
      </c>
      <c r="Q185" s="13">
        <v>57916</v>
      </c>
      <c r="R185" s="19" t="s">
        <v>1069</v>
      </c>
      <c r="S185" s="14" t="s">
        <v>1083</v>
      </c>
      <c r="T185" s="163">
        <v>360</v>
      </c>
      <c r="U185" s="164" t="str">
        <f>CONCATENATE(LEFT(SP_ACQ_Lib[[#This Row],[Tax Parcel ID]],7),"_",SP_ACQ_Lib[[#This Row],[ACQ Document Type]])</f>
        <v>R018520_CONTACT Negotiator Report</v>
      </c>
      <c r="V185" s="65" t="str">
        <f>INDEX(SP_AcqTract_DB[WCAD Tax Parcel ID],MATCH(SP_ACQ_Lib[[#This Row],[Acquisition Tract No.]],SP_AcqTract_DB[Acquisition Tract No.],0))</f>
        <v>R018520;#22</v>
      </c>
      <c r="W185" s="48" t="str">
        <f>INDEX(SP_TaxPar_DB[Acquisition Tract No.],MATCH(LEFT(SP_ACQ_Lib[[#This Row],[Tax Parcel ID]],7),SP_TaxPar_DB[Tax Parcel ID],0))</f>
        <v>212</v>
      </c>
      <c r="X185" s="238" t="str">
        <f>IF(OR(SP_ACQ_Lib[[#This Row],[Acquisition Tract No.]]="",SP_ACQ_Lib[[#This Row],[ACQ Document Type]]=""),0,CONCATENATE("COW-FRMP_TR-",SP_ACQ_Lib[[#This Row],[Acquisition Tract No.]]," ",SP_ACQ_Lib[[#This Row],[ACQ Document Type]]))</f>
        <v>COW-FRMP_TR-212 CONTACT Negotiator Report</v>
      </c>
      <c r="Y185" s="239">
        <f>IF(OR(SP_ACQ_Lib[[#This Row],[File Name Convention]]=0,LEFT(SP_ACQ_Lib[[#This Row],[Name]],LEN(SP_ACQ_Lib[[#This Row],[File Name Convention]]))&lt;&gt;SP_ACQ_Lib[[#This Row],[File Name Convention]],ISERROR(SEARCH(SP_ACQ_Lib[[#This Row],[ACQ Document Type]],SP_ACQ_Lib[[#This Row],[Name]]))),1,0)</f>
        <v>0</v>
      </c>
    </row>
    <row r="186" spans="1:25" ht="15" x14ac:dyDescent="0.2">
      <c r="A186" s="157" t="str">
        <f>CONCATENATE(SP_ACQ_Lib[[#This Row],[Acquisition Tract No.]],"_",SP_ACQ_Lib[[#This Row],[ACQ Document Type]])</f>
        <v>212_NEGOTIATION Landowner Bill of Rights Letter</v>
      </c>
      <c r="B186" s="14" t="s">
        <v>3438</v>
      </c>
      <c r="C186" s="15" t="s">
        <v>39</v>
      </c>
      <c r="D186" s="12" t="s">
        <v>985</v>
      </c>
      <c r="E186" s="8" t="s">
        <v>1142</v>
      </c>
      <c r="F186" s="8" t="s">
        <v>1746</v>
      </c>
      <c r="G186" s="8" t="s">
        <v>1745</v>
      </c>
      <c r="H186" s="7" t="s">
        <v>592</v>
      </c>
      <c r="I186" s="16">
        <v>43748</v>
      </c>
      <c r="J186" s="16"/>
      <c r="K186" s="17"/>
      <c r="L186" s="3"/>
      <c r="M186" s="8" t="s">
        <v>4206</v>
      </c>
      <c r="N186" s="11">
        <v>43872.559594907405</v>
      </c>
      <c r="O186" s="8" t="s">
        <v>4325</v>
      </c>
      <c r="P186" s="11">
        <v>43752.476678240739</v>
      </c>
      <c r="Q186" s="13">
        <v>343460</v>
      </c>
      <c r="R186" s="19" t="s">
        <v>594</v>
      </c>
      <c r="S186" s="14" t="s">
        <v>1194</v>
      </c>
      <c r="T186" s="163">
        <v>427</v>
      </c>
      <c r="U186" s="164" t="str">
        <f>CONCATENATE(LEFT(SP_ACQ_Lib[[#This Row],[Tax Parcel ID]],7),"_",SP_ACQ_Lib[[#This Row],[ACQ Document Type]])</f>
        <v>R018520_NEGOTIATION Landowner Bill of Rights Letter</v>
      </c>
      <c r="V186" s="65" t="str">
        <f>INDEX(SP_AcqTract_DB[WCAD Tax Parcel ID],MATCH(SP_ACQ_Lib[[#This Row],[Acquisition Tract No.]],SP_AcqTract_DB[Acquisition Tract No.],0))</f>
        <v>R018520;#22</v>
      </c>
      <c r="W186" s="48" t="str">
        <f>INDEX(SP_TaxPar_DB[Acquisition Tract No.],MATCH(LEFT(SP_ACQ_Lib[[#This Row],[Tax Parcel ID]],7),SP_TaxPar_DB[Tax Parcel ID],0))</f>
        <v>212</v>
      </c>
      <c r="X186" s="238" t="str">
        <f>IF(OR(SP_ACQ_Lib[[#This Row],[Acquisition Tract No.]]="",SP_ACQ_Lib[[#This Row],[ACQ Document Type]]=""),0,CONCATENATE("COW-FRMP_TR-",SP_ACQ_Lib[[#This Row],[Acquisition Tract No.]]," ",SP_ACQ_Lib[[#This Row],[ACQ Document Type]]))</f>
        <v>COW-FRMP_TR-212 NEGOTIATION Landowner Bill of Rights Letter</v>
      </c>
      <c r="Y186" s="239">
        <f>IF(OR(SP_ACQ_Lib[[#This Row],[File Name Convention]]=0,LEFT(SP_ACQ_Lib[[#This Row],[Name]],LEN(SP_ACQ_Lib[[#This Row],[File Name Convention]]))&lt;&gt;SP_ACQ_Lib[[#This Row],[File Name Convention]],ISERROR(SEARCH(SP_ACQ_Lib[[#This Row],[ACQ Document Type]],SP_ACQ_Lib[[#This Row],[Name]]))),1,0)</f>
        <v>0</v>
      </c>
    </row>
    <row r="187" spans="1:25" ht="15" x14ac:dyDescent="0.2">
      <c r="A187" s="157" t="str">
        <f>CONCATENATE(SP_ACQ_Lib[[#This Row],[Acquisition Tract No.]],"_",SP_ACQ_Lib[[#This Row],[ACQ Document Type]])</f>
        <v>212_SURVEY Description-Plat_USACOE</v>
      </c>
      <c r="B187" s="14" t="s">
        <v>6025</v>
      </c>
      <c r="C187" s="15" t="s">
        <v>39</v>
      </c>
      <c r="D187" s="12" t="s">
        <v>985</v>
      </c>
      <c r="E187" s="8" t="s">
        <v>858</v>
      </c>
      <c r="F187" s="8" t="s">
        <v>3510</v>
      </c>
      <c r="G187" s="8" t="s">
        <v>3509</v>
      </c>
      <c r="H187" s="7" t="s">
        <v>592</v>
      </c>
      <c r="I187" s="16">
        <v>43936</v>
      </c>
      <c r="J187" s="16">
        <v>43993</v>
      </c>
      <c r="K187" s="17"/>
      <c r="L187" s="3"/>
      <c r="M187" s="8" t="s">
        <v>4206</v>
      </c>
      <c r="N187" s="11">
        <v>43994.372060185182</v>
      </c>
      <c r="O187" s="8" t="s">
        <v>4206</v>
      </c>
      <c r="P187" s="11">
        <v>43994.366631944446</v>
      </c>
      <c r="Q187" s="13">
        <v>1068133</v>
      </c>
      <c r="R187" s="19" t="s">
        <v>594</v>
      </c>
      <c r="S187" s="14" t="s">
        <v>6046</v>
      </c>
      <c r="T187" s="163">
        <v>1188</v>
      </c>
      <c r="U187" s="164" t="str">
        <f>CONCATENATE(LEFT(SP_ACQ_Lib[[#This Row],[Tax Parcel ID]],7),"_",SP_ACQ_Lib[[#This Row],[ACQ Document Type]])</f>
        <v>R018520_SURVEY Description-Plat_USACOE</v>
      </c>
      <c r="V187" s="65" t="str">
        <f>INDEX(SP_AcqTract_DB[WCAD Tax Parcel ID],MATCH(SP_ACQ_Lib[[#This Row],[Acquisition Tract No.]],SP_AcqTract_DB[Acquisition Tract No.],0))</f>
        <v>R018520;#22</v>
      </c>
      <c r="W187" s="48" t="str">
        <f>INDEX(SP_TaxPar_DB[Acquisition Tract No.],MATCH(LEFT(SP_ACQ_Lib[[#This Row],[Tax Parcel ID]],7),SP_TaxPar_DB[Tax Parcel ID],0))</f>
        <v>212</v>
      </c>
      <c r="X187" s="238" t="str">
        <f>IF(OR(SP_ACQ_Lib[[#This Row],[Acquisition Tract No.]]="",SP_ACQ_Lib[[#This Row],[ACQ Document Type]]=""),0,CONCATENATE("COW-FRMP_TR-",SP_ACQ_Lib[[#This Row],[Acquisition Tract No.]]," ",SP_ACQ_Lib[[#This Row],[ACQ Document Type]]))</f>
        <v>COW-FRMP_TR-212 SURVEY Description-Plat_USACOE</v>
      </c>
      <c r="Y187" s="239">
        <f>IF(OR(SP_ACQ_Lib[[#This Row],[File Name Convention]]=0,LEFT(SP_ACQ_Lib[[#This Row],[Name]],LEN(SP_ACQ_Lib[[#This Row],[File Name Convention]]))&lt;&gt;SP_ACQ_Lib[[#This Row],[File Name Convention]],ISERROR(SEARCH(SP_ACQ_Lib[[#This Row],[ACQ Document Type]],SP_ACQ_Lib[[#This Row],[Name]]))),1,0)</f>
        <v>0</v>
      </c>
    </row>
    <row r="188" spans="1:25" ht="15" x14ac:dyDescent="0.2">
      <c r="A188" s="157" t="str">
        <f>CONCATENATE(SP_ACQ_Lib[[#This Row],[Acquisition Tract No.]],"_",SP_ACQ_Lib[[#This Row],[ACQ Document Type]])</f>
        <v>212_TITLE Commitment</v>
      </c>
      <c r="B188" s="14" t="s">
        <v>1752</v>
      </c>
      <c r="C188" s="15" t="s">
        <v>39</v>
      </c>
      <c r="D188" s="12" t="s">
        <v>985</v>
      </c>
      <c r="E188" s="8" t="s">
        <v>861</v>
      </c>
      <c r="F188" s="8" t="s">
        <v>862</v>
      </c>
      <c r="G188" s="8" t="s">
        <v>614</v>
      </c>
      <c r="H188" s="7" t="s">
        <v>592</v>
      </c>
      <c r="I188" s="16">
        <v>43812</v>
      </c>
      <c r="J188" s="16">
        <v>43826</v>
      </c>
      <c r="K188" s="17"/>
      <c r="L188" s="3" t="s">
        <v>1750</v>
      </c>
      <c r="M188" s="8" t="s">
        <v>4206</v>
      </c>
      <c r="N188" s="11">
        <v>43915.390601851854</v>
      </c>
      <c r="O188" s="8" t="s">
        <v>4325</v>
      </c>
      <c r="P188" s="11">
        <v>43832.446226851855</v>
      </c>
      <c r="Q188" s="13">
        <v>276649</v>
      </c>
      <c r="R188" s="19" t="s">
        <v>594</v>
      </c>
      <c r="S188" s="14" t="s">
        <v>1769</v>
      </c>
      <c r="T188" s="163">
        <v>706</v>
      </c>
      <c r="U188" s="164" t="str">
        <f>CONCATENATE(LEFT(SP_ACQ_Lib[[#This Row],[Tax Parcel ID]],7),"_",SP_ACQ_Lib[[#This Row],[ACQ Document Type]])</f>
        <v>R018520_TITLE Commitment</v>
      </c>
      <c r="V188" s="65" t="str">
        <f>INDEX(SP_AcqTract_DB[WCAD Tax Parcel ID],MATCH(SP_ACQ_Lib[[#This Row],[Acquisition Tract No.]],SP_AcqTract_DB[Acquisition Tract No.],0))</f>
        <v>R018520;#22</v>
      </c>
      <c r="W188" s="48" t="str">
        <f>INDEX(SP_TaxPar_DB[Acquisition Tract No.],MATCH(LEFT(SP_ACQ_Lib[[#This Row],[Tax Parcel ID]],7),SP_TaxPar_DB[Tax Parcel ID],0))</f>
        <v>212</v>
      </c>
      <c r="X188" s="238" t="str">
        <f>IF(OR(SP_ACQ_Lib[[#This Row],[Acquisition Tract No.]]="",SP_ACQ_Lib[[#This Row],[ACQ Document Type]]=""),0,CONCATENATE("COW-FRMP_TR-",SP_ACQ_Lib[[#This Row],[Acquisition Tract No.]]," ",SP_ACQ_Lib[[#This Row],[ACQ Document Type]]))</f>
        <v>COW-FRMP_TR-212 TITLE Commitment</v>
      </c>
      <c r="Y188" s="239">
        <f>IF(OR(SP_ACQ_Lib[[#This Row],[File Name Convention]]=0,LEFT(SP_ACQ_Lib[[#This Row],[Name]],LEN(SP_ACQ_Lib[[#This Row],[File Name Convention]]))&lt;&gt;SP_ACQ_Lib[[#This Row],[File Name Convention]],ISERROR(SEARCH(SP_ACQ_Lib[[#This Row],[ACQ Document Type]],SP_ACQ_Lib[[#This Row],[Name]]))),1,0)</f>
        <v>0</v>
      </c>
    </row>
    <row r="189" spans="1:25" ht="15" x14ac:dyDescent="0.2">
      <c r="A189" s="157" t="str">
        <f>CONCATENATE(SP_ACQ_Lib[[#This Row],[Acquisition Tract No.]],"_",SP_ACQ_Lib[[#This Row],[ACQ Document Type]])</f>
        <v>212_TITLE Commitment Backup Docs</v>
      </c>
      <c r="B189" s="14" t="s">
        <v>5539</v>
      </c>
      <c r="C189" s="15" t="s">
        <v>39</v>
      </c>
      <c r="D189" s="12" t="s">
        <v>985</v>
      </c>
      <c r="E189" s="8" t="s">
        <v>861</v>
      </c>
      <c r="F189" s="8" t="s">
        <v>863</v>
      </c>
      <c r="G189" s="8" t="s">
        <v>616</v>
      </c>
      <c r="H189" s="7" t="s">
        <v>592</v>
      </c>
      <c r="I189" s="16">
        <v>43832</v>
      </c>
      <c r="J189" s="16"/>
      <c r="K189" s="17"/>
      <c r="L189" s="3"/>
      <c r="M189" s="8" t="s">
        <v>4206</v>
      </c>
      <c r="N189" s="11">
        <v>43983.514791666668</v>
      </c>
      <c r="O189" s="8" t="s">
        <v>4325</v>
      </c>
      <c r="P189" s="11">
        <v>43832.355451388888</v>
      </c>
      <c r="Q189" s="13">
        <v>1188710</v>
      </c>
      <c r="R189" s="19" t="s">
        <v>594</v>
      </c>
      <c r="S189" s="14" t="s">
        <v>1770</v>
      </c>
      <c r="T189" s="163">
        <v>705</v>
      </c>
      <c r="U189" s="164" t="str">
        <f>CONCATENATE(LEFT(SP_ACQ_Lib[[#This Row],[Tax Parcel ID]],7),"_",SP_ACQ_Lib[[#This Row],[ACQ Document Type]])</f>
        <v>R018520_TITLE Commitment Backup Docs</v>
      </c>
      <c r="V189" s="65" t="str">
        <f>INDEX(SP_AcqTract_DB[WCAD Tax Parcel ID],MATCH(SP_ACQ_Lib[[#This Row],[Acquisition Tract No.]],SP_AcqTract_DB[Acquisition Tract No.],0))</f>
        <v>R018520;#22</v>
      </c>
      <c r="W189" s="48" t="str">
        <f>INDEX(SP_TaxPar_DB[Acquisition Tract No.],MATCH(LEFT(SP_ACQ_Lib[[#This Row],[Tax Parcel ID]],7),SP_TaxPar_DB[Tax Parcel ID],0))</f>
        <v>212</v>
      </c>
      <c r="X189" s="238" t="str">
        <f>IF(OR(SP_ACQ_Lib[[#This Row],[Acquisition Tract No.]]="",SP_ACQ_Lib[[#This Row],[ACQ Document Type]]=""),0,CONCATENATE("COW-FRMP_TR-",SP_ACQ_Lib[[#This Row],[Acquisition Tract No.]]," ",SP_ACQ_Lib[[#This Row],[ACQ Document Type]]))</f>
        <v>COW-FRMP_TR-212 TITLE Commitment Backup Docs</v>
      </c>
      <c r="Y189" s="239">
        <f>IF(OR(SP_ACQ_Lib[[#This Row],[File Name Convention]]=0,LEFT(SP_ACQ_Lib[[#This Row],[Name]],LEN(SP_ACQ_Lib[[#This Row],[File Name Convention]]))&lt;&gt;SP_ACQ_Lib[[#This Row],[File Name Convention]],ISERROR(SEARCH(SP_ACQ_Lib[[#This Row],[ACQ Document Type]],SP_ACQ_Lib[[#This Row],[Name]]))),1,0)</f>
        <v>0</v>
      </c>
    </row>
    <row r="190" spans="1:25" ht="15" x14ac:dyDescent="0.2">
      <c r="A190" s="157" t="str">
        <f>CONCATENATE(SP_ACQ_Lib[[#This Row],[Acquisition Tract No.]],"_",SP_ACQ_Lib[[#This Row],[ACQ Document Type]])</f>
        <v>212_TITLE Curative Plan</v>
      </c>
      <c r="B190" s="14" t="s">
        <v>1753</v>
      </c>
      <c r="C190" s="15" t="s">
        <v>39</v>
      </c>
      <c r="D190" s="12" t="s">
        <v>985</v>
      </c>
      <c r="E190" s="8" t="s">
        <v>861</v>
      </c>
      <c r="F190" s="8" t="s">
        <v>864</v>
      </c>
      <c r="G190" s="8" t="s">
        <v>617</v>
      </c>
      <c r="H190" s="7" t="s">
        <v>592</v>
      </c>
      <c r="I190" s="16">
        <v>43832</v>
      </c>
      <c r="J190" s="16"/>
      <c r="K190" s="17"/>
      <c r="L190" s="3"/>
      <c r="M190" s="8" t="s">
        <v>4206</v>
      </c>
      <c r="N190" s="11">
        <v>43894.463136574072</v>
      </c>
      <c r="O190" s="8" t="s">
        <v>4325</v>
      </c>
      <c r="P190" s="11">
        <v>43832.462013888886</v>
      </c>
      <c r="Q190" s="13">
        <v>38700</v>
      </c>
      <c r="R190" s="19" t="s">
        <v>594</v>
      </c>
      <c r="S190" s="14" t="s">
        <v>1771</v>
      </c>
      <c r="T190" s="163">
        <v>707</v>
      </c>
      <c r="U190" s="164" t="str">
        <f>CONCATENATE(LEFT(SP_ACQ_Lib[[#This Row],[Tax Parcel ID]],7),"_",SP_ACQ_Lib[[#This Row],[ACQ Document Type]])</f>
        <v>R018520_TITLE Curative Plan</v>
      </c>
      <c r="V190" s="65" t="str">
        <f>INDEX(SP_AcqTract_DB[WCAD Tax Parcel ID],MATCH(SP_ACQ_Lib[[#This Row],[Acquisition Tract No.]],SP_AcqTract_DB[Acquisition Tract No.],0))</f>
        <v>R018520;#22</v>
      </c>
      <c r="W190" s="48" t="str">
        <f>INDEX(SP_TaxPar_DB[Acquisition Tract No.],MATCH(LEFT(SP_ACQ_Lib[[#This Row],[Tax Parcel ID]],7),SP_TaxPar_DB[Tax Parcel ID],0))</f>
        <v>212</v>
      </c>
      <c r="X190" s="238" t="str">
        <f>IF(OR(SP_ACQ_Lib[[#This Row],[Acquisition Tract No.]]="",SP_ACQ_Lib[[#This Row],[ACQ Document Type]]=""),0,CONCATENATE("COW-FRMP_TR-",SP_ACQ_Lib[[#This Row],[Acquisition Tract No.]]," ",SP_ACQ_Lib[[#This Row],[ACQ Document Type]]))</f>
        <v>COW-FRMP_TR-212 TITLE Curative Plan</v>
      </c>
      <c r="Y190" s="239">
        <f>IF(OR(SP_ACQ_Lib[[#This Row],[File Name Convention]]=0,LEFT(SP_ACQ_Lib[[#This Row],[Name]],LEN(SP_ACQ_Lib[[#This Row],[File Name Convention]]))&lt;&gt;SP_ACQ_Lib[[#This Row],[File Name Convention]],ISERROR(SEARCH(SP_ACQ_Lib[[#This Row],[ACQ Document Type]],SP_ACQ_Lib[[#This Row],[Name]]))),1,0)</f>
        <v>0</v>
      </c>
    </row>
    <row r="191" spans="1:25" ht="15" x14ac:dyDescent="0.2">
      <c r="A191" s="157" t="str">
        <f>CONCATENATE(SP_ACQ_Lib[[#This Row],[Acquisition Tract No.]],"_",SP_ACQ_Lib[[#This Row],[ACQ Document Type]])</f>
        <v>212_TITLE Tax Card</v>
      </c>
      <c r="B191" s="14" t="s">
        <v>3439</v>
      </c>
      <c r="C191" s="15" t="s">
        <v>39</v>
      </c>
      <c r="D191" s="12" t="s">
        <v>985</v>
      </c>
      <c r="E191" s="8" t="s">
        <v>861</v>
      </c>
      <c r="F191" s="8" t="s">
        <v>1150</v>
      </c>
      <c r="G191" s="8" t="s">
        <v>1149</v>
      </c>
      <c r="H191" s="7" t="s">
        <v>592</v>
      </c>
      <c r="I191" s="16"/>
      <c r="J191" s="16"/>
      <c r="K191" s="17"/>
      <c r="L191" s="3"/>
      <c r="M191" s="8" t="s">
        <v>4206</v>
      </c>
      <c r="N191" s="11">
        <v>43874.59103009259</v>
      </c>
      <c r="O191" s="8" t="s">
        <v>1272</v>
      </c>
      <c r="P191" s="11">
        <v>43817.464826388888</v>
      </c>
      <c r="Q191" s="13">
        <v>420279</v>
      </c>
      <c r="R191" s="19" t="s">
        <v>594</v>
      </c>
      <c r="S191" s="14" t="s">
        <v>1772</v>
      </c>
      <c r="T191" s="163">
        <v>592</v>
      </c>
      <c r="U191" s="164" t="str">
        <f>CONCATENATE(LEFT(SP_ACQ_Lib[[#This Row],[Tax Parcel ID]],7),"_",SP_ACQ_Lib[[#This Row],[ACQ Document Type]])</f>
        <v>R018520_TITLE Tax Card</v>
      </c>
      <c r="V191" s="65" t="str">
        <f>INDEX(SP_AcqTract_DB[WCAD Tax Parcel ID],MATCH(SP_ACQ_Lib[[#This Row],[Acquisition Tract No.]],SP_AcqTract_DB[Acquisition Tract No.],0))</f>
        <v>R018520;#22</v>
      </c>
      <c r="W191" s="48" t="str">
        <f>INDEX(SP_TaxPar_DB[Acquisition Tract No.],MATCH(LEFT(SP_ACQ_Lib[[#This Row],[Tax Parcel ID]],7),SP_TaxPar_DB[Tax Parcel ID],0))</f>
        <v>212</v>
      </c>
      <c r="X191" s="238" t="str">
        <f>IF(OR(SP_ACQ_Lib[[#This Row],[Acquisition Tract No.]]="",SP_ACQ_Lib[[#This Row],[ACQ Document Type]]=""),0,CONCATENATE("COW-FRMP_TR-",SP_ACQ_Lib[[#This Row],[Acquisition Tract No.]]," ",SP_ACQ_Lib[[#This Row],[ACQ Document Type]]))</f>
        <v>COW-FRMP_TR-212 TITLE Tax Card</v>
      </c>
      <c r="Y191" s="239">
        <f>IF(OR(SP_ACQ_Lib[[#This Row],[File Name Convention]]=0,LEFT(SP_ACQ_Lib[[#This Row],[Name]],LEN(SP_ACQ_Lib[[#This Row],[File Name Convention]]))&lt;&gt;SP_ACQ_Lib[[#This Row],[File Name Convention]],ISERROR(SEARCH(SP_ACQ_Lib[[#This Row],[ACQ Document Type]],SP_ACQ_Lib[[#This Row],[Name]]))),1,0)</f>
        <v>0</v>
      </c>
    </row>
    <row r="192" spans="1:25" ht="15" x14ac:dyDescent="0.2">
      <c r="A192" s="157" t="str">
        <f>CONCATENATE(SP_ACQ_Lib[[#This Row],[Acquisition Tract No.]],"_",SP_ACQ_Lib[[#This Row],[ACQ Document Type]])</f>
        <v>213_APPRAISAL Appraisal Review</v>
      </c>
      <c r="B192" s="14" t="s">
        <v>6504</v>
      </c>
      <c r="C192" s="21" t="s">
        <v>40</v>
      </c>
      <c r="D192" s="12" t="s">
        <v>628</v>
      </c>
      <c r="E192" s="8" t="s">
        <v>1131</v>
      </c>
      <c r="F192" s="8" t="s">
        <v>4753</v>
      </c>
      <c r="G192" s="8" t="s">
        <v>4751</v>
      </c>
      <c r="H192" s="7" t="s">
        <v>592</v>
      </c>
      <c r="I192" s="16">
        <v>44013</v>
      </c>
      <c r="J192" s="16"/>
      <c r="K192" s="17">
        <v>88400</v>
      </c>
      <c r="L192" s="3"/>
      <c r="M192" s="8" t="s">
        <v>4206</v>
      </c>
      <c r="N192" s="11">
        <v>44013.757418981484</v>
      </c>
      <c r="O192" s="8" t="s">
        <v>4206</v>
      </c>
      <c r="P192" s="11">
        <v>44013.741805555554</v>
      </c>
      <c r="Q192" s="13">
        <v>17293</v>
      </c>
      <c r="R192" s="22" t="s">
        <v>594</v>
      </c>
      <c r="S192" s="14" t="s">
        <v>6567</v>
      </c>
      <c r="T192" s="163">
        <v>1319</v>
      </c>
      <c r="U192" s="164" t="str">
        <f>CONCATENATE(LEFT(SP_ACQ_Lib[[#This Row],[Tax Parcel ID]],7),"_",SP_ACQ_Lib[[#This Row],[ACQ Document Type]])</f>
        <v>R019378_APPRAISAL Appraisal Review</v>
      </c>
      <c r="V192" s="65" t="str">
        <f>INDEX(SP_AcqTract_DB[WCAD Tax Parcel ID],MATCH(SP_ACQ_Lib[[#This Row],[Acquisition Tract No.]],SP_AcqTract_DB[Acquisition Tract No.],0))</f>
        <v>R019378;#23;#R050285;#24</v>
      </c>
      <c r="W192" s="48" t="str">
        <f>INDEX(SP_TaxPar_DB[Acquisition Tract No.],MATCH(LEFT(SP_ACQ_Lib[[#This Row],[Tax Parcel ID]],7),SP_TaxPar_DB[Tax Parcel ID],0))</f>
        <v>213</v>
      </c>
      <c r="X192" s="238" t="str">
        <f>IF(OR(SP_ACQ_Lib[[#This Row],[Acquisition Tract No.]]="",SP_ACQ_Lib[[#This Row],[ACQ Document Type]]=""),0,CONCATENATE("COW-FRMP_TR-",SP_ACQ_Lib[[#This Row],[Acquisition Tract No.]]," ",SP_ACQ_Lib[[#This Row],[ACQ Document Type]]))</f>
        <v>COW-FRMP_TR-213 APPRAISAL Appraisal Review</v>
      </c>
      <c r="Y192" s="239">
        <f>IF(OR(SP_ACQ_Lib[[#This Row],[File Name Convention]]=0,LEFT(SP_ACQ_Lib[[#This Row],[Name]],LEN(SP_ACQ_Lib[[#This Row],[File Name Convention]]))&lt;&gt;SP_ACQ_Lib[[#This Row],[File Name Convention]],ISERROR(SEARCH(SP_ACQ_Lib[[#This Row],[ACQ Document Type]],SP_ACQ_Lib[[#This Row],[Name]]))),1,0)</f>
        <v>0</v>
      </c>
    </row>
    <row r="193" spans="1:25" ht="15" x14ac:dyDescent="0.2">
      <c r="A193" s="157" t="str">
        <f>CONCATENATE(SP_ACQ_Lib[[#This Row],[Acquisition Tract No.]],"_",SP_ACQ_Lib[[#This Row],[ACQ Document Type]])</f>
        <v>213_APPRAISAL Final Appraisal</v>
      </c>
      <c r="B193" s="14" t="s">
        <v>6240</v>
      </c>
      <c r="C193" s="21" t="s">
        <v>40</v>
      </c>
      <c r="D193" s="12" t="s">
        <v>628</v>
      </c>
      <c r="E193" s="8" t="s">
        <v>1131</v>
      </c>
      <c r="F193" s="8" t="s">
        <v>4755</v>
      </c>
      <c r="G193" s="8" t="s">
        <v>4754</v>
      </c>
      <c r="H193" s="7" t="s">
        <v>592</v>
      </c>
      <c r="I193" s="16">
        <v>43912</v>
      </c>
      <c r="J193" s="16"/>
      <c r="K193" s="17">
        <v>88400</v>
      </c>
      <c r="L193" s="3"/>
      <c r="M193" s="8" t="s">
        <v>4206</v>
      </c>
      <c r="N193" s="11">
        <v>43998.69462962963</v>
      </c>
      <c r="O193" s="8" t="s">
        <v>4206</v>
      </c>
      <c r="P193" s="11">
        <v>43998.682013888887</v>
      </c>
      <c r="Q193" s="13">
        <v>12947675</v>
      </c>
      <c r="R193" s="22" t="s">
        <v>594</v>
      </c>
      <c r="S193" s="14" t="s">
        <v>6252</v>
      </c>
      <c r="T193" s="163">
        <v>1215</v>
      </c>
      <c r="U193" s="164" t="str">
        <f>CONCATENATE(LEFT(SP_ACQ_Lib[[#This Row],[Tax Parcel ID]],7),"_",SP_ACQ_Lib[[#This Row],[ACQ Document Type]])</f>
        <v>R019378_APPRAISAL Final Appraisal</v>
      </c>
      <c r="V193" s="65" t="str">
        <f>INDEX(SP_AcqTract_DB[WCAD Tax Parcel ID],MATCH(SP_ACQ_Lib[[#This Row],[Acquisition Tract No.]],SP_AcqTract_DB[Acquisition Tract No.],0))</f>
        <v>R019378;#23;#R050285;#24</v>
      </c>
      <c r="W193" s="48" t="str">
        <f>INDEX(SP_TaxPar_DB[Acquisition Tract No.],MATCH(LEFT(SP_ACQ_Lib[[#This Row],[Tax Parcel ID]],7),SP_TaxPar_DB[Tax Parcel ID],0))</f>
        <v>213</v>
      </c>
      <c r="X193" s="238" t="str">
        <f>IF(OR(SP_ACQ_Lib[[#This Row],[Acquisition Tract No.]]="",SP_ACQ_Lib[[#This Row],[ACQ Document Type]]=""),0,CONCATENATE("COW-FRMP_TR-",SP_ACQ_Lib[[#This Row],[Acquisition Tract No.]]," ",SP_ACQ_Lib[[#This Row],[ACQ Document Type]]))</f>
        <v>COW-FRMP_TR-213 APPRAISAL Final Appraisal</v>
      </c>
      <c r="Y193" s="239">
        <f>IF(OR(SP_ACQ_Lib[[#This Row],[File Name Convention]]=0,LEFT(SP_ACQ_Lib[[#This Row],[Name]],LEN(SP_ACQ_Lib[[#This Row],[File Name Convention]]))&lt;&gt;SP_ACQ_Lib[[#This Row],[File Name Convention]],ISERROR(SEARCH(SP_ACQ_Lib[[#This Row],[ACQ Document Type]],SP_ACQ_Lib[[#This Row],[Name]]))),1,0)</f>
        <v>0</v>
      </c>
    </row>
    <row r="194" spans="1:25" ht="15" x14ac:dyDescent="0.2">
      <c r="A194" s="157" t="str">
        <f>CONCATENATE(SP_ACQ_Lib[[#This Row],[Acquisition Tract No.]],"_",SP_ACQ_Lib[[#This Row],[ACQ Document Type]])</f>
        <v>213_APPRAISAL Just Compensation Approval</v>
      </c>
      <c r="B194" s="14" t="s">
        <v>6505</v>
      </c>
      <c r="C194" s="15" t="s">
        <v>40</v>
      </c>
      <c r="D194" s="12" t="s">
        <v>628</v>
      </c>
      <c r="E194" s="8" t="s">
        <v>1131</v>
      </c>
      <c r="F194" s="8" t="s">
        <v>4828</v>
      </c>
      <c r="G194" s="8" t="s">
        <v>4827</v>
      </c>
      <c r="H194" s="7" t="s">
        <v>1749</v>
      </c>
      <c r="I194" s="16">
        <v>44012</v>
      </c>
      <c r="J194" s="16"/>
      <c r="K194" s="17">
        <v>88400</v>
      </c>
      <c r="L194" s="3"/>
      <c r="M194" s="8" t="s">
        <v>4206</v>
      </c>
      <c r="N194" s="11">
        <v>44012.533796296295</v>
      </c>
      <c r="O194" s="8" t="s">
        <v>4206</v>
      </c>
      <c r="P194" s="11">
        <v>44012.520231481481</v>
      </c>
      <c r="Q194" s="13">
        <v>173025</v>
      </c>
      <c r="R194" s="19" t="s">
        <v>594</v>
      </c>
      <c r="S194" s="14" t="s">
        <v>6568</v>
      </c>
      <c r="T194" s="163">
        <v>1315</v>
      </c>
      <c r="U194" s="164" t="str">
        <f>CONCATENATE(LEFT(SP_ACQ_Lib[[#This Row],[Tax Parcel ID]],7),"_",SP_ACQ_Lib[[#This Row],[ACQ Document Type]])</f>
        <v>R019378_APPRAISAL Just Compensation Approval</v>
      </c>
      <c r="V194" s="65" t="str">
        <f>INDEX(SP_AcqTract_DB[WCAD Tax Parcel ID],MATCH(SP_ACQ_Lib[[#This Row],[Acquisition Tract No.]],SP_AcqTract_DB[Acquisition Tract No.],0))</f>
        <v>R019378;#23;#R050285;#24</v>
      </c>
      <c r="W194" s="48" t="str">
        <f>INDEX(SP_TaxPar_DB[Acquisition Tract No.],MATCH(LEFT(SP_ACQ_Lib[[#This Row],[Tax Parcel ID]],7),SP_TaxPar_DB[Tax Parcel ID],0))</f>
        <v>213</v>
      </c>
      <c r="X194" s="238" t="str">
        <f>IF(OR(SP_ACQ_Lib[[#This Row],[Acquisition Tract No.]]="",SP_ACQ_Lib[[#This Row],[ACQ Document Type]]=""),0,CONCATENATE("COW-FRMP_TR-",SP_ACQ_Lib[[#This Row],[Acquisition Tract No.]]," ",SP_ACQ_Lib[[#This Row],[ACQ Document Type]]))</f>
        <v>COW-FRMP_TR-213 APPRAISAL Just Compensation Approval</v>
      </c>
      <c r="Y194" s="239">
        <f>IF(OR(SP_ACQ_Lib[[#This Row],[File Name Convention]]=0,LEFT(SP_ACQ_Lib[[#This Row],[Name]],LEN(SP_ACQ_Lib[[#This Row],[File Name Convention]]))&lt;&gt;SP_ACQ_Lib[[#This Row],[File Name Convention]],ISERROR(SEARCH(SP_ACQ_Lib[[#This Row],[ACQ Document Type]],SP_ACQ_Lib[[#This Row],[Name]]))),1,0)</f>
        <v>0</v>
      </c>
    </row>
    <row r="195" spans="1:25" ht="15" x14ac:dyDescent="0.2">
      <c r="A195" s="157" t="str">
        <f>CONCATENATE(SP_ACQ_Lib[[#This Row],[Acquisition Tract No.]],"_",SP_ACQ_Lib[[#This Row],[ACQ Document Type]])</f>
        <v>213_APPRAISAL Just Compensation Memo</v>
      </c>
      <c r="B195" s="14" t="s">
        <v>6241</v>
      </c>
      <c r="C195" s="15" t="s">
        <v>40</v>
      </c>
      <c r="D195" s="12" t="s">
        <v>628</v>
      </c>
      <c r="E195" s="8" t="s">
        <v>1131</v>
      </c>
      <c r="F195" s="8" t="s">
        <v>4757</v>
      </c>
      <c r="G195" s="8" t="s">
        <v>4756</v>
      </c>
      <c r="H195" s="7" t="s">
        <v>592</v>
      </c>
      <c r="I195" s="16">
        <v>43998</v>
      </c>
      <c r="J195" s="16">
        <v>43998</v>
      </c>
      <c r="K195" s="17">
        <v>88400</v>
      </c>
      <c r="L195" s="3"/>
      <c r="M195" s="8" t="s">
        <v>4206</v>
      </c>
      <c r="N195" s="11">
        <v>44000.570752314816</v>
      </c>
      <c r="O195" s="8" t="s">
        <v>4206</v>
      </c>
      <c r="P195" s="11">
        <v>43998.682025462964</v>
      </c>
      <c r="Q195" s="13">
        <v>63878</v>
      </c>
      <c r="R195" s="19" t="s">
        <v>594</v>
      </c>
      <c r="S195" s="14" t="s">
        <v>6253</v>
      </c>
      <c r="T195" s="163">
        <v>1216</v>
      </c>
      <c r="U195" s="164" t="str">
        <f>CONCATENATE(LEFT(SP_ACQ_Lib[[#This Row],[Tax Parcel ID]],7),"_",SP_ACQ_Lib[[#This Row],[ACQ Document Type]])</f>
        <v>R019378_APPRAISAL Just Compensation Memo</v>
      </c>
      <c r="V195" s="65" t="str">
        <f>INDEX(SP_AcqTract_DB[WCAD Tax Parcel ID],MATCH(SP_ACQ_Lib[[#This Row],[Acquisition Tract No.]],SP_AcqTract_DB[Acquisition Tract No.],0))</f>
        <v>R019378;#23;#R050285;#24</v>
      </c>
      <c r="W195" s="48" t="str">
        <f>INDEX(SP_TaxPar_DB[Acquisition Tract No.],MATCH(LEFT(SP_ACQ_Lib[[#This Row],[Tax Parcel ID]],7),SP_TaxPar_DB[Tax Parcel ID],0))</f>
        <v>213</v>
      </c>
      <c r="X195" s="238" t="str">
        <f>IF(OR(SP_ACQ_Lib[[#This Row],[Acquisition Tract No.]]="",SP_ACQ_Lib[[#This Row],[ACQ Document Type]]=""),0,CONCATENATE("COW-FRMP_TR-",SP_ACQ_Lib[[#This Row],[Acquisition Tract No.]]," ",SP_ACQ_Lib[[#This Row],[ACQ Document Type]]))</f>
        <v>COW-FRMP_TR-213 APPRAISAL Just Compensation Memo</v>
      </c>
      <c r="Y195" s="239">
        <f>IF(OR(SP_ACQ_Lib[[#This Row],[File Name Convention]]=0,LEFT(SP_ACQ_Lib[[#This Row],[Name]],LEN(SP_ACQ_Lib[[#This Row],[File Name Convention]]))&lt;&gt;SP_ACQ_Lib[[#This Row],[File Name Convention]],ISERROR(SEARCH(SP_ACQ_Lib[[#This Row],[ACQ Document Type]],SP_ACQ_Lib[[#This Row],[Name]]))),1,0)</f>
        <v>0</v>
      </c>
    </row>
    <row r="196" spans="1:25" ht="15" x14ac:dyDescent="0.2">
      <c r="A196" s="157" t="str">
        <f>CONCATENATE(SP_ACQ_Lib[[#This Row],[Acquisition Tract No.]],"_",SP_ACQ_Lib[[#This Row],[ACQ Document Type]])</f>
        <v>213_APPRAISAL USACOE Authorization to Proceed with Offer</v>
      </c>
      <c r="B196" s="14" t="s">
        <v>6242</v>
      </c>
      <c r="C196" s="15" t="s">
        <v>40</v>
      </c>
      <c r="D196" s="12" t="s">
        <v>628</v>
      </c>
      <c r="E196" s="8" t="s">
        <v>1131</v>
      </c>
      <c r="F196" s="8" t="s">
        <v>4959</v>
      </c>
      <c r="G196" s="8" t="s">
        <v>4958</v>
      </c>
      <c r="H196" s="7" t="s">
        <v>592</v>
      </c>
      <c r="I196" s="16">
        <v>43998</v>
      </c>
      <c r="J196" s="16">
        <v>43998</v>
      </c>
      <c r="K196" s="17">
        <v>88400</v>
      </c>
      <c r="L196" s="3"/>
      <c r="M196" s="8" t="s">
        <v>4206</v>
      </c>
      <c r="N196" s="11">
        <v>44000.571493055555</v>
      </c>
      <c r="O196" s="8" t="s">
        <v>4206</v>
      </c>
      <c r="P196" s="11">
        <v>43998.682037037041</v>
      </c>
      <c r="Q196" s="13">
        <v>468831</v>
      </c>
      <c r="R196" s="19" t="s">
        <v>594</v>
      </c>
      <c r="S196" s="14" t="s">
        <v>6254</v>
      </c>
      <c r="T196" s="163">
        <v>1217</v>
      </c>
      <c r="U196" s="164" t="str">
        <f>CONCATENATE(LEFT(SP_ACQ_Lib[[#This Row],[Tax Parcel ID]],7),"_",SP_ACQ_Lib[[#This Row],[ACQ Document Type]])</f>
        <v>R019378_APPRAISAL USACOE Authorization to Proceed with Offer</v>
      </c>
      <c r="V196" s="65" t="str">
        <f>INDEX(SP_AcqTract_DB[WCAD Tax Parcel ID],MATCH(SP_ACQ_Lib[[#This Row],[Acquisition Tract No.]],SP_AcqTract_DB[Acquisition Tract No.],0))</f>
        <v>R019378;#23;#R050285;#24</v>
      </c>
      <c r="W196" s="48" t="str">
        <f>INDEX(SP_TaxPar_DB[Acquisition Tract No.],MATCH(LEFT(SP_ACQ_Lib[[#This Row],[Tax Parcel ID]],7),SP_TaxPar_DB[Tax Parcel ID],0))</f>
        <v>213</v>
      </c>
      <c r="X196" s="238" t="str">
        <f>IF(OR(SP_ACQ_Lib[[#This Row],[Acquisition Tract No.]]="",SP_ACQ_Lib[[#This Row],[ACQ Document Type]]=""),0,CONCATENATE("COW-FRMP_TR-",SP_ACQ_Lib[[#This Row],[Acquisition Tract No.]]," ",SP_ACQ_Lib[[#This Row],[ACQ Document Type]]))</f>
        <v>COW-FRMP_TR-213 APPRAISAL USACOE Authorization to Proceed with Offer</v>
      </c>
      <c r="Y196" s="239">
        <f>IF(OR(SP_ACQ_Lib[[#This Row],[File Name Convention]]=0,LEFT(SP_ACQ_Lib[[#This Row],[Name]],LEN(SP_ACQ_Lib[[#This Row],[File Name Convention]]))&lt;&gt;SP_ACQ_Lib[[#This Row],[File Name Convention]],ISERROR(SEARCH(SP_ACQ_Lib[[#This Row],[ACQ Document Type]],SP_ACQ_Lib[[#This Row],[Name]]))),1,0)</f>
        <v>0</v>
      </c>
    </row>
    <row r="197" spans="1:25" ht="15" x14ac:dyDescent="0.2">
      <c r="A197" s="157" t="str">
        <f>CONCATENATE(SP_ACQ_Lib[[#This Row],[Acquisition Tract No.]],"_",SP_ACQ_Lib[[#This Row],[ACQ Document Type]])</f>
        <v>213_APPRAISAL USACOE Authorization to Proceed with Offer Approval</v>
      </c>
      <c r="B197" s="14" t="s">
        <v>6506</v>
      </c>
      <c r="C197" s="15" t="s">
        <v>40</v>
      </c>
      <c r="D197" s="12" t="s">
        <v>628</v>
      </c>
      <c r="E197" s="8" t="s">
        <v>1131</v>
      </c>
      <c r="F197" s="8" t="s">
        <v>4973</v>
      </c>
      <c r="G197" s="8" t="s">
        <v>4972</v>
      </c>
      <c r="H197" s="7" t="s">
        <v>1749</v>
      </c>
      <c r="I197" s="16">
        <v>44012</v>
      </c>
      <c r="J197" s="16"/>
      <c r="K197" s="17">
        <v>88400</v>
      </c>
      <c r="L197" s="3"/>
      <c r="M197" s="8" t="s">
        <v>4206</v>
      </c>
      <c r="N197" s="11">
        <v>44012.539652777778</v>
      </c>
      <c r="O197" s="8" t="s">
        <v>4206</v>
      </c>
      <c r="P197" s="11">
        <v>44012.520231481481</v>
      </c>
      <c r="Q197" s="13">
        <v>511189</v>
      </c>
      <c r="R197" s="19" t="s">
        <v>594</v>
      </c>
      <c r="S197" s="14" t="s">
        <v>6569</v>
      </c>
      <c r="T197" s="163">
        <v>1316</v>
      </c>
      <c r="U197" s="164" t="str">
        <f>CONCATENATE(LEFT(SP_ACQ_Lib[[#This Row],[Tax Parcel ID]],7),"_",SP_ACQ_Lib[[#This Row],[ACQ Document Type]])</f>
        <v>R019378_APPRAISAL USACOE Authorization to Proceed with Offer Approval</v>
      </c>
      <c r="V197" s="65" t="str">
        <f>INDEX(SP_AcqTract_DB[WCAD Tax Parcel ID],MATCH(SP_ACQ_Lib[[#This Row],[Acquisition Tract No.]],SP_AcqTract_DB[Acquisition Tract No.],0))</f>
        <v>R019378;#23;#R050285;#24</v>
      </c>
      <c r="W197" s="48" t="str">
        <f>INDEX(SP_TaxPar_DB[Acquisition Tract No.],MATCH(LEFT(SP_ACQ_Lib[[#This Row],[Tax Parcel ID]],7),SP_TaxPar_DB[Tax Parcel ID],0))</f>
        <v>213</v>
      </c>
      <c r="X197" s="238" t="str">
        <f>IF(OR(SP_ACQ_Lib[[#This Row],[Acquisition Tract No.]]="",SP_ACQ_Lib[[#This Row],[ACQ Document Type]]=""),0,CONCATENATE("COW-FRMP_TR-",SP_ACQ_Lib[[#This Row],[Acquisition Tract No.]]," ",SP_ACQ_Lib[[#This Row],[ACQ Document Type]]))</f>
        <v>COW-FRMP_TR-213 APPRAISAL USACOE Authorization to Proceed with Offer Approval</v>
      </c>
      <c r="Y197" s="239">
        <f>IF(OR(SP_ACQ_Lib[[#This Row],[File Name Convention]]=0,LEFT(SP_ACQ_Lib[[#This Row],[Name]],LEN(SP_ACQ_Lib[[#This Row],[File Name Convention]]))&lt;&gt;SP_ACQ_Lib[[#This Row],[File Name Convention]],ISERROR(SEARCH(SP_ACQ_Lib[[#This Row],[ACQ Document Type]],SP_ACQ_Lib[[#This Row],[Name]]))),1,0)</f>
        <v>0</v>
      </c>
    </row>
    <row r="198" spans="1:25" ht="15" x14ac:dyDescent="0.2">
      <c r="A198" s="157" t="str">
        <f>CONCATENATE(SP_ACQ_Lib[[#This Row],[Acquisition Tract No.]],"_",SP_ACQ_Lib[[#This Row],[ACQ Document Type]])</f>
        <v>213_CONTACT Initial Interview - Residential</v>
      </c>
      <c r="B198" s="14" t="s">
        <v>1457</v>
      </c>
      <c r="C198" s="15" t="s">
        <v>40</v>
      </c>
      <c r="D198" s="12" t="s">
        <v>628</v>
      </c>
      <c r="E198" s="8" t="s">
        <v>865</v>
      </c>
      <c r="F198" s="8" t="s">
        <v>866</v>
      </c>
      <c r="G198" s="8" t="s">
        <v>618</v>
      </c>
      <c r="H198" s="7" t="s">
        <v>592</v>
      </c>
      <c r="I198" s="16">
        <v>43685</v>
      </c>
      <c r="J198" s="16"/>
      <c r="K198" s="17"/>
      <c r="L198" s="3"/>
      <c r="M198" s="8" t="s">
        <v>4206</v>
      </c>
      <c r="N198" s="11">
        <v>43894.459918981483</v>
      </c>
      <c r="O198" s="8" t="s">
        <v>4325</v>
      </c>
      <c r="P198" s="11">
        <v>43696.410833333335</v>
      </c>
      <c r="Q198" s="13">
        <v>198914</v>
      </c>
      <c r="R198" s="19" t="s">
        <v>594</v>
      </c>
      <c r="S198" s="14" t="s">
        <v>742</v>
      </c>
      <c r="T198" s="163">
        <v>107</v>
      </c>
      <c r="U198" s="164" t="str">
        <f>CONCATENATE(LEFT(SP_ACQ_Lib[[#This Row],[Tax Parcel ID]],7),"_",SP_ACQ_Lib[[#This Row],[ACQ Document Type]])</f>
        <v>R019378_CONTACT Initial Interview - Residential</v>
      </c>
      <c r="V198" s="65" t="str">
        <f>INDEX(SP_AcqTract_DB[WCAD Tax Parcel ID],MATCH(SP_ACQ_Lib[[#This Row],[Acquisition Tract No.]],SP_AcqTract_DB[Acquisition Tract No.],0))</f>
        <v>R019378;#23;#R050285;#24</v>
      </c>
      <c r="W198" s="48" t="str">
        <f>INDEX(SP_TaxPar_DB[Acquisition Tract No.],MATCH(LEFT(SP_ACQ_Lib[[#This Row],[Tax Parcel ID]],7),SP_TaxPar_DB[Tax Parcel ID],0))</f>
        <v>213</v>
      </c>
      <c r="X198" s="238" t="str">
        <f>IF(OR(SP_ACQ_Lib[[#This Row],[Acquisition Tract No.]]="",SP_ACQ_Lib[[#This Row],[ACQ Document Type]]=""),0,CONCATENATE("COW-FRMP_TR-",SP_ACQ_Lib[[#This Row],[Acquisition Tract No.]]," ",SP_ACQ_Lib[[#This Row],[ACQ Document Type]]))</f>
        <v>COW-FRMP_TR-213 CONTACT Initial Interview - Residential</v>
      </c>
      <c r="Y198" s="239">
        <f>IF(OR(SP_ACQ_Lib[[#This Row],[File Name Convention]]=0,LEFT(SP_ACQ_Lib[[#This Row],[Name]],LEN(SP_ACQ_Lib[[#This Row],[File Name Convention]]))&lt;&gt;SP_ACQ_Lib[[#This Row],[File Name Convention]],ISERROR(SEARCH(SP_ACQ_Lib[[#This Row],[ACQ Document Type]],SP_ACQ_Lib[[#This Row],[Name]]))),1,0)</f>
        <v>0</v>
      </c>
    </row>
    <row r="199" spans="1:25" ht="15" x14ac:dyDescent="0.2">
      <c r="A199" s="157" t="str">
        <f>CONCATENATE(SP_ACQ_Lib[[#This Row],[Acquisition Tract No.]],"_",SP_ACQ_Lib[[#This Row],[ACQ Document Type]])</f>
        <v>213_CONTACT Negotiator Report</v>
      </c>
      <c r="B199" s="14" t="s">
        <v>3379</v>
      </c>
      <c r="C199" s="15" t="s">
        <v>40</v>
      </c>
      <c r="D199" s="12" t="s">
        <v>628</v>
      </c>
      <c r="E199" s="8" t="s">
        <v>865</v>
      </c>
      <c r="F199" s="8" t="s">
        <v>1068</v>
      </c>
      <c r="G199" s="8" t="s">
        <v>1067</v>
      </c>
      <c r="H199" s="7" t="s">
        <v>592</v>
      </c>
      <c r="I199" s="16"/>
      <c r="J199" s="16"/>
      <c r="K199" s="17"/>
      <c r="L199" s="3"/>
      <c r="M199" s="8" t="s">
        <v>1743</v>
      </c>
      <c r="N199" s="11">
        <v>43998.603750000002</v>
      </c>
      <c r="O199" s="8" t="s">
        <v>4325</v>
      </c>
      <c r="P199" s="11">
        <v>43732.565682870372</v>
      </c>
      <c r="Q199" s="13">
        <v>57851</v>
      </c>
      <c r="R199" s="19" t="s">
        <v>1069</v>
      </c>
      <c r="S199" s="14" t="s">
        <v>1084</v>
      </c>
      <c r="T199" s="163">
        <v>295</v>
      </c>
      <c r="U199" s="164" t="str">
        <f>CONCATENATE(LEFT(SP_ACQ_Lib[[#This Row],[Tax Parcel ID]],7),"_",SP_ACQ_Lib[[#This Row],[ACQ Document Type]])</f>
        <v>R019378_CONTACT Negotiator Report</v>
      </c>
      <c r="V199" s="65" t="str">
        <f>INDEX(SP_AcqTract_DB[WCAD Tax Parcel ID],MATCH(SP_ACQ_Lib[[#This Row],[Acquisition Tract No.]],SP_AcqTract_DB[Acquisition Tract No.],0))</f>
        <v>R019378;#23;#R050285;#24</v>
      </c>
      <c r="W199" s="48" t="str">
        <f>INDEX(SP_TaxPar_DB[Acquisition Tract No.],MATCH(LEFT(SP_ACQ_Lib[[#This Row],[Tax Parcel ID]],7),SP_TaxPar_DB[Tax Parcel ID],0))</f>
        <v>213</v>
      </c>
      <c r="X199" s="238" t="str">
        <f>IF(OR(SP_ACQ_Lib[[#This Row],[Acquisition Tract No.]]="",SP_ACQ_Lib[[#This Row],[ACQ Document Type]]=""),0,CONCATENATE("COW-FRMP_TR-",SP_ACQ_Lib[[#This Row],[Acquisition Tract No.]]," ",SP_ACQ_Lib[[#This Row],[ACQ Document Type]]))</f>
        <v>COW-FRMP_TR-213 CONTACT Negotiator Report</v>
      </c>
      <c r="Y199" s="239">
        <f>IF(OR(SP_ACQ_Lib[[#This Row],[File Name Convention]]=0,LEFT(SP_ACQ_Lib[[#This Row],[Name]],LEN(SP_ACQ_Lib[[#This Row],[File Name Convention]]))&lt;&gt;SP_ACQ_Lib[[#This Row],[File Name Convention]],ISERROR(SEARCH(SP_ACQ_Lib[[#This Row],[ACQ Document Type]],SP_ACQ_Lib[[#This Row],[Name]]))),1,0)</f>
        <v>0</v>
      </c>
    </row>
    <row r="200" spans="1:25" ht="15" x14ac:dyDescent="0.2">
      <c r="A200" s="157" t="str">
        <f>CONCATENATE(SP_ACQ_Lib[[#This Row],[Acquisition Tract No.]],"_",SP_ACQ_Lib[[#This Row],[ACQ Document Type]])</f>
        <v>213_CONTACT Pre-Appraisal Contact with Owner</v>
      </c>
      <c r="B200" s="14" t="s">
        <v>3380</v>
      </c>
      <c r="C200" s="15" t="s">
        <v>40</v>
      </c>
      <c r="D200" s="12" t="s">
        <v>628</v>
      </c>
      <c r="E200" s="8" t="s">
        <v>865</v>
      </c>
      <c r="F200" s="8" t="s">
        <v>1748</v>
      </c>
      <c r="G200" s="8" t="s">
        <v>1747</v>
      </c>
      <c r="H200" s="7" t="s">
        <v>592</v>
      </c>
      <c r="I200" s="16">
        <v>43800</v>
      </c>
      <c r="J200" s="16"/>
      <c r="K200" s="17"/>
      <c r="L200" s="3"/>
      <c r="M200" s="8" t="s">
        <v>4206</v>
      </c>
      <c r="N200" s="11">
        <v>43893.569398148145</v>
      </c>
      <c r="O200" s="8" t="s">
        <v>1272</v>
      </c>
      <c r="P200" s="11">
        <v>43822.641493055555</v>
      </c>
      <c r="Q200" s="13">
        <v>1611744</v>
      </c>
      <c r="R200" s="19" t="s">
        <v>594</v>
      </c>
      <c r="S200" s="14" t="s">
        <v>1773</v>
      </c>
      <c r="T200" s="163">
        <v>676</v>
      </c>
      <c r="U200" s="164" t="str">
        <f>CONCATENATE(LEFT(SP_ACQ_Lib[[#This Row],[Tax Parcel ID]],7),"_",SP_ACQ_Lib[[#This Row],[ACQ Document Type]])</f>
        <v>R019378_CONTACT Pre-Appraisal Contact with Owner</v>
      </c>
      <c r="V200" s="65" t="str">
        <f>INDEX(SP_AcqTract_DB[WCAD Tax Parcel ID],MATCH(SP_ACQ_Lib[[#This Row],[Acquisition Tract No.]],SP_AcqTract_DB[Acquisition Tract No.],0))</f>
        <v>R019378;#23;#R050285;#24</v>
      </c>
      <c r="W200" s="48" t="str">
        <f>INDEX(SP_TaxPar_DB[Acquisition Tract No.],MATCH(LEFT(SP_ACQ_Lib[[#This Row],[Tax Parcel ID]],7),SP_TaxPar_DB[Tax Parcel ID],0))</f>
        <v>213</v>
      </c>
      <c r="X200" s="238" t="str">
        <f>IF(OR(SP_ACQ_Lib[[#This Row],[Acquisition Tract No.]]="",SP_ACQ_Lib[[#This Row],[ACQ Document Type]]=""),0,CONCATENATE("COW-FRMP_TR-",SP_ACQ_Lib[[#This Row],[Acquisition Tract No.]]," ",SP_ACQ_Lib[[#This Row],[ACQ Document Type]]))</f>
        <v>COW-FRMP_TR-213 CONTACT Pre-Appraisal Contact with Owner</v>
      </c>
      <c r="Y200" s="239">
        <f>IF(OR(SP_ACQ_Lib[[#This Row],[File Name Convention]]=0,LEFT(SP_ACQ_Lib[[#This Row],[Name]],LEN(SP_ACQ_Lib[[#This Row],[File Name Convention]]))&lt;&gt;SP_ACQ_Lib[[#This Row],[File Name Convention]],ISERROR(SEARCH(SP_ACQ_Lib[[#This Row],[ACQ Document Type]],SP_ACQ_Lib[[#This Row],[Name]]))),1,0)</f>
        <v>0</v>
      </c>
    </row>
    <row r="201" spans="1:25" ht="15" x14ac:dyDescent="0.2">
      <c r="A201" s="157" t="str">
        <f>CONCATENATE(SP_ACQ_Lib[[#This Row],[Acquisition Tract No.]],"_",SP_ACQ_Lib[[#This Row],[ACQ Document Type]])</f>
        <v>213_NEGOTIATION Landowner Bill of Rights Letter</v>
      </c>
      <c r="B201" s="14" t="s">
        <v>3440</v>
      </c>
      <c r="C201" s="15" t="s">
        <v>40</v>
      </c>
      <c r="D201" s="12" t="s">
        <v>628</v>
      </c>
      <c r="E201" s="8" t="s">
        <v>1142</v>
      </c>
      <c r="F201" s="8" t="s">
        <v>1746</v>
      </c>
      <c r="G201" s="8" t="s">
        <v>1745</v>
      </c>
      <c r="H201" s="7" t="s">
        <v>592</v>
      </c>
      <c r="I201" s="16">
        <v>43748</v>
      </c>
      <c r="J201" s="16"/>
      <c r="K201" s="17"/>
      <c r="L201" s="3"/>
      <c r="M201" s="8" t="s">
        <v>4206</v>
      </c>
      <c r="N201" s="11">
        <v>43893.569571759261</v>
      </c>
      <c r="O201" s="8" t="s">
        <v>4325</v>
      </c>
      <c r="P201" s="11">
        <v>43752.477939814817</v>
      </c>
      <c r="Q201" s="13">
        <v>355375</v>
      </c>
      <c r="R201" s="19" t="s">
        <v>594</v>
      </c>
      <c r="S201" s="14" t="s">
        <v>1195</v>
      </c>
      <c r="T201" s="163">
        <v>428</v>
      </c>
      <c r="U201" s="164" t="str">
        <f>CONCATENATE(LEFT(SP_ACQ_Lib[[#This Row],[Tax Parcel ID]],7),"_",SP_ACQ_Lib[[#This Row],[ACQ Document Type]])</f>
        <v>R019378_NEGOTIATION Landowner Bill of Rights Letter</v>
      </c>
      <c r="V201" s="65" t="str">
        <f>INDEX(SP_AcqTract_DB[WCAD Tax Parcel ID],MATCH(SP_ACQ_Lib[[#This Row],[Acquisition Tract No.]],SP_AcqTract_DB[Acquisition Tract No.],0))</f>
        <v>R019378;#23;#R050285;#24</v>
      </c>
      <c r="W201" s="48" t="str">
        <f>INDEX(SP_TaxPar_DB[Acquisition Tract No.],MATCH(LEFT(SP_ACQ_Lib[[#This Row],[Tax Parcel ID]],7),SP_TaxPar_DB[Tax Parcel ID],0))</f>
        <v>213</v>
      </c>
      <c r="X201" s="238" t="str">
        <f>IF(OR(SP_ACQ_Lib[[#This Row],[Acquisition Tract No.]]="",SP_ACQ_Lib[[#This Row],[ACQ Document Type]]=""),0,CONCATENATE("COW-FRMP_TR-",SP_ACQ_Lib[[#This Row],[Acquisition Tract No.]]," ",SP_ACQ_Lib[[#This Row],[ACQ Document Type]]))</f>
        <v>COW-FRMP_TR-213 NEGOTIATION Landowner Bill of Rights Letter</v>
      </c>
      <c r="Y201" s="239">
        <f>IF(OR(SP_ACQ_Lib[[#This Row],[File Name Convention]]=0,LEFT(SP_ACQ_Lib[[#This Row],[Name]],LEN(SP_ACQ_Lib[[#This Row],[File Name Convention]]))&lt;&gt;SP_ACQ_Lib[[#This Row],[File Name Convention]],ISERROR(SEARCH(SP_ACQ_Lib[[#This Row],[ACQ Document Type]],SP_ACQ_Lib[[#This Row],[Name]]))),1,0)</f>
        <v>0</v>
      </c>
    </row>
    <row r="202" spans="1:25" ht="15" x14ac:dyDescent="0.2">
      <c r="A202" s="157" t="str">
        <f>CONCATENATE(SP_ACQ_Lib[[#This Row],[Acquisition Tract No.]],"_",SP_ACQ_Lib[[#This Row],[ACQ Document Type]])</f>
        <v>213_SURVEY Description-Plat_CITY</v>
      </c>
      <c r="B202" s="14" t="s">
        <v>3522</v>
      </c>
      <c r="C202" s="15" t="s">
        <v>40</v>
      </c>
      <c r="D202" s="12" t="s">
        <v>628</v>
      </c>
      <c r="E202" s="8" t="s">
        <v>858</v>
      </c>
      <c r="F202" s="8" t="s">
        <v>3503</v>
      </c>
      <c r="G202" s="8" t="s">
        <v>3502</v>
      </c>
      <c r="H202" s="7" t="s">
        <v>1749</v>
      </c>
      <c r="I202" s="16">
        <v>43899</v>
      </c>
      <c r="J202" s="16">
        <v>43900</v>
      </c>
      <c r="K202" s="17"/>
      <c r="L202" s="3" t="s">
        <v>4443</v>
      </c>
      <c r="M202" s="8" t="s">
        <v>4207</v>
      </c>
      <c r="N202" s="11">
        <v>43979.306076388886</v>
      </c>
      <c r="O202" s="8" t="s">
        <v>4206</v>
      </c>
      <c r="P202" s="11">
        <v>43886.642048611109</v>
      </c>
      <c r="Q202" s="13">
        <v>253750</v>
      </c>
      <c r="R202" s="19" t="s">
        <v>594</v>
      </c>
      <c r="S202" s="14" t="s">
        <v>3545</v>
      </c>
      <c r="T202" s="163">
        <v>1015</v>
      </c>
      <c r="U202" s="164" t="str">
        <f>CONCATENATE(LEFT(SP_ACQ_Lib[[#This Row],[Tax Parcel ID]],7),"_",SP_ACQ_Lib[[#This Row],[ACQ Document Type]])</f>
        <v>R019378_SURVEY Description-Plat_CITY</v>
      </c>
      <c r="V202" s="65" t="str">
        <f>INDEX(SP_AcqTract_DB[WCAD Tax Parcel ID],MATCH(SP_ACQ_Lib[[#This Row],[Acquisition Tract No.]],SP_AcqTract_DB[Acquisition Tract No.],0))</f>
        <v>R019378;#23;#R050285;#24</v>
      </c>
      <c r="W202" s="48" t="str">
        <f>INDEX(SP_TaxPar_DB[Acquisition Tract No.],MATCH(LEFT(SP_ACQ_Lib[[#This Row],[Tax Parcel ID]],7),SP_TaxPar_DB[Tax Parcel ID],0))</f>
        <v>213</v>
      </c>
      <c r="X202" s="238" t="str">
        <f>IF(OR(SP_ACQ_Lib[[#This Row],[Acquisition Tract No.]]="",SP_ACQ_Lib[[#This Row],[ACQ Document Type]]=""),0,CONCATENATE("COW-FRMP_TR-",SP_ACQ_Lib[[#This Row],[Acquisition Tract No.]]," ",SP_ACQ_Lib[[#This Row],[ACQ Document Type]]))</f>
        <v>COW-FRMP_TR-213 SURVEY Description-Plat_CITY</v>
      </c>
      <c r="Y202" s="239">
        <f>IF(OR(SP_ACQ_Lib[[#This Row],[File Name Convention]]=0,LEFT(SP_ACQ_Lib[[#This Row],[Name]],LEN(SP_ACQ_Lib[[#This Row],[File Name Convention]]))&lt;&gt;SP_ACQ_Lib[[#This Row],[File Name Convention]],ISERROR(SEARCH(SP_ACQ_Lib[[#This Row],[ACQ Document Type]],SP_ACQ_Lib[[#This Row],[Name]]))),1,0)</f>
        <v>0</v>
      </c>
    </row>
    <row r="203" spans="1:25" ht="15" x14ac:dyDescent="0.2">
      <c r="A203" s="157" t="str">
        <f>CONCATENATE(SP_ACQ_Lib[[#This Row],[Acquisition Tract No.]],"_",SP_ACQ_Lib[[#This Row],[ACQ Document Type]])</f>
        <v>213_SURVEY Description-Plat_USACOE</v>
      </c>
      <c r="B203" s="14" t="s">
        <v>4898</v>
      </c>
      <c r="C203" s="15" t="s">
        <v>40</v>
      </c>
      <c r="D203" s="12" t="s">
        <v>628</v>
      </c>
      <c r="E203" s="8" t="s">
        <v>858</v>
      </c>
      <c r="F203" s="8" t="s">
        <v>3510</v>
      </c>
      <c r="G203" s="8" t="s">
        <v>3509</v>
      </c>
      <c r="H203" s="7" t="s">
        <v>1749</v>
      </c>
      <c r="I203" s="16">
        <v>43852</v>
      </c>
      <c r="J203" s="16">
        <v>43937</v>
      </c>
      <c r="K203" s="17"/>
      <c r="L203" s="3"/>
      <c r="M203" s="8" t="s">
        <v>4207</v>
      </c>
      <c r="N203" s="11">
        <v>43979.306087962963</v>
      </c>
      <c r="O203" s="8" t="s">
        <v>4206</v>
      </c>
      <c r="P203" s="11">
        <v>43937.578564814816</v>
      </c>
      <c r="Q203" s="13">
        <v>264739</v>
      </c>
      <c r="R203" s="19" t="s">
        <v>594</v>
      </c>
      <c r="S203" s="14" t="s">
        <v>4902</v>
      </c>
      <c r="T203" s="163">
        <v>1016</v>
      </c>
      <c r="U203" s="164" t="str">
        <f>CONCATENATE(LEFT(SP_ACQ_Lib[[#This Row],[Tax Parcel ID]],7),"_",SP_ACQ_Lib[[#This Row],[ACQ Document Type]])</f>
        <v>R019378_SURVEY Description-Plat_USACOE</v>
      </c>
      <c r="V203" s="65" t="str">
        <f>INDEX(SP_AcqTract_DB[WCAD Tax Parcel ID],MATCH(SP_ACQ_Lib[[#This Row],[Acquisition Tract No.]],SP_AcqTract_DB[Acquisition Tract No.],0))</f>
        <v>R019378;#23;#R050285;#24</v>
      </c>
      <c r="W203" s="48" t="str">
        <f>INDEX(SP_TaxPar_DB[Acquisition Tract No.],MATCH(LEFT(SP_ACQ_Lib[[#This Row],[Tax Parcel ID]],7),SP_TaxPar_DB[Tax Parcel ID],0))</f>
        <v>213</v>
      </c>
      <c r="X203" s="238" t="str">
        <f>IF(OR(SP_ACQ_Lib[[#This Row],[Acquisition Tract No.]]="",SP_ACQ_Lib[[#This Row],[ACQ Document Type]]=""),0,CONCATENATE("COW-FRMP_TR-",SP_ACQ_Lib[[#This Row],[Acquisition Tract No.]]," ",SP_ACQ_Lib[[#This Row],[ACQ Document Type]]))</f>
        <v>COW-FRMP_TR-213 SURVEY Description-Plat_USACOE</v>
      </c>
      <c r="Y203" s="239">
        <f>IF(OR(SP_ACQ_Lib[[#This Row],[File Name Convention]]=0,LEFT(SP_ACQ_Lib[[#This Row],[Name]],LEN(SP_ACQ_Lib[[#This Row],[File Name Convention]]))&lt;&gt;SP_ACQ_Lib[[#This Row],[File Name Convention]],ISERROR(SEARCH(SP_ACQ_Lib[[#This Row],[ACQ Document Type]],SP_ACQ_Lib[[#This Row],[Name]]))),1,0)</f>
        <v>0</v>
      </c>
    </row>
    <row r="204" spans="1:25" ht="15" x14ac:dyDescent="0.2">
      <c r="A204" s="157" t="str">
        <f>CONCATENATE(SP_ACQ_Lib[[#This Row],[Acquisition Tract No.]],"_",SP_ACQ_Lib[[#This Row],[ACQ Document Type]])</f>
        <v>213_SURVEY Right-of-Entry</v>
      </c>
      <c r="B204" s="14" t="s">
        <v>4460</v>
      </c>
      <c r="C204" s="15" t="s">
        <v>40</v>
      </c>
      <c r="D204" s="12" t="s">
        <v>628</v>
      </c>
      <c r="E204" s="8" t="s">
        <v>858</v>
      </c>
      <c r="F204" s="8" t="s">
        <v>859</v>
      </c>
      <c r="G204" s="8" t="s">
        <v>591</v>
      </c>
      <c r="H204" s="7" t="s">
        <v>592</v>
      </c>
      <c r="I204" s="16">
        <v>43690</v>
      </c>
      <c r="J204" s="16"/>
      <c r="K204" s="17"/>
      <c r="L204" s="3" t="s">
        <v>4444</v>
      </c>
      <c r="M204" s="8" t="s">
        <v>4206</v>
      </c>
      <c r="N204" s="11">
        <v>43893.571435185186</v>
      </c>
      <c r="O204" s="8" t="s">
        <v>4206</v>
      </c>
      <c r="P204" s="11">
        <v>43893.57068287037</v>
      </c>
      <c r="Q204" s="13">
        <v>1711758</v>
      </c>
      <c r="R204" s="19" t="s">
        <v>594</v>
      </c>
      <c r="S204" s="14" t="s">
        <v>4489</v>
      </c>
      <c r="T204" s="163">
        <v>757</v>
      </c>
      <c r="U204" s="164" t="str">
        <f>CONCATENATE(LEFT(SP_ACQ_Lib[[#This Row],[Tax Parcel ID]],7),"_",SP_ACQ_Lib[[#This Row],[ACQ Document Type]])</f>
        <v>R019378_SURVEY Right-of-Entry</v>
      </c>
      <c r="V204" s="65" t="str">
        <f>INDEX(SP_AcqTract_DB[WCAD Tax Parcel ID],MATCH(SP_ACQ_Lib[[#This Row],[Acquisition Tract No.]],SP_AcqTract_DB[Acquisition Tract No.],0))</f>
        <v>R019378;#23;#R050285;#24</v>
      </c>
      <c r="W204" s="48" t="str">
        <f>INDEX(SP_TaxPar_DB[Acquisition Tract No.],MATCH(LEFT(SP_ACQ_Lib[[#This Row],[Tax Parcel ID]],7),SP_TaxPar_DB[Tax Parcel ID],0))</f>
        <v>213</v>
      </c>
      <c r="X204" s="238" t="str">
        <f>IF(OR(SP_ACQ_Lib[[#This Row],[Acquisition Tract No.]]="",SP_ACQ_Lib[[#This Row],[ACQ Document Type]]=""),0,CONCATENATE("COW-FRMP_TR-",SP_ACQ_Lib[[#This Row],[Acquisition Tract No.]]," ",SP_ACQ_Lib[[#This Row],[ACQ Document Type]]))</f>
        <v>COW-FRMP_TR-213 SURVEY Right-of-Entry</v>
      </c>
      <c r="Y204" s="239">
        <f>IF(OR(SP_ACQ_Lib[[#This Row],[File Name Convention]]=0,LEFT(SP_ACQ_Lib[[#This Row],[Name]],LEN(SP_ACQ_Lib[[#This Row],[File Name Convention]]))&lt;&gt;SP_ACQ_Lib[[#This Row],[File Name Convention]],ISERROR(SEARCH(SP_ACQ_Lib[[#This Row],[ACQ Document Type]],SP_ACQ_Lib[[#This Row],[Name]]))),1,0)</f>
        <v>0</v>
      </c>
    </row>
    <row r="205" spans="1:25" ht="15" x14ac:dyDescent="0.2">
      <c r="A205" s="157" t="str">
        <f>CONCATENATE(SP_ACQ_Lib[[#This Row],[Acquisition Tract No.]],"_",SP_ACQ_Lib[[#This Row],[ACQ Document Type]])</f>
        <v>213_SURVEY Right-of-Entry CMRR</v>
      </c>
      <c r="B205" s="14" t="s">
        <v>1458</v>
      </c>
      <c r="C205" s="15" t="s">
        <v>40</v>
      </c>
      <c r="D205" s="12" t="s">
        <v>628</v>
      </c>
      <c r="E205" s="8" t="s">
        <v>858</v>
      </c>
      <c r="F205" s="8" t="s">
        <v>860</v>
      </c>
      <c r="G205" s="8" t="s">
        <v>598</v>
      </c>
      <c r="H205" s="7" t="s">
        <v>592</v>
      </c>
      <c r="I205" s="16">
        <v>43684</v>
      </c>
      <c r="J205" s="16"/>
      <c r="K205" s="17"/>
      <c r="L205" s="3" t="s">
        <v>3516</v>
      </c>
      <c r="M205" s="8" t="s">
        <v>4206</v>
      </c>
      <c r="N205" s="11">
        <v>43893.572256944448</v>
      </c>
      <c r="O205" s="8" t="s">
        <v>4207</v>
      </c>
      <c r="P205" s="11">
        <v>43693.359768518516</v>
      </c>
      <c r="Q205" s="13">
        <v>145811</v>
      </c>
      <c r="R205" s="19" t="s">
        <v>594</v>
      </c>
      <c r="S205" s="14" t="s">
        <v>743</v>
      </c>
      <c r="T205" s="163">
        <v>84</v>
      </c>
      <c r="U205" s="164" t="str">
        <f>CONCATENATE(LEFT(SP_ACQ_Lib[[#This Row],[Tax Parcel ID]],7),"_",SP_ACQ_Lib[[#This Row],[ACQ Document Type]])</f>
        <v>R019378_SURVEY Right-of-Entry CMRR</v>
      </c>
      <c r="V205" s="65" t="str">
        <f>INDEX(SP_AcqTract_DB[WCAD Tax Parcel ID],MATCH(SP_ACQ_Lib[[#This Row],[Acquisition Tract No.]],SP_AcqTract_DB[Acquisition Tract No.],0))</f>
        <v>R019378;#23;#R050285;#24</v>
      </c>
      <c r="W205" s="48" t="str">
        <f>INDEX(SP_TaxPar_DB[Acquisition Tract No.],MATCH(LEFT(SP_ACQ_Lib[[#This Row],[Tax Parcel ID]],7),SP_TaxPar_DB[Tax Parcel ID],0))</f>
        <v>213</v>
      </c>
      <c r="X205" s="238" t="str">
        <f>IF(OR(SP_ACQ_Lib[[#This Row],[Acquisition Tract No.]]="",SP_ACQ_Lib[[#This Row],[ACQ Document Type]]=""),0,CONCATENATE("COW-FRMP_TR-",SP_ACQ_Lib[[#This Row],[Acquisition Tract No.]]," ",SP_ACQ_Lib[[#This Row],[ACQ Document Type]]))</f>
        <v>COW-FRMP_TR-213 SURVEY Right-of-Entry CMRR</v>
      </c>
      <c r="Y205" s="239">
        <f>IF(OR(SP_ACQ_Lib[[#This Row],[File Name Convention]]=0,LEFT(SP_ACQ_Lib[[#This Row],[Name]],LEN(SP_ACQ_Lib[[#This Row],[File Name Convention]]))&lt;&gt;SP_ACQ_Lib[[#This Row],[File Name Convention]],ISERROR(SEARCH(SP_ACQ_Lib[[#This Row],[ACQ Document Type]],SP_ACQ_Lib[[#This Row],[Name]]))),1,0)</f>
        <v>0</v>
      </c>
    </row>
    <row r="206" spans="1:25" ht="15" x14ac:dyDescent="0.2">
      <c r="A206" s="157" t="str">
        <f>CONCATENATE(SP_ACQ_Lib[[#This Row],[Acquisition Tract No.]],"_",SP_ACQ_Lib[[#This Row],[ACQ Document Type]])</f>
        <v>213_TITLE Commitment</v>
      </c>
      <c r="B206" s="14" t="s">
        <v>1459</v>
      </c>
      <c r="C206" s="15" t="s">
        <v>40</v>
      </c>
      <c r="D206" s="12" t="s">
        <v>628</v>
      </c>
      <c r="E206" s="8" t="s">
        <v>861</v>
      </c>
      <c r="F206" s="8" t="s">
        <v>862</v>
      </c>
      <c r="G206" s="8" t="s">
        <v>614</v>
      </c>
      <c r="H206" s="7" t="s">
        <v>592</v>
      </c>
      <c r="I206" s="16">
        <v>43943</v>
      </c>
      <c r="J206" s="16">
        <v>43951</v>
      </c>
      <c r="K206" s="17"/>
      <c r="L206" s="3" t="s">
        <v>4331</v>
      </c>
      <c r="M206" s="8" t="s">
        <v>4325</v>
      </c>
      <c r="N206" s="11">
        <v>43951.65357638889</v>
      </c>
      <c r="O206" s="8" t="s">
        <v>4326</v>
      </c>
      <c r="P206" s="11">
        <v>43706.39775462963</v>
      </c>
      <c r="Q206" s="13">
        <v>543924</v>
      </c>
      <c r="R206" s="19" t="s">
        <v>594</v>
      </c>
      <c r="S206" s="14" t="s">
        <v>744</v>
      </c>
      <c r="T206" s="163">
        <v>187</v>
      </c>
      <c r="U206" s="164" t="str">
        <f>CONCATENATE(LEFT(SP_ACQ_Lib[[#This Row],[Tax Parcel ID]],7),"_",SP_ACQ_Lib[[#This Row],[ACQ Document Type]])</f>
        <v>R019378_TITLE Commitment</v>
      </c>
      <c r="V206" s="65" t="str">
        <f>INDEX(SP_AcqTract_DB[WCAD Tax Parcel ID],MATCH(SP_ACQ_Lib[[#This Row],[Acquisition Tract No.]],SP_AcqTract_DB[Acquisition Tract No.],0))</f>
        <v>R019378;#23;#R050285;#24</v>
      </c>
      <c r="W206" s="48" t="str">
        <f>INDEX(SP_TaxPar_DB[Acquisition Tract No.],MATCH(LEFT(SP_ACQ_Lib[[#This Row],[Tax Parcel ID]],7),SP_TaxPar_DB[Tax Parcel ID],0))</f>
        <v>213</v>
      </c>
      <c r="X206" s="238" t="str">
        <f>IF(OR(SP_ACQ_Lib[[#This Row],[Acquisition Tract No.]]="",SP_ACQ_Lib[[#This Row],[ACQ Document Type]]=""),0,CONCATENATE("COW-FRMP_TR-",SP_ACQ_Lib[[#This Row],[Acquisition Tract No.]]," ",SP_ACQ_Lib[[#This Row],[ACQ Document Type]]))</f>
        <v>COW-FRMP_TR-213 TITLE Commitment</v>
      </c>
      <c r="Y206" s="239">
        <f>IF(OR(SP_ACQ_Lib[[#This Row],[File Name Convention]]=0,LEFT(SP_ACQ_Lib[[#This Row],[Name]],LEN(SP_ACQ_Lib[[#This Row],[File Name Convention]]))&lt;&gt;SP_ACQ_Lib[[#This Row],[File Name Convention]],ISERROR(SEARCH(SP_ACQ_Lib[[#This Row],[ACQ Document Type]],SP_ACQ_Lib[[#This Row],[Name]]))),1,0)</f>
        <v>0</v>
      </c>
    </row>
    <row r="207" spans="1:25" ht="15" x14ac:dyDescent="0.2">
      <c r="A207" s="157" t="str">
        <f>CONCATENATE(SP_ACQ_Lib[[#This Row],[Acquisition Tract No.]],"_",SP_ACQ_Lib[[#This Row],[ACQ Document Type]])</f>
        <v>213_TITLE Commitment Backup Docs</v>
      </c>
      <c r="B207" s="14" t="s">
        <v>1460</v>
      </c>
      <c r="C207" s="15" t="s">
        <v>40</v>
      </c>
      <c r="D207" s="12" t="s">
        <v>628</v>
      </c>
      <c r="E207" s="8" t="s">
        <v>861</v>
      </c>
      <c r="F207" s="8" t="s">
        <v>863</v>
      </c>
      <c r="G207" s="8" t="s">
        <v>616</v>
      </c>
      <c r="H207" s="7" t="s">
        <v>592</v>
      </c>
      <c r="I207" s="16"/>
      <c r="J207" s="16"/>
      <c r="K207" s="17"/>
      <c r="L207" s="3"/>
      <c r="M207" s="8" t="s">
        <v>23</v>
      </c>
      <c r="N207" s="11">
        <v>43770.449097222219</v>
      </c>
      <c r="O207" s="8" t="s">
        <v>4326</v>
      </c>
      <c r="P207" s="11">
        <v>43706.398715277777</v>
      </c>
      <c r="Q207" s="13">
        <v>526641</v>
      </c>
      <c r="R207" s="19" t="s">
        <v>594</v>
      </c>
      <c r="S207" s="14" t="s">
        <v>745</v>
      </c>
      <c r="T207" s="163">
        <v>188</v>
      </c>
      <c r="U207" s="164" t="str">
        <f>CONCATENATE(LEFT(SP_ACQ_Lib[[#This Row],[Tax Parcel ID]],7),"_",SP_ACQ_Lib[[#This Row],[ACQ Document Type]])</f>
        <v>R019378_TITLE Commitment Backup Docs</v>
      </c>
      <c r="V207" s="65" t="str">
        <f>INDEX(SP_AcqTract_DB[WCAD Tax Parcel ID],MATCH(SP_ACQ_Lib[[#This Row],[Acquisition Tract No.]],SP_AcqTract_DB[Acquisition Tract No.],0))</f>
        <v>R019378;#23;#R050285;#24</v>
      </c>
      <c r="W207" s="48" t="str">
        <f>INDEX(SP_TaxPar_DB[Acquisition Tract No.],MATCH(LEFT(SP_ACQ_Lib[[#This Row],[Tax Parcel ID]],7),SP_TaxPar_DB[Tax Parcel ID],0))</f>
        <v>213</v>
      </c>
      <c r="X207" s="238" t="str">
        <f>IF(OR(SP_ACQ_Lib[[#This Row],[Acquisition Tract No.]]="",SP_ACQ_Lib[[#This Row],[ACQ Document Type]]=""),0,CONCATENATE("COW-FRMP_TR-",SP_ACQ_Lib[[#This Row],[Acquisition Tract No.]]," ",SP_ACQ_Lib[[#This Row],[ACQ Document Type]]))</f>
        <v>COW-FRMP_TR-213 TITLE Commitment Backup Docs</v>
      </c>
      <c r="Y207" s="239">
        <f>IF(OR(SP_ACQ_Lib[[#This Row],[File Name Convention]]=0,LEFT(SP_ACQ_Lib[[#This Row],[Name]],LEN(SP_ACQ_Lib[[#This Row],[File Name Convention]]))&lt;&gt;SP_ACQ_Lib[[#This Row],[File Name Convention]],ISERROR(SEARCH(SP_ACQ_Lib[[#This Row],[ACQ Document Type]],SP_ACQ_Lib[[#This Row],[Name]]))),1,0)</f>
        <v>0</v>
      </c>
    </row>
    <row r="208" spans="1:25" ht="15" x14ac:dyDescent="0.2">
      <c r="A208" s="157" t="str">
        <f>CONCATENATE(SP_ACQ_Lib[[#This Row],[Acquisition Tract No.]],"_",SP_ACQ_Lib[[#This Row],[ACQ Document Type]])</f>
        <v>213_TITLE Curative Plan</v>
      </c>
      <c r="B208" s="14" t="s">
        <v>1461</v>
      </c>
      <c r="C208" s="15" t="s">
        <v>40</v>
      </c>
      <c r="D208" s="12" t="s">
        <v>628</v>
      </c>
      <c r="E208" s="8" t="s">
        <v>861</v>
      </c>
      <c r="F208" s="8" t="s">
        <v>864</v>
      </c>
      <c r="G208" s="8" t="s">
        <v>617</v>
      </c>
      <c r="H208" s="7" t="s">
        <v>592</v>
      </c>
      <c r="I208" s="16">
        <v>43809</v>
      </c>
      <c r="J208" s="16"/>
      <c r="K208" s="17"/>
      <c r="L208" s="3"/>
      <c r="M208" s="8" t="s">
        <v>4325</v>
      </c>
      <c r="N208" s="11">
        <v>43951.651689814818</v>
      </c>
      <c r="O208" s="8" t="s">
        <v>4326</v>
      </c>
      <c r="P208" s="11">
        <v>43745.466770833336</v>
      </c>
      <c r="Q208" s="13">
        <v>35566</v>
      </c>
      <c r="R208" s="19" t="s">
        <v>594</v>
      </c>
      <c r="S208" s="14" t="s">
        <v>1196</v>
      </c>
      <c r="T208" s="163">
        <v>390</v>
      </c>
      <c r="U208" s="164" t="str">
        <f>CONCATENATE(LEFT(SP_ACQ_Lib[[#This Row],[Tax Parcel ID]],7),"_",SP_ACQ_Lib[[#This Row],[ACQ Document Type]])</f>
        <v>R019378_TITLE Curative Plan</v>
      </c>
      <c r="V208" s="65" t="str">
        <f>INDEX(SP_AcqTract_DB[WCAD Tax Parcel ID],MATCH(SP_ACQ_Lib[[#This Row],[Acquisition Tract No.]],SP_AcqTract_DB[Acquisition Tract No.],0))</f>
        <v>R019378;#23;#R050285;#24</v>
      </c>
      <c r="W208" s="48" t="str">
        <f>INDEX(SP_TaxPar_DB[Acquisition Tract No.],MATCH(LEFT(SP_ACQ_Lib[[#This Row],[Tax Parcel ID]],7),SP_TaxPar_DB[Tax Parcel ID],0))</f>
        <v>213</v>
      </c>
      <c r="X208" s="238" t="str">
        <f>IF(OR(SP_ACQ_Lib[[#This Row],[Acquisition Tract No.]]="",SP_ACQ_Lib[[#This Row],[ACQ Document Type]]=""),0,CONCATENATE("COW-FRMP_TR-",SP_ACQ_Lib[[#This Row],[Acquisition Tract No.]]," ",SP_ACQ_Lib[[#This Row],[ACQ Document Type]]))</f>
        <v>COW-FRMP_TR-213 TITLE Curative Plan</v>
      </c>
      <c r="Y208" s="239">
        <f>IF(OR(SP_ACQ_Lib[[#This Row],[File Name Convention]]=0,LEFT(SP_ACQ_Lib[[#This Row],[Name]],LEN(SP_ACQ_Lib[[#This Row],[File Name Convention]]))&lt;&gt;SP_ACQ_Lib[[#This Row],[File Name Convention]],ISERROR(SEARCH(SP_ACQ_Lib[[#This Row],[ACQ Document Type]],SP_ACQ_Lib[[#This Row],[Name]]))),1,0)</f>
        <v>0</v>
      </c>
    </row>
    <row r="209" spans="1:25" ht="15" x14ac:dyDescent="0.2">
      <c r="A209" s="157" t="str">
        <f>CONCATENATE(SP_ACQ_Lib[[#This Row],[Acquisition Tract No.]],"_",SP_ACQ_Lib[[#This Row],[ACQ Document Type]])</f>
        <v>213_TITLE Tax Card</v>
      </c>
      <c r="B209" s="14" t="s">
        <v>3864</v>
      </c>
      <c r="C209" s="15" t="s">
        <v>40</v>
      </c>
      <c r="D209" s="12" t="s">
        <v>628</v>
      </c>
      <c r="E209" s="8" t="s">
        <v>861</v>
      </c>
      <c r="F209" s="8" t="s">
        <v>1150</v>
      </c>
      <c r="G209" s="8" t="s">
        <v>1149</v>
      </c>
      <c r="H209" s="7" t="s">
        <v>592</v>
      </c>
      <c r="I209" s="16"/>
      <c r="J209" s="16"/>
      <c r="K209" s="17"/>
      <c r="L209" s="3" t="s">
        <v>4444</v>
      </c>
      <c r="M209" s="8" t="s">
        <v>4206</v>
      </c>
      <c r="N209" s="11">
        <v>43893.578784722224</v>
      </c>
      <c r="O209" s="8" t="s">
        <v>4206</v>
      </c>
      <c r="P209" s="11">
        <v>43893.57534722222</v>
      </c>
      <c r="Q209" s="13">
        <v>893929</v>
      </c>
      <c r="R209" s="19" t="s">
        <v>594</v>
      </c>
      <c r="S209" s="14" t="s">
        <v>4490</v>
      </c>
      <c r="T209" s="163">
        <v>758</v>
      </c>
      <c r="U209" s="164" t="str">
        <f>CONCATENATE(LEFT(SP_ACQ_Lib[[#This Row],[Tax Parcel ID]],7),"_",SP_ACQ_Lib[[#This Row],[ACQ Document Type]])</f>
        <v>R019378_TITLE Tax Card</v>
      </c>
      <c r="V209" s="65" t="str">
        <f>INDEX(SP_AcqTract_DB[WCAD Tax Parcel ID],MATCH(SP_ACQ_Lib[[#This Row],[Acquisition Tract No.]],SP_AcqTract_DB[Acquisition Tract No.],0))</f>
        <v>R019378;#23;#R050285;#24</v>
      </c>
      <c r="W209" s="48" t="str">
        <f>INDEX(SP_TaxPar_DB[Acquisition Tract No.],MATCH(LEFT(SP_ACQ_Lib[[#This Row],[Tax Parcel ID]],7),SP_TaxPar_DB[Tax Parcel ID],0))</f>
        <v>213</v>
      </c>
      <c r="X209" s="238" t="str">
        <f>IF(OR(SP_ACQ_Lib[[#This Row],[Acquisition Tract No.]]="",SP_ACQ_Lib[[#This Row],[ACQ Document Type]]=""),0,CONCATENATE("COW-FRMP_TR-",SP_ACQ_Lib[[#This Row],[Acquisition Tract No.]]," ",SP_ACQ_Lib[[#This Row],[ACQ Document Type]]))</f>
        <v>COW-FRMP_TR-213 TITLE Tax Card</v>
      </c>
      <c r="Y209" s="239">
        <f>IF(OR(SP_ACQ_Lib[[#This Row],[File Name Convention]]=0,LEFT(SP_ACQ_Lib[[#This Row],[Name]],LEN(SP_ACQ_Lib[[#This Row],[File Name Convention]]))&lt;&gt;SP_ACQ_Lib[[#This Row],[File Name Convention]],ISERROR(SEARCH(SP_ACQ_Lib[[#This Row],[ACQ Document Type]],SP_ACQ_Lib[[#This Row],[Name]]))),1,0)</f>
        <v>0</v>
      </c>
    </row>
    <row r="210" spans="1:25" ht="15" x14ac:dyDescent="0.2">
      <c r="A210" s="157" t="str">
        <f>CONCATENATE(SP_ACQ_Lib[[#This Row],[Acquisition Tract No.]],"_",SP_ACQ_Lib[[#This Row],[ACQ Document Type]])</f>
        <v>214_APPRAISAL Appraisal Review</v>
      </c>
      <c r="B210" s="14" t="s">
        <v>5850</v>
      </c>
      <c r="C210" s="15" t="s">
        <v>41</v>
      </c>
      <c r="D210" s="12" t="s">
        <v>629</v>
      </c>
      <c r="E210" s="8" t="s">
        <v>1131</v>
      </c>
      <c r="F210" s="8" t="s">
        <v>4753</v>
      </c>
      <c r="G210" s="8" t="s">
        <v>4751</v>
      </c>
      <c r="H210" s="7" t="s">
        <v>592</v>
      </c>
      <c r="I210" s="16">
        <v>43986</v>
      </c>
      <c r="J210" s="16"/>
      <c r="K210" s="17">
        <v>97950</v>
      </c>
      <c r="L210" s="3"/>
      <c r="M210" s="8" t="s">
        <v>4206</v>
      </c>
      <c r="N210" s="11">
        <v>43990.485289351855</v>
      </c>
      <c r="O210" s="8" t="s">
        <v>4206</v>
      </c>
      <c r="P210" s="11">
        <v>43990.484236111108</v>
      </c>
      <c r="Q210" s="13">
        <v>506440</v>
      </c>
      <c r="R210" s="19" t="s">
        <v>594</v>
      </c>
      <c r="S210" s="14" t="s">
        <v>5864</v>
      </c>
      <c r="T210" s="163">
        <v>1162</v>
      </c>
      <c r="U210" s="164" t="str">
        <f>CONCATENATE(LEFT(SP_ACQ_Lib[[#This Row],[Tax Parcel ID]],7),"_",SP_ACQ_Lib[[#This Row],[ACQ Document Type]])</f>
        <v>R019377_APPRAISAL Appraisal Review</v>
      </c>
      <c r="V210" s="65" t="str">
        <f>INDEX(SP_AcqTract_DB[WCAD Tax Parcel ID],MATCH(SP_ACQ_Lib[[#This Row],[Acquisition Tract No.]],SP_AcqTract_DB[Acquisition Tract No.],0))</f>
        <v>R019377;#25</v>
      </c>
      <c r="W210" s="48" t="str">
        <f>INDEX(SP_TaxPar_DB[Acquisition Tract No.],MATCH(LEFT(SP_ACQ_Lib[[#This Row],[Tax Parcel ID]],7),SP_TaxPar_DB[Tax Parcel ID],0))</f>
        <v>214</v>
      </c>
      <c r="X210" s="238" t="str">
        <f>IF(OR(SP_ACQ_Lib[[#This Row],[Acquisition Tract No.]]="",SP_ACQ_Lib[[#This Row],[ACQ Document Type]]=""),0,CONCATENATE("COW-FRMP_TR-",SP_ACQ_Lib[[#This Row],[Acquisition Tract No.]]," ",SP_ACQ_Lib[[#This Row],[ACQ Document Type]]))</f>
        <v>COW-FRMP_TR-214 APPRAISAL Appraisal Review</v>
      </c>
      <c r="Y210" s="239">
        <f>IF(OR(SP_ACQ_Lib[[#This Row],[File Name Convention]]=0,LEFT(SP_ACQ_Lib[[#This Row],[Name]],LEN(SP_ACQ_Lib[[#This Row],[File Name Convention]]))&lt;&gt;SP_ACQ_Lib[[#This Row],[File Name Convention]],ISERROR(SEARCH(SP_ACQ_Lib[[#This Row],[ACQ Document Type]],SP_ACQ_Lib[[#This Row],[Name]]))),1,0)</f>
        <v>0</v>
      </c>
    </row>
    <row r="211" spans="1:25" ht="15" x14ac:dyDescent="0.2">
      <c r="A211" s="157" t="str">
        <f>CONCATENATE(SP_ACQ_Lib[[#This Row],[Acquisition Tract No.]],"_",SP_ACQ_Lib[[#This Row],[ACQ Document Type]])</f>
        <v>214_APPRAISAL Final Appraisal</v>
      </c>
      <c r="B211" s="14" t="s">
        <v>5851</v>
      </c>
      <c r="C211" s="15" t="s">
        <v>41</v>
      </c>
      <c r="D211" s="12" t="s">
        <v>629</v>
      </c>
      <c r="E211" s="8" t="s">
        <v>1131</v>
      </c>
      <c r="F211" s="8" t="s">
        <v>4755</v>
      </c>
      <c r="G211" s="8" t="s">
        <v>4754</v>
      </c>
      <c r="H211" s="7" t="s">
        <v>592</v>
      </c>
      <c r="I211" s="16">
        <v>43912</v>
      </c>
      <c r="J211" s="16">
        <v>43986</v>
      </c>
      <c r="K211" s="17">
        <v>97950</v>
      </c>
      <c r="L211" s="3"/>
      <c r="M211" s="8" t="s">
        <v>4206</v>
      </c>
      <c r="N211" s="11">
        <v>43990.486435185187</v>
      </c>
      <c r="O211" s="8" t="s">
        <v>4206</v>
      </c>
      <c r="P211" s="11">
        <v>43990.484351851854</v>
      </c>
      <c r="Q211" s="13">
        <v>6786329</v>
      </c>
      <c r="R211" s="19" t="s">
        <v>594</v>
      </c>
      <c r="S211" s="14" t="s">
        <v>5865</v>
      </c>
      <c r="T211" s="163">
        <v>1163</v>
      </c>
      <c r="U211" s="164" t="str">
        <f>CONCATENATE(LEFT(SP_ACQ_Lib[[#This Row],[Tax Parcel ID]],7),"_",SP_ACQ_Lib[[#This Row],[ACQ Document Type]])</f>
        <v>R019377_APPRAISAL Final Appraisal</v>
      </c>
      <c r="V211" s="65" t="str">
        <f>INDEX(SP_AcqTract_DB[WCAD Tax Parcel ID],MATCH(SP_ACQ_Lib[[#This Row],[Acquisition Tract No.]],SP_AcqTract_DB[Acquisition Tract No.],0))</f>
        <v>R019377;#25</v>
      </c>
      <c r="W211" s="48" t="str">
        <f>INDEX(SP_TaxPar_DB[Acquisition Tract No.],MATCH(LEFT(SP_ACQ_Lib[[#This Row],[Tax Parcel ID]],7),SP_TaxPar_DB[Tax Parcel ID],0))</f>
        <v>214</v>
      </c>
      <c r="X211" s="238" t="str">
        <f>IF(OR(SP_ACQ_Lib[[#This Row],[Acquisition Tract No.]]="",SP_ACQ_Lib[[#This Row],[ACQ Document Type]]=""),0,CONCATENATE("COW-FRMP_TR-",SP_ACQ_Lib[[#This Row],[Acquisition Tract No.]]," ",SP_ACQ_Lib[[#This Row],[ACQ Document Type]]))</f>
        <v>COW-FRMP_TR-214 APPRAISAL Final Appraisal</v>
      </c>
      <c r="Y211" s="239">
        <f>IF(OR(SP_ACQ_Lib[[#This Row],[File Name Convention]]=0,LEFT(SP_ACQ_Lib[[#This Row],[Name]],LEN(SP_ACQ_Lib[[#This Row],[File Name Convention]]))&lt;&gt;SP_ACQ_Lib[[#This Row],[File Name Convention]],ISERROR(SEARCH(SP_ACQ_Lib[[#This Row],[ACQ Document Type]],SP_ACQ_Lib[[#This Row],[Name]]))),1,0)</f>
        <v>0</v>
      </c>
    </row>
    <row r="212" spans="1:25" ht="15" x14ac:dyDescent="0.2">
      <c r="A212" s="157" t="str">
        <f>CONCATENATE(SP_ACQ_Lib[[#This Row],[Acquisition Tract No.]],"_",SP_ACQ_Lib[[#This Row],[ACQ Document Type]])</f>
        <v>214_APPRAISAL Just Compensation Approval</v>
      </c>
      <c r="B212" s="14" t="s">
        <v>6303</v>
      </c>
      <c r="C212" s="15" t="s">
        <v>41</v>
      </c>
      <c r="D212" s="12" t="s">
        <v>629</v>
      </c>
      <c r="E212" s="8" t="s">
        <v>1131</v>
      </c>
      <c r="F212" s="8" t="s">
        <v>4828</v>
      </c>
      <c r="G212" s="8" t="s">
        <v>4827</v>
      </c>
      <c r="H212" s="7" t="s">
        <v>1749</v>
      </c>
      <c r="I212" s="16">
        <v>44004</v>
      </c>
      <c r="J212" s="16"/>
      <c r="K212" s="17">
        <v>97950</v>
      </c>
      <c r="L212" s="3"/>
      <c r="M212" s="8" t="s">
        <v>4206</v>
      </c>
      <c r="N212" s="11">
        <v>44012.533831018518</v>
      </c>
      <c r="O212" s="8" t="s">
        <v>4206</v>
      </c>
      <c r="P212" s="11">
        <v>44005.489039351851</v>
      </c>
      <c r="Q212" s="13">
        <v>252197</v>
      </c>
      <c r="R212" s="19" t="s">
        <v>594</v>
      </c>
      <c r="S212" s="14" t="s">
        <v>6372</v>
      </c>
      <c r="T212" s="163">
        <v>1271</v>
      </c>
      <c r="U212" s="164" t="str">
        <f>CONCATENATE(LEFT(SP_ACQ_Lib[[#This Row],[Tax Parcel ID]],7),"_",SP_ACQ_Lib[[#This Row],[ACQ Document Type]])</f>
        <v>R019377_APPRAISAL Just Compensation Approval</v>
      </c>
      <c r="V212" s="65" t="str">
        <f>INDEX(SP_AcqTract_DB[WCAD Tax Parcel ID],MATCH(SP_ACQ_Lib[[#This Row],[Acquisition Tract No.]],SP_AcqTract_DB[Acquisition Tract No.],0))</f>
        <v>R019377;#25</v>
      </c>
      <c r="W212" s="48" t="str">
        <f>INDEX(SP_TaxPar_DB[Acquisition Tract No.],MATCH(LEFT(SP_ACQ_Lib[[#This Row],[Tax Parcel ID]],7),SP_TaxPar_DB[Tax Parcel ID],0))</f>
        <v>214</v>
      </c>
      <c r="X212" s="238" t="str">
        <f>IF(OR(SP_ACQ_Lib[[#This Row],[Acquisition Tract No.]]="",SP_ACQ_Lib[[#This Row],[ACQ Document Type]]=""),0,CONCATENATE("COW-FRMP_TR-",SP_ACQ_Lib[[#This Row],[Acquisition Tract No.]]," ",SP_ACQ_Lib[[#This Row],[ACQ Document Type]]))</f>
        <v>COW-FRMP_TR-214 APPRAISAL Just Compensation Approval</v>
      </c>
      <c r="Y212" s="239">
        <f>IF(OR(SP_ACQ_Lib[[#This Row],[File Name Convention]]=0,LEFT(SP_ACQ_Lib[[#This Row],[Name]],LEN(SP_ACQ_Lib[[#This Row],[File Name Convention]]))&lt;&gt;SP_ACQ_Lib[[#This Row],[File Name Convention]],ISERROR(SEARCH(SP_ACQ_Lib[[#This Row],[ACQ Document Type]],SP_ACQ_Lib[[#This Row],[Name]]))),1,0)</f>
        <v>0</v>
      </c>
    </row>
    <row r="213" spans="1:25" ht="15" x14ac:dyDescent="0.2">
      <c r="A213" s="157" t="str">
        <f>CONCATENATE(SP_ACQ_Lib[[#This Row],[Acquisition Tract No.]],"_",SP_ACQ_Lib[[#This Row],[ACQ Document Type]])</f>
        <v>214_APPRAISAL Just Compensation Memo</v>
      </c>
      <c r="B213" s="14" t="s">
        <v>5852</v>
      </c>
      <c r="C213" s="15" t="s">
        <v>41</v>
      </c>
      <c r="D213" s="12" t="s">
        <v>629</v>
      </c>
      <c r="E213" s="8" t="s">
        <v>1131</v>
      </c>
      <c r="F213" s="8" t="s">
        <v>4757</v>
      </c>
      <c r="G213" s="8" t="s">
        <v>4756</v>
      </c>
      <c r="H213" s="7" t="s">
        <v>592</v>
      </c>
      <c r="I213" s="16">
        <v>43990</v>
      </c>
      <c r="J213" s="16">
        <v>43990</v>
      </c>
      <c r="K213" s="17">
        <v>97950</v>
      </c>
      <c r="L213" s="3"/>
      <c r="M213" s="8" t="s">
        <v>4206</v>
      </c>
      <c r="N213" s="11">
        <v>43991.580671296295</v>
      </c>
      <c r="O213" s="8" t="s">
        <v>4206</v>
      </c>
      <c r="P213" s="11">
        <v>43990.484363425923</v>
      </c>
      <c r="Q213" s="13">
        <v>43078</v>
      </c>
      <c r="R213" s="19" t="s">
        <v>594</v>
      </c>
      <c r="S213" s="14" t="s">
        <v>5866</v>
      </c>
      <c r="T213" s="163">
        <v>1164</v>
      </c>
      <c r="U213" s="164" t="str">
        <f>CONCATENATE(LEFT(SP_ACQ_Lib[[#This Row],[Tax Parcel ID]],7),"_",SP_ACQ_Lib[[#This Row],[ACQ Document Type]])</f>
        <v>R019377_APPRAISAL Just Compensation Memo</v>
      </c>
      <c r="V213" s="65" t="str">
        <f>INDEX(SP_AcqTract_DB[WCAD Tax Parcel ID],MATCH(SP_ACQ_Lib[[#This Row],[Acquisition Tract No.]],SP_AcqTract_DB[Acquisition Tract No.],0))</f>
        <v>R019377;#25</v>
      </c>
      <c r="W213" s="48" t="str">
        <f>INDEX(SP_TaxPar_DB[Acquisition Tract No.],MATCH(LEFT(SP_ACQ_Lib[[#This Row],[Tax Parcel ID]],7),SP_TaxPar_DB[Tax Parcel ID],0))</f>
        <v>214</v>
      </c>
      <c r="X213" s="238" t="str">
        <f>IF(OR(SP_ACQ_Lib[[#This Row],[Acquisition Tract No.]]="",SP_ACQ_Lib[[#This Row],[ACQ Document Type]]=""),0,CONCATENATE("COW-FRMP_TR-",SP_ACQ_Lib[[#This Row],[Acquisition Tract No.]]," ",SP_ACQ_Lib[[#This Row],[ACQ Document Type]]))</f>
        <v>COW-FRMP_TR-214 APPRAISAL Just Compensation Memo</v>
      </c>
      <c r="Y213" s="239">
        <f>IF(OR(SP_ACQ_Lib[[#This Row],[File Name Convention]]=0,LEFT(SP_ACQ_Lib[[#This Row],[Name]],LEN(SP_ACQ_Lib[[#This Row],[File Name Convention]]))&lt;&gt;SP_ACQ_Lib[[#This Row],[File Name Convention]],ISERROR(SEARCH(SP_ACQ_Lib[[#This Row],[ACQ Document Type]],SP_ACQ_Lib[[#This Row],[Name]]))),1,0)</f>
        <v>0</v>
      </c>
    </row>
    <row r="214" spans="1:25" ht="15" x14ac:dyDescent="0.2">
      <c r="A214" s="157" t="str">
        <f>CONCATENATE(SP_ACQ_Lib[[#This Row],[Acquisition Tract No.]],"_",SP_ACQ_Lib[[#This Row],[ACQ Document Type]])</f>
        <v>214_APPRAISAL USACOE Authorization to Proceed with Offer</v>
      </c>
      <c r="B214" s="14" t="s">
        <v>5853</v>
      </c>
      <c r="C214" s="15" t="s">
        <v>41</v>
      </c>
      <c r="D214" s="12" t="s">
        <v>629</v>
      </c>
      <c r="E214" s="8" t="s">
        <v>1131</v>
      </c>
      <c r="F214" s="8" t="s">
        <v>4959</v>
      </c>
      <c r="G214" s="8" t="s">
        <v>4958</v>
      </c>
      <c r="H214" s="7" t="s">
        <v>592</v>
      </c>
      <c r="I214" s="16">
        <v>43990</v>
      </c>
      <c r="J214" s="16"/>
      <c r="K214" s="17">
        <v>97950</v>
      </c>
      <c r="L214" s="3"/>
      <c r="M214" s="8" t="s">
        <v>4206</v>
      </c>
      <c r="N214" s="11">
        <v>43990.487129629626</v>
      </c>
      <c r="O214" s="8" t="s">
        <v>4206</v>
      </c>
      <c r="P214" s="11">
        <v>43990.484375</v>
      </c>
      <c r="Q214" s="13">
        <v>418427</v>
      </c>
      <c r="R214" s="19" t="s">
        <v>594</v>
      </c>
      <c r="S214" s="14" t="s">
        <v>5867</v>
      </c>
      <c r="T214" s="163">
        <v>1165</v>
      </c>
      <c r="U214" s="164" t="str">
        <f>CONCATENATE(LEFT(SP_ACQ_Lib[[#This Row],[Tax Parcel ID]],7),"_",SP_ACQ_Lib[[#This Row],[ACQ Document Type]])</f>
        <v>R019377_APPRAISAL USACOE Authorization to Proceed with Offer</v>
      </c>
      <c r="V214" s="65" t="str">
        <f>INDEX(SP_AcqTract_DB[WCAD Tax Parcel ID],MATCH(SP_ACQ_Lib[[#This Row],[Acquisition Tract No.]],SP_AcqTract_DB[Acquisition Tract No.],0))</f>
        <v>R019377;#25</v>
      </c>
      <c r="W214" s="48" t="str">
        <f>INDEX(SP_TaxPar_DB[Acquisition Tract No.],MATCH(LEFT(SP_ACQ_Lib[[#This Row],[Tax Parcel ID]],7),SP_TaxPar_DB[Tax Parcel ID],0))</f>
        <v>214</v>
      </c>
      <c r="X214" s="238" t="str">
        <f>IF(OR(SP_ACQ_Lib[[#This Row],[Acquisition Tract No.]]="",SP_ACQ_Lib[[#This Row],[ACQ Document Type]]=""),0,CONCATENATE("COW-FRMP_TR-",SP_ACQ_Lib[[#This Row],[Acquisition Tract No.]]," ",SP_ACQ_Lib[[#This Row],[ACQ Document Type]]))</f>
        <v>COW-FRMP_TR-214 APPRAISAL USACOE Authorization to Proceed with Offer</v>
      </c>
      <c r="Y214" s="239">
        <f>IF(OR(SP_ACQ_Lib[[#This Row],[File Name Convention]]=0,LEFT(SP_ACQ_Lib[[#This Row],[Name]],LEN(SP_ACQ_Lib[[#This Row],[File Name Convention]]))&lt;&gt;SP_ACQ_Lib[[#This Row],[File Name Convention]],ISERROR(SEARCH(SP_ACQ_Lib[[#This Row],[ACQ Document Type]],SP_ACQ_Lib[[#This Row],[Name]]))),1,0)</f>
        <v>0</v>
      </c>
    </row>
    <row r="215" spans="1:25" ht="15" x14ac:dyDescent="0.2">
      <c r="A215" s="157" t="str">
        <f>CONCATENATE(SP_ACQ_Lib[[#This Row],[Acquisition Tract No.]],"_",SP_ACQ_Lib[[#This Row],[ACQ Document Type]])</f>
        <v>214_APPRAISAL USACOE Authorization to Proceed with Offer Approval</v>
      </c>
      <c r="B215" s="14" t="s">
        <v>6304</v>
      </c>
      <c r="C215" s="15" t="s">
        <v>41</v>
      </c>
      <c r="D215" s="12" t="s">
        <v>629</v>
      </c>
      <c r="E215" s="8" t="s">
        <v>1131</v>
      </c>
      <c r="F215" s="8" t="s">
        <v>4973</v>
      </c>
      <c r="G215" s="8" t="s">
        <v>4972</v>
      </c>
      <c r="H215" s="7" t="s">
        <v>1749</v>
      </c>
      <c r="I215" s="16">
        <v>44000</v>
      </c>
      <c r="J215" s="16"/>
      <c r="K215" s="17">
        <v>97950</v>
      </c>
      <c r="L215" s="3"/>
      <c r="M215" s="8" t="s">
        <v>4206</v>
      </c>
      <c r="N215" s="11">
        <v>44012.534270833334</v>
      </c>
      <c r="O215" s="8" t="s">
        <v>4206</v>
      </c>
      <c r="P215" s="11">
        <v>44005.489039351851</v>
      </c>
      <c r="Q215" s="13">
        <v>354819</v>
      </c>
      <c r="R215" s="19" t="s">
        <v>594</v>
      </c>
      <c r="S215" s="14" t="s">
        <v>6373</v>
      </c>
      <c r="T215" s="163">
        <v>1272</v>
      </c>
      <c r="U215" s="164" t="str">
        <f>CONCATENATE(LEFT(SP_ACQ_Lib[[#This Row],[Tax Parcel ID]],7),"_",SP_ACQ_Lib[[#This Row],[ACQ Document Type]])</f>
        <v>R019377_APPRAISAL USACOE Authorization to Proceed with Offer Approval</v>
      </c>
      <c r="V215" s="65" t="str">
        <f>INDEX(SP_AcqTract_DB[WCAD Tax Parcel ID],MATCH(SP_ACQ_Lib[[#This Row],[Acquisition Tract No.]],SP_AcqTract_DB[Acquisition Tract No.],0))</f>
        <v>R019377;#25</v>
      </c>
      <c r="W215" s="48" t="str">
        <f>INDEX(SP_TaxPar_DB[Acquisition Tract No.],MATCH(LEFT(SP_ACQ_Lib[[#This Row],[Tax Parcel ID]],7),SP_TaxPar_DB[Tax Parcel ID],0))</f>
        <v>214</v>
      </c>
      <c r="X215" s="238" t="str">
        <f>IF(OR(SP_ACQ_Lib[[#This Row],[Acquisition Tract No.]]="",SP_ACQ_Lib[[#This Row],[ACQ Document Type]]=""),0,CONCATENATE("COW-FRMP_TR-",SP_ACQ_Lib[[#This Row],[Acquisition Tract No.]]," ",SP_ACQ_Lib[[#This Row],[ACQ Document Type]]))</f>
        <v>COW-FRMP_TR-214 APPRAISAL USACOE Authorization to Proceed with Offer Approval</v>
      </c>
      <c r="Y215" s="239">
        <f>IF(OR(SP_ACQ_Lib[[#This Row],[File Name Convention]]=0,LEFT(SP_ACQ_Lib[[#This Row],[Name]],LEN(SP_ACQ_Lib[[#This Row],[File Name Convention]]))&lt;&gt;SP_ACQ_Lib[[#This Row],[File Name Convention]],ISERROR(SEARCH(SP_ACQ_Lib[[#This Row],[ACQ Document Type]],SP_ACQ_Lib[[#This Row],[Name]]))),1,0)</f>
        <v>0</v>
      </c>
    </row>
    <row r="216" spans="1:25" ht="15" x14ac:dyDescent="0.2">
      <c r="A216" s="157" t="str">
        <f>CONCATENATE(SP_ACQ_Lib[[#This Row],[Acquisition Tract No.]],"_",SP_ACQ_Lib[[#This Row],[ACQ Document Type]])</f>
        <v>214_CONTACT Initial Interview - Residential</v>
      </c>
      <c r="B216" s="14" t="s">
        <v>1462</v>
      </c>
      <c r="C216" s="15" t="s">
        <v>41</v>
      </c>
      <c r="D216" s="12" t="s">
        <v>629</v>
      </c>
      <c r="E216" s="8" t="s">
        <v>865</v>
      </c>
      <c r="F216" s="8" t="s">
        <v>866</v>
      </c>
      <c r="G216" s="8" t="s">
        <v>618</v>
      </c>
      <c r="H216" s="7" t="s">
        <v>592</v>
      </c>
      <c r="I216" s="16">
        <v>43685</v>
      </c>
      <c r="J216" s="16"/>
      <c r="K216" s="17"/>
      <c r="L216" s="3"/>
      <c r="M216" s="8" t="s">
        <v>23</v>
      </c>
      <c r="N216" s="11">
        <v>43770.449108796296</v>
      </c>
      <c r="O216" s="8" t="s">
        <v>4325</v>
      </c>
      <c r="P216" s="11">
        <v>43696.401886574073</v>
      </c>
      <c r="Q216" s="13">
        <v>250421</v>
      </c>
      <c r="R216" s="19" t="s">
        <v>594</v>
      </c>
      <c r="S216" s="14" t="s">
        <v>746</v>
      </c>
      <c r="T216" s="163">
        <v>104</v>
      </c>
      <c r="U216" s="164" t="str">
        <f>CONCATENATE(LEFT(SP_ACQ_Lib[[#This Row],[Tax Parcel ID]],7),"_",SP_ACQ_Lib[[#This Row],[ACQ Document Type]])</f>
        <v>R019377_CONTACT Initial Interview - Residential</v>
      </c>
      <c r="V216" s="65" t="str">
        <f>INDEX(SP_AcqTract_DB[WCAD Tax Parcel ID],MATCH(SP_ACQ_Lib[[#This Row],[Acquisition Tract No.]],SP_AcqTract_DB[Acquisition Tract No.],0))</f>
        <v>R019377;#25</v>
      </c>
      <c r="W216" s="48" t="str">
        <f>INDEX(SP_TaxPar_DB[Acquisition Tract No.],MATCH(LEFT(SP_ACQ_Lib[[#This Row],[Tax Parcel ID]],7),SP_TaxPar_DB[Tax Parcel ID],0))</f>
        <v>214</v>
      </c>
      <c r="X216" s="238" t="str">
        <f>IF(OR(SP_ACQ_Lib[[#This Row],[Acquisition Tract No.]]="",SP_ACQ_Lib[[#This Row],[ACQ Document Type]]=""),0,CONCATENATE("COW-FRMP_TR-",SP_ACQ_Lib[[#This Row],[Acquisition Tract No.]]," ",SP_ACQ_Lib[[#This Row],[ACQ Document Type]]))</f>
        <v>COW-FRMP_TR-214 CONTACT Initial Interview - Residential</v>
      </c>
      <c r="Y216" s="239">
        <f>IF(OR(SP_ACQ_Lib[[#This Row],[File Name Convention]]=0,LEFT(SP_ACQ_Lib[[#This Row],[Name]],LEN(SP_ACQ_Lib[[#This Row],[File Name Convention]]))&lt;&gt;SP_ACQ_Lib[[#This Row],[File Name Convention]],ISERROR(SEARCH(SP_ACQ_Lib[[#This Row],[ACQ Document Type]],SP_ACQ_Lib[[#This Row],[Name]]))),1,0)</f>
        <v>0</v>
      </c>
    </row>
    <row r="217" spans="1:25" ht="15" x14ac:dyDescent="0.2">
      <c r="A217" s="157" t="str">
        <f>CONCATENATE(SP_ACQ_Lib[[#This Row],[Acquisition Tract No.]],"_",SP_ACQ_Lib[[#This Row],[ACQ Document Type]])</f>
        <v>214_CONTACT Letter of Intent-HDR</v>
      </c>
      <c r="B217" s="14" t="s">
        <v>1463</v>
      </c>
      <c r="C217" s="15" t="s">
        <v>41</v>
      </c>
      <c r="D217" s="12" t="s">
        <v>629</v>
      </c>
      <c r="E217" s="8" t="s">
        <v>865</v>
      </c>
      <c r="F217" s="8" t="s">
        <v>1401</v>
      </c>
      <c r="G217" s="8" t="s">
        <v>1400</v>
      </c>
      <c r="H217" s="7" t="s">
        <v>592</v>
      </c>
      <c r="I217" s="16">
        <v>43765</v>
      </c>
      <c r="J217" s="16"/>
      <c r="K217" s="17"/>
      <c r="L217" s="3"/>
      <c r="M217" s="8" t="s">
        <v>23</v>
      </c>
      <c r="N217" s="11">
        <v>43770.449108796296</v>
      </c>
      <c r="O217" s="8" t="s">
        <v>1377</v>
      </c>
      <c r="P217" s="11">
        <v>43768.732939814814</v>
      </c>
      <c r="Q217" s="13">
        <v>324490</v>
      </c>
      <c r="R217" s="19" t="s">
        <v>594</v>
      </c>
      <c r="S217" s="14" t="s">
        <v>1623</v>
      </c>
      <c r="T217" s="163">
        <v>501</v>
      </c>
      <c r="U217" s="164" t="str">
        <f>CONCATENATE(LEFT(SP_ACQ_Lib[[#This Row],[Tax Parcel ID]],7),"_",SP_ACQ_Lib[[#This Row],[ACQ Document Type]])</f>
        <v>R019377_CONTACT Letter of Intent-HDR</v>
      </c>
      <c r="V217" s="65" t="str">
        <f>INDEX(SP_AcqTract_DB[WCAD Tax Parcel ID],MATCH(SP_ACQ_Lib[[#This Row],[Acquisition Tract No.]],SP_AcqTract_DB[Acquisition Tract No.],0))</f>
        <v>R019377;#25</v>
      </c>
      <c r="W217" s="48" t="str">
        <f>INDEX(SP_TaxPar_DB[Acquisition Tract No.],MATCH(LEFT(SP_ACQ_Lib[[#This Row],[Tax Parcel ID]],7),SP_TaxPar_DB[Tax Parcel ID],0))</f>
        <v>214</v>
      </c>
      <c r="X217" s="238" t="str">
        <f>IF(OR(SP_ACQ_Lib[[#This Row],[Acquisition Tract No.]]="",SP_ACQ_Lib[[#This Row],[ACQ Document Type]]=""),0,CONCATENATE("COW-FRMP_TR-",SP_ACQ_Lib[[#This Row],[Acquisition Tract No.]]," ",SP_ACQ_Lib[[#This Row],[ACQ Document Type]]))</f>
        <v>COW-FRMP_TR-214 CONTACT Letter of Intent-HDR</v>
      </c>
      <c r="Y217" s="239">
        <f>IF(OR(SP_ACQ_Lib[[#This Row],[File Name Convention]]=0,LEFT(SP_ACQ_Lib[[#This Row],[Name]],LEN(SP_ACQ_Lib[[#This Row],[File Name Convention]]))&lt;&gt;SP_ACQ_Lib[[#This Row],[File Name Convention]],ISERROR(SEARCH(SP_ACQ_Lib[[#This Row],[ACQ Document Type]],SP_ACQ_Lib[[#This Row],[Name]]))),1,0)</f>
        <v>0</v>
      </c>
    </row>
    <row r="218" spans="1:25" ht="15" x14ac:dyDescent="0.2">
      <c r="A218" s="157" t="str">
        <f>CONCATENATE(SP_ACQ_Lib[[#This Row],[Acquisition Tract No.]],"_",SP_ACQ_Lib[[#This Row],[ACQ Document Type]])</f>
        <v>214_CONTACT Negotiator Report</v>
      </c>
      <c r="B218" s="14" t="s">
        <v>3381</v>
      </c>
      <c r="C218" s="15" t="s">
        <v>41</v>
      </c>
      <c r="D218" s="12" t="s">
        <v>629</v>
      </c>
      <c r="E218" s="8" t="s">
        <v>865</v>
      </c>
      <c r="F218" s="8" t="s">
        <v>1068</v>
      </c>
      <c r="G218" s="8" t="s">
        <v>1067</v>
      </c>
      <c r="H218" s="7" t="s">
        <v>592</v>
      </c>
      <c r="I218" s="16"/>
      <c r="J218" s="16"/>
      <c r="K218" s="17"/>
      <c r="L218" s="3" t="s">
        <v>3358</v>
      </c>
      <c r="M218" s="8" t="s">
        <v>1743</v>
      </c>
      <c r="N218" s="11">
        <v>44007.662615740737</v>
      </c>
      <c r="O218" s="8" t="s">
        <v>4325</v>
      </c>
      <c r="P218" s="11">
        <v>43732.568923611114</v>
      </c>
      <c r="Q218" s="13">
        <v>57045</v>
      </c>
      <c r="R218" s="19" t="s">
        <v>1069</v>
      </c>
      <c r="S218" s="14" t="s">
        <v>1085</v>
      </c>
      <c r="T218" s="163">
        <v>297</v>
      </c>
      <c r="U218" s="164" t="str">
        <f>CONCATENATE(LEFT(SP_ACQ_Lib[[#This Row],[Tax Parcel ID]],7),"_",SP_ACQ_Lib[[#This Row],[ACQ Document Type]])</f>
        <v>R019377_CONTACT Negotiator Report</v>
      </c>
      <c r="V218" s="65" t="str">
        <f>INDEX(SP_AcqTract_DB[WCAD Tax Parcel ID],MATCH(SP_ACQ_Lib[[#This Row],[Acquisition Tract No.]],SP_AcqTract_DB[Acquisition Tract No.],0))</f>
        <v>R019377;#25</v>
      </c>
      <c r="W218" s="48" t="str">
        <f>INDEX(SP_TaxPar_DB[Acquisition Tract No.],MATCH(LEFT(SP_ACQ_Lib[[#This Row],[Tax Parcel ID]],7),SP_TaxPar_DB[Tax Parcel ID],0))</f>
        <v>214</v>
      </c>
      <c r="X218" s="238" t="str">
        <f>IF(OR(SP_ACQ_Lib[[#This Row],[Acquisition Tract No.]]="",SP_ACQ_Lib[[#This Row],[ACQ Document Type]]=""),0,CONCATENATE("COW-FRMP_TR-",SP_ACQ_Lib[[#This Row],[Acquisition Tract No.]]," ",SP_ACQ_Lib[[#This Row],[ACQ Document Type]]))</f>
        <v>COW-FRMP_TR-214 CONTACT Negotiator Report</v>
      </c>
      <c r="Y218" s="239">
        <f>IF(OR(SP_ACQ_Lib[[#This Row],[File Name Convention]]=0,LEFT(SP_ACQ_Lib[[#This Row],[Name]],LEN(SP_ACQ_Lib[[#This Row],[File Name Convention]]))&lt;&gt;SP_ACQ_Lib[[#This Row],[File Name Convention]],ISERROR(SEARCH(SP_ACQ_Lib[[#This Row],[ACQ Document Type]],SP_ACQ_Lib[[#This Row],[Name]]))),1,0)</f>
        <v>0</v>
      </c>
    </row>
    <row r="219" spans="1:25" ht="15" x14ac:dyDescent="0.2">
      <c r="A219" s="157" t="str">
        <f>CONCATENATE(SP_ACQ_Lib[[#This Row],[Acquisition Tract No.]],"_",SP_ACQ_Lib[[#This Row],[ACQ Document Type]])</f>
        <v>214_NEGOTIATION Landowner Bill of Rights Letter</v>
      </c>
      <c r="B219" s="14" t="s">
        <v>3441</v>
      </c>
      <c r="C219" s="15" t="s">
        <v>41</v>
      </c>
      <c r="D219" s="12" t="s">
        <v>629</v>
      </c>
      <c r="E219" s="8" t="s">
        <v>1142</v>
      </c>
      <c r="F219" s="8" t="s">
        <v>1746</v>
      </c>
      <c r="G219" s="8" t="s">
        <v>1745</v>
      </c>
      <c r="H219" s="7" t="s">
        <v>592</v>
      </c>
      <c r="I219" s="16">
        <v>43748</v>
      </c>
      <c r="J219" s="16"/>
      <c r="K219" s="17"/>
      <c r="L219" s="3"/>
      <c r="M219" s="8" t="s">
        <v>4206</v>
      </c>
      <c r="N219" s="11">
        <v>43872.559976851851</v>
      </c>
      <c r="O219" s="8" t="s">
        <v>4325</v>
      </c>
      <c r="P219" s="11">
        <v>43752.48064814815</v>
      </c>
      <c r="Q219" s="13">
        <v>354864</v>
      </c>
      <c r="R219" s="19" t="s">
        <v>594</v>
      </c>
      <c r="S219" s="14" t="s">
        <v>1197</v>
      </c>
      <c r="T219" s="163">
        <v>429</v>
      </c>
      <c r="U219" s="164" t="str">
        <f>CONCATENATE(LEFT(SP_ACQ_Lib[[#This Row],[Tax Parcel ID]],7),"_",SP_ACQ_Lib[[#This Row],[ACQ Document Type]])</f>
        <v>R019377_NEGOTIATION Landowner Bill of Rights Letter</v>
      </c>
      <c r="V219" s="65" t="str">
        <f>INDEX(SP_AcqTract_DB[WCAD Tax Parcel ID],MATCH(SP_ACQ_Lib[[#This Row],[Acquisition Tract No.]],SP_AcqTract_DB[Acquisition Tract No.],0))</f>
        <v>R019377;#25</v>
      </c>
      <c r="W219" s="48" t="str">
        <f>INDEX(SP_TaxPar_DB[Acquisition Tract No.],MATCH(LEFT(SP_ACQ_Lib[[#This Row],[Tax Parcel ID]],7),SP_TaxPar_DB[Tax Parcel ID],0))</f>
        <v>214</v>
      </c>
      <c r="X219" s="238" t="str">
        <f>IF(OR(SP_ACQ_Lib[[#This Row],[Acquisition Tract No.]]="",SP_ACQ_Lib[[#This Row],[ACQ Document Type]]=""),0,CONCATENATE("COW-FRMP_TR-",SP_ACQ_Lib[[#This Row],[Acquisition Tract No.]]," ",SP_ACQ_Lib[[#This Row],[ACQ Document Type]]))</f>
        <v>COW-FRMP_TR-214 NEGOTIATION Landowner Bill of Rights Letter</v>
      </c>
      <c r="Y219" s="239">
        <f>IF(OR(SP_ACQ_Lib[[#This Row],[File Name Convention]]=0,LEFT(SP_ACQ_Lib[[#This Row],[Name]],LEN(SP_ACQ_Lib[[#This Row],[File Name Convention]]))&lt;&gt;SP_ACQ_Lib[[#This Row],[File Name Convention]],ISERROR(SEARCH(SP_ACQ_Lib[[#This Row],[ACQ Document Type]],SP_ACQ_Lib[[#This Row],[Name]]))),1,0)</f>
        <v>0</v>
      </c>
    </row>
    <row r="220" spans="1:25" ht="15" x14ac:dyDescent="0.2">
      <c r="A220" s="157" t="str">
        <f>CONCATENATE(SP_ACQ_Lib[[#This Row],[Acquisition Tract No.]],"_",SP_ACQ_Lib[[#This Row],[ACQ Document Type]])</f>
        <v>214_SURVEY Description-Plat_CITY</v>
      </c>
      <c r="B220" s="14" t="s">
        <v>3523</v>
      </c>
      <c r="C220" s="15" t="s">
        <v>41</v>
      </c>
      <c r="D220" s="12" t="s">
        <v>629</v>
      </c>
      <c r="E220" s="8" t="s">
        <v>858</v>
      </c>
      <c r="F220" s="8" t="s">
        <v>3503</v>
      </c>
      <c r="G220" s="8" t="s">
        <v>3502</v>
      </c>
      <c r="H220" s="7" t="s">
        <v>1749</v>
      </c>
      <c r="I220" s="16">
        <v>43899</v>
      </c>
      <c r="J220" s="16">
        <v>43900</v>
      </c>
      <c r="K220" s="17"/>
      <c r="L220" s="3" t="s">
        <v>4443</v>
      </c>
      <c r="M220" s="8" t="s">
        <v>4207</v>
      </c>
      <c r="N220" s="11">
        <v>43979.306087962963</v>
      </c>
      <c r="O220" s="8" t="s">
        <v>4206</v>
      </c>
      <c r="P220" s="11">
        <v>43886.642060185186</v>
      </c>
      <c r="Q220" s="13">
        <v>242485</v>
      </c>
      <c r="R220" s="19" t="s">
        <v>594</v>
      </c>
      <c r="S220" s="14" t="s">
        <v>3546</v>
      </c>
      <c r="T220" s="163">
        <v>1017</v>
      </c>
      <c r="U220" s="164" t="str">
        <f>CONCATENATE(LEFT(SP_ACQ_Lib[[#This Row],[Tax Parcel ID]],7),"_",SP_ACQ_Lib[[#This Row],[ACQ Document Type]])</f>
        <v>R019377_SURVEY Description-Plat_CITY</v>
      </c>
      <c r="V220" s="65" t="str">
        <f>INDEX(SP_AcqTract_DB[WCAD Tax Parcel ID],MATCH(SP_ACQ_Lib[[#This Row],[Acquisition Tract No.]],SP_AcqTract_DB[Acquisition Tract No.],0))</f>
        <v>R019377;#25</v>
      </c>
      <c r="W220" s="48" t="str">
        <f>INDEX(SP_TaxPar_DB[Acquisition Tract No.],MATCH(LEFT(SP_ACQ_Lib[[#This Row],[Tax Parcel ID]],7),SP_TaxPar_DB[Tax Parcel ID],0))</f>
        <v>214</v>
      </c>
      <c r="X220" s="238" t="str">
        <f>IF(OR(SP_ACQ_Lib[[#This Row],[Acquisition Tract No.]]="",SP_ACQ_Lib[[#This Row],[ACQ Document Type]]=""),0,CONCATENATE("COW-FRMP_TR-",SP_ACQ_Lib[[#This Row],[Acquisition Tract No.]]," ",SP_ACQ_Lib[[#This Row],[ACQ Document Type]]))</f>
        <v>COW-FRMP_TR-214 SURVEY Description-Plat_CITY</v>
      </c>
      <c r="Y220" s="239">
        <f>IF(OR(SP_ACQ_Lib[[#This Row],[File Name Convention]]=0,LEFT(SP_ACQ_Lib[[#This Row],[Name]],LEN(SP_ACQ_Lib[[#This Row],[File Name Convention]]))&lt;&gt;SP_ACQ_Lib[[#This Row],[File Name Convention]],ISERROR(SEARCH(SP_ACQ_Lib[[#This Row],[ACQ Document Type]],SP_ACQ_Lib[[#This Row],[Name]]))),1,0)</f>
        <v>0</v>
      </c>
    </row>
    <row r="221" spans="1:25" ht="15" x14ac:dyDescent="0.2">
      <c r="A221" s="157" t="str">
        <f>CONCATENATE(SP_ACQ_Lib[[#This Row],[Acquisition Tract No.]],"_",SP_ACQ_Lib[[#This Row],[ACQ Document Type]])</f>
        <v>214_SURVEY Description-Plat_USACOE</v>
      </c>
      <c r="B221" s="14" t="s">
        <v>4899</v>
      </c>
      <c r="C221" s="15" t="s">
        <v>41</v>
      </c>
      <c r="D221" s="12" t="s">
        <v>629</v>
      </c>
      <c r="E221" s="8" t="s">
        <v>858</v>
      </c>
      <c r="F221" s="8" t="s">
        <v>3510</v>
      </c>
      <c r="G221" s="8" t="s">
        <v>3509</v>
      </c>
      <c r="H221" s="7" t="s">
        <v>1749</v>
      </c>
      <c r="I221" s="16">
        <v>43767</v>
      </c>
      <c r="J221" s="16">
        <v>43937</v>
      </c>
      <c r="K221" s="17"/>
      <c r="L221" s="3"/>
      <c r="M221" s="8" t="s">
        <v>4207</v>
      </c>
      <c r="N221" s="11">
        <v>43979.30609953704</v>
      </c>
      <c r="O221" s="8" t="s">
        <v>4206</v>
      </c>
      <c r="P221" s="11">
        <v>43937.578564814816</v>
      </c>
      <c r="Q221" s="13">
        <v>492187</v>
      </c>
      <c r="R221" s="19" t="s">
        <v>594</v>
      </c>
      <c r="S221" s="14" t="s">
        <v>4903</v>
      </c>
      <c r="T221" s="163">
        <v>1018</v>
      </c>
      <c r="U221" s="164" t="str">
        <f>CONCATENATE(LEFT(SP_ACQ_Lib[[#This Row],[Tax Parcel ID]],7),"_",SP_ACQ_Lib[[#This Row],[ACQ Document Type]])</f>
        <v>R019377_SURVEY Description-Plat_USACOE</v>
      </c>
      <c r="V221" s="65" t="str">
        <f>INDEX(SP_AcqTract_DB[WCAD Tax Parcel ID],MATCH(SP_ACQ_Lib[[#This Row],[Acquisition Tract No.]],SP_AcqTract_DB[Acquisition Tract No.],0))</f>
        <v>R019377;#25</v>
      </c>
      <c r="W221" s="48" t="str">
        <f>INDEX(SP_TaxPar_DB[Acquisition Tract No.],MATCH(LEFT(SP_ACQ_Lib[[#This Row],[Tax Parcel ID]],7),SP_TaxPar_DB[Tax Parcel ID],0))</f>
        <v>214</v>
      </c>
      <c r="X221" s="238" t="str">
        <f>IF(OR(SP_ACQ_Lib[[#This Row],[Acquisition Tract No.]]="",SP_ACQ_Lib[[#This Row],[ACQ Document Type]]=""),0,CONCATENATE("COW-FRMP_TR-",SP_ACQ_Lib[[#This Row],[Acquisition Tract No.]]," ",SP_ACQ_Lib[[#This Row],[ACQ Document Type]]))</f>
        <v>COW-FRMP_TR-214 SURVEY Description-Plat_USACOE</v>
      </c>
      <c r="Y221" s="239">
        <f>IF(OR(SP_ACQ_Lib[[#This Row],[File Name Convention]]=0,LEFT(SP_ACQ_Lib[[#This Row],[Name]],LEN(SP_ACQ_Lib[[#This Row],[File Name Convention]]))&lt;&gt;SP_ACQ_Lib[[#This Row],[File Name Convention]],ISERROR(SEARCH(SP_ACQ_Lib[[#This Row],[ACQ Document Type]],SP_ACQ_Lib[[#This Row],[Name]]))),1,0)</f>
        <v>0</v>
      </c>
    </row>
    <row r="222" spans="1:25" ht="15" x14ac:dyDescent="0.2">
      <c r="A222" s="157" t="str">
        <f>CONCATENATE(SP_ACQ_Lib[[#This Row],[Acquisition Tract No.]],"_",SP_ACQ_Lib[[#This Row],[ACQ Document Type]])</f>
        <v>214_SURVEY Right-of-Entry</v>
      </c>
      <c r="B222" s="14" t="s">
        <v>4575</v>
      </c>
      <c r="C222" s="15" t="s">
        <v>41</v>
      </c>
      <c r="D222" s="12" t="s">
        <v>629</v>
      </c>
      <c r="E222" s="8" t="s">
        <v>858</v>
      </c>
      <c r="F222" s="8" t="s">
        <v>859</v>
      </c>
      <c r="G222" s="8" t="s">
        <v>591</v>
      </c>
      <c r="H222" s="7" t="s">
        <v>592</v>
      </c>
      <c r="I222" s="16">
        <v>43690</v>
      </c>
      <c r="J222" s="16"/>
      <c r="K222" s="17"/>
      <c r="L222" s="3"/>
      <c r="M222" s="8" t="s">
        <v>4206</v>
      </c>
      <c r="N222" s="11">
        <v>43922.375578703701</v>
      </c>
      <c r="O222" s="8" t="s">
        <v>4207</v>
      </c>
      <c r="P222" s="11">
        <v>43691.667754629627</v>
      </c>
      <c r="Q222" s="13">
        <v>799196</v>
      </c>
      <c r="R222" s="19" t="s">
        <v>594</v>
      </c>
      <c r="S222" s="14" t="s">
        <v>747</v>
      </c>
      <c r="T222" s="163">
        <v>57</v>
      </c>
      <c r="U222" s="164" t="str">
        <f>CONCATENATE(LEFT(SP_ACQ_Lib[[#This Row],[Tax Parcel ID]],7),"_",SP_ACQ_Lib[[#This Row],[ACQ Document Type]])</f>
        <v>R019377_SURVEY Right-of-Entry</v>
      </c>
      <c r="V222" s="65" t="str">
        <f>INDEX(SP_AcqTract_DB[WCAD Tax Parcel ID],MATCH(SP_ACQ_Lib[[#This Row],[Acquisition Tract No.]],SP_AcqTract_DB[Acquisition Tract No.],0))</f>
        <v>R019377;#25</v>
      </c>
      <c r="W222" s="48" t="str">
        <f>INDEX(SP_TaxPar_DB[Acquisition Tract No.],MATCH(LEFT(SP_ACQ_Lib[[#This Row],[Tax Parcel ID]],7),SP_TaxPar_DB[Tax Parcel ID],0))</f>
        <v>214</v>
      </c>
      <c r="X222" s="238" t="str">
        <f>IF(OR(SP_ACQ_Lib[[#This Row],[Acquisition Tract No.]]="",SP_ACQ_Lib[[#This Row],[ACQ Document Type]]=""),0,CONCATENATE("COW-FRMP_TR-",SP_ACQ_Lib[[#This Row],[Acquisition Tract No.]]," ",SP_ACQ_Lib[[#This Row],[ACQ Document Type]]))</f>
        <v>COW-FRMP_TR-214 SURVEY Right-of-Entry</v>
      </c>
      <c r="Y222" s="239">
        <f>IF(OR(SP_ACQ_Lib[[#This Row],[File Name Convention]]=0,LEFT(SP_ACQ_Lib[[#This Row],[Name]],LEN(SP_ACQ_Lib[[#This Row],[File Name Convention]]))&lt;&gt;SP_ACQ_Lib[[#This Row],[File Name Convention]],ISERROR(SEARCH(SP_ACQ_Lib[[#This Row],[ACQ Document Type]],SP_ACQ_Lib[[#This Row],[Name]]))),1,0)</f>
        <v>0</v>
      </c>
    </row>
    <row r="223" spans="1:25" ht="15" x14ac:dyDescent="0.2">
      <c r="A223" s="157" t="str">
        <f>CONCATENATE(SP_ACQ_Lib[[#This Row],[Acquisition Tract No.]],"_",SP_ACQ_Lib[[#This Row],[ACQ Document Type]])</f>
        <v>214_TITLE Commitment</v>
      </c>
      <c r="B223" s="14" t="s">
        <v>1464</v>
      </c>
      <c r="C223" s="15" t="s">
        <v>41</v>
      </c>
      <c r="D223" s="12" t="s">
        <v>629</v>
      </c>
      <c r="E223" s="8" t="s">
        <v>861</v>
      </c>
      <c r="F223" s="8" t="s">
        <v>862</v>
      </c>
      <c r="G223" s="8" t="s">
        <v>614</v>
      </c>
      <c r="H223" s="7" t="s">
        <v>592</v>
      </c>
      <c r="I223" s="16">
        <v>43875</v>
      </c>
      <c r="J223" s="16">
        <v>43888</v>
      </c>
      <c r="K223" s="17"/>
      <c r="L223" s="3" t="s">
        <v>4332</v>
      </c>
      <c r="M223" s="8" t="s">
        <v>4325</v>
      </c>
      <c r="N223" s="11">
        <v>43888.548946759256</v>
      </c>
      <c r="O223" s="8" t="s">
        <v>4326</v>
      </c>
      <c r="P223" s="11">
        <v>43693.561354166668</v>
      </c>
      <c r="Q223" s="13">
        <v>447846</v>
      </c>
      <c r="R223" s="19" t="s">
        <v>594</v>
      </c>
      <c r="S223" s="14" t="s">
        <v>748</v>
      </c>
      <c r="T223" s="163">
        <v>86</v>
      </c>
      <c r="U223" s="164" t="str">
        <f>CONCATENATE(LEFT(SP_ACQ_Lib[[#This Row],[Tax Parcel ID]],7),"_",SP_ACQ_Lib[[#This Row],[ACQ Document Type]])</f>
        <v>R019377_TITLE Commitment</v>
      </c>
      <c r="V223" s="65" t="str">
        <f>INDEX(SP_AcqTract_DB[WCAD Tax Parcel ID],MATCH(SP_ACQ_Lib[[#This Row],[Acquisition Tract No.]],SP_AcqTract_DB[Acquisition Tract No.],0))</f>
        <v>R019377;#25</v>
      </c>
      <c r="W223" s="48" t="str">
        <f>INDEX(SP_TaxPar_DB[Acquisition Tract No.],MATCH(LEFT(SP_ACQ_Lib[[#This Row],[Tax Parcel ID]],7),SP_TaxPar_DB[Tax Parcel ID],0))</f>
        <v>214</v>
      </c>
      <c r="X223" s="238" t="str">
        <f>IF(OR(SP_ACQ_Lib[[#This Row],[Acquisition Tract No.]]="",SP_ACQ_Lib[[#This Row],[ACQ Document Type]]=""),0,CONCATENATE("COW-FRMP_TR-",SP_ACQ_Lib[[#This Row],[Acquisition Tract No.]]," ",SP_ACQ_Lib[[#This Row],[ACQ Document Type]]))</f>
        <v>COW-FRMP_TR-214 TITLE Commitment</v>
      </c>
      <c r="Y223" s="239">
        <f>IF(OR(SP_ACQ_Lib[[#This Row],[File Name Convention]]=0,LEFT(SP_ACQ_Lib[[#This Row],[Name]],LEN(SP_ACQ_Lib[[#This Row],[File Name Convention]]))&lt;&gt;SP_ACQ_Lib[[#This Row],[File Name Convention]],ISERROR(SEARCH(SP_ACQ_Lib[[#This Row],[ACQ Document Type]],SP_ACQ_Lib[[#This Row],[Name]]))),1,0)</f>
        <v>0</v>
      </c>
    </row>
    <row r="224" spans="1:25" ht="15" x14ac:dyDescent="0.2">
      <c r="A224" s="157" t="str">
        <f>CONCATENATE(SP_ACQ_Lib[[#This Row],[Acquisition Tract No.]],"_",SP_ACQ_Lib[[#This Row],[ACQ Document Type]])</f>
        <v>214_TITLE Commitment Backup Docs</v>
      </c>
      <c r="B224" s="14" t="s">
        <v>1465</v>
      </c>
      <c r="C224" s="15" t="s">
        <v>41</v>
      </c>
      <c r="D224" s="12" t="s">
        <v>629</v>
      </c>
      <c r="E224" s="8" t="s">
        <v>861</v>
      </c>
      <c r="F224" s="8" t="s">
        <v>863</v>
      </c>
      <c r="G224" s="8" t="s">
        <v>616</v>
      </c>
      <c r="H224" s="7" t="s">
        <v>592</v>
      </c>
      <c r="I224" s="16"/>
      <c r="J224" s="16"/>
      <c r="K224" s="17"/>
      <c r="L224" s="3"/>
      <c r="M224" s="8" t="s">
        <v>23</v>
      </c>
      <c r="N224" s="11">
        <v>43770.449108796296</v>
      </c>
      <c r="O224" s="8" t="s">
        <v>4326</v>
      </c>
      <c r="P224" s="11">
        <v>43719.431585648148</v>
      </c>
      <c r="Q224" s="13">
        <v>566203</v>
      </c>
      <c r="R224" s="19" t="s">
        <v>594</v>
      </c>
      <c r="S224" s="14" t="s">
        <v>749</v>
      </c>
      <c r="T224" s="163">
        <v>238</v>
      </c>
      <c r="U224" s="164" t="str">
        <f>CONCATENATE(LEFT(SP_ACQ_Lib[[#This Row],[Tax Parcel ID]],7),"_",SP_ACQ_Lib[[#This Row],[ACQ Document Type]])</f>
        <v>R019377_TITLE Commitment Backup Docs</v>
      </c>
      <c r="V224" s="65" t="str">
        <f>INDEX(SP_AcqTract_DB[WCAD Tax Parcel ID],MATCH(SP_ACQ_Lib[[#This Row],[Acquisition Tract No.]],SP_AcqTract_DB[Acquisition Tract No.],0))</f>
        <v>R019377;#25</v>
      </c>
      <c r="W224" s="48" t="str">
        <f>INDEX(SP_TaxPar_DB[Acquisition Tract No.],MATCH(LEFT(SP_ACQ_Lib[[#This Row],[Tax Parcel ID]],7),SP_TaxPar_DB[Tax Parcel ID],0))</f>
        <v>214</v>
      </c>
      <c r="X224" s="238" t="str">
        <f>IF(OR(SP_ACQ_Lib[[#This Row],[Acquisition Tract No.]]="",SP_ACQ_Lib[[#This Row],[ACQ Document Type]]=""),0,CONCATENATE("COW-FRMP_TR-",SP_ACQ_Lib[[#This Row],[Acquisition Tract No.]]," ",SP_ACQ_Lib[[#This Row],[ACQ Document Type]]))</f>
        <v>COW-FRMP_TR-214 TITLE Commitment Backup Docs</v>
      </c>
      <c r="Y224" s="239">
        <f>IF(OR(SP_ACQ_Lib[[#This Row],[File Name Convention]]=0,LEFT(SP_ACQ_Lib[[#This Row],[Name]],LEN(SP_ACQ_Lib[[#This Row],[File Name Convention]]))&lt;&gt;SP_ACQ_Lib[[#This Row],[File Name Convention]],ISERROR(SEARCH(SP_ACQ_Lib[[#This Row],[ACQ Document Type]],SP_ACQ_Lib[[#This Row],[Name]]))),1,0)</f>
        <v>0</v>
      </c>
    </row>
    <row r="225" spans="1:25" ht="15" x14ac:dyDescent="0.2">
      <c r="A225" s="157" t="str">
        <f>CONCATENATE(SP_ACQ_Lib[[#This Row],[Acquisition Tract No.]],"_",SP_ACQ_Lib[[#This Row],[ACQ Document Type]])</f>
        <v>214_TITLE Curative Plan</v>
      </c>
      <c r="B225" s="14" t="s">
        <v>1466</v>
      </c>
      <c r="C225" s="15" t="s">
        <v>41</v>
      </c>
      <c r="D225" s="12" t="s">
        <v>629</v>
      </c>
      <c r="E225" s="8" t="s">
        <v>861</v>
      </c>
      <c r="F225" s="8" t="s">
        <v>864</v>
      </c>
      <c r="G225" s="8" t="s">
        <v>617</v>
      </c>
      <c r="H225" s="7" t="s">
        <v>592</v>
      </c>
      <c r="I225" s="16">
        <v>43809</v>
      </c>
      <c r="J225" s="16"/>
      <c r="K225" s="17"/>
      <c r="L225" s="3"/>
      <c r="M225" s="8" t="s">
        <v>4325</v>
      </c>
      <c r="N225" s="11">
        <v>43916.488923611112</v>
      </c>
      <c r="O225" s="8" t="s">
        <v>4326</v>
      </c>
      <c r="P225" s="11">
        <v>43745.473819444444</v>
      </c>
      <c r="Q225" s="13">
        <v>35625</v>
      </c>
      <c r="R225" s="19" t="s">
        <v>594</v>
      </c>
      <c r="S225" s="14" t="s">
        <v>1198</v>
      </c>
      <c r="T225" s="163">
        <v>391</v>
      </c>
      <c r="U225" s="164" t="str">
        <f>CONCATENATE(LEFT(SP_ACQ_Lib[[#This Row],[Tax Parcel ID]],7),"_",SP_ACQ_Lib[[#This Row],[ACQ Document Type]])</f>
        <v>R019377_TITLE Curative Plan</v>
      </c>
      <c r="V225" s="65" t="str">
        <f>INDEX(SP_AcqTract_DB[WCAD Tax Parcel ID],MATCH(SP_ACQ_Lib[[#This Row],[Acquisition Tract No.]],SP_AcqTract_DB[Acquisition Tract No.],0))</f>
        <v>R019377;#25</v>
      </c>
      <c r="W225" s="48" t="str">
        <f>INDEX(SP_TaxPar_DB[Acquisition Tract No.],MATCH(LEFT(SP_ACQ_Lib[[#This Row],[Tax Parcel ID]],7),SP_TaxPar_DB[Tax Parcel ID],0))</f>
        <v>214</v>
      </c>
      <c r="X225" s="238" t="str">
        <f>IF(OR(SP_ACQ_Lib[[#This Row],[Acquisition Tract No.]]="",SP_ACQ_Lib[[#This Row],[ACQ Document Type]]=""),0,CONCATENATE("COW-FRMP_TR-",SP_ACQ_Lib[[#This Row],[Acquisition Tract No.]]," ",SP_ACQ_Lib[[#This Row],[ACQ Document Type]]))</f>
        <v>COW-FRMP_TR-214 TITLE Curative Plan</v>
      </c>
      <c r="Y225" s="239">
        <f>IF(OR(SP_ACQ_Lib[[#This Row],[File Name Convention]]=0,LEFT(SP_ACQ_Lib[[#This Row],[Name]],LEN(SP_ACQ_Lib[[#This Row],[File Name Convention]]))&lt;&gt;SP_ACQ_Lib[[#This Row],[File Name Convention]],ISERROR(SEARCH(SP_ACQ_Lib[[#This Row],[ACQ Document Type]],SP_ACQ_Lib[[#This Row],[Name]]))),1,0)</f>
        <v>0</v>
      </c>
    </row>
    <row r="226" spans="1:25" ht="15" x14ac:dyDescent="0.2">
      <c r="A226" s="157" t="str">
        <f>CONCATENATE(SP_ACQ_Lib[[#This Row],[Acquisition Tract No.]],"_",SP_ACQ_Lib[[#This Row],[ACQ Document Type]])</f>
        <v>214_TITLE Tax Card</v>
      </c>
      <c r="B226" s="14" t="s">
        <v>3442</v>
      </c>
      <c r="C226" s="15" t="s">
        <v>41</v>
      </c>
      <c r="D226" s="12" t="s">
        <v>629</v>
      </c>
      <c r="E226" s="8" t="s">
        <v>861</v>
      </c>
      <c r="F226" s="8" t="s">
        <v>1150</v>
      </c>
      <c r="G226" s="8" t="s">
        <v>1149</v>
      </c>
      <c r="H226" s="7" t="s">
        <v>592</v>
      </c>
      <c r="I226" s="16"/>
      <c r="J226" s="16"/>
      <c r="K226" s="17"/>
      <c r="L226" s="3"/>
      <c r="M226" s="8" t="s">
        <v>4206</v>
      </c>
      <c r="N226" s="11">
        <v>43874.59138888889</v>
      </c>
      <c r="O226" s="8" t="s">
        <v>1272</v>
      </c>
      <c r="P226" s="11">
        <v>43817.464837962965</v>
      </c>
      <c r="Q226" s="13">
        <v>590690</v>
      </c>
      <c r="R226" s="19" t="s">
        <v>594</v>
      </c>
      <c r="S226" s="14" t="s">
        <v>1774</v>
      </c>
      <c r="T226" s="163">
        <v>595</v>
      </c>
      <c r="U226" s="164" t="str">
        <f>CONCATENATE(LEFT(SP_ACQ_Lib[[#This Row],[Tax Parcel ID]],7),"_",SP_ACQ_Lib[[#This Row],[ACQ Document Type]])</f>
        <v>R019377_TITLE Tax Card</v>
      </c>
      <c r="V226" s="65" t="str">
        <f>INDEX(SP_AcqTract_DB[WCAD Tax Parcel ID],MATCH(SP_ACQ_Lib[[#This Row],[Acquisition Tract No.]],SP_AcqTract_DB[Acquisition Tract No.],0))</f>
        <v>R019377;#25</v>
      </c>
      <c r="W226" s="48" t="str">
        <f>INDEX(SP_TaxPar_DB[Acquisition Tract No.],MATCH(LEFT(SP_ACQ_Lib[[#This Row],[Tax Parcel ID]],7),SP_TaxPar_DB[Tax Parcel ID],0))</f>
        <v>214</v>
      </c>
      <c r="X226" s="238" t="str">
        <f>IF(OR(SP_ACQ_Lib[[#This Row],[Acquisition Tract No.]]="",SP_ACQ_Lib[[#This Row],[ACQ Document Type]]=""),0,CONCATENATE("COW-FRMP_TR-",SP_ACQ_Lib[[#This Row],[Acquisition Tract No.]]," ",SP_ACQ_Lib[[#This Row],[ACQ Document Type]]))</f>
        <v>COW-FRMP_TR-214 TITLE Tax Card</v>
      </c>
      <c r="Y226" s="239">
        <f>IF(OR(SP_ACQ_Lib[[#This Row],[File Name Convention]]=0,LEFT(SP_ACQ_Lib[[#This Row],[Name]],LEN(SP_ACQ_Lib[[#This Row],[File Name Convention]]))&lt;&gt;SP_ACQ_Lib[[#This Row],[File Name Convention]],ISERROR(SEARCH(SP_ACQ_Lib[[#This Row],[ACQ Document Type]],SP_ACQ_Lib[[#This Row],[Name]]))),1,0)</f>
        <v>0</v>
      </c>
    </row>
    <row r="227" spans="1:25" ht="15" x14ac:dyDescent="0.2">
      <c r="A227" s="157" t="str">
        <f>CONCATENATE(SP_ACQ_Lib[[#This Row],[Acquisition Tract No.]],"_",SP_ACQ_Lib[[#This Row],[ACQ Document Type]])</f>
        <v>215_APPRAISAL Final Appraisal</v>
      </c>
      <c r="B227" s="14" t="s">
        <v>6507</v>
      </c>
      <c r="C227" s="15" t="s">
        <v>42</v>
      </c>
      <c r="D227" s="12" t="s">
        <v>630</v>
      </c>
      <c r="E227" s="8" t="s">
        <v>1131</v>
      </c>
      <c r="F227" s="8" t="s">
        <v>4755</v>
      </c>
      <c r="G227" s="8" t="s">
        <v>4754</v>
      </c>
      <c r="H227" s="7" t="s">
        <v>592</v>
      </c>
      <c r="I227" s="16">
        <v>43912</v>
      </c>
      <c r="J227" s="16"/>
      <c r="K227" s="17">
        <v>76800</v>
      </c>
      <c r="L227" s="3"/>
      <c r="M227" s="8" t="s">
        <v>4206</v>
      </c>
      <c r="N227" s="11">
        <v>44013.758148148147</v>
      </c>
      <c r="O227" s="8" t="s">
        <v>4206</v>
      </c>
      <c r="P227" s="11">
        <v>44013.741967592592</v>
      </c>
      <c r="Q227" s="13">
        <v>8883883</v>
      </c>
      <c r="R227" s="19" t="s">
        <v>594</v>
      </c>
      <c r="S227" s="14" t="s">
        <v>6570</v>
      </c>
      <c r="T227" s="163">
        <v>1321</v>
      </c>
      <c r="U227" s="164" t="str">
        <f>CONCATENATE(LEFT(SP_ACQ_Lib[[#This Row],[Tax Parcel ID]],7),"_",SP_ACQ_Lib[[#This Row],[ACQ Document Type]])</f>
        <v>R019376_APPRAISAL Final Appraisal</v>
      </c>
      <c r="V227" s="65" t="str">
        <f>INDEX(SP_AcqTract_DB[WCAD Tax Parcel ID],MATCH(SP_ACQ_Lib[[#This Row],[Acquisition Tract No.]],SP_AcqTract_DB[Acquisition Tract No.],0))</f>
        <v>R019376;#26</v>
      </c>
      <c r="W227" s="48" t="str">
        <f>INDEX(SP_TaxPar_DB[Acquisition Tract No.],MATCH(LEFT(SP_ACQ_Lib[[#This Row],[Tax Parcel ID]],7),SP_TaxPar_DB[Tax Parcel ID],0))</f>
        <v>215</v>
      </c>
      <c r="X227" s="238" t="str">
        <f>IF(OR(SP_ACQ_Lib[[#This Row],[Acquisition Tract No.]]="",SP_ACQ_Lib[[#This Row],[ACQ Document Type]]=""),0,CONCATENATE("COW-FRMP_TR-",SP_ACQ_Lib[[#This Row],[Acquisition Tract No.]]," ",SP_ACQ_Lib[[#This Row],[ACQ Document Type]]))</f>
        <v>COW-FRMP_TR-215 APPRAISAL Final Appraisal</v>
      </c>
      <c r="Y227" s="239">
        <f>IF(OR(SP_ACQ_Lib[[#This Row],[File Name Convention]]=0,LEFT(SP_ACQ_Lib[[#This Row],[Name]],LEN(SP_ACQ_Lib[[#This Row],[File Name Convention]]))&lt;&gt;SP_ACQ_Lib[[#This Row],[File Name Convention]],ISERROR(SEARCH(SP_ACQ_Lib[[#This Row],[ACQ Document Type]],SP_ACQ_Lib[[#This Row],[Name]]))),1,0)</f>
        <v>0</v>
      </c>
    </row>
    <row r="228" spans="1:25" ht="15" x14ac:dyDescent="0.2">
      <c r="A228" s="157" t="str">
        <f>CONCATENATE(SP_ACQ_Lib[[#This Row],[Acquisition Tract No.]],"_",SP_ACQ_Lib[[#This Row],[ACQ Document Type]])</f>
        <v>215_APPRAISAL Just Compensation Memo</v>
      </c>
      <c r="B228" s="14" t="s">
        <v>6508</v>
      </c>
      <c r="C228" s="15" t="s">
        <v>42</v>
      </c>
      <c r="D228" s="12" t="s">
        <v>630</v>
      </c>
      <c r="E228" s="8" t="s">
        <v>1131</v>
      </c>
      <c r="F228" s="8" t="s">
        <v>4757</v>
      </c>
      <c r="G228" s="8" t="s">
        <v>4756</v>
      </c>
      <c r="H228" s="7" t="s">
        <v>592</v>
      </c>
      <c r="I228" s="16">
        <v>44013</v>
      </c>
      <c r="J228" s="16">
        <v>44013</v>
      </c>
      <c r="K228" s="17">
        <v>76800</v>
      </c>
      <c r="L228" s="3"/>
      <c r="M228" s="8" t="s">
        <v>4206</v>
      </c>
      <c r="N228" s="11">
        <v>44018.477442129632</v>
      </c>
      <c r="O228" s="8" t="s">
        <v>4206</v>
      </c>
      <c r="P228" s="11">
        <v>44013.741979166669</v>
      </c>
      <c r="Q228" s="13">
        <v>23078</v>
      </c>
      <c r="R228" s="19" t="s">
        <v>594</v>
      </c>
      <c r="S228" s="14" t="s">
        <v>6571</v>
      </c>
      <c r="T228" s="163">
        <v>1322</v>
      </c>
      <c r="U228" s="164" t="str">
        <f>CONCATENATE(LEFT(SP_ACQ_Lib[[#This Row],[Tax Parcel ID]],7),"_",SP_ACQ_Lib[[#This Row],[ACQ Document Type]])</f>
        <v>R019376_APPRAISAL Just Compensation Memo</v>
      </c>
      <c r="V228" s="65" t="str">
        <f>INDEX(SP_AcqTract_DB[WCAD Tax Parcel ID],MATCH(SP_ACQ_Lib[[#This Row],[Acquisition Tract No.]],SP_AcqTract_DB[Acquisition Tract No.],0))</f>
        <v>R019376;#26</v>
      </c>
      <c r="W228" s="48" t="str">
        <f>INDEX(SP_TaxPar_DB[Acquisition Tract No.],MATCH(LEFT(SP_ACQ_Lib[[#This Row],[Tax Parcel ID]],7),SP_TaxPar_DB[Tax Parcel ID],0))</f>
        <v>215</v>
      </c>
      <c r="X228" s="238" t="str">
        <f>IF(OR(SP_ACQ_Lib[[#This Row],[Acquisition Tract No.]]="",SP_ACQ_Lib[[#This Row],[ACQ Document Type]]=""),0,CONCATENATE("COW-FRMP_TR-",SP_ACQ_Lib[[#This Row],[Acquisition Tract No.]]," ",SP_ACQ_Lib[[#This Row],[ACQ Document Type]]))</f>
        <v>COW-FRMP_TR-215 APPRAISAL Just Compensation Memo</v>
      </c>
      <c r="Y228" s="239">
        <f>IF(OR(SP_ACQ_Lib[[#This Row],[File Name Convention]]=0,LEFT(SP_ACQ_Lib[[#This Row],[Name]],LEN(SP_ACQ_Lib[[#This Row],[File Name Convention]]))&lt;&gt;SP_ACQ_Lib[[#This Row],[File Name Convention]],ISERROR(SEARCH(SP_ACQ_Lib[[#This Row],[ACQ Document Type]],SP_ACQ_Lib[[#This Row],[Name]]))),1,0)</f>
        <v>0</v>
      </c>
    </row>
    <row r="229" spans="1:25" ht="15" x14ac:dyDescent="0.2">
      <c r="A229" s="157" t="str">
        <f>CONCATENATE(SP_ACQ_Lib[[#This Row],[Acquisition Tract No.]],"_",SP_ACQ_Lib[[#This Row],[ACQ Document Type]])</f>
        <v>215_APPRAISAL USACOE Authorization to Proceed with Offer</v>
      </c>
      <c r="B229" s="14" t="s">
        <v>6509</v>
      </c>
      <c r="C229" s="15" t="s">
        <v>42</v>
      </c>
      <c r="D229" s="12" t="s">
        <v>630</v>
      </c>
      <c r="E229" s="8" t="s">
        <v>1131</v>
      </c>
      <c r="F229" s="8" t="s">
        <v>4959</v>
      </c>
      <c r="G229" s="8" t="s">
        <v>4958</v>
      </c>
      <c r="H229" s="7" t="s">
        <v>592</v>
      </c>
      <c r="I229" s="16">
        <v>44013</v>
      </c>
      <c r="J229" s="16"/>
      <c r="K229" s="17">
        <v>76800</v>
      </c>
      <c r="L229" s="3"/>
      <c r="M229" s="8" t="s">
        <v>4206</v>
      </c>
      <c r="N229" s="11">
        <v>44013.748252314814</v>
      </c>
      <c r="O229" s="8" t="s">
        <v>4206</v>
      </c>
      <c r="P229" s="11">
        <v>44013.741990740738</v>
      </c>
      <c r="Q229" s="13">
        <v>421522</v>
      </c>
      <c r="R229" s="19" t="s">
        <v>594</v>
      </c>
      <c r="S229" s="14" t="s">
        <v>6572</v>
      </c>
      <c r="T229" s="163">
        <v>1323</v>
      </c>
      <c r="U229" s="164" t="str">
        <f>CONCATENATE(LEFT(SP_ACQ_Lib[[#This Row],[Tax Parcel ID]],7),"_",SP_ACQ_Lib[[#This Row],[ACQ Document Type]])</f>
        <v>R019376_APPRAISAL USACOE Authorization to Proceed with Offer</v>
      </c>
      <c r="V229" s="65" t="str">
        <f>INDEX(SP_AcqTract_DB[WCAD Tax Parcel ID],MATCH(SP_ACQ_Lib[[#This Row],[Acquisition Tract No.]],SP_AcqTract_DB[Acquisition Tract No.],0))</f>
        <v>R019376;#26</v>
      </c>
      <c r="W229" s="48" t="str">
        <f>INDEX(SP_TaxPar_DB[Acquisition Tract No.],MATCH(LEFT(SP_ACQ_Lib[[#This Row],[Tax Parcel ID]],7),SP_TaxPar_DB[Tax Parcel ID],0))</f>
        <v>215</v>
      </c>
      <c r="X229" s="238" t="str">
        <f>IF(OR(SP_ACQ_Lib[[#This Row],[Acquisition Tract No.]]="",SP_ACQ_Lib[[#This Row],[ACQ Document Type]]=""),0,CONCATENATE("COW-FRMP_TR-",SP_ACQ_Lib[[#This Row],[Acquisition Tract No.]]," ",SP_ACQ_Lib[[#This Row],[ACQ Document Type]]))</f>
        <v>COW-FRMP_TR-215 APPRAISAL USACOE Authorization to Proceed with Offer</v>
      </c>
      <c r="Y229" s="239">
        <f>IF(OR(SP_ACQ_Lib[[#This Row],[File Name Convention]]=0,LEFT(SP_ACQ_Lib[[#This Row],[Name]],LEN(SP_ACQ_Lib[[#This Row],[File Name Convention]]))&lt;&gt;SP_ACQ_Lib[[#This Row],[File Name Convention]],ISERROR(SEARCH(SP_ACQ_Lib[[#This Row],[ACQ Document Type]],SP_ACQ_Lib[[#This Row],[Name]]))),1,0)</f>
        <v>0</v>
      </c>
    </row>
    <row r="230" spans="1:25" ht="15" x14ac:dyDescent="0.2">
      <c r="A230" s="157" t="str">
        <f>CONCATENATE(SP_ACQ_Lib[[#This Row],[Acquisition Tract No.]],"_",SP_ACQ_Lib[[#This Row],[ACQ Document Type]])</f>
        <v>215_CONTACT Letter of Intent-HDR</v>
      </c>
      <c r="B230" s="14" t="s">
        <v>1467</v>
      </c>
      <c r="C230" s="15" t="s">
        <v>42</v>
      </c>
      <c r="D230" s="12" t="s">
        <v>630</v>
      </c>
      <c r="E230" s="8" t="s">
        <v>865</v>
      </c>
      <c r="F230" s="8" t="s">
        <v>1401</v>
      </c>
      <c r="G230" s="8" t="s">
        <v>1400</v>
      </c>
      <c r="H230" s="7" t="s">
        <v>592</v>
      </c>
      <c r="I230" s="16">
        <v>43765</v>
      </c>
      <c r="J230" s="16"/>
      <c r="K230" s="17"/>
      <c r="L230" s="3"/>
      <c r="M230" s="8" t="s">
        <v>23</v>
      </c>
      <c r="N230" s="11">
        <v>43770.449108796296</v>
      </c>
      <c r="O230" s="8" t="s">
        <v>1377</v>
      </c>
      <c r="P230" s="11">
        <v>43768.72388888889</v>
      </c>
      <c r="Q230" s="13">
        <v>324426</v>
      </c>
      <c r="R230" s="19" t="s">
        <v>594</v>
      </c>
      <c r="S230" s="14" t="s">
        <v>1624</v>
      </c>
      <c r="T230" s="163">
        <v>493</v>
      </c>
      <c r="U230" s="164" t="str">
        <f>CONCATENATE(LEFT(SP_ACQ_Lib[[#This Row],[Tax Parcel ID]],7),"_",SP_ACQ_Lib[[#This Row],[ACQ Document Type]])</f>
        <v>R019376_CONTACT Letter of Intent-HDR</v>
      </c>
      <c r="V230" s="65" t="str">
        <f>INDEX(SP_AcqTract_DB[WCAD Tax Parcel ID],MATCH(SP_ACQ_Lib[[#This Row],[Acquisition Tract No.]],SP_AcqTract_DB[Acquisition Tract No.],0))</f>
        <v>R019376;#26</v>
      </c>
      <c r="W230" s="48" t="str">
        <f>INDEX(SP_TaxPar_DB[Acquisition Tract No.],MATCH(LEFT(SP_ACQ_Lib[[#This Row],[Tax Parcel ID]],7),SP_TaxPar_DB[Tax Parcel ID],0))</f>
        <v>215</v>
      </c>
      <c r="X230" s="238" t="str">
        <f>IF(OR(SP_ACQ_Lib[[#This Row],[Acquisition Tract No.]]="",SP_ACQ_Lib[[#This Row],[ACQ Document Type]]=""),0,CONCATENATE("COW-FRMP_TR-",SP_ACQ_Lib[[#This Row],[Acquisition Tract No.]]," ",SP_ACQ_Lib[[#This Row],[ACQ Document Type]]))</f>
        <v>COW-FRMP_TR-215 CONTACT Letter of Intent-HDR</v>
      </c>
      <c r="Y230" s="239">
        <f>IF(OR(SP_ACQ_Lib[[#This Row],[File Name Convention]]=0,LEFT(SP_ACQ_Lib[[#This Row],[Name]],LEN(SP_ACQ_Lib[[#This Row],[File Name Convention]]))&lt;&gt;SP_ACQ_Lib[[#This Row],[File Name Convention]],ISERROR(SEARCH(SP_ACQ_Lib[[#This Row],[ACQ Document Type]],SP_ACQ_Lib[[#This Row],[Name]]))),1,0)</f>
        <v>0</v>
      </c>
    </row>
    <row r="231" spans="1:25" ht="15" x14ac:dyDescent="0.2">
      <c r="A231" s="157" t="str">
        <f>CONCATENATE(SP_ACQ_Lib[[#This Row],[Acquisition Tract No.]],"_",SP_ACQ_Lib[[#This Row],[ACQ Document Type]])</f>
        <v>215_CONTACT Letter of Intent-HDR</v>
      </c>
      <c r="B231" s="14" t="s">
        <v>1468</v>
      </c>
      <c r="C231" s="15" t="s">
        <v>42</v>
      </c>
      <c r="D231" s="12" t="s">
        <v>630</v>
      </c>
      <c r="E231" s="8" t="s">
        <v>865</v>
      </c>
      <c r="F231" s="8" t="s">
        <v>1401</v>
      </c>
      <c r="G231" s="8" t="s">
        <v>1400</v>
      </c>
      <c r="H231" s="7" t="s">
        <v>592</v>
      </c>
      <c r="I231" s="16">
        <v>43765</v>
      </c>
      <c r="J231" s="16"/>
      <c r="K231" s="17"/>
      <c r="L231" s="3"/>
      <c r="M231" s="8" t="s">
        <v>23</v>
      </c>
      <c r="N231" s="11">
        <v>43770.449120370373</v>
      </c>
      <c r="O231" s="8" t="s">
        <v>1377</v>
      </c>
      <c r="P231" s="11">
        <v>43768.72388888889</v>
      </c>
      <c r="Q231" s="13">
        <v>324467</v>
      </c>
      <c r="R231" s="19" t="s">
        <v>594</v>
      </c>
      <c r="S231" s="14" t="s">
        <v>1625</v>
      </c>
      <c r="T231" s="163">
        <v>494</v>
      </c>
      <c r="U231" s="164" t="str">
        <f>CONCATENATE(LEFT(SP_ACQ_Lib[[#This Row],[Tax Parcel ID]],7),"_",SP_ACQ_Lib[[#This Row],[ACQ Document Type]])</f>
        <v>R019376_CONTACT Letter of Intent-HDR</v>
      </c>
      <c r="V231" s="65" t="str">
        <f>INDEX(SP_AcqTract_DB[WCAD Tax Parcel ID],MATCH(SP_ACQ_Lib[[#This Row],[Acquisition Tract No.]],SP_AcqTract_DB[Acquisition Tract No.],0))</f>
        <v>R019376;#26</v>
      </c>
      <c r="W231" s="48" t="str">
        <f>INDEX(SP_TaxPar_DB[Acquisition Tract No.],MATCH(LEFT(SP_ACQ_Lib[[#This Row],[Tax Parcel ID]],7),SP_TaxPar_DB[Tax Parcel ID],0))</f>
        <v>215</v>
      </c>
      <c r="X231" s="238" t="str">
        <f>IF(OR(SP_ACQ_Lib[[#This Row],[Acquisition Tract No.]]="",SP_ACQ_Lib[[#This Row],[ACQ Document Type]]=""),0,CONCATENATE("COW-FRMP_TR-",SP_ACQ_Lib[[#This Row],[Acquisition Tract No.]]," ",SP_ACQ_Lib[[#This Row],[ACQ Document Type]]))</f>
        <v>COW-FRMP_TR-215 CONTACT Letter of Intent-HDR</v>
      </c>
      <c r="Y231" s="239">
        <f>IF(OR(SP_ACQ_Lib[[#This Row],[File Name Convention]]=0,LEFT(SP_ACQ_Lib[[#This Row],[Name]],LEN(SP_ACQ_Lib[[#This Row],[File Name Convention]]))&lt;&gt;SP_ACQ_Lib[[#This Row],[File Name Convention]],ISERROR(SEARCH(SP_ACQ_Lib[[#This Row],[ACQ Document Type]],SP_ACQ_Lib[[#This Row],[Name]]))),1,0)</f>
        <v>0</v>
      </c>
    </row>
    <row r="232" spans="1:25" ht="15" x14ac:dyDescent="0.2">
      <c r="A232" s="157" t="str">
        <f>CONCATENATE(SP_ACQ_Lib[[#This Row],[Acquisition Tract No.]],"_",SP_ACQ_Lib[[#This Row],[ACQ Document Type]])</f>
        <v>215_CONTACT Letter of Intent-HDR</v>
      </c>
      <c r="B232" s="14" t="s">
        <v>1469</v>
      </c>
      <c r="C232" s="15" t="s">
        <v>42</v>
      </c>
      <c r="D232" s="12" t="s">
        <v>630</v>
      </c>
      <c r="E232" s="8" t="s">
        <v>865</v>
      </c>
      <c r="F232" s="8" t="s">
        <v>1401</v>
      </c>
      <c r="G232" s="8" t="s">
        <v>1400</v>
      </c>
      <c r="H232" s="7" t="s">
        <v>592</v>
      </c>
      <c r="I232" s="16">
        <v>43765</v>
      </c>
      <c r="J232" s="16"/>
      <c r="K232" s="17"/>
      <c r="L232" s="3"/>
      <c r="M232" s="8" t="s">
        <v>23</v>
      </c>
      <c r="N232" s="11">
        <v>43770.449108796296</v>
      </c>
      <c r="O232" s="8" t="s">
        <v>1377</v>
      </c>
      <c r="P232" s="11">
        <v>43768.72388888889</v>
      </c>
      <c r="Q232" s="13">
        <v>324465</v>
      </c>
      <c r="R232" s="19" t="s">
        <v>594</v>
      </c>
      <c r="S232" s="14" t="s">
        <v>1626</v>
      </c>
      <c r="T232" s="163">
        <v>495</v>
      </c>
      <c r="U232" s="164" t="str">
        <f>CONCATENATE(LEFT(SP_ACQ_Lib[[#This Row],[Tax Parcel ID]],7),"_",SP_ACQ_Lib[[#This Row],[ACQ Document Type]])</f>
        <v>R019376_CONTACT Letter of Intent-HDR</v>
      </c>
      <c r="V232" s="65" t="str">
        <f>INDEX(SP_AcqTract_DB[WCAD Tax Parcel ID],MATCH(SP_ACQ_Lib[[#This Row],[Acquisition Tract No.]],SP_AcqTract_DB[Acquisition Tract No.],0))</f>
        <v>R019376;#26</v>
      </c>
      <c r="W232" s="48" t="str">
        <f>INDEX(SP_TaxPar_DB[Acquisition Tract No.],MATCH(LEFT(SP_ACQ_Lib[[#This Row],[Tax Parcel ID]],7),SP_TaxPar_DB[Tax Parcel ID],0))</f>
        <v>215</v>
      </c>
      <c r="X232" s="238" t="str">
        <f>IF(OR(SP_ACQ_Lib[[#This Row],[Acquisition Tract No.]]="",SP_ACQ_Lib[[#This Row],[ACQ Document Type]]=""),0,CONCATENATE("COW-FRMP_TR-",SP_ACQ_Lib[[#This Row],[Acquisition Tract No.]]," ",SP_ACQ_Lib[[#This Row],[ACQ Document Type]]))</f>
        <v>COW-FRMP_TR-215 CONTACT Letter of Intent-HDR</v>
      </c>
      <c r="Y232" s="239">
        <f>IF(OR(SP_ACQ_Lib[[#This Row],[File Name Convention]]=0,LEFT(SP_ACQ_Lib[[#This Row],[Name]],LEN(SP_ACQ_Lib[[#This Row],[File Name Convention]]))&lt;&gt;SP_ACQ_Lib[[#This Row],[File Name Convention]],ISERROR(SEARCH(SP_ACQ_Lib[[#This Row],[ACQ Document Type]],SP_ACQ_Lib[[#This Row],[Name]]))),1,0)</f>
        <v>0</v>
      </c>
    </row>
    <row r="233" spans="1:25" ht="15" x14ac:dyDescent="0.2">
      <c r="A233" s="157" t="str">
        <f>CONCATENATE(SP_ACQ_Lib[[#This Row],[Acquisition Tract No.]],"_",SP_ACQ_Lib[[#This Row],[ACQ Document Type]])</f>
        <v>215_CONTACT Letter of Intent-HDR</v>
      </c>
      <c r="B233" s="14" t="s">
        <v>1470</v>
      </c>
      <c r="C233" s="15" t="s">
        <v>42</v>
      </c>
      <c r="D233" s="12" t="s">
        <v>630</v>
      </c>
      <c r="E233" s="8" t="s">
        <v>865</v>
      </c>
      <c r="F233" s="8" t="s">
        <v>1401</v>
      </c>
      <c r="G233" s="8" t="s">
        <v>1400</v>
      </c>
      <c r="H233" s="7" t="s">
        <v>592</v>
      </c>
      <c r="I233" s="16">
        <v>43765</v>
      </c>
      <c r="J233" s="16"/>
      <c r="K233" s="17"/>
      <c r="L233" s="3"/>
      <c r="M233" s="8" t="s">
        <v>23</v>
      </c>
      <c r="N233" s="11">
        <v>43770.449108796296</v>
      </c>
      <c r="O233" s="8" t="s">
        <v>1377</v>
      </c>
      <c r="P233" s="11">
        <v>43768.72388888889</v>
      </c>
      <c r="Q233" s="13">
        <v>324519</v>
      </c>
      <c r="R233" s="19" t="s">
        <v>594</v>
      </c>
      <c r="S233" s="14" t="s">
        <v>1627</v>
      </c>
      <c r="T233" s="163">
        <v>496</v>
      </c>
      <c r="U233" s="164" t="str">
        <f>CONCATENATE(LEFT(SP_ACQ_Lib[[#This Row],[Tax Parcel ID]],7),"_",SP_ACQ_Lib[[#This Row],[ACQ Document Type]])</f>
        <v>R019376_CONTACT Letter of Intent-HDR</v>
      </c>
      <c r="V233" s="65" t="str">
        <f>INDEX(SP_AcqTract_DB[WCAD Tax Parcel ID],MATCH(SP_ACQ_Lib[[#This Row],[Acquisition Tract No.]],SP_AcqTract_DB[Acquisition Tract No.],0))</f>
        <v>R019376;#26</v>
      </c>
      <c r="W233" s="48" t="str">
        <f>INDEX(SP_TaxPar_DB[Acquisition Tract No.],MATCH(LEFT(SP_ACQ_Lib[[#This Row],[Tax Parcel ID]],7),SP_TaxPar_DB[Tax Parcel ID],0))</f>
        <v>215</v>
      </c>
      <c r="X233" s="238" t="str">
        <f>IF(OR(SP_ACQ_Lib[[#This Row],[Acquisition Tract No.]]="",SP_ACQ_Lib[[#This Row],[ACQ Document Type]]=""),0,CONCATENATE("COW-FRMP_TR-",SP_ACQ_Lib[[#This Row],[Acquisition Tract No.]]," ",SP_ACQ_Lib[[#This Row],[ACQ Document Type]]))</f>
        <v>COW-FRMP_TR-215 CONTACT Letter of Intent-HDR</v>
      </c>
      <c r="Y233" s="239">
        <f>IF(OR(SP_ACQ_Lib[[#This Row],[File Name Convention]]=0,LEFT(SP_ACQ_Lib[[#This Row],[Name]],LEN(SP_ACQ_Lib[[#This Row],[File Name Convention]]))&lt;&gt;SP_ACQ_Lib[[#This Row],[File Name Convention]],ISERROR(SEARCH(SP_ACQ_Lib[[#This Row],[ACQ Document Type]],SP_ACQ_Lib[[#This Row],[Name]]))),1,0)</f>
        <v>0</v>
      </c>
    </row>
    <row r="234" spans="1:25" ht="15" x14ac:dyDescent="0.2">
      <c r="A234" s="157" t="str">
        <f>CONCATENATE(SP_ACQ_Lib[[#This Row],[Acquisition Tract No.]],"_",SP_ACQ_Lib[[#This Row],[ACQ Document Type]])</f>
        <v>215_CONTACT Letter of Intent-HDR</v>
      </c>
      <c r="B234" s="14" t="s">
        <v>1471</v>
      </c>
      <c r="C234" s="15" t="s">
        <v>42</v>
      </c>
      <c r="D234" s="12" t="s">
        <v>630</v>
      </c>
      <c r="E234" s="8" t="s">
        <v>865</v>
      </c>
      <c r="F234" s="8" t="s">
        <v>1401</v>
      </c>
      <c r="G234" s="8" t="s">
        <v>1400</v>
      </c>
      <c r="H234" s="7" t="s">
        <v>592</v>
      </c>
      <c r="I234" s="16">
        <v>43765</v>
      </c>
      <c r="J234" s="16"/>
      <c r="K234" s="17"/>
      <c r="L234" s="3"/>
      <c r="M234" s="8" t="s">
        <v>23</v>
      </c>
      <c r="N234" s="11">
        <v>43770.449120370373</v>
      </c>
      <c r="O234" s="8" t="s">
        <v>1377</v>
      </c>
      <c r="P234" s="11">
        <v>43768.72388888889</v>
      </c>
      <c r="Q234" s="13">
        <v>324457</v>
      </c>
      <c r="R234" s="19" t="s">
        <v>594</v>
      </c>
      <c r="S234" s="14" t="s">
        <v>1628</v>
      </c>
      <c r="T234" s="163">
        <v>497</v>
      </c>
      <c r="U234" s="164" t="str">
        <f>CONCATENATE(LEFT(SP_ACQ_Lib[[#This Row],[Tax Parcel ID]],7),"_",SP_ACQ_Lib[[#This Row],[ACQ Document Type]])</f>
        <v>R019376_CONTACT Letter of Intent-HDR</v>
      </c>
      <c r="V234" s="65" t="str">
        <f>INDEX(SP_AcqTract_DB[WCAD Tax Parcel ID],MATCH(SP_ACQ_Lib[[#This Row],[Acquisition Tract No.]],SP_AcqTract_DB[Acquisition Tract No.],0))</f>
        <v>R019376;#26</v>
      </c>
      <c r="W234" s="48" t="str">
        <f>INDEX(SP_TaxPar_DB[Acquisition Tract No.],MATCH(LEFT(SP_ACQ_Lib[[#This Row],[Tax Parcel ID]],7),SP_TaxPar_DB[Tax Parcel ID],0))</f>
        <v>215</v>
      </c>
      <c r="X234" s="238" t="str">
        <f>IF(OR(SP_ACQ_Lib[[#This Row],[Acquisition Tract No.]]="",SP_ACQ_Lib[[#This Row],[ACQ Document Type]]=""),0,CONCATENATE("COW-FRMP_TR-",SP_ACQ_Lib[[#This Row],[Acquisition Tract No.]]," ",SP_ACQ_Lib[[#This Row],[ACQ Document Type]]))</f>
        <v>COW-FRMP_TR-215 CONTACT Letter of Intent-HDR</v>
      </c>
      <c r="Y234" s="239">
        <f>IF(OR(SP_ACQ_Lib[[#This Row],[File Name Convention]]=0,LEFT(SP_ACQ_Lib[[#This Row],[Name]],LEN(SP_ACQ_Lib[[#This Row],[File Name Convention]]))&lt;&gt;SP_ACQ_Lib[[#This Row],[File Name Convention]],ISERROR(SEARCH(SP_ACQ_Lib[[#This Row],[ACQ Document Type]],SP_ACQ_Lib[[#This Row],[Name]]))),1,0)</f>
        <v>0</v>
      </c>
    </row>
    <row r="235" spans="1:25" ht="15" x14ac:dyDescent="0.2">
      <c r="A235" s="157" t="str">
        <f>CONCATENATE(SP_ACQ_Lib[[#This Row],[Acquisition Tract No.]],"_",SP_ACQ_Lib[[#This Row],[ACQ Document Type]])</f>
        <v>215_CONTACT Letter of Intent-HDR</v>
      </c>
      <c r="B235" s="14" t="s">
        <v>1472</v>
      </c>
      <c r="C235" s="15" t="s">
        <v>42</v>
      </c>
      <c r="D235" s="12" t="s">
        <v>630</v>
      </c>
      <c r="E235" s="8" t="s">
        <v>865</v>
      </c>
      <c r="F235" s="8" t="s">
        <v>1401</v>
      </c>
      <c r="G235" s="8" t="s">
        <v>1400</v>
      </c>
      <c r="H235" s="7" t="s">
        <v>592</v>
      </c>
      <c r="I235" s="16">
        <v>43765</v>
      </c>
      <c r="J235" s="16"/>
      <c r="K235" s="17"/>
      <c r="L235" s="3"/>
      <c r="M235" s="8" t="s">
        <v>23</v>
      </c>
      <c r="N235" s="11">
        <v>43770.449120370373</v>
      </c>
      <c r="O235" s="8" t="s">
        <v>1377</v>
      </c>
      <c r="P235" s="11">
        <v>43768.723900462966</v>
      </c>
      <c r="Q235" s="13">
        <v>324525</v>
      </c>
      <c r="R235" s="19" t="s">
        <v>594</v>
      </c>
      <c r="S235" s="14" t="s">
        <v>1629</v>
      </c>
      <c r="T235" s="163">
        <v>498</v>
      </c>
      <c r="U235" s="164" t="str">
        <f>CONCATENATE(LEFT(SP_ACQ_Lib[[#This Row],[Tax Parcel ID]],7),"_",SP_ACQ_Lib[[#This Row],[ACQ Document Type]])</f>
        <v>R019376_CONTACT Letter of Intent-HDR</v>
      </c>
      <c r="V235" s="65" t="str">
        <f>INDEX(SP_AcqTract_DB[WCAD Tax Parcel ID],MATCH(SP_ACQ_Lib[[#This Row],[Acquisition Tract No.]],SP_AcqTract_DB[Acquisition Tract No.],0))</f>
        <v>R019376;#26</v>
      </c>
      <c r="W235" s="48" t="str">
        <f>INDEX(SP_TaxPar_DB[Acquisition Tract No.],MATCH(LEFT(SP_ACQ_Lib[[#This Row],[Tax Parcel ID]],7),SP_TaxPar_DB[Tax Parcel ID],0))</f>
        <v>215</v>
      </c>
      <c r="X235" s="238" t="str">
        <f>IF(OR(SP_ACQ_Lib[[#This Row],[Acquisition Tract No.]]="",SP_ACQ_Lib[[#This Row],[ACQ Document Type]]=""),0,CONCATENATE("COW-FRMP_TR-",SP_ACQ_Lib[[#This Row],[Acquisition Tract No.]]," ",SP_ACQ_Lib[[#This Row],[ACQ Document Type]]))</f>
        <v>COW-FRMP_TR-215 CONTACT Letter of Intent-HDR</v>
      </c>
      <c r="Y235" s="239">
        <f>IF(OR(SP_ACQ_Lib[[#This Row],[File Name Convention]]=0,LEFT(SP_ACQ_Lib[[#This Row],[Name]],LEN(SP_ACQ_Lib[[#This Row],[File Name Convention]]))&lt;&gt;SP_ACQ_Lib[[#This Row],[File Name Convention]],ISERROR(SEARCH(SP_ACQ_Lib[[#This Row],[ACQ Document Type]],SP_ACQ_Lib[[#This Row],[Name]]))),1,0)</f>
        <v>0</v>
      </c>
    </row>
    <row r="236" spans="1:25" ht="15" x14ac:dyDescent="0.2">
      <c r="A236" s="157" t="str">
        <f>CONCATENATE(SP_ACQ_Lib[[#This Row],[Acquisition Tract No.]],"_",SP_ACQ_Lib[[#This Row],[ACQ Document Type]])</f>
        <v>215_CONTACT Letter of Intent-HDR</v>
      </c>
      <c r="B236" s="14" t="s">
        <v>1473</v>
      </c>
      <c r="C236" s="15" t="s">
        <v>42</v>
      </c>
      <c r="D236" s="12" t="s">
        <v>630</v>
      </c>
      <c r="E236" s="8" t="s">
        <v>865</v>
      </c>
      <c r="F236" s="8" t="s">
        <v>1401</v>
      </c>
      <c r="G236" s="8" t="s">
        <v>1400</v>
      </c>
      <c r="H236" s="7" t="s">
        <v>592</v>
      </c>
      <c r="I236" s="16">
        <v>43765</v>
      </c>
      <c r="J236" s="16"/>
      <c r="K236" s="17"/>
      <c r="L236" s="3"/>
      <c r="M236" s="8" t="s">
        <v>23</v>
      </c>
      <c r="N236" s="11">
        <v>43770.449120370373</v>
      </c>
      <c r="O236" s="8" t="s">
        <v>1377</v>
      </c>
      <c r="P236" s="11">
        <v>43768.723900462966</v>
      </c>
      <c r="Q236" s="13">
        <v>324484</v>
      </c>
      <c r="R236" s="19" t="s">
        <v>594</v>
      </c>
      <c r="S236" s="14" t="s">
        <v>1630</v>
      </c>
      <c r="T236" s="163">
        <v>499</v>
      </c>
      <c r="U236" s="164" t="str">
        <f>CONCATENATE(LEFT(SP_ACQ_Lib[[#This Row],[Tax Parcel ID]],7),"_",SP_ACQ_Lib[[#This Row],[ACQ Document Type]])</f>
        <v>R019376_CONTACT Letter of Intent-HDR</v>
      </c>
      <c r="V236" s="65" t="str">
        <f>INDEX(SP_AcqTract_DB[WCAD Tax Parcel ID],MATCH(SP_ACQ_Lib[[#This Row],[Acquisition Tract No.]],SP_AcqTract_DB[Acquisition Tract No.],0))</f>
        <v>R019376;#26</v>
      </c>
      <c r="W236" s="48" t="str">
        <f>INDEX(SP_TaxPar_DB[Acquisition Tract No.],MATCH(LEFT(SP_ACQ_Lib[[#This Row],[Tax Parcel ID]],7),SP_TaxPar_DB[Tax Parcel ID],0))</f>
        <v>215</v>
      </c>
      <c r="X236" s="238" t="str">
        <f>IF(OR(SP_ACQ_Lib[[#This Row],[Acquisition Tract No.]]="",SP_ACQ_Lib[[#This Row],[ACQ Document Type]]=""),0,CONCATENATE("COW-FRMP_TR-",SP_ACQ_Lib[[#This Row],[Acquisition Tract No.]]," ",SP_ACQ_Lib[[#This Row],[ACQ Document Type]]))</f>
        <v>COW-FRMP_TR-215 CONTACT Letter of Intent-HDR</v>
      </c>
      <c r="Y236" s="239">
        <f>IF(OR(SP_ACQ_Lib[[#This Row],[File Name Convention]]=0,LEFT(SP_ACQ_Lib[[#This Row],[Name]],LEN(SP_ACQ_Lib[[#This Row],[File Name Convention]]))&lt;&gt;SP_ACQ_Lib[[#This Row],[File Name Convention]],ISERROR(SEARCH(SP_ACQ_Lib[[#This Row],[ACQ Document Type]],SP_ACQ_Lib[[#This Row],[Name]]))),1,0)</f>
        <v>0</v>
      </c>
    </row>
    <row r="237" spans="1:25" ht="15" x14ac:dyDescent="0.2">
      <c r="A237" s="157" t="str">
        <f>CONCATENATE(SP_ACQ_Lib[[#This Row],[Acquisition Tract No.]],"_",SP_ACQ_Lib[[#This Row],[ACQ Document Type]])</f>
        <v>215_CONTACT Letter of Intent-HDR</v>
      </c>
      <c r="B237" s="14" t="s">
        <v>1474</v>
      </c>
      <c r="C237" s="15" t="s">
        <v>42</v>
      </c>
      <c r="D237" s="12" t="s">
        <v>630</v>
      </c>
      <c r="E237" s="8" t="s">
        <v>865</v>
      </c>
      <c r="F237" s="8" t="s">
        <v>1401</v>
      </c>
      <c r="G237" s="8" t="s">
        <v>1400</v>
      </c>
      <c r="H237" s="7" t="s">
        <v>592</v>
      </c>
      <c r="I237" s="16">
        <v>43765</v>
      </c>
      <c r="J237" s="16"/>
      <c r="K237" s="17"/>
      <c r="L237" s="3"/>
      <c r="M237" s="8" t="s">
        <v>23</v>
      </c>
      <c r="N237" s="11">
        <v>43770.449120370373</v>
      </c>
      <c r="O237" s="8" t="s">
        <v>1377</v>
      </c>
      <c r="P237" s="11">
        <v>43768.723900462966</v>
      </c>
      <c r="Q237" s="13">
        <v>324501</v>
      </c>
      <c r="R237" s="19" t="s">
        <v>594</v>
      </c>
      <c r="S237" s="14" t="s">
        <v>1631</v>
      </c>
      <c r="T237" s="163">
        <v>500</v>
      </c>
      <c r="U237" s="164" t="str">
        <f>CONCATENATE(LEFT(SP_ACQ_Lib[[#This Row],[Tax Parcel ID]],7),"_",SP_ACQ_Lib[[#This Row],[ACQ Document Type]])</f>
        <v>R019376_CONTACT Letter of Intent-HDR</v>
      </c>
      <c r="V237" s="65" t="str">
        <f>INDEX(SP_AcqTract_DB[WCAD Tax Parcel ID],MATCH(SP_ACQ_Lib[[#This Row],[Acquisition Tract No.]],SP_AcqTract_DB[Acquisition Tract No.],0))</f>
        <v>R019376;#26</v>
      </c>
      <c r="W237" s="48" t="str">
        <f>INDEX(SP_TaxPar_DB[Acquisition Tract No.],MATCH(LEFT(SP_ACQ_Lib[[#This Row],[Tax Parcel ID]],7),SP_TaxPar_DB[Tax Parcel ID],0))</f>
        <v>215</v>
      </c>
      <c r="X237" s="238" t="str">
        <f>IF(OR(SP_ACQ_Lib[[#This Row],[Acquisition Tract No.]]="",SP_ACQ_Lib[[#This Row],[ACQ Document Type]]=""),0,CONCATENATE("COW-FRMP_TR-",SP_ACQ_Lib[[#This Row],[Acquisition Tract No.]]," ",SP_ACQ_Lib[[#This Row],[ACQ Document Type]]))</f>
        <v>COW-FRMP_TR-215 CONTACT Letter of Intent-HDR</v>
      </c>
      <c r="Y237" s="239">
        <f>IF(OR(SP_ACQ_Lib[[#This Row],[File Name Convention]]=0,LEFT(SP_ACQ_Lib[[#This Row],[Name]],LEN(SP_ACQ_Lib[[#This Row],[File Name Convention]]))&lt;&gt;SP_ACQ_Lib[[#This Row],[File Name Convention]],ISERROR(SEARCH(SP_ACQ_Lib[[#This Row],[ACQ Document Type]],SP_ACQ_Lib[[#This Row],[Name]]))),1,0)</f>
        <v>0</v>
      </c>
    </row>
    <row r="238" spans="1:25" ht="15" x14ac:dyDescent="0.2">
      <c r="A238" s="157" t="str">
        <f>CONCATENATE(SP_ACQ_Lib[[#This Row],[Acquisition Tract No.]],"_",SP_ACQ_Lib[[#This Row],[ACQ Document Type]])</f>
        <v>215_CONTACT Negotiator Report</v>
      </c>
      <c r="B238" s="14" t="s">
        <v>3382</v>
      </c>
      <c r="C238" s="15" t="s">
        <v>42</v>
      </c>
      <c r="D238" s="12" t="s">
        <v>630</v>
      </c>
      <c r="E238" s="8" t="s">
        <v>865</v>
      </c>
      <c r="F238" s="8" t="s">
        <v>1068</v>
      </c>
      <c r="G238" s="8" t="s">
        <v>1067</v>
      </c>
      <c r="H238" s="7" t="s">
        <v>592</v>
      </c>
      <c r="I238" s="16"/>
      <c r="J238" s="16"/>
      <c r="K238" s="17"/>
      <c r="L238" s="3"/>
      <c r="M238" s="8" t="s">
        <v>4205</v>
      </c>
      <c r="N238" s="11">
        <v>43909.814629629633</v>
      </c>
      <c r="O238" s="8" t="s">
        <v>4325</v>
      </c>
      <c r="P238" s="11">
        <v>43732.570949074077</v>
      </c>
      <c r="Q238" s="13">
        <v>55810</v>
      </c>
      <c r="R238" s="19" t="s">
        <v>1069</v>
      </c>
      <c r="S238" s="14" t="s">
        <v>1086</v>
      </c>
      <c r="T238" s="163">
        <v>299</v>
      </c>
      <c r="U238" s="164" t="str">
        <f>CONCATENATE(LEFT(SP_ACQ_Lib[[#This Row],[Tax Parcel ID]],7),"_",SP_ACQ_Lib[[#This Row],[ACQ Document Type]])</f>
        <v>R019376_CONTACT Negotiator Report</v>
      </c>
      <c r="V238" s="65" t="str">
        <f>INDEX(SP_AcqTract_DB[WCAD Tax Parcel ID],MATCH(SP_ACQ_Lib[[#This Row],[Acquisition Tract No.]],SP_AcqTract_DB[Acquisition Tract No.],0))</f>
        <v>R019376;#26</v>
      </c>
      <c r="W238" s="48" t="str">
        <f>INDEX(SP_TaxPar_DB[Acquisition Tract No.],MATCH(LEFT(SP_ACQ_Lib[[#This Row],[Tax Parcel ID]],7),SP_TaxPar_DB[Tax Parcel ID],0))</f>
        <v>215</v>
      </c>
      <c r="X238" s="238" t="str">
        <f>IF(OR(SP_ACQ_Lib[[#This Row],[Acquisition Tract No.]]="",SP_ACQ_Lib[[#This Row],[ACQ Document Type]]=""),0,CONCATENATE("COW-FRMP_TR-",SP_ACQ_Lib[[#This Row],[Acquisition Tract No.]]," ",SP_ACQ_Lib[[#This Row],[ACQ Document Type]]))</f>
        <v>COW-FRMP_TR-215 CONTACT Negotiator Report</v>
      </c>
      <c r="Y238" s="239">
        <f>IF(OR(SP_ACQ_Lib[[#This Row],[File Name Convention]]=0,LEFT(SP_ACQ_Lib[[#This Row],[Name]],LEN(SP_ACQ_Lib[[#This Row],[File Name Convention]]))&lt;&gt;SP_ACQ_Lib[[#This Row],[File Name Convention]],ISERROR(SEARCH(SP_ACQ_Lib[[#This Row],[ACQ Document Type]],SP_ACQ_Lib[[#This Row],[Name]]))),1,0)</f>
        <v>0</v>
      </c>
    </row>
    <row r="239" spans="1:25" ht="15" x14ac:dyDescent="0.2">
      <c r="A239" s="157" t="str">
        <f>CONCATENATE(SP_ACQ_Lib[[#This Row],[Acquisition Tract No.]],"_",SP_ACQ_Lib[[#This Row],[ACQ Document Type]])</f>
        <v>215_CONTACT Negotiator Report</v>
      </c>
      <c r="B239" s="14" t="s">
        <v>4965</v>
      </c>
      <c r="C239" s="15" t="s">
        <v>42</v>
      </c>
      <c r="D239" s="12" t="s">
        <v>630</v>
      </c>
      <c r="E239" s="8" t="s">
        <v>865</v>
      </c>
      <c r="F239" s="8" t="s">
        <v>1068</v>
      </c>
      <c r="G239" s="8" t="s">
        <v>1067</v>
      </c>
      <c r="H239" s="7" t="s">
        <v>592</v>
      </c>
      <c r="I239" s="16"/>
      <c r="J239" s="16"/>
      <c r="K239" s="17"/>
      <c r="L239" s="3"/>
      <c r="M239" s="8" t="s">
        <v>1743</v>
      </c>
      <c r="N239" s="11">
        <v>44019.770972222221</v>
      </c>
      <c r="O239" s="8" t="s">
        <v>1743</v>
      </c>
      <c r="P239" s="11">
        <v>43945.665937500002</v>
      </c>
      <c r="Q239" s="13">
        <v>458159</v>
      </c>
      <c r="R239" s="19" t="s">
        <v>1069</v>
      </c>
      <c r="S239" s="14" t="s">
        <v>4971</v>
      </c>
      <c r="T239" s="163">
        <v>834</v>
      </c>
      <c r="U239" s="164" t="str">
        <f>CONCATENATE(LEFT(SP_ACQ_Lib[[#This Row],[Tax Parcel ID]],7),"_",SP_ACQ_Lib[[#This Row],[ACQ Document Type]])</f>
        <v>R019376_CONTACT Negotiator Report</v>
      </c>
      <c r="V239" s="65" t="str">
        <f>INDEX(SP_AcqTract_DB[WCAD Tax Parcel ID],MATCH(SP_ACQ_Lib[[#This Row],[Acquisition Tract No.]],SP_AcqTract_DB[Acquisition Tract No.],0))</f>
        <v>R019376;#26</v>
      </c>
      <c r="W239" s="48" t="str">
        <f>INDEX(SP_TaxPar_DB[Acquisition Tract No.],MATCH(LEFT(SP_ACQ_Lib[[#This Row],[Tax Parcel ID]],7),SP_TaxPar_DB[Tax Parcel ID],0))</f>
        <v>215</v>
      </c>
      <c r="X239" s="238" t="str">
        <f>IF(OR(SP_ACQ_Lib[[#This Row],[Acquisition Tract No.]]="",SP_ACQ_Lib[[#This Row],[ACQ Document Type]]=""),0,CONCATENATE("COW-FRMP_TR-",SP_ACQ_Lib[[#This Row],[Acquisition Tract No.]]," ",SP_ACQ_Lib[[#This Row],[ACQ Document Type]]))</f>
        <v>COW-FRMP_TR-215 CONTACT Negotiator Report</v>
      </c>
      <c r="Y239" s="239">
        <f>IF(OR(SP_ACQ_Lib[[#This Row],[File Name Convention]]=0,LEFT(SP_ACQ_Lib[[#This Row],[Name]],LEN(SP_ACQ_Lib[[#This Row],[File Name Convention]]))&lt;&gt;SP_ACQ_Lib[[#This Row],[File Name Convention]],ISERROR(SEARCH(SP_ACQ_Lib[[#This Row],[ACQ Document Type]],SP_ACQ_Lib[[#This Row],[Name]]))),1,0)</f>
        <v>0</v>
      </c>
    </row>
    <row r="240" spans="1:25" ht="15" x14ac:dyDescent="0.2">
      <c r="A240" s="157" t="str">
        <f>CONCATENATE(SP_ACQ_Lib[[#This Row],[Acquisition Tract No.]],"_",SP_ACQ_Lib[[#This Row],[ACQ Document Type]])</f>
        <v>215_CONTACT Pre-Appraisal Contact with Owner</v>
      </c>
      <c r="B240" s="14" t="s">
        <v>3383</v>
      </c>
      <c r="C240" s="15" t="s">
        <v>42</v>
      </c>
      <c r="D240" s="12" t="s">
        <v>630</v>
      </c>
      <c r="E240" s="8" t="s">
        <v>865</v>
      </c>
      <c r="F240" s="8" t="s">
        <v>1748</v>
      </c>
      <c r="G240" s="8" t="s">
        <v>1747</v>
      </c>
      <c r="H240" s="7" t="s">
        <v>592</v>
      </c>
      <c r="I240" s="16">
        <v>43788</v>
      </c>
      <c r="J240" s="16"/>
      <c r="K240" s="17"/>
      <c r="L240" s="3"/>
      <c r="M240" s="8" t="s">
        <v>4206</v>
      </c>
      <c r="N240" s="11">
        <v>43872.549189814818</v>
      </c>
      <c r="O240" s="8" t="s">
        <v>1272</v>
      </c>
      <c r="P240" s="11">
        <v>43822.641481481478</v>
      </c>
      <c r="Q240" s="13">
        <v>1621104</v>
      </c>
      <c r="R240" s="19" t="s">
        <v>594</v>
      </c>
      <c r="S240" s="14" t="s">
        <v>1775</v>
      </c>
      <c r="T240" s="163">
        <v>677</v>
      </c>
      <c r="U240" s="164" t="str">
        <f>CONCATENATE(LEFT(SP_ACQ_Lib[[#This Row],[Tax Parcel ID]],7),"_",SP_ACQ_Lib[[#This Row],[ACQ Document Type]])</f>
        <v>R019376_CONTACT Pre-Appraisal Contact with Owner</v>
      </c>
      <c r="V240" s="65" t="str">
        <f>INDEX(SP_AcqTract_DB[WCAD Tax Parcel ID],MATCH(SP_ACQ_Lib[[#This Row],[Acquisition Tract No.]],SP_AcqTract_DB[Acquisition Tract No.],0))</f>
        <v>R019376;#26</v>
      </c>
      <c r="W240" s="48" t="str">
        <f>INDEX(SP_TaxPar_DB[Acquisition Tract No.],MATCH(LEFT(SP_ACQ_Lib[[#This Row],[Tax Parcel ID]],7),SP_TaxPar_DB[Tax Parcel ID],0))</f>
        <v>215</v>
      </c>
      <c r="X240" s="238" t="str">
        <f>IF(OR(SP_ACQ_Lib[[#This Row],[Acquisition Tract No.]]="",SP_ACQ_Lib[[#This Row],[ACQ Document Type]]=""),0,CONCATENATE("COW-FRMP_TR-",SP_ACQ_Lib[[#This Row],[Acquisition Tract No.]]," ",SP_ACQ_Lib[[#This Row],[ACQ Document Type]]))</f>
        <v>COW-FRMP_TR-215 CONTACT Pre-Appraisal Contact with Owner</v>
      </c>
      <c r="Y240" s="239">
        <f>IF(OR(SP_ACQ_Lib[[#This Row],[File Name Convention]]=0,LEFT(SP_ACQ_Lib[[#This Row],[Name]],LEN(SP_ACQ_Lib[[#This Row],[File Name Convention]]))&lt;&gt;SP_ACQ_Lib[[#This Row],[File Name Convention]],ISERROR(SEARCH(SP_ACQ_Lib[[#This Row],[ACQ Document Type]],SP_ACQ_Lib[[#This Row],[Name]]))),1,0)</f>
        <v>0</v>
      </c>
    </row>
    <row r="241" spans="1:25" ht="15" x14ac:dyDescent="0.2">
      <c r="A241" s="157" t="str">
        <f>CONCATENATE(SP_ACQ_Lib[[#This Row],[Acquisition Tract No.]],"_",SP_ACQ_Lib[[#This Row],[ACQ Document Type]])</f>
        <v>215_NEGOTIATION Landowner Bill of Rights Letter</v>
      </c>
      <c r="B241" s="14" t="s">
        <v>3443</v>
      </c>
      <c r="C241" s="15" t="s">
        <v>42</v>
      </c>
      <c r="D241" s="12" t="s">
        <v>630</v>
      </c>
      <c r="E241" s="8" t="s">
        <v>1142</v>
      </c>
      <c r="F241" s="8" t="s">
        <v>1746</v>
      </c>
      <c r="G241" s="8" t="s">
        <v>1745</v>
      </c>
      <c r="H241" s="7" t="s">
        <v>592</v>
      </c>
      <c r="I241" s="16">
        <v>43748</v>
      </c>
      <c r="J241" s="16"/>
      <c r="K241" s="17"/>
      <c r="L241" s="3"/>
      <c r="M241" s="8" t="s">
        <v>4206</v>
      </c>
      <c r="N241" s="11">
        <v>43872.560219907406</v>
      </c>
      <c r="O241" s="8" t="s">
        <v>4325</v>
      </c>
      <c r="P241" s="11">
        <v>43752.481956018521</v>
      </c>
      <c r="Q241" s="13">
        <v>350040</v>
      </c>
      <c r="R241" s="19" t="s">
        <v>594</v>
      </c>
      <c r="S241" s="14" t="s">
        <v>1199</v>
      </c>
      <c r="T241" s="163">
        <v>430</v>
      </c>
      <c r="U241" s="164" t="str">
        <f>CONCATENATE(LEFT(SP_ACQ_Lib[[#This Row],[Tax Parcel ID]],7),"_",SP_ACQ_Lib[[#This Row],[ACQ Document Type]])</f>
        <v>R019376_NEGOTIATION Landowner Bill of Rights Letter</v>
      </c>
      <c r="V241" s="65" t="str">
        <f>INDEX(SP_AcqTract_DB[WCAD Tax Parcel ID],MATCH(SP_ACQ_Lib[[#This Row],[Acquisition Tract No.]],SP_AcqTract_DB[Acquisition Tract No.],0))</f>
        <v>R019376;#26</v>
      </c>
      <c r="W241" s="48" t="str">
        <f>INDEX(SP_TaxPar_DB[Acquisition Tract No.],MATCH(LEFT(SP_ACQ_Lib[[#This Row],[Tax Parcel ID]],7),SP_TaxPar_DB[Tax Parcel ID],0))</f>
        <v>215</v>
      </c>
      <c r="X241" s="238" t="str">
        <f>IF(OR(SP_ACQ_Lib[[#This Row],[Acquisition Tract No.]]="",SP_ACQ_Lib[[#This Row],[ACQ Document Type]]=""),0,CONCATENATE("COW-FRMP_TR-",SP_ACQ_Lib[[#This Row],[Acquisition Tract No.]]," ",SP_ACQ_Lib[[#This Row],[ACQ Document Type]]))</f>
        <v>COW-FRMP_TR-215 NEGOTIATION Landowner Bill of Rights Letter</v>
      </c>
      <c r="Y241" s="239">
        <f>IF(OR(SP_ACQ_Lib[[#This Row],[File Name Convention]]=0,LEFT(SP_ACQ_Lib[[#This Row],[Name]],LEN(SP_ACQ_Lib[[#This Row],[File Name Convention]]))&lt;&gt;SP_ACQ_Lib[[#This Row],[File Name Convention]],ISERROR(SEARCH(SP_ACQ_Lib[[#This Row],[ACQ Document Type]],SP_ACQ_Lib[[#This Row],[Name]]))),1,0)</f>
        <v>0</v>
      </c>
    </row>
    <row r="242" spans="1:25" ht="15" x14ac:dyDescent="0.2">
      <c r="A242" s="157" t="str">
        <f>CONCATENATE(SP_ACQ_Lib[[#This Row],[Acquisition Tract No.]],"_",SP_ACQ_Lib[[#This Row],[ACQ Document Type]])</f>
        <v>215_SURVEY Description-Plat_CITY</v>
      </c>
      <c r="B242" s="14" t="s">
        <v>3524</v>
      </c>
      <c r="C242" s="15" t="s">
        <v>42</v>
      </c>
      <c r="D242" s="12" t="s">
        <v>630</v>
      </c>
      <c r="E242" s="8" t="s">
        <v>858</v>
      </c>
      <c r="F242" s="8" t="s">
        <v>3503</v>
      </c>
      <c r="G242" s="8" t="s">
        <v>3502</v>
      </c>
      <c r="H242" s="7" t="s">
        <v>1749</v>
      </c>
      <c r="I242" s="16">
        <v>43767</v>
      </c>
      <c r="J242" s="16">
        <v>43886</v>
      </c>
      <c r="K242" s="17"/>
      <c r="L242" s="3"/>
      <c r="M242" s="8" t="s">
        <v>4207</v>
      </c>
      <c r="N242" s="11">
        <v>43979.306111111109</v>
      </c>
      <c r="O242" s="8" t="s">
        <v>4206</v>
      </c>
      <c r="P242" s="11">
        <v>43886.642071759263</v>
      </c>
      <c r="Q242" s="13">
        <v>237602</v>
      </c>
      <c r="R242" s="19" t="s">
        <v>594</v>
      </c>
      <c r="S242" s="14" t="s">
        <v>3547</v>
      </c>
      <c r="T242" s="163">
        <v>1019</v>
      </c>
      <c r="U242" s="164" t="str">
        <f>CONCATENATE(LEFT(SP_ACQ_Lib[[#This Row],[Tax Parcel ID]],7),"_",SP_ACQ_Lib[[#This Row],[ACQ Document Type]])</f>
        <v>R019376_SURVEY Description-Plat_CITY</v>
      </c>
      <c r="V242" s="65" t="str">
        <f>INDEX(SP_AcqTract_DB[WCAD Tax Parcel ID],MATCH(SP_ACQ_Lib[[#This Row],[Acquisition Tract No.]],SP_AcqTract_DB[Acquisition Tract No.],0))</f>
        <v>R019376;#26</v>
      </c>
      <c r="W242" s="48" t="str">
        <f>INDEX(SP_TaxPar_DB[Acquisition Tract No.],MATCH(LEFT(SP_ACQ_Lib[[#This Row],[Tax Parcel ID]],7),SP_TaxPar_DB[Tax Parcel ID],0))</f>
        <v>215</v>
      </c>
      <c r="X242" s="238" t="str">
        <f>IF(OR(SP_ACQ_Lib[[#This Row],[Acquisition Tract No.]]="",SP_ACQ_Lib[[#This Row],[ACQ Document Type]]=""),0,CONCATENATE("COW-FRMP_TR-",SP_ACQ_Lib[[#This Row],[Acquisition Tract No.]]," ",SP_ACQ_Lib[[#This Row],[ACQ Document Type]]))</f>
        <v>COW-FRMP_TR-215 SURVEY Description-Plat_CITY</v>
      </c>
      <c r="Y242" s="239">
        <f>IF(OR(SP_ACQ_Lib[[#This Row],[File Name Convention]]=0,LEFT(SP_ACQ_Lib[[#This Row],[Name]],LEN(SP_ACQ_Lib[[#This Row],[File Name Convention]]))&lt;&gt;SP_ACQ_Lib[[#This Row],[File Name Convention]],ISERROR(SEARCH(SP_ACQ_Lib[[#This Row],[ACQ Document Type]],SP_ACQ_Lib[[#This Row],[Name]]))),1,0)</f>
        <v>0</v>
      </c>
    </row>
    <row r="243" spans="1:25" ht="15" x14ac:dyDescent="0.2">
      <c r="A243" s="157" t="str">
        <f>CONCATENATE(SP_ACQ_Lib[[#This Row],[Acquisition Tract No.]],"_",SP_ACQ_Lib[[#This Row],[ACQ Document Type]])</f>
        <v>215_SURVEY Description-Plat_USACOE</v>
      </c>
      <c r="B243" s="14" t="s">
        <v>6026</v>
      </c>
      <c r="C243" s="15" t="s">
        <v>42</v>
      </c>
      <c r="D243" s="12" t="s">
        <v>630</v>
      </c>
      <c r="E243" s="8" t="s">
        <v>858</v>
      </c>
      <c r="F243" s="8" t="s">
        <v>3510</v>
      </c>
      <c r="G243" s="8" t="s">
        <v>3509</v>
      </c>
      <c r="H243" s="7" t="s">
        <v>592</v>
      </c>
      <c r="I243" s="16">
        <v>43991</v>
      </c>
      <c r="J243" s="16">
        <v>43993</v>
      </c>
      <c r="K243" s="17"/>
      <c r="L243" s="3"/>
      <c r="M243" s="8" t="s">
        <v>4206</v>
      </c>
      <c r="N243" s="11">
        <v>43994.372604166667</v>
      </c>
      <c r="O243" s="8" t="s">
        <v>4206</v>
      </c>
      <c r="P243" s="11">
        <v>43994.366655092592</v>
      </c>
      <c r="Q243" s="13">
        <v>497571</v>
      </c>
      <c r="R243" s="19" t="s">
        <v>594</v>
      </c>
      <c r="S243" s="14" t="s">
        <v>6047</v>
      </c>
      <c r="T243" s="163">
        <v>1189</v>
      </c>
      <c r="U243" s="164" t="str">
        <f>CONCATENATE(LEFT(SP_ACQ_Lib[[#This Row],[Tax Parcel ID]],7),"_",SP_ACQ_Lib[[#This Row],[ACQ Document Type]])</f>
        <v>R019376_SURVEY Description-Plat_USACOE</v>
      </c>
      <c r="V243" s="65" t="str">
        <f>INDEX(SP_AcqTract_DB[WCAD Tax Parcel ID],MATCH(SP_ACQ_Lib[[#This Row],[Acquisition Tract No.]],SP_AcqTract_DB[Acquisition Tract No.],0))</f>
        <v>R019376;#26</v>
      </c>
      <c r="W243" s="48" t="str">
        <f>INDEX(SP_TaxPar_DB[Acquisition Tract No.],MATCH(LEFT(SP_ACQ_Lib[[#This Row],[Tax Parcel ID]],7),SP_TaxPar_DB[Tax Parcel ID],0))</f>
        <v>215</v>
      </c>
      <c r="X243" s="238" t="str">
        <f>IF(OR(SP_ACQ_Lib[[#This Row],[Acquisition Tract No.]]="",SP_ACQ_Lib[[#This Row],[ACQ Document Type]]=""),0,CONCATENATE("COW-FRMP_TR-",SP_ACQ_Lib[[#This Row],[Acquisition Tract No.]]," ",SP_ACQ_Lib[[#This Row],[ACQ Document Type]]))</f>
        <v>COW-FRMP_TR-215 SURVEY Description-Plat_USACOE</v>
      </c>
      <c r="Y243" s="239">
        <f>IF(OR(SP_ACQ_Lib[[#This Row],[File Name Convention]]=0,LEFT(SP_ACQ_Lib[[#This Row],[Name]],LEN(SP_ACQ_Lib[[#This Row],[File Name Convention]]))&lt;&gt;SP_ACQ_Lib[[#This Row],[File Name Convention]],ISERROR(SEARCH(SP_ACQ_Lib[[#This Row],[ACQ Document Type]],SP_ACQ_Lib[[#This Row],[Name]]))),1,0)</f>
        <v>0</v>
      </c>
    </row>
    <row r="244" spans="1:25" ht="15" x14ac:dyDescent="0.2">
      <c r="A244" s="157" t="str">
        <f>CONCATENATE(SP_ACQ_Lib[[#This Row],[Acquisition Tract No.]],"_",SP_ACQ_Lib[[#This Row],[ACQ Document Type]])</f>
        <v>215_SURVEY Right-of-Entry</v>
      </c>
      <c r="B244" s="14" t="s">
        <v>4576</v>
      </c>
      <c r="C244" s="15" t="s">
        <v>42</v>
      </c>
      <c r="D244" s="12" t="s">
        <v>630</v>
      </c>
      <c r="E244" s="8" t="s">
        <v>858</v>
      </c>
      <c r="F244" s="8" t="s">
        <v>859</v>
      </c>
      <c r="G244" s="8" t="s">
        <v>591</v>
      </c>
      <c r="H244" s="7" t="s">
        <v>592</v>
      </c>
      <c r="I244" s="16">
        <v>43676</v>
      </c>
      <c r="J244" s="16"/>
      <c r="K244" s="17"/>
      <c r="L244" s="3"/>
      <c r="M244" s="8" t="s">
        <v>4206</v>
      </c>
      <c r="N244" s="11">
        <v>43922.375787037039</v>
      </c>
      <c r="O244" s="8" t="s">
        <v>4325</v>
      </c>
      <c r="P244" s="11">
        <v>43686.632372685184</v>
      </c>
      <c r="Q244" s="13">
        <v>535881</v>
      </c>
      <c r="R244" s="19" t="s">
        <v>594</v>
      </c>
      <c r="S244" s="14" t="s">
        <v>750</v>
      </c>
      <c r="T244" s="163">
        <v>9</v>
      </c>
      <c r="U244" s="164" t="str">
        <f>CONCATENATE(LEFT(SP_ACQ_Lib[[#This Row],[Tax Parcel ID]],7),"_",SP_ACQ_Lib[[#This Row],[ACQ Document Type]])</f>
        <v>R019376_SURVEY Right-of-Entry</v>
      </c>
      <c r="V244" s="65" t="str">
        <f>INDEX(SP_AcqTract_DB[WCAD Tax Parcel ID],MATCH(SP_ACQ_Lib[[#This Row],[Acquisition Tract No.]],SP_AcqTract_DB[Acquisition Tract No.],0))</f>
        <v>R019376;#26</v>
      </c>
      <c r="W244" s="48" t="str">
        <f>INDEX(SP_TaxPar_DB[Acquisition Tract No.],MATCH(LEFT(SP_ACQ_Lib[[#This Row],[Tax Parcel ID]],7),SP_TaxPar_DB[Tax Parcel ID],0))</f>
        <v>215</v>
      </c>
      <c r="X244" s="238" t="str">
        <f>IF(OR(SP_ACQ_Lib[[#This Row],[Acquisition Tract No.]]="",SP_ACQ_Lib[[#This Row],[ACQ Document Type]]=""),0,CONCATENATE("COW-FRMP_TR-",SP_ACQ_Lib[[#This Row],[Acquisition Tract No.]]," ",SP_ACQ_Lib[[#This Row],[ACQ Document Type]]))</f>
        <v>COW-FRMP_TR-215 SURVEY Right-of-Entry</v>
      </c>
      <c r="Y244" s="239">
        <f>IF(OR(SP_ACQ_Lib[[#This Row],[File Name Convention]]=0,LEFT(SP_ACQ_Lib[[#This Row],[Name]],LEN(SP_ACQ_Lib[[#This Row],[File Name Convention]]))&lt;&gt;SP_ACQ_Lib[[#This Row],[File Name Convention]],ISERROR(SEARCH(SP_ACQ_Lib[[#This Row],[ACQ Document Type]],SP_ACQ_Lib[[#This Row],[Name]]))),1,0)</f>
        <v>0</v>
      </c>
    </row>
    <row r="245" spans="1:25" ht="15" x14ac:dyDescent="0.2">
      <c r="A245" s="157" t="str">
        <f>CONCATENATE(SP_ACQ_Lib[[#This Row],[Acquisition Tract No.]],"_",SP_ACQ_Lib[[#This Row],[ACQ Document Type]])</f>
        <v>215_TITLE Commitment</v>
      </c>
      <c r="B245" s="14" t="s">
        <v>1475</v>
      </c>
      <c r="C245" s="15" t="s">
        <v>42</v>
      </c>
      <c r="D245" s="12" t="s">
        <v>630</v>
      </c>
      <c r="E245" s="8" t="s">
        <v>861</v>
      </c>
      <c r="F245" s="8" t="s">
        <v>862</v>
      </c>
      <c r="G245" s="8" t="s">
        <v>614</v>
      </c>
      <c r="H245" s="7" t="s">
        <v>592</v>
      </c>
      <c r="I245" s="16">
        <v>44013</v>
      </c>
      <c r="J245" s="16">
        <v>44014</v>
      </c>
      <c r="K245" s="17"/>
      <c r="L245" s="3" t="s">
        <v>6480</v>
      </c>
      <c r="M245" s="8" t="s">
        <v>4325</v>
      </c>
      <c r="N245" s="11">
        <v>44018.417384259257</v>
      </c>
      <c r="O245" s="8" t="s">
        <v>4326</v>
      </c>
      <c r="P245" s="11">
        <v>43689.597581018519</v>
      </c>
      <c r="Q245" s="13">
        <v>1933110</v>
      </c>
      <c r="R245" s="19" t="s">
        <v>594</v>
      </c>
      <c r="S245" s="14" t="s">
        <v>751</v>
      </c>
      <c r="T245" s="163">
        <v>31</v>
      </c>
      <c r="U245" s="164" t="str">
        <f>CONCATENATE(LEFT(SP_ACQ_Lib[[#This Row],[Tax Parcel ID]],7),"_",SP_ACQ_Lib[[#This Row],[ACQ Document Type]])</f>
        <v>R019376_TITLE Commitment</v>
      </c>
      <c r="V245" s="65" t="str">
        <f>INDEX(SP_AcqTract_DB[WCAD Tax Parcel ID],MATCH(SP_ACQ_Lib[[#This Row],[Acquisition Tract No.]],SP_AcqTract_DB[Acquisition Tract No.],0))</f>
        <v>R019376;#26</v>
      </c>
      <c r="W245" s="48" t="str">
        <f>INDEX(SP_TaxPar_DB[Acquisition Tract No.],MATCH(LEFT(SP_ACQ_Lib[[#This Row],[Tax Parcel ID]],7),SP_TaxPar_DB[Tax Parcel ID],0))</f>
        <v>215</v>
      </c>
      <c r="X245" s="238" t="str">
        <f>IF(OR(SP_ACQ_Lib[[#This Row],[Acquisition Tract No.]]="",SP_ACQ_Lib[[#This Row],[ACQ Document Type]]=""),0,CONCATENATE("COW-FRMP_TR-",SP_ACQ_Lib[[#This Row],[Acquisition Tract No.]]," ",SP_ACQ_Lib[[#This Row],[ACQ Document Type]]))</f>
        <v>COW-FRMP_TR-215 TITLE Commitment</v>
      </c>
      <c r="Y245" s="239">
        <f>IF(OR(SP_ACQ_Lib[[#This Row],[File Name Convention]]=0,LEFT(SP_ACQ_Lib[[#This Row],[Name]],LEN(SP_ACQ_Lib[[#This Row],[File Name Convention]]))&lt;&gt;SP_ACQ_Lib[[#This Row],[File Name Convention]],ISERROR(SEARCH(SP_ACQ_Lib[[#This Row],[ACQ Document Type]],SP_ACQ_Lib[[#This Row],[Name]]))),1,0)</f>
        <v>0</v>
      </c>
    </row>
    <row r="246" spans="1:25" ht="15" x14ac:dyDescent="0.2">
      <c r="A246" s="157" t="str">
        <f>CONCATENATE(SP_ACQ_Lib[[#This Row],[Acquisition Tract No.]],"_",SP_ACQ_Lib[[#This Row],[ACQ Document Type]])</f>
        <v>215_TITLE Commitment Backup Docs</v>
      </c>
      <c r="B246" s="14" t="s">
        <v>1476</v>
      </c>
      <c r="C246" s="15" t="s">
        <v>42</v>
      </c>
      <c r="D246" s="12" t="s">
        <v>630</v>
      </c>
      <c r="E246" s="8" t="s">
        <v>861</v>
      </c>
      <c r="F246" s="8" t="s">
        <v>863</v>
      </c>
      <c r="G246" s="8" t="s">
        <v>616</v>
      </c>
      <c r="H246" s="7" t="s">
        <v>592</v>
      </c>
      <c r="I246" s="16"/>
      <c r="J246" s="16"/>
      <c r="K246" s="17"/>
      <c r="L246" s="3"/>
      <c r="M246" s="8" t="s">
        <v>4325</v>
      </c>
      <c r="N246" s="11">
        <v>43868.697187500002</v>
      </c>
      <c r="O246" s="8" t="s">
        <v>4326</v>
      </c>
      <c r="P246" s="11">
        <v>43689.598113425927</v>
      </c>
      <c r="Q246" s="13">
        <v>2414620</v>
      </c>
      <c r="R246" s="19" t="s">
        <v>594</v>
      </c>
      <c r="S246" s="14" t="s">
        <v>752</v>
      </c>
      <c r="T246" s="163">
        <v>32</v>
      </c>
      <c r="U246" s="164" t="str">
        <f>CONCATENATE(LEFT(SP_ACQ_Lib[[#This Row],[Tax Parcel ID]],7),"_",SP_ACQ_Lib[[#This Row],[ACQ Document Type]])</f>
        <v>R019376_TITLE Commitment Backup Docs</v>
      </c>
      <c r="V246" s="65" t="str">
        <f>INDEX(SP_AcqTract_DB[WCAD Tax Parcel ID],MATCH(SP_ACQ_Lib[[#This Row],[Acquisition Tract No.]],SP_AcqTract_DB[Acquisition Tract No.],0))</f>
        <v>R019376;#26</v>
      </c>
      <c r="W246" s="48" t="str">
        <f>INDEX(SP_TaxPar_DB[Acquisition Tract No.],MATCH(LEFT(SP_ACQ_Lib[[#This Row],[Tax Parcel ID]],7),SP_TaxPar_DB[Tax Parcel ID],0))</f>
        <v>215</v>
      </c>
      <c r="X246" s="238" t="str">
        <f>IF(OR(SP_ACQ_Lib[[#This Row],[Acquisition Tract No.]]="",SP_ACQ_Lib[[#This Row],[ACQ Document Type]]=""),0,CONCATENATE("COW-FRMP_TR-",SP_ACQ_Lib[[#This Row],[Acquisition Tract No.]]," ",SP_ACQ_Lib[[#This Row],[ACQ Document Type]]))</f>
        <v>COW-FRMP_TR-215 TITLE Commitment Backup Docs</v>
      </c>
      <c r="Y246" s="239">
        <f>IF(OR(SP_ACQ_Lib[[#This Row],[File Name Convention]]=0,LEFT(SP_ACQ_Lib[[#This Row],[Name]],LEN(SP_ACQ_Lib[[#This Row],[File Name Convention]]))&lt;&gt;SP_ACQ_Lib[[#This Row],[File Name Convention]],ISERROR(SEARCH(SP_ACQ_Lib[[#This Row],[ACQ Document Type]],SP_ACQ_Lib[[#This Row],[Name]]))),1,0)</f>
        <v>0</v>
      </c>
    </row>
    <row r="247" spans="1:25" ht="15" x14ac:dyDescent="0.2">
      <c r="A247" s="157" t="str">
        <f>CONCATENATE(SP_ACQ_Lib[[#This Row],[Acquisition Tract No.]],"_",SP_ACQ_Lib[[#This Row],[ACQ Document Type]])</f>
        <v>215_TITLE Curative Plan</v>
      </c>
      <c r="B247" s="14" t="s">
        <v>1477</v>
      </c>
      <c r="C247" s="15" t="s">
        <v>42</v>
      </c>
      <c r="D247" s="12" t="s">
        <v>630</v>
      </c>
      <c r="E247" s="8" t="s">
        <v>861</v>
      </c>
      <c r="F247" s="8" t="s">
        <v>864</v>
      </c>
      <c r="G247" s="8" t="s">
        <v>617</v>
      </c>
      <c r="H247" s="7" t="s">
        <v>592</v>
      </c>
      <c r="I247" s="16">
        <v>43809</v>
      </c>
      <c r="J247" s="16"/>
      <c r="K247" s="17"/>
      <c r="L247" s="3"/>
      <c r="M247" s="8" t="s">
        <v>4325</v>
      </c>
      <c r="N247" s="11">
        <v>44020.435624999998</v>
      </c>
      <c r="O247" s="8" t="s">
        <v>4326</v>
      </c>
      <c r="P247" s="11">
        <v>43745.47587962963</v>
      </c>
      <c r="Q247" s="13">
        <v>36762</v>
      </c>
      <c r="R247" s="19" t="s">
        <v>594</v>
      </c>
      <c r="S247" s="14" t="s">
        <v>1200</v>
      </c>
      <c r="T247" s="163">
        <v>392</v>
      </c>
      <c r="U247" s="164" t="str">
        <f>CONCATENATE(LEFT(SP_ACQ_Lib[[#This Row],[Tax Parcel ID]],7),"_",SP_ACQ_Lib[[#This Row],[ACQ Document Type]])</f>
        <v>R019376_TITLE Curative Plan</v>
      </c>
      <c r="V247" s="65" t="str">
        <f>INDEX(SP_AcqTract_DB[WCAD Tax Parcel ID],MATCH(SP_ACQ_Lib[[#This Row],[Acquisition Tract No.]],SP_AcqTract_DB[Acquisition Tract No.],0))</f>
        <v>R019376;#26</v>
      </c>
      <c r="W247" s="48" t="str">
        <f>INDEX(SP_TaxPar_DB[Acquisition Tract No.],MATCH(LEFT(SP_ACQ_Lib[[#This Row],[Tax Parcel ID]],7),SP_TaxPar_DB[Tax Parcel ID],0))</f>
        <v>215</v>
      </c>
      <c r="X247" s="238" t="str">
        <f>IF(OR(SP_ACQ_Lib[[#This Row],[Acquisition Tract No.]]="",SP_ACQ_Lib[[#This Row],[ACQ Document Type]]=""),0,CONCATENATE("COW-FRMP_TR-",SP_ACQ_Lib[[#This Row],[Acquisition Tract No.]]," ",SP_ACQ_Lib[[#This Row],[ACQ Document Type]]))</f>
        <v>COW-FRMP_TR-215 TITLE Curative Plan</v>
      </c>
      <c r="Y247" s="239">
        <f>IF(OR(SP_ACQ_Lib[[#This Row],[File Name Convention]]=0,LEFT(SP_ACQ_Lib[[#This Row],[Name]],LEN(SP_ACQ_Lib[[#This Row],[File Name Convention]]))&lt;&gt;SP_ACQ_Lib[[#This Row],[File Name Convention]],ISERROR(SEARCH(SP_ACQ_Lib[[#This Row],[ACQ Document Type]],SP_ACQ_Lib[[#This Row],[Name]]))),1,0)</f>
        <v>0</v>
      </c>
    </row>
    <row r="248" spans="1:25" ht="15" x14ac:dyDescent="0.2">
      <c r="A248" s="157" t="str">
        <f>CONCATENATE(SP_ACQ_Lib[[#This Row],[Acquisition Tract No.]],"_",SP_ACQ_Lib[[#This Row],[ACQ Document Type]])</f>
        <v>215_TITLE Tax Card</v>
      </c>
      <c r="B248" s="14" t="s">
        <v>3444</v>
      </c>
      <c r="C248" s="15" t="s">
        <v>42</v>
      </c>
      <c r="D248" s="12" t="s">
        <v>630</v>
      </c>
      <c r="E248" s="8" t="s">
        <v>861</v>
      </c>
      <c r="F248" s="8" t="s">
        <v>1150</v>
      </c>
      <c r="G248" s="8" t="s">
        <v>1149</v>
      </c>
      <c r="H248" s="7" t="s">
        <v>592</v>
      </c>
      <c r="I248" s="16"/>
      <c r="J248" s="16"/>
      <c r="K248" s="17"/>
      <c r="L248" s="3"/>
      <c r="M248" s="8" t="s">
        <v>4206</v>
      </c>
      <c r="N248" s="11">
        <v>43874.591481481482</v>
      </c>
      <c r="O248" s="8" t="s">
        <v>1272</v>
      </c>
      <c r="P248" s="11">
        <v>43817.464837962965</v>
      </c>
      <c r="Q248" s="13">
        <v>577295</v>
      </c>
      <c r="R248" s="19" t="s">
        <v>594</v>
      </c>
      <c r="S248" s="14" t="s">
        <v>1776</v>
      </c>
      <c r="T248" s="163">
        <v>596</v>
      </c>
      <c r="U248" s="164" t="str">
        <f>CONCATENATE(LEFT(SP_ACQ_Lib[[#This Row],[Tax Parcel ID]],7),"_",SP_ACQ_Lib[[#This Row],[ACQ Document Type]])</f>
        <v>R019376_TITLE Tax Card</v>
      </c>
      <c r="V248" s="65" t="str">
        <f>INDEX(SP_AcqTract_DB[WCAD Tax Parcel ID],MATCH(SP_ACQ_Lib[[#This Row],[Acquisition Tract No.]],SP_AcqTract_DB[Acquisition Tract No.],0))</f>
        <v>R019376;#26</v>
      </c>
      <c r="W248" s="48" t="str">
        <f>INDEX(SP_TaxPar_DB[Acquisition Tract No.],MATCH(LEFT(SP_ACQ_Lib[[#This Row],[Tax Parcel ID]],7),SP_TaxPar_DB[Tax Parcel ID],0))</f>
        <v>215</v>
      </c>
      <c r="X248" s="238" t="str">
        <f>IF(OR(SP_ACQ_Lib[[#This Row],[Acquisition Tract No.]]="",SP_ACQ_Lib[[#This Row],[ACQ Document Type]]=""),0,CONCATENATE("COW-FRMP_TR-",SP_ACQ_Lib[[#This Row],[Acquisition Tract No.]]," ",SP_ACQ_Lib[[#This Row],[ACQ Document Type]]))</f>
        <v>COW-FRMP_TR-215 TITLE Tax Card</v>
      </c>
      <c r="Y248" s="239">
        <f>IF(OR(SP_ACQ_Lib[[#This Row],[File Name Convention]]=0,LEFT(SP_ACQ_Lib[[#This Row],[Name]],LEN(SP_ACQ_Lib[[#This Row],[File Name Convention]]))&lt;&gt;SP_ACQ_Lib[[#This Row],[File Name Convention]],ISERROR(SEARCH(SP_ACQ_Lib[[#This Row],[ACQ Document Type]],SP_ACQ_Lib[[#This Row],[Name]]))),1,0)</f>
        <v>0</v>
      </c>
    </row>
    <row r="249" spans="1:25" ht="15" x14ac:dyDescent="0.2">
      <c r="A249" s="157" t="str">
        <f>CONCATENATE(SP_ACQ_Lib[[#This Row],[Acquisition Tract No.]],"_",SP_ACQ_Lib[[#This Row],[ACQ Document Type]])</f>
        <v>216_APPRAISAL Final Appraisal</v>
      </c>
      <c r="B249" s="14" t="s">
        <v>5854</v>
      </c>
      <c r="C249" s="15" t="s">
        <v>43</v>
      </c>
      <c r="D249" s="12" t="s">
        <v>631</v>
      </c>
      <c r="E249" s="8" t="s">
        <v>1131</v>
      </c>
      <c r="F249" s="8" t="s">
        <v>4755</v>
      </c>
      <c r="G249" s="8" t="s">
        <v>4754</v>
      </c>
      <c r="H249" s="7" t="s">
        <v>592</v>
      </c>
      <c r="I249" s="16">
        <v>43962</v>
      </c>
      <c r="J249" s="16">
        <v>43980</v>
      </c>
      <c r="K249" s="17">
        <v>5735</v>
      </c>
      <c r="L249" s="3"/>
      <c r="M249" s="8" t="s">
        <v>4206</v>
      </c>
      <c r="N249" s="11">
        <v>43990.434965277775</v>
      </c>
      <c r="O249" s="8" t="s">
        <v>4206</v>
      </c>
      <c r="P249" s="11">
        <v>43990.424942129626</v>
      </c>
      <c r="Q249" s="13">
        <v>12637531</v>
      </c>
      <c r="R249" s="19" t="s">
        <v>594</v>
      </c>
      <c r="S249" s="14" t="s">
        <v>5868</v>
      </c>
      <c r="T249" s="163">
        <v>1155</v>
      </c>
      <c r="U249" s="164" t="str">
        <f>CONCATENATE(LEFT(SP_ACQ_Lib[[#This Row],[Tax Parcel ID]],7),"_",SP_ACQ_Lib[[#This Row],[ACQ Document Type]])</f>
        <v>R019375_APPRAISAL Final Appraisal</v>
      </c>
      <c r="V249" s="65" t="str">
        <f>INDEX(SP_AcqTract_DB[WCAD Tax Parcel ID],MATCH(SP_ACQ_Lib[[#This Row],[Acquisition Tract No.]],SP_AcqTract_DB[Acquisition Tract No.],0))</f>
        <v>R019375;#27</v>
      </c>
      <c r="W249" s="48" t="str">
        <f>INDEX(SP_TaxPar_DB[Acquisition Tract No.],MATCH(LEFT(SP_ACQ_Lib[[#This Row],[Tax Parcel ID]],7),SP_TaxPar_DB[Tax Parcel ID],0))</f>
        <v>216</v>
      </c>
      <c r="X249" s="238" t="str">
        <f>IF(OR(SP_ACQ_Lib[[#This Row],[Acquisition Tract No.]]="",SP_ACQ_Lib[[#This Row],[ACQ Document Type]]=""),0,CONCATENATE("COW-FRMP_TR-",SP_ACQ_Lib[[#This Row],[Acquisition Tract No.]]," ",SP_ACQ_Lib[[#This Row],[ACQ Document Type]]))</f>
        <v>COW-FRMP_TR-216 APPRAISAL Final Appraisal</v>
      </c>
      <c r="Y249" s="239">
        <f>IF(OR(SP_ACQ_Lib[[#This Row],[File Name Convention]]=0,LEFT(SP_ACQ_Lib[[#This Row],[Name]],LEN(SP_ACQ_Lib[[#This Row],[File Name Convention]]))&lt;&gt;SP_ACQ_Lib[[#This Row],[File Name Convention]],ISERROR(SEARCH(SP_ACQ_Lib[[#This Row],[ACQ Document Type]],SP_ACQ_Lib[[#This Row],[Name]]))),1,0)</f>
        <v>0</v>
      </c>
    </row>
    <row r="250" spans="1:25" ht="15" x14ac:dyDescent="0.2">
      <c r="A250" s="157" t="str">
        <f>CONCATENATE(SP_ACQ_Lib[[#This Row],[Acquisition Tract No.]],"_",SP_ACQ_Lib[[#This Row],[ACQ Document Type]])</f>
        <v>216_APPRAISAL Just Compensation Memo</v>
      </c>
      <c r="B250" s="14" t="s">
        <v>5855</v>
      </c>
      <c r="C250" s="15" t="s">
        <v>43</v>
      </c>
      <c r="D250" s="12" t="s">
        <v>631</v>
      </c>
      <c r="E250" s="8" t="s">
        <v>1131</v>
      </c>
      <c r="F250" s="8" t="s">
        <v>4757</v>
      </c>
      <c r="G250" s="8" t="s">
        <v>4756</v>
      </c>
      <c r="H250" s="7" t="s">
        <v>592</v>
      </c>
      <c r="I250" s="16">
        <v>43991</v>
      </c>
      <c r="J250" s="16">
        <v>43990</v>
      </c>
      <c r="K250" s="17">
        <v>5735</v>
      </c>
      <c r="L250" s="3"/>
      <c r="M250" s="8" t="s">
        <v>4206</v>
      </c>
      <c r="N250" s="11">
        <v>43991.580787037034</v>
      </c>
      <c r="O250" s="8" t="s">
        <v>4206</v>
      </c>
      <c r="P250" s="11">
        <v>43990.424976851849</v>
      </c>
      <c r="Q250" s="13">
        <v>43138</v>
      </c>
      <c r="R250" s="19" t="s">
        <v>594</v>
      </c>
      <c r="S250" s="14" t="s">
        <v>5869</v>
      </c>
      <c r="T250" s="163">
        <v>1156</v>
      </c>
      <c r="U250" s="164" t="str">
        <f>CONCATENATE(LEFT(SP_ACQ_Lib[[#This Row],[Tax Parcel ID]],7),"_",SP_ACQ_Lib[[#This Row],[ACQ Document Type]])</f>
        <v>R019375_APPRAISAL Just Compensation Memo</v>
      </c>
      <c r="V250" s="65" t="str">
        <f>INDEX(SP_AcqTract_DB[WCAD Tax Parcel ID],MATCH(SP_ACQ_Lib[[#This Row],[Acquisition Tract No.]],SP_AcqTract_DB[Acquisition Tract No.],0))</f>
        <v>R019375;#27</v>
      </c>
      <c r="W250" s="48" t="str">
        <f>INDEX(SP_TaxPar_DB[Acquisition Tract No.],MATCH(LEFT(SP_ACQ_Lib[[#This Row],[Tax Parcel ID]],7),SP_TaxPar_DB[Tax Parcel ID],0))</f>
        <v>216</v>
      </c>
      <c r="X250" s="238" t="str">
        <f>IF(OR(SP_ACQ_Lib[[#This Row],[Acquisition Tract No.]]="",SP_ACQ_Lib[[#This Row],[ACQ Document Type]]=""),0,CONCATENATE("COW-FRMP_TR-",SP_ACQ_Lib[[#This Row],[Acquisition Tract No.]]," ",SP_ACQ_Lib[[#This Row],[ACQ Document Type]]))</f>
        <v>COW-FRMP_TR-216 APPRAISAL Just Compensation Memo</v>
      </c>
      <c r="Y250" s="239">
        <f>IF(OR(SP_ACQ_Lib[[#This Row],[File Name Convention]]=0,LEFT(SP_ACQ_Lib[[#This Row],[Name]],LEN(SP_ACQ_Lib[[#This Row],[File Name Convention]]))&lt;&gt;SP_ACQ_Lib[[#This Row],[File Name Convention]],ISERROR(SEARCH(SP_ACQ_Lib[[#This Row],[ACQ Document Type]],SP_ACQ_Lib[[#This Row],[Name]]))),1,0)</f>
        <v>0</v>
      </c>
    </row>
    <row r="251" spans="1:25" ht="15" x14ac:dyDescent="0.2">
      <c r="A251" s="157" t="str">
        <f>CONCATENATE(SP_ACQ_Lib[[#This Row],[Acquisition Tract No.]],"_",SP_ACQ_Lib[[#This Row],[ACQ Document Type]])</f>
        <v>216_APPRAISAL USACOE Authorization to Proceed with Offer</v>
      </c>
      <c r="B251" s="14" t="s">
        <v>5856</v>
      </c>
      <c r="C251" s="15" t="s">
        <v>43</v>
      </c>
      <c r="D251" s="12" t="s">
        <v>631</v>
      </c>
      <c r="E251" s="8" t="s">
        <v>1131</v>
      </c>
      <c r="F251" s="8" t="s">
        <v>4959</v>
      </c>
      <c r="G251" s="8" t="s">
        <v>4958</v>
      </c>
      <c r="H251" s="7" t="s">
        <v>592</v>
      </c>
      <c r="I251" s="16">
        <v>43990</v>
      </c>
      <c r="J251" s="16"/>
      <c r="K251" s="17">
        <v>5735</v>
      </c>
      <c r="L251" s="3"/>
      <c r="M251" s="8" t="s">
        <v>4206</v>
      </c>
      <c r="N251" s="11">
        <v>43990.490034722221</v>
      </c>
      <c r="O251" s="8" t="s">
        <v>4206</v>
      </c>
      <c r="P251" s="11">
        <v>43990.424976851849</v>
      </c>
      <c r="Q251" s="13">
        <v>418956</v>
      </c>
      <c r="R251" s="19" t="s">
        <v>594</v>
      </c>
      <c r="S251" s="14" t="s">
        <v>5870</v>
      </c>
      <c r="T251" s="163">
        <v>1157</v>
      </c>
      <c r="U251" s="164" t="str">
        <f>CONCATENATE(LEFT(SP_ACQ_Lib[[#This Row],[Tax Parcel ID]],7),"_",SP_ACQ_Lib[[#This Row],[ACQ Document Type]])</f>
        <v>R019375_APPRAISAL USACOE Authorization to Proceed with Offer</v>
      </c>
      <c r="V251" s="65" t="str">
        <f>INDEX(SP_AcqTract_DB[WCAD Tax Parcel ID],MATCH(SP_ACQ_Lib[[#This Row],[Acquisition Tract No.]],SP_AcqTract_DB[Acquisition Tract No.],0))</f>
        <v>R019375;#27</v>
      </c>
      <c r="W251" s="48" t="str">
        <f>INDEX(SP_TaxPar_DB[Acquisition Tract No.],MATCH(LEFT(SP_ACQ_Lib[[#This Row],[Tax Parcel ID]],7),SP_TaxPar_DB[Tax Parcel ID],0))</f>
        <v>216</v>
      </c>
      <c r="X251" s="238" t="str">
        <f>IF(OR(SP_ACQ_Lib[[#This Row],[Acquisition Tract No.]]="",SP_ACQ_Lib[[#This Row],[ACQ Document Type]]=""),0,CONCATENATE("COW-FRMP_TR-",SP_ACQ_Lib[[#This Row],[Acquisition Tract No.]]," ",SP_ACQ_Lib[[#This Row],[ACQ Document Type]]))</f>
        <v>COW-FRMP_TR-216 APPRAISAL USACOE Authorization to Proceed with Offer</v>
      </c>
      <c r="Y251" s="239">
        <f>IF(OR(SP_ACQ_Lib[[#This Row],[File Name Convention]]=0,LEFT(SP_ACQ_Lib[[#This Row],[Name]],LEN(SP_ACQ_Lib[[#This Row],[File Name Convention]]))&lt;&gt;SP_ACQ_Lib[[#This Row],[File Name Convention]],ISERROR(SEARCH(SP_ACQ_Lib[[#This Row],[ACQ Document Type]],SP_ACQ_Lib[[#This Row],[Name]]))),1,0)</f>
        <v>0</v>
      </c>
    </row>
    <row r="252" spans="1:25" ht="15" x14ac:dyDescent="0.2">
      <c r="A252" s="157" t="str">
        <f>CONCATENATE(SP_ACQ_Lib[[#This Row],[Acquisition Tract No.]],"_",SP_ACQ_Lib[[#This Row],[ACQ Document Type]])</f>
        <v>216_CONTACT Letter of Intent-HDR</v>
      </c>
      <c r="B252" s="14" t="s">
        <v>1478</v>
      </c>
      <c r="C252" s="15" t="s">
        <v>43</v>
      </c>
      <c r="D252" s="12" t="s">
        <v>631</v>
      </c>
      <c r="E252" s="8" t="s">
        <v>865</v>
      </c>
      <c r="F252" s="8" t="s">
        <v>1401</v>
      </c>
      <c r="G252" s="8" t="s">
        <v>1400</v>
      </c>
      <c r="H252" s="7" t="s">
        <v>592</v>
      </c>
      <c r="I252" s="16">
        <v>43765</v>
      </c>
      <c r="J252" s="16"/>
      <c r="K252" s="17"/>
      <c r="L252" s="3"/>
      <c r="M252" s="8" t="s">
        <v>23</v>
      </c>
      <c r="N252" s="11">
        <v>43770.449131944442</v>
      </c>
      <c r="O252" s="8" t="s">
        <v>1402</v>
      </c>
      <c r="P252" s="11">
        <v>43769.605624999997</v>
      </c>
      <c r="Q252" s="13">
        <v>546374</v>
      </c>
      <c r="R252" s="19" t="s">
        <v>594</v>
      </c>
      <c r="S252" s="14" t="s">
        <v>1632</v>
      </c>
      <c r="T252" s="163">
        <v>504</v>
      </c>
      <c r="U252" s="164" t="str">
        <f>CONCATENATE(LEFT(SP_ACQ_Lib[[#This Row],[Tax Parcel ID]],7),"_",SP_ACQ_Lib[[#This Row],[ACQ Document Type]])</f>
        <v>R019375_CONTACT Letter of Intent-HDR</v>
      </c>
      <c r="V252" s="65" t="str">
        <f>INDEX(SP_AcqTract_DB[WCAD Tax Parcel ID],MATCH(SP_ACQ_Lib[[#This Row],[Acquisition Tract No.]],SP_AcqTract_DB[Acquisition Tract No.],0))</f>
        <v>R019375;#27</v>
      </c>
      <c r="W252" s="48" t="str">
        <f>INDEX(SP_TaxPar_DB[Acquisition Tract No.],MATCH(LEFT(SP_ACQ_Lib[[#This Row],[Tax Parcel ID]],7),SP_TaxPar_DB[Tax Parcel ID],0))</f>
        <v>216</v>
      </c>
      <c r="X252" s="238" t="str">
        <f>IF(OR(SP_ACQ_Lib[[#This Row],[Acquisition Tract No.]]="",SP_ACQ_Lib[[#This Row],[ACQ Document Type]]=""),0,CONCATENATE("COW-FRMP_TR-",SP_ACQ_Lib[[#This Row],[Acquisition Tract No.]]," ",SP_ACQ_Lib[[#This Row],[ACQ Document Type]]))</f>
        <v>COW-FRMP_TR-216 CONTACT Letter of Intent-HDR</v>
      </c>
      <c r="Y252" s="239">
        <f>IF(OR(SP_ACQ_Lib[[#This Row],[File Name Convention]]=0,LEFT(SP_ACQ_Lib[[#This Row],[Name]],LEN(SP_ACQ_Lib[[#This Row],[File Name Convention]]))&lt;&gt;SP_ACQ_Lib[[#This Row],[File Name Convention]],ISERROR(SEARCH(SP_ACQ_Lib[[#This Row],[ACQ Document Type]],SP_ACQ_Lib[[#This Row],[Name]]))),1,0)</f>
        <v>0</v>
      </c>
    </row>
    <row r="253" spans="1:25" ht="15" x14ac:dyDescent="0.2">
      <c r="A253" s="157" t="str">
        <f>CONCATENATE(SP_ACQ_Lib[[#This Row],[Acquisition Tract No.]],"_",SP_ACQ_Lib[[#This Row],[ACQ Document Type]])</f>
        <v>216_CONTACT Negotiator Report</v>
      </c>
      <c r="B253" s="14" t="s">
        <v>3384</v>
      </c>
      <c r="C253" s="15" t="s">
        <v>43</v>
      </c>
      <c r="D253" s="12" t="s">
        <v>631</v>
      </c>
      <c r="E253" s="8" t="s">
        <v>865</v>
      </c>
      <c r="F253" s="8" t="s">
        <v>1068</v>
      </c>
      <c r="G253" s="8" t="s">
        <v>1067</v>
      </c>
      <c r="H253" s="7" t="s">
        <v>592</v>
      </c>
      <c r="I253" s="16"/>
      <c r="J253" s="16"/>
      <c r="K253" s="17"/>
      <c r="L253" s="3"/>
      <c r="M253" s="8" t="s">
        <v>1744</v>
      </c>
      <c r="N253" s="11">
        <v>44000.896296296298</v>
      </c>
      <c r="O253" s="8" t="s">
        <v>4207</v>
      </c>
      <c r="P253" s="11">
        <v>43738.417141203703</v>
      </c>
      <c r="Q253" s="13">
        <v>57164</v>
      </c>
      <c r="R253" s="19" t="s">
        <v>1069</v>
      </c>
      <c r="S253" s="14" t="s">
        <v>1087</v>
      </c>
      <c r="T253" s="163">
        <v>363</v>
      </c>
      <c r="U253" s="164" t="str">
        <f>CONCATENATE(LEFT(SP_ACQ_Lib[[#This Row],[Tax Parcel ID]],7),"_",SP_ACQ_Lib[[#This Row],[ACQ Document Type]])</f>
        <v>R019375_CONTACT Negotiator Report</v>
      </c>
      <c r="V253" s="65" t="str">
        <f>INDEX(SP_AcqTract_DB[WCAD Tax Parcel ID],MATCH(SP_ACQ_Lib[[#This Row],[Acquisition Tract No.]],SP_AcqTract_DB[Acquisition Tract No.],0))</f>
        <v>R019375;#27</v>
      </c>
      <c r="W253" s="48" t="str">
        <f>INDEX(SP_TaxPar_DB[Acquisition Tract No.],MATCH(LEFT(SP_ACQ_Lib[[#This Row],[Tax Parcel ID]],7),SP_TaxPar_DB[Tax Parcel ID],0))</f>
        <v>216</v>
      </c>
      <c r="X253" s="238" t="str">
        <f>IF(OR(SP_ACQ_Lib[[#This Row],[Acquisition Tract No.]]="",SP_ACQ_Lib[[#This Row],[ACQ Document Type]]=""),0,CONCATENATE("COW-FRMP_TR-",SP_ACQ_Lib[[#This Row],[Acquisition Tract No.]]," ",SP_ACQ_Lib[[#This Row],[ACQ Document Type]]))</f>
        <v>COW-FRMP_TR-216 CONTACT Negotiator Report</v>
      </c>
      <c r="Y253" s="239">
        <f>IF(OR(SP_ACQ_Lib[[#This Row],[File Name Convention]]=0,LEFT(SP_ACQ_Lib[[#This Row],[Name]],LEN(SP_ACQ_Lib[[#This Row],[File Name Convention]]))&lt;&gt;SP_ACQ_Lib[[#This Row],[File Name Convention]],ISERROR(SEARCH(SP_ACQ_Lib[[#This Row],[ACQ Document Type]],SP_ACQ_Lib[[#This Row],[Name]]))),1,0)</f>
        <v>0</v>
      </c>
    </row>
    <row r="254" spans="1:25" ht="15" x14ac:dyDescent="0.2">
      <c r="A254" s="157" t="str">
        <f>CONCATENATE(SP_ACQ_Lib[[#This Row],[Acquisition Tract No.]],"_",SP_ACQ_Lib[[#This Row],[ACQ Document Type]])</f>
        <v>216_NEGOTIATION Landowner Bill of Rights Letter</v>
      </c>
      <c r="B254" s="14" t="s">
        <v>3445</v>
      </c>
      <c r="C254" s="15" t="s">
        <v>43</v>
      </c>
      <c r="D254" s="12" t="s">
        <v>631</v>
      </c>
      <c r="E254" s="8" t="s">
        <v>1142</v>
      </c>
      <c r="F254" s="8" t="s">
        <v>1746</v>
      </c>
      <c r="G254" s="8" t="s">
        <v>1745</v>
      </c>
      <c r="H254" s="7" t="s">
        <v>592</v>
      </c>
      <c r="I254" s="16">
        <v>43748</v>
      </c>
      <c r="J254" s="16"/>
      <c r="K254" s="17"/>
      <c r="L254" s="3"/>
      <c r="M254" s="8" t="s">
        <v>4206</v>
      </c>
      <c r="N254" s="11">
        <v>43872.560486111113</v>
      </c>
      <c r="O254" s="8" t="s">
        <v>4325</v>
      </c>
      <c r="P254" s="11">
        <v>43752.483356481483</v>
      </c>
      <c r="Q254" s="13">
        <v>355016</v>
      </c>
      <c r="R254" s="19" t="s">
        <v>594</v>
      </c>
      <c r="S254" s="14" t="s">
        <v>1201</v>
      </c>
      <c r="T254" s="163">
        <v>431</v>
      </c>
      <c r="U254" s="164" t="str">
        <f>CONCATENATE(LEFT(SP_ACQ_Lib[[#This Row],[Tax Parcel ID]],7),"_",SP_ACQ_Lib[[#This Row],[ACQ Document Type]])</f>
        <v>R019375_NEGOTIATION Landowner Bill of Rights Letter</v>
      </c>
      <c r="V254" s="65" t="str">
        <f>INDEX(SP_AcqTract_DB[WCAD Tax Parcel ID],MATCH(SP_ACQ_Lib[[#This Row],[Acquisition Tract No.]],SP_AcqTract_DB[Acquisition Tract No.],0))</f>
        <v>R019375;#27</v>
      </c>
      <c r="W254" s="48" t="str">
        <f>INDEX(SP_TaxPar_DB[Acquisition Tract No.],MATCH(LEFT(SP_ACQ_Lib[[#This Row],[Tax Parcel ID]],7),SP_TaxPar_DB[Tax Parcel ID],0))</f>
        <v>216</v>
      </c>
      <c r="X254" s="238" t="str">
        <f>IF(OR(SP_ACQ_Lib[[#This Row],[Acquisition Tract No.]]="",SP_ACQ_Lib[[#This Row],[ACQ Document Type]]=""),0,CONCATENATE("COW-FRMP_TR-",SP_ACQ_Lib[[#This Row],[Acquisition Tract No.]]," ",SP_ACQ_Lib[[#This Row],[ACQ Document Type]]))</f>
        <v>COW-FRMP_TR-216 NEGOTIATION Landowner Bill of Rights Letter</v>
      </c>
      <c r="Y254" s="239">
        <f>IF(OR(SP_ACQ_Lib[[#This Row],[File Name Convention]]=0,LEFT(SP_ACQ_Lib[[#This Row],[Name]],LEN(SP_ACQ_Lib[[#This Row],[File Name Convention]]))&lt;&gt;SP_ACQ_Lib[[#This Row],[File Name Convention]],ISERROR(SEARCH(SP_ACQ_Lib[[#This Row],[ACQ Document Type]],SP_ACQ_Lib[[#This Row],[Name]]))),1,0)</f>
        <v>0</v>
      </c>
    </row>
    <row r="255" spans="1:25" ht="15" x14ac:dyDescent="0.2">
      <c r="A255" s="157" t="str">
        <f>CONCATENATE(SP_ACQ_Lib[[#This Row],[Acquisition Tract No.]],"_",SP_ACQ_Lib[[#This Row],[ACQ Document Type]])</f>
        <v>216_SURVEY Description-Plat_CITY</v>
      </c>
      <c r="B255" s="14" t="s">
        <v>3525</v>
      </c>
      <c r="C255" s="15" t="s">
        <v>43</v>
      </c>
      <c r="D255" s="12" t="s">
        <v>631</v>
      </c>
      <c r="E255" s="8" t="s">
        <v>858</v>
      </c>
      <c r="F255" s="8" t="s">
        <v>3503</v>
      </c>
      <c r="G255" s="8" t="s">
        <v>3502</v>
      </c>
      <c r="H255" s="7" t="s">
        <v>1749</v>
      </c>
      <c r="I255" s="16">
        <v>43767</v>
      </c>
      <c r="J255" s="16">
        <v>43886</v>
      </c>
      <c r="K255" s="17"/>
      <c r="L255" s="3"/>
      <c r="M255" s="8" t="s">
        <v>4207</v>
      </c>
      <c r="N255" s="11">
        <v>43979.306111111109</v>
      </c>
      <c r="O255" s="8" t="s">
        <v>4206</v>
      </c>
      <c r="P255" s="11">
        <v>43886.641863425924</v>
      </c>
      <c r="Q255" s="13">
        <v>239472</v>
      </c>
      <c r="R255" s="19" t="s">
        <v>594</v>
      </c>
      <c r="S255" s="14" t="s">
        <v>3548</v>
      </c>
      <c r="T255" s="163">
        <v>1020</v>
      </c>
      <c r="U255" s="164" t="str">
        <f>CONCATENATE(LEFT(SP_ACQ_Lib[[#This Row],[Tax Parcel ID]],7),"_",SP_ACQ_Lib[[#This Row],[ACQ Document Type]])</f>
        <v>R019375_SURVEY Description-Plat_CITY</v>
      </c>
      <c r="V255" s="65" t="str">
        <f>INDEX(SP_AcqTract_DB[WCAD Tax Parcel ID],MATCH(SP_ACQ_Lib[[#This Row],[Acquisition Tract No.]],SP_AcqTract_DB[Acquisition Tract No.],0))</f>
        <v>R019375;#27</v>
      </c>
      <c r="W255" s="48" t="str">
        <f>INDEX(SP_TaxPar_DB[Acquisition Tract No.],MATCH(LEFT(SP_ACQ_Lib[[#This Row],[Tax Parcel ID]],7),SP_TaxPar_DB[Tax Parcel ID],0))</f>
        <v>216</v>
      </c>
      <c r="X255" s="238" t="str">
        <f>IF(OR(SP_ACQ_Lib[[#This Row],[Acquisition Tract No.]]="",SP_ACQ_Lib[[#This Row],[ACQ Document Type]]=""),0,CONCATENATE("COW-FRMP_TR-",SP_ACQ_Lib[[#This Row],[Acquisition Tract No.]]," ",SP_ACQ_Lib[[#This Row],[ACQ Document Type]]))</f>
        <v>COW-FRMP_TR-216 SURVEY Description-Plat_CITY</v>
      </c>
      <c r="Y255" s="239">
        <f>IF(OR(SP_ACQ_Lib[[#This Row],[File Name Convention]]=0,LEFT(SP_ACQ_Lib[[#This Row],[Name]],LEN(SP_ACQ_Lib[[#This Row],[File Name Convention]]))&lt;&gt;SP_ACQ_Lib[[#This Row],[File Name Convention]],ISERROR(SEARCH(SP_ACQ_Lib[[#This Row],[ACQ Document Type]],SP_ACQ_Lib[[#This Row],[Name]]))),1,0)</f>
        <v>0</v>
      </c>
    </row>
    <row r="256" spans="1:25" ht="15" x14ac:dyDescent="0.2">
      <c r="A256" s="157" t="str">
        <f>CONCATENATE(SP_ACQ_Lib[[#This Row],[Acquisition Tract No.]],"_",SP_ACQ_Lib[[#This Row],[ACQ Document Type]])</f>
        <v>216_SURVEY Description-Plat_USACOE</v>
      </c>
      <c r="B256" s="14" t="s">
        <v>4975</v>
      </c>
      <c r="C256" s="15" t="s">
        <v>43</v>
      </c>
      <c r="D256" s="12" t="s">
        <v>631</v>
      </c>
      <c r="E256" s="8" t="s">
        <v>858</v>
      </c>
      <c r="F256" s="8" t="s">
        <v>3510</v>
      </c>
      <c r="G256" s="8" t="s">
        <v>3509</v>
      </c>
      <c r="H256" s="7" t="s">
        <v>592</v>
      </c>
      <c r="I256" s="16">
        <v>43767</v>
      </c>
      <c r="J256" s="16">
        <v>43948</v>
      </c>
      <c r="K256" s="17"/>
      <c r="L256" s="3"/>
      <c r="M256" s="8" t="s">
        <v>4207</v>
      </c>
      <c r="N256" s="11">
        <v>43979.306122685186</v>
      </c>
      <c r="O256" s="8" t="s">
        <v>4206</v>
      </c>
      <c r="P256" s="11">
        <v>43949.787164351852</v>
      </c>
      <c r="Q256" s="13">
        <v>493939</v>
      </c>
      <c r="R256" s="19" t="s">
        <v>594</v>
      </c>
      <c r="S256" s="14" t="s">
        <v>4993</v>
      </c>
      <c r="T256" s="163">
        <v>1021</v>
      </c>
      <c r="U256" s="164" t="str">
        <f>CONCATENATE(LEFT(SP_ACQ_Lib[[#This Row],[Tax Parcel ID]],7),"_",SP_ACQ_Lib[[#This Row],[ACQ Document Type]])</f>
        <v>R019375_SURVEY Description-Plat_USACOE</v>
      </c>
      <c r="V256" s="65" t="str">
        <f>INDEX(SP_AcqTract_DB[WCAD Tax Parcel ID],MATCH(SP_ACQ_Lib[[#This Row],[Acquisition Tract No.]],SP_AcqTract_DB[Acquisition Tract No.],0))</f>
        <v>R019375;#27</v>
      </c>
      <c r="W256" s="48" t="str">
        <f>INDEX(SP_TaxPar_DB[Acquisition Tract No.],MATCH(LEFT(SP_ACQ_Lib[[#This Row],[Tax Parcel ID]],7),SP_TaxPar_DB[Tax Parcel ID],0))</f>
        <v>216</v>
      </c>
      <c r="X256" s="238" t="str">
        <f>IF(OR(SP_ACQ_Lib[[#This Row],[Acquisition Tract No.]]="",SP_ACQ_Lib[[#This Row],[ACQ Document Type]]=""),0,CONCATENATE("COW-FRMP_TR-",SP_ACQ_Lib[[#This Row],[Acquisition Tract No.]]," ",SP_ACQ_Lib[[#This Row],[ACQ Document Type]]))</f>
        <v>COW-FRMP_TR-216 SURVEY Description-Plat_USACOE</v>
      </c>
      <c r="Y256" s="239">
        <f>IF(OR(SP_ACQ_Lib[[#This Row],[File Name Convention]]=0,LEFT(SP_ACQ_Lib[[#This Row],[Name]],LEN(SP_ACQ_Lib[[#This Row],[File Name Convention]]))&lt;&gt;SP_ACQ_Lib[[#This Row],[File Name Convention]],ISERROR(SEARCH(SP_ACQ_Lib[[#This Row],[ACQ Document Type]],SP_ACQ_Lib[[#This Row],[Name]]))),1,0)</f>
        <v>0</v>
      </c>
    </row>
    <row r="257" spans="1:25" ht="15" x14ac:dyDescent="0.2">
      <c r="A257" s="157" t="str">
        <f>CONCATENATE(SP_ACQ_Lib[[#This Row],[Acquisition Tract No.]],"_",SP_ACQ_Lib[[#This Row],[ACQ Document Type]])</f>
        <v>216_SURVEY Right-of-Entry</v>
      </c>
      <c r="B257" s="14" t="s">
        <v>4577</v>
      </c>
      <c r="C257" s="15" t="s">
        <v>43</v>
      </c>
      <c r="D257" s="12" t="s">
        <v>631</v>
      </c>
      <c r="E257" s="8" t="s">
        <v>858</v>
      </c>
      <c r="F257" s="8" t="s">
        <v>859</v>
      </c>
      <c r="G257" s="8" t="s">
        <v>591</v>
      </c>
      <c r="H257" s="7" t="s">
        <v>592</v>
      </c>
      <c r="I257" s="16">
        <v>43698</v>
      </c>
      <c r="J257" s="16"/>
      <c r="K257" s="17"/>
      <c r="L257" s="3"/>
      <c r="M257" s="8" t="s">
        <v>4206</v>
      </c>
      <c r="N257" s="11">
        <v>43922.37599537037</v>
      </c>
      <c r="O257" s="8" t="s">
        <v>4325</v>
      </c>
      <c r="P257" s="11">
        <v>43704.709664351853</v>
      </c>
      <c r="Q257" s="13">
        <v>811522</v>
      </c>
      <c r="R257" s="19" t="s">
        <v>594</v>
      </c>
      <c r="S257" s="14" t="s">
        <v>753</v>
      </c>
      <c r="T257" s="163">
        <v>167</v>
      </c>
      <c r="U257" s="164" t="str">
        <f>CONCATENATE(LEFT(SP_ACQ_Lib[[#This Row],[Tax Parcel ID]],7),"_",SP_ACQ_Lib[[#This Row],[ACQ Document Type]])</f>
        <v>R019375_SURVEY Right-of-Entry</v>
      </c>
      <c r="V257" s="65" t="str">
        <f>INDEX(SP_AcqTract_DB[WCAD Tax Parcel ID],MATCH(SP_ACQ_Lib[[#This Row],[Acquisition Tract No.]],SP_AcqTract_DB[Acquisition Tract No.],0))</f>
        <v>R019375;#27</v>
      </c>
      <c r="W257" s="48" t="str">
        <f>INDEX(SP_TaxPar_DB[Acquisition Tract No.],MATCH(LEFT(SP_ACQ_Lib[[#This Row],[Tax Parcel ID]],7),SP_TaxPar_DB[Tax Parcel ID],0))</f>
        <v>216</v>
      </c>
      <c r="X257" s="238" t="str">
        <f>IF(OR(SP_ACQ_Lib[[#This Row],[Acquisition Tract No.]]="",SP_ACQ_Lib[[#This Row],[ACQ Document Type]]=""),0,CONCATENATE("COW-FRMP_TR-",SP_ACQ_Lib[[#This Row],[Acquisition Tract No.]]," ",SP_ACQ_Lib[[#This Row],[ACQ Document Type]]))</f>
        <v>COW-FRMP_TR-216 SURVEY Right-of-Entry</v>
      </c>
      <c r="Y257" s="239">
        <f>IF(OR(SP_ACQ_Lib[[#This Row],[File Name Convention]]=0,LEFT(SP_ACQ_Lib[[#This Row],[Name]],LEN(SP_ACQ_Lib[[#This Row],[File Name Convention]]))&lt;&gt;SP_ACQ_Lib[[#This Row],[File Name Convention]],ISERROR(SEARCH(SP_ACQ_Lib[[#This Row],[ACQ Document Type]],SP_ACQ_Lib[[#This Row],[Name]]))),1,0)</f>
        <v>0</v>
      </c>
    </row>
    <row r="258" spans="1:25" ht="15" x14ac:dyDescent="0.2">
      <c r="A258" s="157" t="str">
        <f>CONCATENATE(SP_ACQ_Lib[[#This Row],[Acquisition Tract No.]],"_",SP_ACQ_Lib[[#This Row],[ACQ Document Type]])</f>
        <v>216_TITLE Commitment</v>
      </c>
      <c r="B258" s="14" t="s">
        <v>1479</v>
      </c>
      <c r="C258" s="15" t="s">
        <v>43</v>
      </c>
      <c r="D258" s="12" t="s">
        <v>631</v>
      </c>
      <c r="E258" s="8" t="s">
        <v>861</v>
      </c>
      <c r="F258" s="8" t="s">
        <v>862</v>
      </c>
      <c r="G258" s="8" t="s">
        <v>614</v>
      </c>
      <c r="H258" s="7" t="s">
        <v>592</v>
      </c>
      <c r="I258" s="16">
        <v>43943</v>
      </c>
      <c r="J258" s="16">
        <v>43951</v>
      </c>
      <c r="K258" s="17"/>
      <c r="L258" s="3" t="s">
        <v>4333</v>
      </c>
      <c r="M258" s="8" t="s">
        <v>4325</v>
      </c>
      <c r="N258" s="11">
        <v>43952.375011574077</v>
      </c>
      <c r="O258" s="8" t="s">
        <v>4326</v>
      </c>
      <c r="P258" s="11">
        <v>43691.427060185182</v>
      </c>
      <c r="Q258" s="13">
        <v>583054</v>
      </c>
      <c r="R258" s="19" t="s">
        <v>594</v>
      </c>
      <c r="S258" s="14" t="s">
        <v>754</v>
      </c>
      <c r="T258" s="163">
        <v>42</v>
      </c>
      <c r="U258" s="164" t="str">
        <f>CONCATENATE(LEFT(SP_ACQ_Lib[[#This Row],[Tax Parcel ID]],7),"_",SP_ACQ_Lib[[#This Row],[ACQ Document Type]])</f>
        <v>R019375_TITLE Commitment</v>
      </c>
      <c r="V258" s="65" t="str">
        <f>INDEX(SP_AcqTract_DB[WCAD Tax Parcel ID],MATCH(SP_ACQ_Lib[[#This Row],[Acquisition Tract No.]],SP_AcqTract_DB[Acquisition Tract No.],0))</f>
        <v>R019375;#27</v>
      </c>
      <c r="W258" s="48" t="str">
        <f>INDEX(SP_TaxPar_DB[Acquisition Tract No.],MATCH(LEFT(SP_ACQ_Lib[[#This Row],[Tax Parcel ID]],7),SP_TaxPar_DB[Tax Parcel ID],0))</f>
        <v>216</v>
      </c>
      <c r="X258" s="238" t="str">
        <f>IF(OR(SP_ACQ_Lib[[#This Row],[Acquisition Tract No.]]="",SP_ACQ_Lib[[#This Row],[ACQ Document Type]]=""),0,CONCATENATE("COW-FRMP_TR-",SP_ACQ_Lib[[#This Row],[Acquisition Tract No.]]," ",SP_ACQ_Lib[[#This Row],[ACQ Document Type]]))</f>
        <v>COW-FRMP_TR-216 TITLE Commitment</v>
      </c>
      <c r="Y258" s="239">
        <f>IF(OR(SP_ACQ_Lib[[#This Row],[File Name Convention]]=0,LEFT(SP_ACQ_Lib[[#This Row],[Name]],LEN(SP_ACQ_Lib[[#This Row],[File Name Convention]]))&lt;&gt;SP_ACQ_Lib[[#This Row],[File Name Convention]],ISERROR(SEARCH(SP_ACQ_Lib[[#This Row],[ACQ Document Type]],SP_ACQ_Lib[[#This Row],[Name]]))),1,0)</f>
        <v>0</v>
      </c>
    </row>
    <row r="259" spans="1:25" ht="15" x14ac:dyDescent="0.2">
      <c r="A259" s="157" t="str">
        <f>CONCATENATE(SP_ACQ_Lib[[#This Row],[Acquisition Tract No.]],"_",SP_ACQ_Lib[[#This Row],[ACQ Document Type]])</f>
        <v>216_TITLE Commitment Backup Docs</v>
      </c>
      <c r="B259" s="14" t="s">
        <v>1480</v>
      </c>
      <c r="C259" s="15" t="s">
        <v>43</v>
      </c>
      <c r="D259" s="12" t="s">
        <v>631</v>
      </c>
      <c r="E259" s="8" t="s">
        <v>861</v>
      </c>
      <c r="F259" s="8" t="s">
        <v>863</v>
      </c>
      <c r="G259" s="8" t="s">
        <v>616</v>
      </c>
      <c r="H259" s="7" t="s">
        <v>592</v>
      </c>
      <c r="I259" s="16">
        <v>43907</v>
      </c>
      <c r="J259" s="16"/>
      <c r="K259" s="17"/>
      <c r="L259" s="3" t="s">
        <v>6287</v>
      </c>
      <c r="M259" s="8" t="s">
        <v>4325</v>
      </c>
      <c r="N259" s="11">
        <v>44001.552766203706</v>
      </c>
      <c r="O259" s="8" t="s">
        <v>4326</v>
      </c>
      <c r="P259" s="11">
        <v>43691.427546296298</v>
      </c>
      <c r="Q259" s="13">
        <v>509660</v>
      </c>
      <c r="R259" s="19" t="s">
        <v>594</v>
      </c>
      <c r="S259" s="14" t="s">
        <v>755</v>
      </c>
      <c r="T259" s="163">
        <v>43</v>
      </c>
      <c r="U259" s="164" t="str">
        <f>CONCATENATE(LEFT(SP_ACQ_Lib[[#This Row],[Tax Parcel ID]],7),"_",SP_ACQ_Lib[[#This Row],[ACQ Document Type]])</f>
        <v>R019375_TITLE Commitment Backup Docs</v>
      </c>
      <c r="V259" s="65" t="str">
        <f>INDEX(SP_AcqTract_DB[WCAD Tax Parcel ID],MATCH(SP_ACQ_Lib[[#This Row],[Acquisition Tract No.]],SP_AcqTract_DB[Acquisition Tract No.],0))</f>
        <v>R019375;#27</v>
      </c>
      <c r="W259" s="48" t="str">
        <f>INDEX(SP_TaxPar_DB[Acquisition Tract No.],MATCH(LEFT(SP_ACQ_Lib[[#This Row],[Tax Parcel ID]],7),SP_TaxPar_DB[Tax Parcel ID],0))</f>
        <v>216</v>
      </c>
      <c r="X259" s="238" t="str">
        <f>IF(OR(SP_ACQ_Lib[[#This Row],[Acquisition Tract No.]]="",SP_ACQ_Lib[[#This Row],[ACQ Document Type]]=""),0,CONCATENATE("COW-FRMP_TR-",SP_ACQ_Lib[[#This Row],[Acquisition Tract No.]]," ",SP_ACQ_Lib[[#This Row],[ACQ Document Type]]))</f>
        <v>COW-FRMP_TR-216 TITLE Commitment Backup Docs</v>
      </c>
      <c r="Y259" s="239">
        <f>IF(OR(SP_ACQ_Lib[[#This Row],[File Name Convention]]=0,LEFT(SP_ACQ_Lib[[#This Row],[Name]],LEN(SP_ACQ_Lib[[#This Row],[File Name Convention]]))&lt;&gt;SP_ACQ_Lib[[#This Row],[File Name Convention]],ISERROR(SEARCH(SP_ACQ_Lib[[#This Row],[ACQ Document Type]],SP_ACQ_Lib[[#This Row],[Name]]))),1,0)</f>
        <v>0</v>
      </c>
    </row>
    <row r="260" spans="1:25" ht="15" x14ac:dyDescent="0.2">
      <c r="A260" s="157" t="str">
        <f>CONCATENATE(SP_ACQ_Lib[[#This Row],[Acquisition Tract No.]],"_",SP_ACQ_Lib[[#This Row],[ACQ Document Type]])</f>
        <v>216_TITLE Curative Plan</v>
      </c>
      <c r="B260" s="14" t="s">
        <v>1481</v>
      </c>
      <c r="C260" s="15" t="s">
        <v>43</v>
      </c>
      <c r="D260" s="12" t="s">
        <v>631</v>
      </c>
      <c r="E260" s="8" t="s">
        <v>861</v>
      </c>
      <c r="F260" s="8" t="s">
        <v>864</v>
      </c>
      <c r="G260" s="8" t="s">
        <v>617</v>
      </c>
      <c r="H260" s="7" t="s">
        <v>592</v>
      </c>
      <c r="I260" s="16">
        <v>43809</v>
      </c>
      <c r="J260" s="16"/>
      <c r="K260" s="17"/>
      <c r="L260" s="3"/>
      <c r="M260" s="8" t="s">
        <v>4325</v>
      </c>
      <c r="N260" s="11">
        <v>43952.376469907409</v>
      </c>
      <c r="O260" s="8" t="s">
        <v>4326</v>
      </c>
      <c r="P260" s="11">
        <v>43745.477939814817</v>
      </c>
      <c r="Q260" s="13">
        <v>35163</v>
      </c>
      <c r="R260" s="19" t="s">
        <v>594</v>
      </c>
      <c r="S260" s="14" t="s">
        <v>1202</v>
      </c>
      <c r="T260" s="163">
        <v>393</v>
      </c>
      <c r="U260" s="164" t="str">
        <f>CONCATENATE(LEFT(SP_ACQ_Lib[[#This Row],[Tax Parcel ID]],7),"_",SP_ACQ_Lib[[#This Row],[ACQ Document Type]])</f>
        <v>R019375_TITLE Curative Plan</v>
      </c>
      <c r="V260" s="65" t="str">
        <f>INDEX(SP_AcqTract_DB[WCAD Tax Parcel ID],MATCH(SP_ACQ_Lib[[#This Row],[Acquisition Tract No.]],SP_AcqTract_DB[Acquisition Tract No.],0))</f>
        <v>R019375;#27</v>
      </c>
      <c r="W260" s="48" t="str">
        <f>INDEX(SP_TaxPar_DB[Acquisition Tract No.],MATCH(LEFT(SP_ACQ_Lib[[#This Row],[Tax Parcel ID]],7),SP_TaxPar_DB[Tax Parcel ID],0))</f>
        <v>216</v>
      </c>
      <c r="X260" s="238" t="str">
        <f>IF(OR(SP_ACQ_Lib[[#This Row],[Acquisition Tract No.]]="",SP_ACQ_Lib[[#This Row],[ACQ Document Type]]=""),0,CONCATENATE("COW-FRMP_TR-",SP_ACQ_Lib[[#This Row],[Acquisition Tract No.]]," ",SP_ACQ_Lib[[#This Row],[ACQ Document Type]]))</f>
        <v>COW-FRMP_TR-216 TITLE Curative Plan</v>
      </c>
      <c r="Y260" s="239">
        <f>IF(OR(SP_ACQ_Lib[[#This Row],[File Name Convention]]=0,LEFT(SP_ACQ_Lib[[#This Row],[Name]],LEN(SP_ACQ_Lib[[#This Row],[File Name Convention]]))&lt;&gt;SP_ACQ_Lib[[#This Row],[File Name Convention]],ISERROR(SEARCH(SP_ACQ_Lib[[#This Row],[ACQ Document Type]],SP_ACQ_Lib[[#This Row],[Name]]))),1,0)</f>
        <v>0</v>
      </c>
    </row>
    <row r="261" spans="1:25" ht="15" x14ac:dyDescent="0.2">
      <c r="A261" s="157" t="str">
        <f>CONCATENATE(SP_ACQ_Lib[[#This Row],[Acquisition Tract No.]],"_",SP_ACQ_Lib[[#This Row],[ACQ Document Type]])</f>
        <v>216_TITLE Tax Card</v>
      </c>
      <c r="B261" s="14" t="s">
        <v>3446</v>
      </c>
      <c r="C261" s="15" t="s">
        <v>43</v>
      </c>
      <c r="D261" s="12" t="s">
        <v>631</v>
      </c>
      <c r="E261" s="8" t="s">
        <v>861</v>
      </c>
      <c r="F261" s="8" t="s">
        <v>1150</v>
      </c>
      <c r="G261" s="8" t="s">
        <v>1149</v>
      </c>
      <c r="H261" s="7" t="s">
        <v>592</v>
      </c>
      <c r="I261" s="16"/>
      <c r="J261" s="16"/>
      <c r="K261" s="17"/>
      <c r="L261" s="3"/>
      <c r="M261" s="8" t="s">
        <v>4206</v>
      </c>
      <c r="N261" s="11">
        <v>43874.591597222221</v>
      </c>
      <c r="O261" s="8" t="s">
        <v>1272</v>
      </c>
      <c r="P261" s="11">
        <v>43817.464849537035</v>
      </c>
      <c r="Q261" s="13">
        <v>594161</v>
      </c>
      <c r="R261" s="19" t="s">
        <v>594</v>
      </c>
      <c r="S261" s="14" t="s">
        <v>1777</v>
      </c>
      <c r="T261" s="163">
        <v>597</v>
      </c>
      <c r="U261" s="164" t="str">
        <f>CONCATENATE(LEFT(SP_ACQ_Lib[[#This Row],[Tax Parcel ID]],7),"_",SP_ACQ_Lib[[#This Row],[ACQ Document Type]])</f>
        <v>R019375_TITLE Tax Card</v>
      </c>
      <c r="V261" s="65" t="str">
        <f>INDEX(SP_AcqTract_DB[WCAD Tax Parcel ID],MATCH(SP_ACQ_Lib[[#This Row],[Acquisition Tract No.]],SP_AcqTract_DB[Acquisition Tract No.],0))</f>
        <v>R019375;#27</v>
      </c>
      <c r="W261" s="48" t="str">
        <f>INDEX(SP_TaxPar_DB[Acquisition Tract No.],MATCH(LEFT(SP_ACQ_Lib[[#This Row],[Tax Parcel ID]],7),SP_TaxPar_DB[Tax Parcel ID],0))</f>
        <v>216</v>
      </c>
      <c r="X261" s="238" t="str">
        <f>IF(OR(SP_ACQ_Lib[[#This Row],[Acquisition Tract No.]]="",SP_ACQ_Lib[[#This Row],[ACQ Document Type]]=""),0,CONCATENATE("COW-FRMP_TR-",SP_ACQ_Lib[[#This Row],[Acquisition Tract No.]]," ",SP_ACQ_Lib[[#This Row],[ACQ Document Type]]))</f>
        <v>COW-FRMP_TR-216 TITLE Tax Card</v>
      </c>
      <c r="Y261" s="239">
        <f>IF(OR(SP_ACQ_Lib[[#This Row],[File Name Convention]]=0,LEFT(SP_ACQ_Lib[[#This Row],[Name]],LEN(SP_ACQ_Lib[[#This Row],[File Name Convention]]))&lt;&gt;SP_ACQ_Lib[[#This Row],[File Name Convention]],ISERROR(SEARCH(SP_ACQ_Lib[[#This Row],[ACQ Document Type]],SP_ACQ_Lib[[#This Row],[Name]]))),1,0)</f>
        <v>0</v>
      </c>
    </row>
    <row r="262" spans="1:25" ht="15" x14ac:dyDescent="0.2">
      <c r="A262" s="157" t="str">
        <f>CONCATENATE(SP_ACQ_Lib[[#This Row],[Acquisition Tract No.]],"_",SP_ACQ_Lib[[#This Row],[ACQ Document Type]])</f>
        <v>217_APPRAISAL Final Appraisal</v>
      </c>
      <c r="B262" s="14" t="s">
        <v>6305</v>
      </c>
      <c r="C262" s="15" t="s">
        <v>132</v>
      </c>
      <c r="D262" s="12" t="s">
        <v>632</v>
      </c>
      <c r="E262" s="8" t="s">
        <v>1131</v>
      </c>
      <c r="F262" s="8" t="s">
        <v>4755</v>
      </c>
      <c r="G262" s="8" t="s">
        <v>4754</v>
      </c>
      <c r="H262" s="7" t="s">
        <v>592</v>
      </c>
      <c r="I262" s="16">
        <v>43912</v>
      </c>
      <c r="J262" s="16"/>
      <c r="K262" s="17">
        <v>656</v>
      </c>
      <c r="L262" s="3"/>
      <c r="M262" s="8" t="s">
        <v>4206</v>
      </c>
      <c r="N262" s="11">
        <v>44005.658391203702</v>
      </c>
      <c r="O262" s="8" t="s">
        <v>4206</v>
      </c>
      <c r="P262" s="11">
        <v>44005.657407407409</v>
      </c>
      <c r="Q262" s="13">
        <v>7002566</v>
      </c>
      <c r="R262" s="19" t="s">
        <v>594</v>
      </c>
      <c r="S262" s="14" t="s">
        <v>6374</v>
      </c>
      <c r="T262" s="163">
        <v>1287</v>
      </c>
      <c r="U262" s="164" t="str">
        <f>CONCATENATE(LEFT(SP_ACQ_Lib[[#This Row],[Tax Parcel ID]],7),"_",SP_ACQ_Lib[[#This Row],[ACQ Document Type]])</f>
        <v>R061992_APPRAISAL Final Appraisal</v>
      </c>
      <c r="V262" s="65" t="str">
        <f>INDEX(SP_AcqTract_DB[WCAD Tax Parcel ID],MATCH(SP_ACQ_Lib[[#This Row],[Acquisition Tract No.]],SP_AcqTract_DB[Acquisition Tract No.],0))</f>
        <v>R061992;#28</v>
      </c>
      <c r="W262" s="48" t="str">
        <f>INDEX(SP_TaxPar_DB[Acquisition Tract No.],MATCH(LEFT(SP_ACQ_Lib[[#This Row],[Tax Parcel ID]],7),SP_TaxPar_DB[Tax Parcel ID],0))</f>
        <v>217</v>
      </c>
      <c r="X262" s="238" t="str">
        <f>IF(OR(SP_ACQ_Lib[[#This Row],[Acquisition Tract No.]]="",SP_ACQ_Lib[[#This Row],[ACQ Document Type]]=""),0,CONCATENATE("COW-FRMP_TR-",SP_ACQ_Lib[[#This Row],[Acquisition Tract No.]]," ",SP_ACQ_Lib[[#This Row],[ACQ Document Type]]))</f>
        <v>COW-FRMP_TR-217 APPRAISAL Final Appraisal</v>
      </c>
      <c r="Y262" s="239">
        <f>IF(OR(SP_ACQ_Lib[[#This Row],[File Name Convention]]=0,LEFT(SP_ACQ_Lib[[#This Row],[Name]],LEN(SP_ACQ_Lib[[#This Row],[File Name Convention]]))&lt;&gt;SP_ACQ_Lib[[#This Row],[File Name Convention]],ISERROR(SEARCH(SP_ACQ_Lib[[#This Row],[ACQ Document Type]],SP_ACQ_Lib[[#This Row],[Name]]))),1,0)</f>
        <v>0</v>
      </c>
    </row>
    <row r="263" spans="1:25" ht="15" x14ac:dyDescent="0.2">
      <c r="A263" s="157" t="str">
        <f>CONCATENATE(SP_ACQ_Lib[[#This Row],[Acquisition Tract No.]],"_",SP_ACQ_Lib[[#This Row],[ACQ Document Type]])</f>
        <v>217_APPRAISAL Just Compensation Memo</v>
      </c>
      <c r="B263" s="14" t="s">
        <v>6306</v>
      </c>
      <c r="C263" s="15" t="s">
        <v>132</v>
      </c>
      <c r="D263" s="12" t="s">
        <v>632</v>
      </c>
      <c r="E263" s="8" t="s">
        <v>1131</v>
      </c>
      <c r="F263" s="8" t="s">
        <v>4757</v>
      </c>
      <c r="G263" s="8" t="s">
        <v>4756</v>
      </c>
      <c r="H263" s="7" t="s">
        <v>592</v>
      </c>
      <c r="I263" s="16">
        <v>44005</v>
      </c>
      <c r="J263" s="16">
        <v>44005</v>
      </c>
      <c r="K263" s="17">
        <v>656</v>
      </c>
      <c r="L263" s="3"/>
      <c r="M263" s="8" t="s">
        <v>4206</v>
      </c>
      <c r="N263" s="11">
        <v>44006.406747685185</v>
      </c>
      <c r="O263" s="8" t="s">
        <v>4206</v>
      </c>
      <c r="P263" s="11">
        <v>44005.657418981478</v>
      </c>
      <c r="Q263" s="13">
        <v>25929</v>
      </c>
      <c r="R263" s="19" t="s">
        <v>594</v>
      </c>
      <c r="S263" s="14" t="s">
        <v>6375</v>
      </c>
      <c r="T263" s="163">
        <v>1288</v>
      </c>
      <c r="U263" s="164" t="str">
        <f>CONCATENATE(LEFT(SP_ACQ_Lib[[#This Row],[Tax Parcel ID]],7),"_",SP_ACQ_Lib[[#This Row],[ACQ Document Type]])</f>
        <v>R061992_APPRAISAL Just Compensation Memo</v>
      </c>
      <c r="V263" s="65" t="str">
        <f>INDEX(SP_AcqTract_DB[WCAD Tax Parcel ID],MATCH(SP_ACQ_Lib[[#This Row],[Acquisition Tract No.]],SP_AcqTract_DB[Acquisition Tract No.],0))</f>
        <v>R061992;#28</v>
      </c>
      <c r="W263" s="48" t="str">
        <f>INDEX(SP_TaxPar_DB[Acquisition Tract No.],MATCH(LEFT(SP_ACQ_Lib[[#This Row],[Tax Parcel ID]],7),SP_TaxPar_DB[Tax Parcel ID],0))</f>
        <v>217</v>
      </c>
      <c r="X263" s="238" t="str">
        <f>IF(OR(SP_ACQ_Lib[[#This Row],[Acquisition Tract No.]]="",SP_ACQ_Lib[[#This Row],[ACQ Document Type]]=""),0,CONCATENATE("COW-FRMP_TR-",SP_ACQ_Lib[[#This Row],[Acquisition Tract No.]]," ",SP_ACQ_Lib[[#This Row],[ACQ Document Type]]))</f>
        <v>COW-FRMP_TR-217 APPRAISAL Just Compensation Memo</v>
      </c>
      <c r="Y263" s="239">
        <f>IF(OR(SP_ACQ_Lib[[#This Row],[File Name Convention]]=0,LEFT(SP_ACQ_Lib[[#This Row],[Name]],LEN(SP_ACQ_Lib[[#This Row],[File Name Convention]]))&lt;&gt;SP_ACQ_Lib[[#This Row],[File Name Convention]],ISERROR(SEARCH(SP_ACQ_Lib[[#This Row],[ACQ Document Type]],SP_ACQ_Lib[[#This Row],[Name]]))),1,0)</f>
        <v>0</v>
      </c>
    </row>
    <row r="264" spans="1:25" ht="15" x14ac:dyDescent="0.2">
      <c r="A264" s="157" t="str">
        <f>CONCATENATE(SP_ACQ_Lib[[#This Row],[Acquisition Tract No.]],"_",SP_ACQ_Lib[[#This Row],[ACQ Document Type]])</f>
        <v>217_APPRAISAL USACOE Authorization to Proceed with Offer</v>
      </c>
      <c r="B264" s="14" t="s">
        <v>6307</v>
      </c>
      <c r="C264" s="15" t="s">
        <v>132</v>
      </c>
      <c r="D264" s="12" t="s">
        <v>632</v>
      </c>
      <c r="E264" s="8" t="s">
        <v>1131</v>
      </c>
      <c r="F264" s="8" t="s">
        <v>4959</v>
      </c>
      <c r="G264" s="8" t="s">
        <v>4958</v>
      </c>
      <c r="H264" s="7" t="s">
        <v>592</v>
      </c>
      <c r="I264" s="16">
        <v>44005</v>
      </c>
      <c r="J264" s="16">
        <v>44005</v>
      </c>
      <c r="K264" s="17">
        <v>656</v>
      </c>
      <c r="L264" s="3"/>
      <c r="M264" s="8" t="s">
        <v>4206</v>
      </c>
      <c r="N264" s="11">
        <v>44006.407106481478</v>
      </c>
      <c r="O264" s="8" t="s">
        <v>4206</v>
      </c>
      <c r="P264" s="11">
        <v>44005.657430555555</v>
      </c>
      <c r="Q264" s="13">
        <v>420929</v>
      </c>
      <c r="R264" s="19" t="s">
        <v>594</v>
      </c>
      <c r="S264" s="14" t="s">
        <v>6376</v>
      </c>
      <c r="T264" s="163">
        <v>1289</v>
      </c>
      <c r="U264" s="164" t="str">
        <f>CONCATENATE(LEFT(SP_ACQ_Lib[[#This Row],[Tax Parcel ID]],7),"_",SP_ACQ_Lib[[#This Row],[ACQ Document Type]])</f>
        <v>R061992_APPRAISAL USACOE Authorization to Proceed with Offer</v>
      </c>
      <c r="V264" s="65" t="str">
        <f>INDEX(SP_AcqTract_DB[WCAD Tax Parcel ID],MATCH(SP_ACQ_Lib[[#This Row],[Acquisition Tract No.]],SP_AcqTract_DB[Acquisition Tract No.],0))</f>
        <v>R061992;#28</v>
      </c>
      <c r="W264" s="48" t="str">
        <f>INDEX(SP_TaxPar_DB[Acquisition Tract No.],MATCH(LEFT(SP_ACQ_Lib[[#This Row],[Tax Parcel ID]],7),SP_TaxPar_DB[Tax Parcel ID],0))</f>
        <v>217</v>
      </c>
      <c r="X264" s="238" t="str">
        <f>IF(OR(SP_ACQ_Lib[[#This Row],[Acquisition Tract No.]]="",SP_ACQ_Lib[[#This Row],[ACQ Document Type]]=""),0,CONCATENATE("COW-FRMP_TR-",SP_ACQ_Lib[[#This Row],[Acquisition Tract No.]]," ",SP_ACQ_Lib[[#This Row],[ACQ Document Type]]))</f>
        <v>COW-FRMP_TR-217 APPRAISAL USACOE Authorization to Proceed with Offer</v>
      </c>
      <c r="Y264" s="239">
        <f>IF(OR(SP_ACQ_Lib[[#This Row],[File Name Convention]]=0,LEFT(SP_ACQ_Lib[[#This Row],[Name]],LEN(SP_ACQ_Lib[[#This Row],[File Name Convention]]))&lt;&gt;SP_ACQ_Lib[[#This Row],[File Name Convention]],ISERROR(SEARCH(SP_ACQ_Lib[[#This Row],[ACQ Document Type]],SP_ACQ_Lib[[#This Row],[Name]]))),1,0)</f>
        <v>0</v>
      </c>
    </row>
    <row r="265" spans="1:25" ht="15" x14ac:dyDescent="0.2">
      <c r="A265" s="157" t="str">
        <f>CONCATENATE(SP_ACQ_Lib[[#This Row],[Acquisition Tract No.]],"_",SP_ACQ_Lib[[#This Row],[ACQ Document Type]])</f>
        <v>217_CONTACT Initial Interview - Residential</v>
      </c>
      <c r="B265" s="14" t="s">
        <v>1482</v>
      </c>
      <c r="C265" s="15" t="s">
        <v>132</v>
      </c>
      <c r="D265" s="12" t="s">
        <v>632</v>
      </c>
      <c r="E265" s="8" t="s">
        <v>865</v>
      </c>
      <c r="F265" s="8" t="s">
        <v>866</v>
      </c>
      <c r="G265" s="8" t="s">
        <v>618</v>
      </c>
      <c r="H265" s="7" t="s">
        <v>592</v>
      </c>
      <c r="I265" s="16">
        <v>43685</v>
      </c>
      <c r="J265" s="16"/>
      <c r="K265" s="17"/>
      <c r="L265" s="3"/>
      <c r="M265" s="8" t="s">
        <v>4206</v>
      </c>
      <c r="N265" s="11">
        <v>44006.608923611115</v>
      </c>
      <c r="O265" s="8" t="s">
        <v>4325</v>
      </c>
      <c r="P265" s="11">
        <v>43696.396504629629</v>
      </c>
      <c r="Q265" s="13">
        <v>303819</v>
      </c>
      <c r="R265" s="19" t="s">
        <v>594</v>
      </c>
      <c r="S265" s="14" t="s">
        <v>756</v>
      </c>
      <c r="T265" s="163">
        <v>101</v>
      </c>
      <c r="U265" s="164" t="str">
        <f>CONCATENATE(LEFT(SP_ACQ_Lib[[#This Row],[Tax Parcel ID]],7),"_",SP_ACQ_Lib[[#This Row],[ACQ Document Type]])</f>
        <v>R061992_CONTACT Initial Interview - Residential</v>
      </c>
      <c r="V265" s="65" t="str">
        <f>INDEX(SP_AcqTract_DB[WCAD Tax Parcel ID],MATCH(SP_ACQ_Lib[[#This Row],[Acquisition Tract No.]],SP_AcqTract_DB[Acquisition Tract No.],0))</f>
        <v>R061992;#28</v>
      </c>
      <c r="W265" s="48" t="str">
        <f>INDEX(SP_TaxPar_DB[Acquisition Tract No.],MATCH(LEFT(SP_ACQ_Lib[[#This Row],[Tax Parcel ID]],7),SP_TaxPar_DB[Tax Parcel ID],0))</f>
        <v>217</v>
      </c>
      <c r="X265" s="238" t="str">
        <f>IF(OR(SP_ACQ_Lib[[#This Row],[Acquisition Tract No.]]="",SP_ACQ_Lib[[#This Row],[ACQ Document Type]]=""),0,CONCATENATE("COW-FRMP_TR-",SP_ACQ_Lib[[#This Row],[Acquisition Tract No.]]," ",SP_ACQ_Lib[[#This Row],[ACQ Document Type]]))</f>
        <v>COW-FRMP_TR-217 CONTACT Initial Interview - Residential</v>
      </c>
      <c r="Y265" s="239">
        <f>IF(OR(SP_ACQ_Lib[[#This Row],[File Name Convention]]=0,LEFT(SP_ACQ_Lib[[#This Row],[Name]],LEN(SP_ACQ_Lib[[#This Row],[File Name Convention]]))&lt;&gt;SP_ACQ_Lib[[#This Row],[File Name Convention]],ISERROR(SEARCH(SP_ACQ_Lib[[#This Row],[ACQ Document Type]],SP_ACQ_Lib[[#This Row],[Name]]))),1,0)</f>
        <v>0</v>
      </c>
    </row>
    <row r="266" spans="1:25" ht="15" x14ac:dyDescent="0.2">
      <c r="A266" s="157" t="str">
        <f>CONCATENATE(SP_ACQ_Lib[[#This Row],[Acquisition Tract No.]],"_",SP_ACQ_Lib[[#This Row],[ACQ Document Type]])</f>
        <v>217_CONTACT Letter of Intent-HDR</v>
      </c>
      <c r="B266" s="14" t="s">
        <v>1483</v>
      </c>
      <c r="C266" s="15" t="s">
        <v>132</v>
      </c>
      <c r="D266" s="12" t="s">
        <v>632</v>
      </c>
      <c r="E266" s="8" t="s">
        <v>865</v>
      </c>
      <c r="F266" s="8" t="s">
        <v>1401</v>
      </c>
      <c r="G266" s="8" t="s">
        <v>1400</v>
      </c>
      <c r="H266" s="7" t="s">
        <v>592</v>
      </c>
      <c r="I266" s="16">
        <v>43765</v>
      </c>
      <c r="J266" s="16"/>
      <c r="K266" s="17"/>
      <c r="L266" s="3"/>
      <c r="M266" s="8" t="s">
        <v>4206</v>
      </c>
      <c r="N266" s="11">
        <v>44006.609085648146</v>
      </c>
      <c r="O266" s="8" t="s">
        <v>1402</v>
      </c>
      <c r="P266" s="11">
        <v>43769.610474537039</v>
      </c>
      <c r="Q266" s="13">
        <v>30066</v>
      </c>
      <c r="R266" s="19" t="s">
        <v>594</v>
      </c>
      <c r="S266" s="14" t="s">
        <v>1633</v>
      </c>
      <c r="T266" s="163">
        <v>505</v>
      </c>
      <c r="U266" s="164" t="str">
        <f>CONCATENATE(LEFT(SP_ACQ_Lib[[#This Row],[Tax Parcel ID]],7),"_",SP_ACQ_Lib[[#This Row],[ACQ Document Type]])</f>
        <v>R061992_CONTACT Letter of Intent-HDR</v>
      </c>
      <c r="V266" s="65" t="str">
        <f>INDEX(SP_AcqTract_DB[WCAD Tax Parcel ID],MATCH(SP_ACQ_Lib[[#This Row],[Acquisition Tract No.]],SP_AcqTract_DB[Acquisition Tract No.],0))</f>
        <v>R061992;#28</v>
      </c>
      <c r="W266" s="48" t="str">
        <f>INDEX(SP_TaxPar_DB[Acquisition Tract No.],MATCH(LEFT(SP_ACQ_Lib[[#This Row],[Tax Parcel ID]],7),SP_TaxPar_DB[Tax Parcel ID],0))</f>
        <v>217</v>
      </c>
      <c r="X266" s="238" t="str">
        <f>IF(OR(SP_ACQ_Lib[[#This Row],[Acquisition Tract No.]]="",SP_ACQ_Lib[[#This Row],[ACQ Document Type]]=""),0,CONCATENATE("COW-FRMP_TR-",SP_ACQ_Lib[[#This Row],[Acquisition Tract No.]]," ",SP_ACQ_Lib[[#This Row],[ACQ Document Type]]))</f>
        <v>COW-FRMP_TR-217 CONTACT Letter of Intent-HDR</v>
      </c>
      <c r="Y266" s="239">
        <f>IF(OR(SP_ACQ_Lib[[#This Row],[File Name Convention]]=0,LEFT(SP_ACQ_Lib[[#This Row],[Name]],LEN(SP_ACQ_Lib[[#This Row],[File Name Convention]]))&lt;&gt;SP_ACQ_Lib[[#This Row],[File Name Convention]],ISERROR(SEARCH(SP_ACQ_Lib[[#This Row],[ACQ Document Type]],SP_ACQ_Lib[[#This Row],[Name]]))),1,0)</f>
        <v>0</v>
      </c>
    </row>
    <row r="267" spans="1:25" ht="15" x14ac:dyDescent="0.2">
      <c r="A267" s="157" t="str">
        <f>CONCATENATE(SP_ACQ_Lib[[#This Row],[Acquisition Tract No.]],"_",SP_ACQ_Lib[[#This Row],[ACQ Document Type]])</f>
        <v>217_CONTACT Negotiator Report</v>
      </c>
      <c r="B267" s="14" t="s">
        <v>3385</v>
      </c>
      <c r="C267" s="15" t="s">
        <v>132</v>
      </c>
      <c r="D267" s="12" t="s">
        <v>632</v>
      </c>
      <c r="E267" s="8" t="s">
        <v>865</v>
      </c>
      <c r="F267" s="8" t="s">
        <v>1068</v>
      </c>
      <c r="G267" s="8" t="s">
        <v>1067</v>
      </c>
      <c r="H267" s="7" t="s">
        <v>592</v>
      </c>
      <c r="I267" s="16"/>
      <c r="J267" s="16"/>
      <c r="K267" s="17"/>
      <c r="L267" s="3"/>
      <c r="M267" s="8" t="s">
        <v>4206</v>
      </c>
      <c r="N267" s="11">
        <v>44006.609236111108</v>
      </c>
      <c r="O267" s="8" t="s">
        <v>4325</v>
      </c>
      <c r="P267" s="11">
        <v>43732.572395833333</v>
      </c>
      <c r="Q267" s="13">
        <v>61773</v>
      </c>
      <c r="R267" s="19" t="s">
        <v>1069</v>
      </c>
      <c r="S267" s="14" t="s">
        <v>1088</v>
      </c>
      <c r="T267" s="163">
        <v>301</v>
      </c>
      <c r="U267" s="164" t="str">
        <f>CONCATENATE(LEFT(SP_ACQ_Lib[[#This Row],[Tax Parcel ID]],7),"_",SP_ACQ_Lib[[#This Row],[ACQ Document Type]])</f>
        <v>R061992_CONTACT Negotiator Report</v>
      </c>
      <c r="V267" s="65" t="str">
        <f>INDEX(SP_AcqTract_DB[WCAD Tax Parcel ID],MATCH(SP_ACQ_Lib[[#This Row],[Acquisition Tract No.]],SP_AcqTract_DB[Acquisition Tract No.],0))</f>
        <v>R061992;#28</v>
      </c>
      <c r="W267" s="48" t="str">
        <f>INDEX(SP_TaxPar_DB[Acquisition Tract No.],MATCH(LEFT(SP_ACQ_Lib[[#This Row],[Tax Parcel ID]],7),SP_TaxPar_DB[Tax Parcel ID],0))</f>
        <v>217</v>
      </c>
      <c r="X267" s="238" t="str">
        <f>IF(OR(SP_ACQ_Lib[[#This Row],[Acquisition Tract No.]]="",SP_ACQ_Lib[[#This Row],[ACQ Document Type]]=""),0,CONCATENATE("COW-FRMP_TR-",SP_ACQ_Lib[[#This Row],[Acquisition Tract No.]]," ",SP_ACQ_Lib[[#This Row],[ACQ Document Type]]))</f>
        <v>COW-FRMP_TR-217 CONTACT Negotiator Report</v>
      </c>
      <c r="Y267" s="239">
        <f>IF(OR(SP_ACQ_Lib[[#This Row],[File Name Convention]]=0,LEFT(SP_ACQ_Lib[[#This Row],[Name]],LEN(SP_ACQ_Lib[[#This Row],[File Name Convention]]))&lt;&gt;SP_ACQ_Lib[[#This Row],[File Name Convention]],ISERROR(SEARCH(SP_ACQ_Lib[[#This Row],[ACQ Document Type]],SP_ACQ_Lib[[#This Row],[Name]]))),1,0)</f>
        <v>0</v>
      </c>
    </row>
    <row r="268" spans="1:25" ht="15" x14ac:dyDescent="0.2">
      <c r="A268" s="157" t="str">
        <f>CONCATENATE(SP_ACQ_Lib[[#This Row],[Acquisition Tract No.]],"_",SP_ACQ_Lib[[#This Row],[ACQ Document Type]])</f>
        <v>217_CONTACT Pre-Appraisal Contact with Owner</v>
      </c>
      <c r="B268" s="14" t="s">
        <v>3386</v>
      </c>
      <c r="C268" s="15" t="s">
        <v>132</v>
      </c>
      <c r="D268" s="12" t="s">
        <v>632</v>
      </c>
      <c r="E268" s="8" t="s">
        <v>865</v>
      </c>
      <c r="F268" s="8" t="s">
        <v>1748</v>
      </c>
      <c r="G268" s="8" t="s">
        <v>1747</v>
      </c>
      <c r="H268" s="7" t="s">
        <v>592</v>
      </c>
      <c r="I268" s="16">
        <v>43788</v>
      </c>
      <c r="J268" s="16"/>
      <c r="K268" s="17"/>
      <c r="L268" s="3"/>
      <c r="M268" s="8" t="s">
        <v>4206</v>
      </c>
      <c r="N268" s="11">
        <v>44006.6094212963</v>
      </c>
      <c r="O268" s="8" t="s">
        <v>1272</v>
      </c>
      <c r="P268" s="11">
        <v>43822.641504629632</v>
      </c>
      <c r="Q268" s="13">
        <v>1766468</v>
      </c>
      <c r="R268" s="19" t="s">
        <v>594</v>
      </c>
      <c r="S268" s="14" t="s">
        <v>1778</v>
      </c>
      <c r="T268" s="163">
        <v>678</v>
      </c>
      <c r="U268" s="164" t="str">
        <f>CONCATENATE(LEFT(SP_ACQ_Lib[[#This Row],[Tax Parcel ID]],7),"_",SP_ACQ_Lib[[#This Row],[ACQ Document Type]])</f>
        <v>R061992_CONTACT Pre-Appraisal Contact with Owner</v>
      </c>
      <c r="V268" s="65" t="str">
        <f>INDEX(SP_AcqTract_DB[WCAD Tax Parcel ID],MATCH(SP_ACQ_Lib[[#This Row],[Acquisition Tract No.]],SP_AcqTract_DB[Acquisition Tract No.],0))</f>
        <v>R061992;#28</v>
      </c>
      <c r="W268" s="48" t="str">
        <f>INDEX(SP_TaxPar_DB[Acquisition Tract No.],MATCH(LEFT(SP_ACQ_Lib[[#This Row],[Tax Parcel ID]],7),SP_TaxPar_DB[Tax Parcel ID],0))</f>
        <v>217</v>
      </c>
      <c r="X268" s="238" t="str">
        <f>IF(OR(SP_ACQ_Lib[[#This Row],[Acquisition Tract No.]]="",SP_ACQ_Lib[[#This Row],[ACQ Document Type]]=""),0,CONCATENATE("COW-FRMP_TR-",SP_ACQ_Lib[[#This Row],[Acquisition Tract No.]]," ",SP_ACQ_Lib[[#This Row],[ACQ Document Type]]))</f>
        <v>COW-FRMP_TR-217 CONTACT Pre-Appraisal Contact with Owner</v>
      </c>
      <c r="Y268" s="239">
        <f>IF(OR(SP_ACQ_Lib[[#This Row],[File Name Convention]]=0,LEFT(SP_ACQ_Lib[[#This Row],[Name]],LEN(SP_ACQ_Lib[[#This Row],[File Name Convention]]))&lt;&gt;SP_ACQ_Lib[[#This Row],[File Name Convention]],ISERROR(SEARCH(SP_ACQ_Lib[[#This Row],[ACQ Document Type]],SP_ACQ_Lib[[#This Row],[Name]]))),1,0)</f>
        <v>0</v>
      </c>
    </row>
    <row r="269" spans="1:25" ht="15" x14ac:dyDescent="0.2">
      <c r="A269" s="157" t="str">
        <f>CONCATENATE(SP_ACQ_Lib[[#This Row],[Acquisition Tract No.]],"_",SP_ACQ_Lib[[#This Row],[ACQ Document Type]])</f>
        <v>217_NEGOTIATION Landowner Bill of Rights Letter</v>
      </c>
      <c r="B269" s="14" t="s">
        <v>3447</v>
      </c>
      <c r="C269" s="15" t="s">
        <v>132</v>
      </c>
      <c r="D269" s="12" t="s">
        <v>632</v>
      </c>
      <c r="E269" s="8" t="s">
        <v>1142</v>
      </c>
      <c r="F269" s="8" t="s">
        <v>1746</v>
      </c>
      <c r="G269" s="8" t="s">
        <v>1745</v>
      </c>
      <c r="H269" s="7" t="s">
        <v>592</v>
      </c>
      <c r="I269" s="16">
        <v>43748</v>
      </c>
      <c r="J269" s="16"/>
      <c r="K269" s="17"/>
      <c r="L269" s="3"/>
      <c r="M269" s="8" t="s">
        <v>4206</v>
      </c>
      <c r="N269" s="11">
        <v>44006.609768518516</v>
      </c>
      <c r="O269" s="8" t="s">
        <v>4325</v>
      </c>
      <c r="P269" s="11">
        <v>43752.484606481485</v>
      </c>
      <c r="Q269" s="13">
        <v>326427</v>
      </c>
      <c r="R269" s="19" t="s">
        <v>594</v>
      </c>
      <c r="S269" s="14" t="s">
        <v>1203</v>
      </c>
      <c r="T269" s="163">
        <v>432</v>
      </c>
      <c r="U269" s="164" t="str">
        <f>CONCATENATE(LEFT(SP_ACQ_Lib[[#This Row],[Tax Parcel ID]],7),"_",SP_ACQ_Lib[[#This Row],[ACQ Document Type]])</f>
        <v>R061992_NEGOTIATION Landowner Bill of Rights Letter</v>
      </c>
      <c r="V269" s="65" t="str">
        <f>INDEX(SP_AcqTract_DB[WCAD Tax Parcel ID],MATCH(SP_ACQ_Lib[[#This Row],[Acquisition Tract No.]],SP_AcqTract_DB[Acquisition Tract No.],0))</f>
        <v>R061992;#28</v>
      </c>
      <c r="W269" s="48" t="str">
        <f>INDEX(SP_TaxPar_DB[Acquisition Tract No.],MATCH(LEFT(SP_ACQ_Lib[[#This Row],[Tax Parcel ID]],7),SP_TaxPar_DB[Tax Parcel ID],0))</f>
        <v>217</v>
      </c>
      <c r="X269" s="238" t="str">
        <f>IF(OR(SP_ACQ_Lib[[#This Row],[Acquisition Tract No.]]="",SP_ACQ_Lib[[#This Row],[ACQ Document Type]]=""),0,CONCATENATE("COW-FRMP_TR-",SP_ACQ_Lib[[#This Row],[Acquisition Tract No.]]," ",SP_ACQ_Lib[[#This Row],[ACQ Document Type]]))</f>
        <v>COW-FRMP_TR-217 NEGOTIATION Landowner Bill of Rights Letter</v>
      </c>
      <c r="Y269" s="239">
        <f>IF(OR(SP_ACQ_Lib[[#This Row],[File Name Convention]]=0,LEFT(SP_ACQ_Lib[[#This Row],[Name]],LEN(SP_ACQ_Lib[[#This Row],[File Name Convention]]))&lt;&gt;SP_ACQ_Lib[[#This Row],[File Name Convention]],ISERROR(SEARCH(SP_ACQ_Lib[[#This Row],[ACQ Document Type]],SP_ACQ_Lib[[#This Row],[Name]]))),1,0)</f>
        <v>0</v>
      </c>
    </row>
    <row r="270" spans="1:25" ht="15" x14ac:dyDescent="0.2">
      <c r="A270" s="157" t="str">
        <f>CONCATENATE(SP_ACQ_Lib[[#This Row],[Acquisition Tract No.]],"_",SP_ACQ_Lib[[#This Row],[ACQ Document Type]])</f>
        <v>217_SURVEY Description-Plat_CITY</v>
      </c>
      <c r="B270" s="14" t="s">
        <v>3526</v>
      </c>
      <c r="C270" s="15" t="s">
        <v>132</v>
      </c>
      <c r="D270" s="12" t="s">
        <v>632</v>
      </c>
      <c r="E270" s="8" t="s">
        <v>858</v>
      </c>
      <c r="F270" s="8" t="s">
        <v>3503</v>
      </c>
      <c r="G270" s="8" t="s">
        <v>3502</v>
      </c>
      <c r="H270" s="7" t="s">
        <v>1749</v>
      </c>
      <c r="I270" s="16">
        <v>43740</v>
      </c>
      <c r="J270" s="16">
        <v>43886</v>
      </c>
      <c r="K270" s="17"/>
      <c r="L270" s="3"/>
      <c r="M270" s="8" t="s">
        <v>4206</v>
      </c>
      <c r="N270" s="11">
        <v>44006.61010416667</v>
      </c>
      <c r="O270" s="8" t="s">
        <v>4206</v>
      </c>
      <c r="P270" s="11">
        <v>43886.641875000001</v>
      </c>
      <c r="Q270" s="13">
        <v>252087</v>
      </c>
      <c r="R270" s="19" t="s">
        <v>594</v>
      </c>
      <c r="S270" s="14" t="s">
        <v>3549</v>
      </c>
      <c r="T270" s="163">
        <v>730</v>
      </c>
      <c r="U270" s="164" t="str">
        <f>CONCATENATE(LEFT(SP_ACQ_Lib[[#This Row],[Tax Parcel ID]],7),"_",SP_ACQ_Lib[[#This Row],[ACQ Document Type]])</f>
        <v>R061992_SURVEY Description-Plat_CITY</v>
      </c>
      <c r="V270" s="65" t="str">
        <f>INDEX(SP_AcqTract_DB[WCAD Tax Parcel ID],MATCH(SP_ACQ_Lib[[#This Row],[Acquisition Tract No.]],SP_AcqTract_DB[Acquisition Tract No.],0))</f>
        <v>R061992;#28</v>
      </c>
      <c r="W270" s="48" t="str">
        <f>INDEX(SP_TaxPar_DB[Acquisition Tract No.],MATCH(LEFT(SP_ACQ_Lib[[#This Row],[Tax Parcel ID]],7),SP_TaxPar_DB[Tax Parcel ID],0))</f>
        <v>217</v>
      </c>
      <c r="X270" s="238" t="str">
        <f>IF(OR(SP_ACQ_Lib[[#This Row],[Acquisition Tract No.]]="",SP_ACQ_Lib[[#This Row],[ACQ Document Type]]=""),0,CONCATENATE("COW-FRMP_TR-",SP_ACQ_Lib[[#This Row],[Acquisition Tract No.]]," ",SP_ACQ_Lib[[#This Row],[ACQ Document Type]]))</f>
        <v>COW-FRMP_TR-217 SURVEY Description-Plat_CITY</v>
      </c>
      <c r="Y270" s="239">
        <f>IF(OR(SP_ACQ_Lib[[#This Row],[File Name Convention]]=0,LEFT(SP_ACQ_Lib[[#This Row],[Name]],LEN(SP_ACQ_Lib[[#This Row],[File Name Convention]]))&lt;&gt;SP_ACQ_Lib[[#This Row],[File Name Convention]],ISERROR(SEARCH(SP_ACQ_Lib[[#This Row],[ACQ Document Type]],SP_ACQ_Lib[[#This Row],[Name]]))),1,0)</f>
        <v>0</v>
      </c>
    </row>
    <row r="271" spans="1:25" ht="15" x14ac:dyDescent="0.2">
      <c r="A271" s="157" t="str">
        <f>CONCATENATE(SP_ACQ_Lib[[#This Row],[Acquisition Tract No.]],"_",SP_ACQ_Lib[[#This Row],[ACQ Document Type]])</f>
        <v>217_SURVEY Description-Plat_USACOE</v>
      </c>
      <c r="B271" s="14" t="s">
        <v>4976</v>
      </c>
      <c r="C271" s="15" t="s">
        <v>132</v>
      </c>
      <c r="D271" s="12" t="s">
        <v>632</v>
      </c>
      <c r="E271" s="8" t="s">
        <v>858</v>
      </c>
      <c r="F271" s="8" t="s">
        <v>3510</v>
      </c>
      <c r="G271" s="8" t="s">
        <v>3509</v>
      </c>
      <c r="H271" s="7" t="s">
        <v>592</v>
      </c>
      <c r="I271" s="16">
        <v>43740</v>
      </c>
      <c r="J271" s="16">
        <v>43948</v>
      </c>
      <c r="K271" s="17"/>
      <c r="L271" s="3"/>
      <c r="M271" s="8" t="s">
        <v>4206</v>
      </c>
      <c r="N271" s="11">
        <v>44006.610208333332</v>
      </c>
      <c r="O271" s="8" t="s">
        <v>4206</v>
      </c>
      <c r="P271" s="11">
        <v>43949.788958333331</v>
      </c>
      <c r="Q271" s="13">
        <v>259248</v>
      </c>
      <c r="R271" s="19" t="s">
        <v>594</v>
      </c>
      <c r="S271" s="14" t="s">
        <v>4994</v>
      </c>
      <c r="T271" s="163">
        <v>841</v>
      </c>
      <c r="U271" s="164" t="str">
        <f>CONCATENATE(LEFT(SP_ACQ_Lib[[#This Row],[Tax Parcel ID]],7),"_",SP_ACQ_Lib[[#This Row],[ACQ Document Type]])</f>
        <v>R061992_SURVEY Description-Plat_USACOE</v>
      </c>
      <c r="V271" s="65" t="str">
        <f>INDEX(SP_AcqTract_DB[WCAD Tax Parcel ID],MATCH(SP_ACQ_Lib[[#This Row],[Acquisition Tract No.]],SP_AcqTract_DB[Acquisition Tract No.],0))</f>
        <v>R061992;#28</v>
      </c>
      <c r="W271" s="48" t="str">
        <f>INDEX(SP_TaxPar_DB[Acquisition Tract No.],MATCH(LEFT(SP_ACQ_Lib[[#This Row],[Tax Parcel ID]],7),SP_TaxPar_DB[Tax Parcel ID],0))</f>
        <v>217</v>
      </c>
      <c r="X271" s="238" t="str">
        <f>IF(OR(SP_ACQ_Lib[[#This Row],[Acquisition Tract No.]]="",SP_ACQ_Lib[[#This Row],[ACQ Document Type]]=""),0,CONCATENATE("COW-FRMP_TR-",SP_ACQ_Lib[[#This Row],[Acquisition Tract No.]]," ",SP_ACQ_Lib[[#This Row],[ACQ Document Type]]))</f>
        <v>COW-FRMP_TR-217 SURVEY Description-Plat_USACOE</v>
      </c>
      <c r="Y271" s="239">
        <f>IF(OR(SP_ACQ_Lib[[#This Row],[File Name Convention]]=0,LEFT(SP_ACQ_Lib[[#This Row],[Name]],LEN(SP_ACQ_Lib[[#This Row],[File Name Convention]]))&lt;&gt;SP_ACQ_Lib[[#This Row],[File Name Convention]],ISERROR(SEARCH(SP_ACQ_Lib[[#This Row],[ACQ Document Type]],SP_ACQ_Lib[[#This Row],[Name]]))),1,0)</f>
        <v>0</v>
      </c>
    </row>
    <row r="272" spans="1:25" ht="15" x14ac:dyDescent="0.2">
      <c r="A272" s="157" t="str">
        <f>CONCATENATE(SP_ACQ_Lib[[#This Row],[Acquisition Tract No.]],"_",SP_ACQ_Lib[[#This Row],[ACQ Document Type]])</f>
        <v>217_SURVEY Right-of-Entry</v>
      </c>
      <c r="B272" s="14" t="s">
        <v>4578</v>
      </c>
      <c r="C272" s="15" t="s">
        <v>132</v>
      </c>
      <c r="D272" s="12" t="s">
        <v>632</v>
      </c>
      <c r="E272" s="8" t="s">
        <v>858</v>
      </c>
      <c r="F272" s="8" t="s">
        <v>859</v>
      </c>
      <c r="G272" s="8" t="s">
        <v>591</v>
      </c>
      <c r="H272" s="7" t="s">
        <v>592</v>
      </c>
      <c r="I272" s="16">
        <v>43689</v>
      </c>
      <c r="J272" s="16"/>
      <c r="K272" s="17"/>
      <c r="L272" s="3"/>
      <c r="M272" s="8" t="s">
        <v>4206</v>
      </c>
      <c r="N272" s="11">
        <v>44006.610347222224</v>
      </c>
      <c r="O272" s="8" t="s">
        <v>4207</v>
      </c>
      <c r="P272" s="11">
        <v>43691.671365740738</v>
      </c>
      <c r="Q272" s="13">
        <v>717606</v>
      </c>
      <c r="R272" s="19" t="s">
        <v>594</v>
      </c>
      <c r="S272" s="14" t="s">
        <v>757</v>
      </c>
      <c r="T272" s="163">
        <v>78</v>
      </c>
      <c r="U272" s="164" t="str">
        <f>CONCATENATE(LEFT(SP_ACQ_Lib[[#This Row],[Tax Parcel ID]],7),"_",SP_ACQ_Lib[[#This Row],[ACQ Document Type]])</f>
        <v>R061992_SURVEY Right-of-Entry</v>
      </c>
      <c r="V272" s="65" t="str">
        <f>INDEX(SP_AcqTract_DB[WCAD Tax Parcel ID],MATCH(SP_ACQ_Lib[[#This Row],[Acquisition Tract No.]],SP_AcqTract_DB[Acquisition Tract No.],0))</f>
        <v>R061992;#28</v>
      </c>
      <c r="W272" s="48" t="str">
        <f>INDEX(SP_TaxPar_DB[Acquisition Tract No.],MATCH(LEFT(SP_ACQ_Lib[[#This Row],[Tax Parcel ID]],7),SP_TaxPar_DB[Tax Parcel ID],0))</f>
        <v>217</v>
      </c>
      <c r="X272" s="238" t="str">
        <f>IF(OR(SP_ACQ_Lib[[#This Row],[Acquisition Tract No.]]="",SP_ACQ_Lib[[#This Row],[ACQ Document Type]]=""),0,CONCATENATE("COW-FRMP_TR-",SP_ACQ_Lib[[#This Row],[Acquisition Tract No.]]," ",SP_ACQ_Lib[[#This Row],[ACQ Document Type]]))</f>
        <v>COW-FRMP_TR-217 SURVEY Right-of-Entry</v>
      </c>
      <c r="Y272" s="239">
        <f>IF(OR(SP_ACQ_Lib[[#This Row],[File Name Convention]]=0,LEFT(SP_ACQ_Lib[[#This Row],[Name]],LEN(SP_ACQ_Lib[[#This Row],[File Name Convention]]))&lt;&gt;SP_ACQ_Lib[[#This Row],[File Name Convention]],ISERROR(SEARCH(SP_ACQ_Lib[[#This Row],[ACQ Document Type]],SP_ACQ_Lib[[#This Row],[Name]]))),1,0)</f>
        <v>0</v>
      </c>
    </row>
    <row r="273" spans="1:25" ht="15" x14ac:dyDescent="0.2">
      <c r="A273" s="157" t="str">
        <f>CONCATENATE(SP_ACQ_Lib[[#This Row],[Acquisition Tract No.]],"_",SP_ACQ_Lib[[#This Row],[ACQ Document Type]])</f>
        <v>217_TITLE Commitment</v>
      </c>
      <c r="B273" s="14" t="s">
        <v>1484</v>
      </c>
      <c r="C273" s="15" t="s">
        <v>132</v>
      </c>
      <c r="D273" s="12" t="s">
        <v>632</v>
      </c>
      <c r="E273" s="8" t="s">
        <v>861</v>
      </c>
      <c r="F273" s="8" t="s">
        <v>862</v>
      </c>
      <c r="G273" s="8" t="s">
        <v>614</v>
      </c>
      <c r="H273" s="7" t="s">
        <v>592</v>
      </c>
      <c r="I273" s="16">
        <v>43875</v>
      </c>
      <c r="J273" s="16">
        <v>43888</v>
      </c>
      <c r="K273" s="17"/>
      <c r="L273" s="3" t="s">
        <v>4334</v>
      </c>
      <c r="M273" s="8" t="s">
        <v>4206</v>
      </c>
      <c r="N273" s="11">
        <v>44006.610717592594</v>
      </c>
      <c r="O273" s="8" t="s">
        <v>4326</v>
      </c>
      <c r="P273" s="11">
        <v>43689.432488425926</v>
      </c>
      <c r="Q273" s="13">
        <v>1952147</v>
      </c>
      <c r="R273" s="19" t="s">
        <v>594</v>
      </c>
      <c r="S273" s="14" t="s">
        <v>758</v>
      </c>
      <c r="T273" s="163">
        <v>21</v>
      </c>
      <c r="U273" s="164" t="str">
        <f>CONCATENATE(LEFT(SP_ACQ_Lib[[#This Row],[Tax Parcel ID]],7),"_",SP_ACQ_Lib[[#This Row],[ACQ Document Type]])</f>
        <v>R061992_TITLE Commitment</v>
      </c>
      <c r="V273" s="65" t="str">
        <f>INDEX(SP_AcqTract_DB[WCAD Tax Parcel ID],MATCH(SP_ACQ_Lib[[#This Row],[Acquisition Tract No.]],SP_AcqTract_DB[Acquisition Tract No.],0))</f>
        <v>R061992;#28</v>
      </c>
      <c r="W273" s="48" t="str">
        <f>INDEX(SP_TaxPar_DB[Acquisition Tract No.],MATCH(LEFT(SP_ACQ_Lib[[#This Row],[Tax Parcel ID]],7),SP_TaxPar_DB[Tax Parcel ID],0))</f>
        <v>217</v>
      </c>
      <c r="X273" s="238" t="str">
        <f>IF(OR(SP_ACQ_Lib[[#This Row],[Acquisition Tract No.]]="",SP_ACQ_Lib[[#This Row],[ACQ Document Type]]=""),0,CONCATENATE("COW-FRMP_TR-",SP_ACQ_Lib[[#This Row],[Acquisition Tract No.]]," ",SP_ACQ_Lib[[#This Row],[ACQ Document Type]]))</f>
        <v>COW-FRMP_TR-217 TITLE Commitment</v>
      </c>
      <c r="Y273" s="239">
        <f>IF(OR(SP_ACQ_Lib[[#This Row],[File Name Convention]]=0,LEFT(SP_ACQ_Lib[[#This Row],[Name]],LEN(SP_ACQ_Lib[[#This Row],[File Name Convention]]))&lt;&gt;SP_ACQ_Lib[[#This Row],[File Name Convention]],ISERROR(SEARCH(SP_ACQ_Lib[[#This Row],[ACQ Document Type]],SP_ACQ_Lib[[#This Row],[Name]]))),1,0)</f>
        <v>0</v>
      </c>
    </row>
    <row r="274" spans="1:25" ht="15" x14ac:dyDescent="0.2">
      <c r="A274" s="157" t="str">
        <f>CONCATENATE(SP_ACQ_Lib[[#This Row],[Acquisition Tract No.]],"_",SP_ACQ_Lib[[#This Row],[ACQ Document Type]])</f>
        <v>217_TITLE Commitment Backup Docs</v>
      </c>
      <c r="B274" s="14" t="s">
        <v>1485</v>
      </c>
      <c r="C274" s="15" t="s">
        <v>132</v>
      </c>
      <c r="D274" s="12" t="s">
        <v>632</v>
      </c>
      <c r="E274" s="8" t="s">
        <v>861</v>
      </c>
      <c r="F274" s="8" t="s">
        <v>863</v>
      </c>
      <c r="G274" s="8" t="s">
        <v>616</v>
      </c>
      <c r="H274" s="7" t="s">
        <v>592</v>
      </c>
      <c r="I274" s="16"/>
      <c r="J274" s="16"/>
      <c r="K274" s="17"/>
      <c r="L274" s="3"/>
      <c r="M274" s="8" t="s">
        <v>4206</v>
      </c>
      <c r="N274" s="11">
        <v>44006.610833333332</v>
      </c>
      <c r="O274" s="8" t="s">
        <v>4326</v>
      </c>
      <c r="P274" s="11">
        <v>43689.432916666665</v>
      </c>
      <c r="Q274" s="13">
        <v>1283508</v>
      </c>
      <c r="R274" s="19" t="s">
        <v>594</v>
      </c>
      <c r="S274" s="14" t="s">
        <v>759</v>
      </c>
      <c r="T274" s="163">
        <v>22</v>
      </c>
      <c r="U274" s="164" t="str">
        <f>CONCATENATE(LEFT(SP_ACQ_Lib[[#This Row],[Tax Parcel ID]],7),"_",SP_ACQ_Lib[[#This Row],[ACQ Document Type]])</f>
        <v>R061992_TITLE Commitment Backup Docs</v>
      </c>
      <c r="V274" s="65" t="str">
        <f>INDEX(SP_AcqTract_DB[WCAD Tax Parcel ID],MATCH(SP_ACQ_Lib[[#This Row],[Acquisition Tract No.]],SP_AcqTract_DB[Acquisition Tract No.],0))</f>
        <v>R061992;#28</v>
      </c>
      <c r="W274" s="48" t="str">
        <f>INDEX(SP_TaxPar_DB[Acquisition Tract No.],MATCH(LEFT(SP_ACQ_Lib[[#This Row],[Tax Parcel ID]],7),SP_TaxPar_DB[Tax Parcel ID],0))</f>
        <v>217</v>
      </c>
      <c r="X274" s="238" t="str">
        <f>IF(OR(SP_ACQ_Lib[[#This Row],[Acquisition Tract No.]]="",SP_ACQ_Lib[[#This Row],[ACQ Document Type]]=""),0,CONCATENATE("COW-FRMP_TR-",SP_ACQ_Lib[[#This Row],[Acquisition Tract No.]]," ",SP_ACQ_Lib[[#This Row],[ACQ Document Type]]))</f>
        <v>COW-FRMP_TR-217 TITLE Commitment Backup Docs</v>
      </c>
      <c r="Y274" s="239">
        <f>IF(OR(SP_ACQ_Lib[[#This Row],[File Name Convention]]=0,LEFT(SP_ACQ_Lib[[#This Row],[Name]],LEN(SP_ACQ_Lib[[#This Row],[File Name Convention]]))&lt;&gt;SP_ACQ_Lib[[#This Row],[File Name Convention]],ISERROR(SEARCH(SP_ACQ_Lib[[#This Row],[ACQ Document Type]],SP_ACQ_Lib[[#This Row],[Name]]))),1,0)</f>
        <v>0</v>
      </c>
    </row>
    <row r="275" spans="1:25" ht="15" x14ac:dyDescent="0.2">
      <c r="A275" s="157" t="str">
        <f>CONCATENATE(SP_ACQ_Lib[[#This Row],[Acquisition Tract No.]],"_",SP_ACQ_Lib[[#This Row],[ACQ Document Type]])</f>
        <v>217_TITLE Curative Plan</v>
      </c>
      <c r="B275" s="14" t="s">
        <v>1486</v>
      </c>
      <c r="C275" s="15" t="s">
        <v>132</v>
      </c>
      <c r="D275" s="12" t="s">
        <v>632</v>
      </c>
      <c r="E275" s="8" t="s">
        <v>861</v>
      </c>
      <c r="F275" s="8" t="s">
        <v>864</v>
      </c>
      <c r="G275" s="8" t="s">
        <v>617</v>
      </c>
      <c r="H275" s="7" t="s">
        <v>592</v>
      </c>
      <c r="I275" s="16">
        <v>43809</v>
      </c>
      <c r="J275" s="16"/>
      <c r="K275" s="17"/>
      <c r="L275" s="3"/>
      <c r="M275" s="8" t="s">
        <v>4206</v>
      </c>
      <c r="N275" s="11">
        <v>44006.610949074071</v>
      </c>
      <c r="O275" s="8" t="s">
        <v>4326</v>
      </c>
      <c r="P275" s="11">
        <v>43745.484247685185</v>
      </c>
      <c r="Q275" s="13">
        <v>39718</v>
      </c>
      <c r="R275" s="19" t="s">
        <v>594</v>
      </c>
      <c r="S275" s="14" t="s">
        <v>1204</v>
      </c>
      <c r="T275" s="163">
        <v>394</v>
      </c>
      <c r="U275" s="164" t="str">
        <f>CONCATENATE(LEFT(SP_ACQ_Lib[[#This Row],[Tax Parcel ID]],7),"_",SP_ACQ_Lib[[#This Row],[ACQ Document Type]])</f>
        <v>R061992_TITLE Curative Plan</v>
      </c>
      <c r="V275" s="65" t="str">
        <f>INDEX(SP_AcqTract_DB[WCAD Tax Parcel ID],MATCH(SP_ACQ_Lib[[#This Row],[Acquisition Tract No.]],SP_AcqTract_DB[Acquisition Tract No.],0))</f>
        <v>R061992;#28</v>
      </c>
      <c r="W275" s="48" t="str">
        <f>INDEX(SP_TaxPar_DB[Acquisition Tract No.],MATCH(LEFT(SP_ACQ_Lib[[#This Row],[Tax Parcel ID]],7),SP_TaxPar_DB[Tax Parcel ID],0))</f>
        <v>217</v>
      </c>
      <c r="X275" s="238" t="str">
        <f>IF(OR(SP_ACQ_Lib[[#This Row],[Acquisition Tract No.]]="",SP_ACQ_Lib[[#This Row],[ACQ Document Type]]=""),0,CONCATENATE("COW-FRMP_TR-",SP_ACQ_Lib[[#This Row],[Acquisition Tract No.]]," ",SP_ACQ_Lib[[#This Row],[ACQ Document Type]]))</f>
        <v>COW-FRMP_TR-217 TITLE Curative Plan</v>
      </c>
      <c r="Y275" s="239">
        <f>IF(OR(SP_ACQ_Lib[[#This Row],[File Name Convention]]=0,LEFT(SP_ACQ_Lib[[#This Row],[Name]],LEN(SP_ACQ_Lib[[#This Row],[File Name Convention]]))&lt;&gt;SP_ACQ_Lib[[#This Row],[File Name Convention]],ISERROR(SEARCH(SP_ACQ_Lib[[#This Row],[ACQ Document Type]],SP_ACQ_Lib[[#This Row],[Name]]))),1,0)</f>
        <v>0</v>
      </c>
    </row>
    <row r="276" spans="1:25" ht="15" x14ac:dyDescent="0.2">
      <c r="A276" s="157" t="str">
        <f>CONCATENATE(SP_ACQ_Lib[[#This Row],[Acquisition Tract No.]],"_",SP_ACQ_Lib[[#This Row],[ACQ Document Type]])</f>
        <v>217_TITLE Tax Card</v>
      </c>
      <c r="B276" s="14" t="s">
        <v>3448</v>
      </c>
      <c r="C276" s="15" t="s">
        <v>132</v>
      </c>
      <c r="D276" s="12" t="s">
        <v>632</v>
      </c>
      <c r="E276" s="8" t="s">
        <v>861</v>
      </c>
      <c r="F276" s="8" t="s">
        <v>1150</v>
      </c>
      <c r="G276" s="8" t="s">
        <v>1149</v>
      </c>
      <c r="H276" s="7" t="s">
        <v>592</v>
      </c>
      <c r="I276" s="16"/>
      <c r="J276" s="16"/>
      <c r="K276" s="17"/>
      <c r="L276" s="3"/>
      <c r="M276" s="8" t="s">
        <v>4206</v>
      </c>
      <c r="N276" s="11">
        <v>44006.611342592594</v>
      </c>
      <c r="O276" s="8" t="s">
        <v>1272</v>
      </c>
      <c r="P276" s="11">
        <v>43817.464849537035</v>
      </c>
      <c r="Q276" s="13">
        <v>594434</v>
      </c>
      <c r="R276" s="19" t="s">
        <v>594</v>
      </c>
      <c r="S276" s="14" t="s">
        <v>1779</v>
      </c>
      <c r="T276" s="163">
        <v>598</v>
      </c>
      <c r="U276" s="164" t="str">
        <f>CONCATENATE(LEFT(SP_ACQ_Lib[[#This Row],[Tax Parcel ID]],7),"_",SP_ACQ_Lib[[#This Row],[ACQ Document Type]])</f>
        <v>R061992_TITLE Tax Card</v>
      </c>
      <c r="V276" s="65" t="str">
        <f>INDEX(SP_AcqTract_DB[WCAD Tax Parcel ID],MATCH(SP_ACQ_Lib[[#This Row],[Acquisition Tract No.]],SP_AcqTract_DB[Acquisition Tract No.],0))</f>
        <v>R061992;#28</v>
      </c>
      <c r="W276" s="48" t="str">
        <f>INDEX(SP_TaxPar_DB[Acquisition Tract No.],MATCH(LEFT(SP_ACQ_Lib[[#This Row],[Tax Parcel ID]],7),SP_TaxPar_DB[Tax Parcel ID],0))</f>
        <v>217</v>
      </c>
      <c r="X276" s="238" t="str">
        <f>IF(OR(SP_ACQ_Lib[[#This Row],[Acquisition Tract No.]]="",SP_ACQ_Lib[[#This Row],[ACQ Document Type]]=""),0,CONCATENATE("COW-FRMP_TR-",SP_ACQ_Lib[[#This Row],[Acquisition Tract No.]]," ",SP_ACQ_Lib[[#This Row],[ACQ Document Type]]))</f>
        <v>COW-FRMP_TR-217 TITLE Tax Card</v>
      </c>
      <c r="Y276" s="239">
        <f>IF(OR(SP_ACQ_Lib[[#This Row],[File Name Convention]]=0,LEFT(SP_ACQ_Lib[[#This Row],[Name]],LEN(SP_ACQ_Lib[[#This Row],[File Name Convention]]))&lt;&gt;SP_ACQ_Lib[[#This Row],[File Name Convention]],ISERROR(SEARCH(SP_ACQ_Lib[[#This Row],[ACQ Document Type]],SP_ACQ_Lib[[#This Row],[Name]]))),1,0)</f>
        <v>0</v>
      </c>
    </row>
    <row r="277" spans="1:25" ht="15" x14ac:dyDescent="0.2">
      <c r="A277" s="157" t="str">
        <f>CONCATENATE(SP_ACQ_Lib[[#This Row],[Acquisition Tract No.]],"_",SP_ACQ_Lib[[#This Row],[ACQ Document Type]])</f>
        <v>218_CONTACT Initial Interview - Residential</v>
      </c>
      <c r="B277" s="14" t="s">
        <v>1487</v>
      </c>
      <c r="C277" s="15" t="s">
        <v>136</v>
      </c>
      <c r="D277" s="12" t="s">
        <v>633</v>
      </c>
      <c r="E277" s="8" t="s">
        <v>865</v>
      </c>
      <c r="F277" s="8" t="s">
        <v>866</v>
      </c>
      <c r="G277" s="8" t="s">
        <v>618</v>
      </c>
      <c r="H277" s="7" t="s">
        <v>592</v>
      </c>
      <c r="I277" s="16">
        <v>43685</v>
      </c>
      <c r="J277" s="16"/>
      <c r="K277" s="17"/>
      <c r="L277" s="3"/>
      <c r="M277" s="8" t="s">
        <v>23</v>
      </c>
      <c r="N277" s="11">
        <v>43770.449143518519</v>
      </c>
      <c r="O277" s="8" t="s">
        <v>4325</v>
      </c>
      <c r="P277" s="11">
        <v>43696.388854166667</v>
      </c>
      <c r="Q277" s="13">
        <v>296463</v>
      </c>
      <c r="R277" s="19" t="s">
        <v>594</v>
      </c>
      <c r="S277" s="14" t="s">
        <v>760</v>
      </c>
      <c r="T277" s="163">
        <v>94</v>
      </c>
      <c r="U277" s="164" t="str">
        <f>CONCATENATE(LEFT(SP_ACQ_Lib[[#This Row],[Tax Parcel ID]],7),"_",SP_ACQ_Lib[[#This Row],[ACQ Document Type]])</f>
        <v>R062541_CONTACT Initial Interview - Residential</v>
      </c>
      <c r="V277" s="65" t="str">
        <f>INDEX(SP_AcqTract_DB[WCAD Tax Parcel ID],MATCH(SP_ACQ_Lib[[#This Row],[Acquisition Tract No.]],SP_AcqTract_DB[Acquisition Tract No.],0))</f>
        <v>R062541;#29</v>
      </c>
      <c r="W277" s="48" t="str">
        <f>INDEX(SP_TaxPar_DB[Acquisition Tract No.],MATCH(LEFT(SP_ACQ_Lib[[#This Row],[Tax Parcel ID]],7),SP_TaxPar_DB[Tax Parcel ID],0))</f>
        <v>218</v>
      </c>
      <c r="X277" s="238" t="str">
        <f>IF(OR(SP_ACQ_Lib[[#This Row],[Acquisition Tract No.]]="",SP_ACQ_Lib[[#This Row],[ACQ Document Type]]=""),0,CONCATENATE("COW-FRMP_TR-",SP_ACQ_Lib[[#This Row],[Acquisition Tract No.]]," ",SP_ACQ_Lib[[#This Row],[ACQ Document Type]]))</f>
        <v>COW-FRMP_TR-218 CONTACT Initial Interview - Residential</v>
      </c>
      <c r="Y277" s="239">
        <f>IF(OR(SP_ACQ_Lib[[#This Row],[File Name Convention]]=0,LEFT(SP_ACQ_Lib[[#This Row],[Name]],LEN(SP_ACQ_Lib[[#This Row],[File Name Convention]]))&lt;&gt;SP_ACQ_Lib[[#This Row],[File Name Convention]],ISERROR(SEARCH(SP_ACQ_Lib[[#This Row],[ACQ Document Type]],SP_ACQ_Lib[[#This Row],[Name]]))),1,0)</f>
        <v>0</v>
      </c>
    </row>
    <row r="278" spans="1:25" ht="15" x14ac:dyDescent="0.2">
      <c r="A278" s="157" t="str">
        <f>CONCATENATE(SP_ACQ_Lib[[#This Row],[Acquisition Tract No.]],"_",SP_ACQ_Lib[[#This Row],[ACQ Document Type]])</f>
        <v>218_CONTACT Letter of Intent-HDR</v>
      </c>
      <c r="B278" s="14" t="s">
        <v>1488</v>
      </c>
      <c r="C278" s="15" t="s">
        <v>136</v>
      </c>
      <c r="D278" s="12" t="s">
        <v>633</v>
      </c>
      <c r="E278" s="8" t="s">
        <v>865</v>
      </c>
      <c r="F278" s="8" t="s">
        <v>1401</v>
      </c>
      <c r="G278" s="8" t="s">
        <v>1400</v>
      </c>
      <c r="H278" s="7" t="s">
        <v>592</v>
      </c>
      <c r="I278" s="16">
        <v>43765</v>
      </c>
      <c r="J278" s="16"/>
      <c r="K278" s="17"/>
      <c r="L278" s="3"/>
      <c r="M278" s="8" t="s">
        <v>23</v>
      </c>
      <c r="N278" s="11">
        <v>43770.449143518519</v>
      </c>
      <c r="O278" s="8" t="s">
        <v>1402</v>
      </c>
      <c r="P278" s="11">
        <v>43769.612210648149</v>
      </c>
      <c r="Q278" s="13">
        <v>327393</v>
      </c>
      <c r="R278" s="19" t="s">
        <v>594</v>
      </c>
      <c r="S278" s="14" t="s">
        <v>1634</v>
      </c>
      <c r="T278" s="163">
        <v>506</v>
      </c>
      <c r="U278" s="164" t="str">
        <f>CONCATENATE(LEFT(SP_ACQ_Lib[[#This Row],[Tax Parcel ID]],7),"_",SP_ACQ_Lib[[#This Row],[ACQ Document Type]])</f>
        <v>R062541_CONTACT Letter of Intent-HDR</v>
      </c>
      <c r="V278" s="65" t="str">
        <f>INDEX(SP_AcqTract_DB[WCAD Tax Parcel ID],MATCH(SP_ACQ_Lib[[#This Row],[Acquisition Tract No.]],SP_AcqTract_DB[Acquisition Tract No.],0))</f>
        <v>R062541;#29</v>
      </c>
      <c r="W278" s="48" t="str">
        <f>INDEX(SP_TaxPar_DB[Acquisition Tract No.],MATCH(LEFT(SP_ACQ_Lib[[#This Row],[Tax Parcel ID]],7),SP_TaxPar_DB[Tax Parcel ID],0))</f>
        <v>218</v>
      </c>
      <c r="X278" s="238" t="str">
        <f>IF(OR(SP_ACQ_Lib[[#This Row],[Acquisition Tract No.]]="",SP_ACQ_Lib[[#This Row],[ACQ Document Type]]=""),0,CONCATENATE("COW-FRMP_TR-",SP_ACQ_Lib[[#This Row],[Acquisition Tract No.]]," ",SP_ACQ_Lib[[#This Row],[ACQ Document Type]]))</f>
        <v>COW-FRMP_TR-218 CONTACT Letter of Intent-HDR</v>
      </c>
      <c r="Y278" s="239">
        <f>IF(OR(SP_ACQ_Lib[[#This Row],[File Name Convention]]=0,LEFT(SP_ACQ_Lib[[#This Row],[Name]],LEN(SP_ACQ_Lib[[#This Row],[File Name Convention]]))&lt;&gt;SP_ACQ_Lib[[#This Row],[File Name Convention]],ISERROR(SEARCH(SP_ACQ_Lib[[#This Row],[ACQ Document Type]],SP_ACQ_Lib[[#This Row],[Name]]))),1,0)</f>
        <v>0</v>
      </c>
    </row>
    <row r="279" spans="1:25" ht="15" x14ac:dyDescent="0.2">
      <c r="A279" s="157" t="str">
        <f>CONCATENATE(SP_ACQ_Lib[[#This Row],[Acquisition Tract No.]],"_",SP_ACQ_Lib[[#This Row],[ACQ Document Type]])</f>
        <v>218_CONTACT Negotiator Report</v>
      </c>
      <c r="B279" s="14" t="s">
        <v>3387</v>
      </c>
      <c r="C279" s="15" t="s">
        <v>136</v>
      </c>
      <c r="D279" s="12" t="s">
        <v>633</v>
      </c>
      <c r="E279" s="8" t="s">
        <v>865</v>
      </c>
      <c r="F279" s="8" t="s">
        <v>1068</v>
      </c>
      <c r="G279" s="8" t="s">
        <v>1067</v>
      </c>
      <c r="H279" s="7" t="s">
        <v>592</v>
      </c>
      <c r="I279" s="16"/>
      <c r="J279" s="16"/>
      <c r="K279" s="17"/>
      <c r="L279" s="3"/>
      <c r="M279" s="8" t="s">
        <v>1743</v>
      </c>
      <c r="N279" s="11">
        <v>43998.620555555557</v>
      </c>
      <c r="O279" s="8" t="s">
        <v>1743</v>
      </c>
      <c r="P279" s="11">
        <v>43836.76021990741</v>
      </c>
      <c r="Q279" s="13">
        <v>58745</v>
      </c>
      <c r="R279" s="19" t="s">
        <v>1069</v>
      </c>
      <c r="S279" s="14" t="s">
        <v>1780</v>
      </c>
      <c r="T279" s="163">
        <v>709</v>
      </c>
      <c r="U279" s="164" t="str">
        <f>CONCATENATE(LEFT(SP_ACQ_Lib[[#This Row],[Tax Parcel ID]],7),"_",SP_ACQ_Lib[[#This Row],[ACQ Document Type]])</f>
        <v>R062541_CONTACT Negotiator Report</v>
      </c>
      <c r="V279" s="65" t="str">
        <f>INDEX(SP_AcqTract_DB[WCAD Tax Parcel ID],MATCH(SP_ACQ_Lib[[#This Row],[Acquisition Tract No.]],SP_AcqTract_DB[Acquisition Tract No.],0))</f>
        <v>R062541;#29</v>
      </c>
      <c r="W279" s="48" t="str">
        <f>INDEX(SP_TaxPar_DB[Acquisition Tract No.],MATCH(LEFT(SP_ACQ_Lib[[#This Row],[Tax Parcel ID]],7),SP_TaxPar_DB[Tax Parcel ID],0))</f>
        <v>218</v>
      </c>
      <c r="X279" s="238" t="str">
        <f>IF(OR(SP_ACQ_Lib[[#This Row],[Acquisition Tract No.]]="",SP_ACQ_Lib[[#This Row],[ACQ Document Type]]=""),0,CONCATENATE("COW-FRMP_TR-",SP_ACQ_Lib[[#This Row],[Acquisition Tract No.]]," ",SP_ACQ_Lib[[#This Row],[ACQ Document Type]]))</f>
        <v>COW-FRMP_TR-218 CONTACT Negotiator Report</v>
      </c>
      <c r="Y279" s="239">
        <f>IF(OR(SP_ACQ_Lib[[#This Row],[File Name Convention]]=0,LEFT(SP_ACQ_Lib[[#This Row],[Name]],LEN(SP_ACQ_Lib[[#This Row],[File Name Convention]]))&lt;&gt;SP_ACQ_Lib[[#This Row],[File Name Convention]],ISERROR(SEARCH(SP_ACQ_Lib[[#This Row],[ACQ Document Type]],SP_ACQ_Lib[[#This Row],[Name]]))),1,0)</f>
        <v>0</v>
      </c>
    </row>
    <row r="280" spans="1:25" ht="15" x14ac:dyDescent="0.2">
      <c r="A280" s="157" t="str">
        <f>CONCATENATE(SP_ACQ_Lib[[#This Row],[Acquisition Tract No.]],"_",SP_ACQ_Lib[[#This Row],[ACQ Document Type]])</f>
        <v>218_CONTACT Pre-Appraisal Contact with Owner</v>
      </c>
      <c r="B280" s="14" t="s">
        <v>3388</v>
      </c>
      <c r="C280" s="15" t="s">
        <v>136</v>
      </c>
      <c r="D280" s="12" t="s">
        <v>633</v>
      </c>
      <c r="E280" s="8" t="s">
        <v>865</v>
      </c>
      <c r="F280" s="8" t="s">
        <v>1748</v>
      </c>
      <c r="G280" s="8" t="s">
        <v>1747</v>
      </c>
      <c r="H280" s="7" t="s">
        <v>592</v>
      </c>
      <c r="I280" s="16">
        <v>43788</v>
      </c>
      <c r="J280" s="16"/>
      <c r="K280" s="17"/>
      <c r="L280" s="3"/>
      <c r="M280" s="8" t="s">
        <v>4206</v>
      </c>
      <c r="N280" s="11">
        <v>43872.549409722225</v>
      </c>
      <c r="O280" s="8" t="s">
        <v>1272</v>
      </c>
      <c r="P280" s="11">
        <v>43822.641493055555</v>
      </c>
      <c r="Q280" s="13">
        <v>1637151</v>
      </c>
      <c r="R280" s="19" t="s">
        <v>594</v>
      </c>
      <c r="S280" s="14" t="s">
        <v>1781</v>
      </c>
      <c r="T280" s="163">
        <v>679</v>
      </c>
      <c r="U280" s="164" t="str">
        <f>CONCATENATE(LEFT(SP_ACQ_Lib[[#This Row],[Tax Parcel ID]],7),"_",SP_ACQ_Lib[[#This Row],[ACQ Document Type]])</f>
        <v>R062541_CONTACT Pre-Appraisal Contact with Owner</v>
      </c>
      <c r="V280" s="65" t="str">
        <f>INDEX(SP_AcqTract_DB[WCAD Tax Parcel ID],MATCH(SP_ACQ_Lib[[#This Row],[Acquisition Tract No.]],SP_AcqTract_DB[Acquisition Tract No.],0))</f>
        <v>R062541;#29</v>
      </c>
      <c r="W280" s="48" t="str">
        <f>INDEX(SP_TaxPar_DB[Acquisition Tract No.],MATCH(LEFT(SP_ACQ_Lib[[#This Row],[Tax Parcel ID]],7),SP_TaxPar_DB[Tax Parcel ID],0))</f>
        <v>218</v>
      </c>
      <c r="X280" s="238" t="str">
        <f>IF(OR(SP_ACQ_Lib[[#This Row],[Acquisition Tract No.]]="",SP_ACQ_Lib[[#This Row],[ACQ Document Type]]=""),0,CONCATENATE("COW-FRMP_TR-",SP_ACQ_Lib[[#This Row],[Acquisition Tract No.]]," ",SP_ACQ_Lib[[#This Row],[ACQ Document Type]]))</f>
        <v>COW-FRMP_TR-218 CONTACT Pre-Appraisal Contact with Owner</v>
      </c>
      <c r="Y280" s="239">
        <f>IF(OR(SP_ACQ_Lib[[#This Row],[File Name Convention]]=0,LEFT(SP_ACQ_Lib[[#This Row],[Name]],LEN(SP_ACQ_Lib[[#This Row],[File Name Convention]]))&lt;&gt;SP_ACQ_Lib[[#This Row],[File Name Convention]],ISERROR(SEARCH(SP_ACQ_Lib[[#This Row],[ACQ Document Type]],SP_ACQ_Lib[[#This Row],[Name]]))),1,0)</f>
        <v>0</v>
      </c>
    </row>
    <row r="281" spans="1:25" ht="15" x14ac:dyDescent="0.2">
      <c r="A281" s="157" t="str">
        <f>CONCATENATE(SP_ACQ_Lib[[#This Row],[Acquisition Tract No.]],"_",SP_ACQ_Lib[[#This Row],[ACQ Document Type]])</f>
        <v>218_NEGOTIATION Landowner Bill of Rights Letter</v>
      </c>
      <c r="B281" s="14" t="s">
        <v>3449</v>
      </c>
      <c r="C281" s="15" t="s">
        <v>136</v>
      </c>
      <c r="D281" s="12" t="s">
        <v>633</v>
      </c>
      <c r="E281" s="8" t="s">
        <v>1142</v>
      </c>
      <c r="F281" s="8" t="s">
        <v>1746</v>
      </c>
      <c r="G281" s="8" t="s">
        <v>1745</v>
      </c>
      <c r="H281" s="7" t="s">
        <v>592</v>
      </c>
      <c r="I281" s="16">
        <v>43748</v>
      </c>
      <c r="J281" s="16"/>
      <c r="K281" s="17"/>
      <c r="L281" s="3"/>
      <c r="M281" s="8" t="s">
        <v>4206</v>
      </c>
      <c r="N281" s="11">
        <v>43872.560972222222</v>
      </c>
      <c r="O281" s="8" t="s">
        <v>4325</v>
      </c>
      <c r="P281" s="11">
        <v>43752.486261574071</v>
      </c>
      <c r="Q281" s="13">
        <v>327774</v>
      </c>
      <c r="R281" s="19" t="s">
        <v>594</v>
      </c>
      <c r="S281" s="14" t="s">
        <v>1205</v>
      </c>
      <c r="T281" s="163">
        <v>433</v>
      </c>
      <c r="U281" s="164" t="str">
        <f>CONCATENATE(LEFT(SP_ACQ_Lib[[#This Row],[Tax Parcel ID]],7),"_",SP_ACQ_Lib[[#This Row],[ACQ Document Type]])</f>
        <v>R062541_NEGOTIATION Landowner Bill of Rights Letter</v>
      </c>
      <c r="V281" s="65" t="str">
        <f>INDEX(SP_AcqTract_DB[WCAD Tax Parcel ID],MATCH(SP_ACQ_Lib[[#This Row],[Acquisition Tract No.]],SP_AcqTract_DB[Acquisition Tract No.],0))</f>
        <v>R062541;#29</v>
      </c>
      <c r="W281" s="48" t="str">
        <f>INDEX(SP_TaxPar_DB[Acquisition Tract No.],MATCH(LEFT(SP_ACQ_Lib[[#This Row],[Tax Parcel ID]],7),SP_TaxPar_DB[Tax Parcel ID],0))</f>
        <v>218</v>
      </c>
      <c r="X281" s="238" t="str">
        <f>IF(OR(SP_ACQ_Lib[[#This Row],[Acquisition Tract No.]]="",SP_ACQ_Lib[[#This Row],[ACQ Document Type]]=""),0,CONCATENATE("COW-FRMP_TR-",SP_ACQ_Lib[[#This Row],[Acquisition Tract No.]]," ",SP_ACQ_Lib[[#This Row],[ACQ Document Type]]))</f>
        <v>COW-FRMP_TR-218 NEGOTIATION Landowner Bill of Rights Letter</v>
      </c>
      <c r="Y281" s="239">
        <f>IF(OR(SP_ACQ_Lib[[#This Row],[File Name Convention]]=0,LEFT(SP_ACQ_Lib[[#This Row],[Name]],LEN(SP_ACQ_Lib[[#This Row],[File Name Convention]]))&lt;&gt;SP_ACQ_Lib[[#This Row],[File Name Convention]],ISERROR(SEARCH(SP_ACQ_Lib[[#This Row],[ACQ Document Type]],SP_ACQ_Lib[[#This Row],[Name]]))),1,0)</f>
        <v>0</v>
      </c>
    </row>
    <row r="282" spans="1:25" ht="15" x14ac:dyDescent="0.2">
      <c r="A282" s="157" t="str">
        <f>CONCATENATE(SP_ACQ_Lib[[#This Row],[Acquisition Tract No.]],"_",SP_ACQ_Lib[[#This Row],[ACQ Document Type]])</f>
        <v>218_SURVEY Description-Plat_CITY</v>
      </c>
      <c r="B282" s="14" t="s">
        <v>3527</v>
      </c>
      <c r="C282" s="15" t="s">
        <v>136</v>
      </c>
      <c r="D282" s="12" t="s">
        <v>633</v>
      </c>
      <c r="E282" s="8" t="s">
        <v>858</v>
      </c>
      <c r="F282" s="8" t="s">
        <v>3503</v>
      </c>
      <c r="G282" s="8" t="s">
        <v>3502</v>
      </c>
      <c r="H282" s="7" t="s">
        <v>1749</v>
      </c>
      <c r="I282" s="16">
        <v>43740</v>
      </c>
      <c r="J282" s="16">
        <v>43886</v>
      </c>
      <c r="K282" s="17"/>
      <c r="L282" s="3"/>
      <c r="M282" s="8" t="s">
        <v>4206</v>
      </c>
      <c r="N282" s="11">
        <v>43937.586631944447</v>
      </c>
      <c r="O282" s="8" t="s">
        <v>4206</v>
      </c>
      <c r="P282" s="11">
        <v>43886.641886574071</v>
      </c>
      <c r="Q282" s="13">
        <v>251744</v>
      </c>
      <c r="R282" s="19" t="s">
        <v>594</v>
      </c>
      <c r="S282" s="14" t="s">
        <v>3550</v>
      </c>
      <c r="T282" s="163">
        <v>731</v>
      </c>
      <c r="U282" s="164" t="str">
        <f>CONCATENATE(LEFT(SP_ACQ_Lib[[#This Row],[Tax Parcel ID]],7),"_",SP_ACQ_Lib[[#This Row],[ACQ Document Type]])</f>
        <v>R062541_SURVEY Description-Plat_CITY</v>
      </c>
      <c r="V282" s="65" t="str">
        <f>INDEX(SP_AcqTract_DB[WCAD Tax Parcel ID],MATCH(SP_ACQ_Lib[[#This Row],[Acquisition Tract No.]],SP_AcqTract_DB[Acquisition Tract No.],0))</f>
        <v>R062541;#29</v>
      </c>
      <c r="W282" s="48" t="str">
        <f>INDEX(SP_TaxPar_DB[Acquisition Tract No.],MATCH(LEFT(SP_ACQ_Lib[[#This Row],[Tax Parcel ID]],7),SP_TaxPar_DB[Tax Parcel ID],0))</f>
        <v>218</v>
      </c>
      <c r="X282" s="238" t="str">
        <f>IF(OR(SP_ACQ_Lib[[#This Row],[Acquisition Tract No.]]="",SP_ACQ_Lib[[#This Row],[ACQ Document Type]]=""),0,CONCATENATE("COW-FRMP_TR-",SP_ACQ_Lib[[#This Row],[Acquisition Tract No.]]," ",SP_ACQ_Lib[[#This Row],[ACQ Document Type]]))</f>
        <v>COW-FRMP_TR-218 SURVEY Description-Plat_CITY</v>
      </c>
      <c r="Y282" s="239">
        <f>IF(OR(SP_ACQ_Lib[[#This Row],[File Name Convention]]=0,LEFT(SP_ACQ_Lib[[#This Row],[Name]],LEN(SP_ACQ_Lib[[#This Row],[File Name Convention]]))&lt;&gt;SP_ACQ_Lib[[#This Row],[File Name Convention]],ISERROR(SEARCH(SP_ACQ_Lib[[#This Row],[ACQ Document Type]],SP_ACQ_Lib[[#This Row],[Name]]))),1,0)</f>
        <v>0</v>
      </c>
    </row>
    <row r="283" spans="1:25" ht="15" x14ac:dyDescent="0.2">
      <c r="A283" s="157" t="str">
        <f>CONCATENATE(SP_ACQ_Lib[[#This Row],[Acquisition Tract No.]],"_",SP_ACQ_Lib[[#This Row],[ACQ Document Type]])</f>
        <v>218_SURVEY Right-of-Entry</v>
      </c>
      <c r="B283" s="14" t="s">
        <v>4579</v>
      </c>
      <c r="C283" s="45" t="s">
        <v>136</v>
      </c>
      <c r="D283" s="12" t="s">
        <v>633</v>
      </c>
      <c r="E283" s="8" t="s">
        <v>858</v>
      </c>
      <c r="F283" s="8" t="s">
        <v>859</v>
      </c>
      <c r="G283" s="8" t="s">
        <v>591</v>
      </c>
      <c r="H283" s="7" t="s">
        <v>592</v>
      </c>
      <c r="I283" s="16">
        <v>43654</v>
      </c>
      <c r="J283" s="16"/>
      <c r="K283" s="17"/>
      <c r="L283" s="3"/>
      <c r="M283" s="8" t="s">
        <v>4206</v>
      </c>
      <c r="N283" s="11">
        <v>43922.376354166663</v>
      </c>
      <c r="O283" s="8" t="s">
        <v>4325</v>
      </c>
      <c r="P283" s="11">
        <v>43686.629629629628</v>
      </c>
      <c r="Q283" s="13">
        <v>506424</v>
      </c>
      <c r="R283" s="46" t="s">
        <v>594</v>
      </c>
      <c r="S283" s="14" t="s">
        <v>761</v>
      </c>
      <c r="T283" s="163">
        <v>8</v>
      </c>
      <c r="U283" s="164" t="str">
        <f>CONCATENATE(LEFT(SP_ACQ_Lib[[#This Row],[Tax Parcel ID]],7),"_",SP_ACQ_Lib[[#This Row],[ACQ Document Type]])</f>
        <v>R062541_SURVEY Right-of-Entry</v>
      </c>
      <c r="V283" s="65" t="str">
        <f>INDEX(SP_AcqTract_DB[WCAD Tax Parcel ID],MATCH(SP_ACQ_Lib[[#This Row],[Acquisition Tract No.]],SP_AcqTract_DB[Acquisition Tract No.],0))</f>
        <v>R062541;#29</v>
      </c>
      <c r="W283" s="48" t="str">
        <f>INDEX(SP_TaxPar_DB[Acquisition Tract No.],MATCH(LEFT(SP_ACQ_Lib[[#This Row],[Tax Parcel ID]],7),SP_TaxPar_DB[Tax Parcel ID],0))</f>
        <v>218</v>
      </c>
      <c r="X283" s="238" t="str">
        <f>IF(OR(SP_ACQ_Lib[[#This Row],[Acquisition Tract No.]]="",SP_ACQ_Lib[[#This Row],[ACQ Document Type]]=""),0,CONCATENATE("COW-FRMP_TR-",SP_ACQ_Lib[[#This Row],[Acquisition Tract No.]]," ",SP_ACQ_Lib[[#This Row],[ACQ Document Type]]))</f>
        <v>COW-FRMP_TR-218 SURVEY Right-of-Entry</v>
      </c>
      <c r="Y283" s="239">
        <f>IF(OR(SP_ACQ_Lib[[#This Row],[File Name Convention]]=0,LEFT(SP_ACQ_Lib[[#This Row],[Name]],LEN(SP_ACQ_Lib[[#This Row],[File Name Convention]]))&lt;&gt;SP_ACQ_Lib[[#This Row],[File Name Convention]],ISERROR(SEARCH(SP_ACQ_Lib[[#This Row],[ACQ Document Type]],SP_ACQ_Lib[[#This Row],[Name]]))),1,0)</f>
        <v>0</v>
      </c>
    </row>
    <row r="284" spans="1:25" ht="15" x14ac:dyDescent="0.2">
      <c r="A284" s="157" t="str">
        <f>CONCATENATE(SP_ACQ_Lib[[#This Row],[Acquisition Tract No.]],"_",SP_ACQ_Lib[[#This Row],[ACQ Document Type]])</f>
        <v>218_TITLE Commitment</v>
      </c>
      <c r="B284" s="14" t="s">
        <v>1489</v>
      </c>
      <c r="C284" s="45" t="s">
        <v>136</v>
      </c>
      <c r="D284" s="12" t="s">
        <v>633</v>
      </c>
      <c r="E284" s="8" t="s">
        <v>861</v>
      </c>
      <c r="F284" s="8" t="s">
        <v>862</v>
      </c>
      <c r="G284" s="8" t="s">
        <v>614</v>
      </c>
      <c r="H284" s="7" t="s">
        <v>592</v>
      </c>
      <c r="I284" s="16">
        <v>43889</v>
      </c>
      <c r="J284" s="16">
        <v>43902</v>
      </c>
      <c r="K284" s="17"/>
      <c r="L284" s="3" t="s">
        <v>4445</v>
      </c>
      <c r="M284" s="8" t="s">
        <v>4325</v>
      </c>
      <c r="N284" s="11">
        <v>43903.696377314816</v>
      </c>
      <c r="O284" s="8" t="s">
        <v>4326</v>
      </c>
      <c r="P284" s="11">
        <v>43689.417650462965</v>
      </c>
      <c r="Q284" s="13">
        <v>2045781</v>
      </c>
      <c r="R284" s="46" t="s">
        <v>594</v>
      </c>
      <c r="S284" s="14" t="s">
        <v>762</v>
      </c>
      <c r="T284" s="163">
        <v>17</v>
      </c>
      <c r="U284" s="164" t="str">
        <f>CONCATENATE(LEFT(SP_ACQ_Lib[[#This Row],[Tax Parcel ID]],7),"_",SP_ACQ_Lib[[#This Row],[ACQ Document Type]])</f>
        <v>R062541_TITLE Commitment</v>
      </c>
      <c r="V284" s="65" t="str">
        <f>INDEX(SP_AcqTract_DB[WCAD Tax Parcel ID],MATCH(SP_ACQ_Lib[[#This Row],[Acquisition Tract No.]],SP_AcqTract_DB[Acquisition Tract No.],0))</f>
        <v>R062541;#29</v>
      </c>
      <c r="W284" s="48" t="str">
        <f>INDEX(SP_TaxPar_DB[Acquisition Tract No.],MATCH(LEFT(SP_ACQ_Lib[[#This Row],[Tax Parcel ID]],7),SP_TaxPar_DB[Tax Parcel ID],0))</f>
        <v>218</v>
      </c>
      <c r="X284" s="238" t="str">
        <f>IF(OR(SP_ACQ_Lib[[#This Row],[Acquisition Tract No.]]="",SP_ACQ_Lib[[#This Row],[ACQ Document Type]]=""),0,CONCATENATE("COW-FRMP_TR-",SP_ACQ_Lib[[#This Row],[Acquisition Tract No.]]," ",SP_ACQ_Lib[[#This Row],[ACQ Document Type]]))</f>
        <v>COW-FRMP_TR-218 TITLE Commitment</v>
      </c>
      <c r="Y284" s="239">
        <f>IF(OR(SP_ACQ_Lib[[#This Row],[File Name Convention]]=0,LEFT(SP_ACQ_Lib[[#This Row],[Name]],LEN(SP_ACQ_Lib[[#This Row],[File Name Convention]]))&lt;&gt;SP_ACQ_Lib[[#This Row],[File Name Convention]],ISERROR(SEARCH(SP_ACQ_Lib[[#This Row],[ACQ Document Type]],SP_ACQ_Lib[[#This Row],[Name]]))),1,0)</f>
        <v>0</v>
      </c>
    </row>
    <row r="285" spans="1:25" ht="15" x14ac:dyDescent="0.2">
      <c r="A285" s="157" t="str">
        <f>CONCATENATE(SP_ACQ_Lib[[#This Row],[Acquisition Tract No.]],"_",SP_ACQ_Lib[[#This Row],[ACQ Document Type]])</f>
        <v>218_TITLE Commitment Backup Docs</v>
      </c>
      <c r="B285" s="14" t="s">
        <v>1490</v>
      </c>
      <c r="C285" s="45" t="s">
        <v>136</v>
      </c>
      <c r="D285" s="12" t="s">
        <v>633</v>
      </c>
      <c r="E285" s="8" t="s">
        <v>861</v>
      </c>
      <c r="F285" s="8" t="s">
        <v>863</v>
      </c>
      <c r="G285" s="8" t="s">
        <v>616</v>
      </c>
      <c r="H285" s="7" t="s">
        <v>592</v>
      </c>
      <c r="I285" s="16"/>
      <c r="J285" s="16"/>
      <c r="K285" s="17"/>
      <c r="L285" s="3"/>
      <c r="M285" s="8" t="s">
        <v>23</v>
      </c>
      <c r="N285" s="11">
        <v>43770.449143518519</v>
      </c>
      <c r="O285" s="8" t="s">
        <v>4326</v>
      </c>
      <c r="P285" s="11">
        <v>43689.418194444443</v>
      </c>
      <c r="Q285" s="13">
        <v>2260411</v>
      </c>
      <c r="R285" s="46" t="s">
        <v>594</v>
      </c>
      <c r="S285" s="14" t="s">
        <v>763</v>
      </c>
      <c r="T285" s="163">
        <v>18</v>
      </c>
      <c r="U285" s="164" t="str">
        <f>CONCATENATE(LEFT(SP_ACQ_Lib[[#This Row],[Tax Parcel ID]],7),"_",SP_ACQ_Lib[[#This Row],[ACQ Document Type]])</f>
        <v>R062541_TITLE Commitment Backup Docs</v>
      </c>
      <c r="V285" s="65" t="str">
        <f>INDEX(SP_AcqTract_DB[WCAD Tax Parcel ID],MATCH(SP_ACQ_Lib[[#This Row],[Acquisition Tract No.]],SP_AcqTract_DB[Acquisition Tract No.],0))</f>
        <v>R062541;#29</v>
      </c>
      <c r="W285" s="48" t="str">
        <f>INDEX(SP_TaxPar_DB[Acquisition Tract No.],MATCH(LEFT(SP_ACQ_Lib[[#This Row],[Tax Parcel ID]],7),SP_TaxPar_DB[Tax Parcel ID],0))</f>
        <v>218</v>
      </c>
      <c r="X285" s="238" t="str">
        <f>IF(OR(SP_ACQ_Lib[[#This Row],[Acquisition Tract No.]]="",SP_ACQ_Lib[[#This Row],[ACQ Document Type]]=""),0,CONCATENATE("COW-FRMP_TR-",SP_ACQ_Lib[[#This Row],[Acquisition Tract No.]]," ",SP_ACQ_Lib[[#This Row],[ACQ Document Type]]))</f>
        <v>COW-FRMP_TR-218 TITLE Commitment Backup Docs</v>
      </c>
      <c r="Y285" s="239">
        <f>IF(OR(SP_ACQ_Lib[[#This Row],[File Name Convention]]=0,LEFT(SP_ACQ_Lib[[#This Row],[Name]],LEN(SP_ACQ_Lib[[#This Row],[File Name Convention]]))&lt;&gt;SP_ACQ_Lib[[#This Row],[File Name Convention]],ISERROR(SEARCH(SP_ACQ_Lib[[#This Row],[ACQ Document Type]],SP_ACQ_Lib[[#This Row],[Name]]))),1,0)</f>
        <v>0</v>
      </c>
    </row>
    <row r="286" spans="1:25" ht="15" x14ac:dyDescent="0.2">
      <c r="A286" s="157" t="str">
        <f>CONCATENATE(SP_ACQ_Lib[[#This Row],[Acquisition Tract No.]],"_",SP_ACQ_Lib[[#This Row],[ACQ Document Type]])</f>
        <v>218_TITLE Curative Plan</v>
      </c>
      <c r="B286" s="14" t="s">
        <v>1491</v>
      </c>
      <c r="C286" s="45" t="s">
        <v>136</v>
      </c>
      <c r="D286" s="12" t="s">
        <v>633</v>
      </c>
      <c r="E286" s="8" t="s">
        <v>861</v>
      </c>
      <c r="F286" s="8" t="s">
        <v>864</v>
      </c>
      <c r="G286" s="8" t="s">
        <v>617</v>
      </c>
      <c r="H286" s="7" t="s">
        <v>592</v>
      </c>
      <c r="I286" s="16">
        <v>43809</v>
      </c>
      <c r="J286" s="16"/>
      <c r="K286" s="17"/>
      <c r="L286" s="3"/>
      <c r="M286" s="8" t="s">
        <v>4325</v>
      </c>
      <c r="N286" s="11">
        <v>43903.698078703703</v>
      </c>
      <c r="O286" s="8" t="s">
        <v>4326</v>
      </c>
      <c r="P286" s="11">
        <v>43745.500462962962</v>
      </c>
      <c r="Q286" s="13">
        <v>36443</v>
      </c>
      <c r="R286" s="46" t="s">
        <v>594</v>
      </c>
      <c r="S286" s="14" t="s">
        <v>1206</v>
      </c>
      <c r="T286" s="163">
        <v>396</v>
      </c>
      <c r="U286" s="164" t="str">
        <f>CONCATENATE(LEFT(SP_ACQ_Lib[[#This Row],[Tax Parcel ID]],7),"_",SP_ACQ_Lib[[#This Row],[ACQ Document Type]])</f>
        <v>R062541_TITLE Curative Plan</v>
      </c>
      <c r="V286" s="65" t="str">
        <f>INDEX(SP_AcqTract_DB[WCAD Tax Parcel ID],MATCH(SP_ACQ_Lib[[#This Row],[Acquisition Tract No.]],SP_AcqTract_DB[Acquisition Tract No.],0))</f>
        <v>R062541;#29</v>
      </c>
      <c r="W286" s="48" t="str">
        <f>INDEX(SP_TaxPar_DB[Acquisition Tract No.],MATCH(LEFT(SP_ACQ_Lib[[#This Row],[Tax Parcel ID]],7),SP_TaxPar_DB[Tax Parcel ID],0))</f>
        <v>218</v>
      </c>
      <c r="X286" s="238" t="str">
        <f>IF(OR(SP_ACQ_Lib[[#This Row],[Acquisition Tract No.]]="",SP_ACQ_Lib[[#This Row],[ACQ Document Type]]=""),0,CONCATENATE("COW-FRMP_TR-",SP_ACQ_Lib[[#This Row],[Acquisition Tract No.]]," ",SP_ACQ_Lib[[#This Row],[ACQ Document Type]]))</f>
        <v>COW-FRMP_TR-218 TITLE Curative Plan</v>
      </c>
      <c r="Y286" s="239">
        <f>IF(OR(SP_ACQ_Lib[[#This Row],[File Name Convention]]=0,LEFT(SP_ACQ_Lib[[#This Row],[Name]],LEN(SP_ACQ_Lib[[#This Row],[File Name Convention]]))&lt;&gt;SP_ACQ_Lib[[#This Row],[File Name Convention]],ISERROR(SEARCH(SP_ACQ_Lib[[#This Row],[ACQ Document Type]],SP_ACQ_Lib[[#This Row],[Name]]))),1,0)</f>
        <v>0</v>
      </c>
    </row>
    <row r="287" spans="1:25" ht="15" x14ac:dyDescent="0.2">
      <c r="A287" s="157" t="str">
        <f>CONCATENATE(SP_ACQ_Lib[[#This Row],[Acquisition Tract No.]],"_",SP_ACQ_Lib[[#This Row],[ACQ Document Type]])</f>
        <v>219_APPRAISAL Final Appraisal</v>
      </c>
      <c r="B287" s="14" t="s">
        <v>6308</v>
      </c>
      <c r="C287" s="45" t="s">
        <v>141</v>
      </c>
      <c r="D287" s="12" t="s">
        <v>6288</v>
      </c>
      <c r="E287" s="8" t="s">
        <v>1131</v>
      </c>
      <c r="F287" s="8" t="s">
        <v>4755</v>
      </c>
      <c r="G287" s="8" t="s">
        <v>4754</v>
      </c>
      <c r="H287" s="7" t="s">
        <v>592</v>
      </c>
      <c r="I287" s="16">
        <v>43962</v>
      </c>
      <c r="J287" s="16"/>
      <c r="K287" s="17">
        <v>8262</v>
      </c>
      <c r="L287" s="3"/>
      <c r="M287" s="8" t="s">
        <v>4206</v>
      </c>
      <c r="N287" s="11">
        <v>44001.641099537039</v>
      </c>
      <c r="O287" s="8" t="s">
        <v>4206</v>
      </c>
      <c r="P287" s="11">
        <v>44001.638252314813</v>
      </c>
      <c r="Q287" s="13">
        <v>8195223</v>
      </c>
      <c r="R287" s="46" t="s">
        <v>594</v>
      </c>
      <c r="S287" s="14" t="s">
        <v>6377</v>
      </c>
      <c r="T287" s="163">
        <v>1234</v>
      </c>
      <c r="U287" s="164" t="str">
        <f>CONCATENATE(LEFT(SP_ACQ_Lib[[#This Row],[Tax Parcel ID]],7),"_",SP_ACQ_Lib[[#This Row],[ACQ Document Type]])</f>
        <v>R023700_APPRAISAL Final Appraisal</v>
      </c>
      <c r="V287" s="65" t="str">
        <f>INDEX(SP_AcqTract_DB[WCAD Tax Parcel ID],MATCH(SP_ACQ_Lib[[#This Row],[Acquisition Tract No.]],SP_AcqTract_DB[Acquisition Tract No.],0))</f>
        <v>R023700;#31</v>
      </c>
      <c r="W287" s="48" t="str">
        <f>INDEX(SP_TaxPar_DB[Acquisition Tract No.],MATCH(LEFT(SP_ACQ_Lib[[#This Row],[Tax Parcel ID]],7),SP_TaxPar_DB[Tax Parcel ID],0))</f>
        <v>219</v>
      </c>
      <c r="X287" s="238" t="str">
        <f>IF(OR(SP_ACQ_Lib[[#This Row],[Acquisition Tract No.]]="",SP_ACQ_Lib[[#This Row],[ACQ Document Type]]=""),0,CONCATENATE("COW-FRMP_TR-",SP_ACQ_Lib[[#This Row],[Acquisition Tract No.]]," ",SP_ACQ_Lib[[#This Row],[ACQ Document Type]]))</f>
        <v>COW-FRMP_TR-219 APPRAISAL Final Appraisal</v>
      </c>
      <c r="Y287" s="239">
        <f>IF(OR(SP_ACQ_Lib[[#This Row],[File Name Convention]]=0,LEFT(SP_ACQ_Lib[[#This Row],[Name]],LEN(SP_ACQ_Lib[[#This Row],[File Name Convention]]))&lt;&gt;SP_ACQ_Lib[[#This Row],[File Name Convention]],ISERROR(SEARCH(SP_ACQ_Lib[[#This Row],[ACQ Document Type]],SP_ACQ_Lib[[#This Row],[Name]]))),1,0)</f>
        <v>0</v>
      </c>
    </row>
    <row r="288" spans="1:25" ht="15" x14ac:dyDescent="0.2">
      <c r="A288" s="157" t="str">
        <f>CONCATENATE(SP_ACQ_Lib[[#This Row],[Acquisition Tract No.]],"_",SP_ACQ_Lib[[#This Row],[ACQ Document Type]])</f>
        <v>219_APPRAISAL Just Compensation Memo</v>
      </c>
      <c r="B288" s="14" t="s">
        <v>6309</v>
      </c>
      <c r="C288" s="45" t="s">
        <v>141</v>
      </c>
      <c r="D288" s="12" t="s">
        <v>6288</v>
      </c>
      <c r="E288" s="8" t="s">
        <v>1131</v>
      </c>
      <c r="F288" s="8" t="s">
        <v>4757</v>
      </c>
      <c r="G288" s="8" t="s">
        <v>4756</v>
      </c>
      <c r="H288" s="7" t="s">
        <v>592</v>
      </c>
      <c r="I288" s="16">
        <v>44001</v>
      </c>
      <c r="J288" s="16">
        <v>44004</v>
      </c>
      <c r="K288" s="17">
        <v>8262</v>
      </c>
      <c r="L288" s="3"/>
      <c r="M288" s="8" t="s">
        <v>4206</v>
      </c>
      <c r="N288" s="11">
        <v>44006.407372685186</v>
      </c>
      <c r="O288" s="8" t="s">
        <v>4206</v>
      </c>
      <c r="P288" s="11">
        <v>44001.63826388889</v>
      </c>
      <c r="Q288" s="13">
        <v>22998</v>
      </c>
      <c r="R288" s="46" t="s">
        <v>594</v>
      </c>
      <c r="S288" s="14" t="s">
        <v>6378</v>
      </c>
      <c r="T288" s="163">
        <v>1235</v>
      </c>
      <c r="U288" s="164" t="str">
        <f>CONCATENATE(LEFT(SP_ACQ_Lib[[#This Row],[Tax Parcel ID]],7),"_",SP_ACQ_Lib[[#This Row],[ACQ Document Type]])</f>
        <v>R023700_APPRAISAL Just Compensation Memo</v>
      </c>
      <c r="V288" s="65" t="str">
        <f>INDEX(SP_AcqTract_DB[WCAD Tax Parcel ID],MATCH(SP_ACQ_Lib[[#This Row],[Acquisition Tract No.]],SP_AcqTract_DB[Acquisition Tract No.],0))</f>
        <v>R023700;#31</v>
      </c>
      <c r="W288" s="48" t="str">
        <f>INDEX(SP_TaxPar_DB[Acquisition Tract No.],MATCH(LEFT(SP_ACQ_Lib[[#This Row],[Tax Parcel ID]],7),SP_TaxPar_DB[Tax Parcel ID],0))</f>
        <v>219</v>
      </c>
      <c r="X288" s="238" t="str">
        <f>IF(OR(SP_ACQ_Lib[[#This Row],[Acquisition Tract No.]]="",SP_ACQ_Lib[[#This Row],[ACQ Document Type]]=""),0,CONCATENATE("COW-FRMP_TR-",SP_ACQ_Lib[[#This Row],[Acquisition Tract No.]]," ",SP_ACQ_Lib[[#This Row],[ACQ Document Type]]))</f>
        <v>COW-FRMP_TR-219 APPRAISAL Just Compensation Memo</v>
      </c>
      <c r="Y288" s="239">
        <f>IF(OR(SP_ACQ_Lib[[#This Row],[File Name Convention]]=0,LEFT(SP_ACQ_Lib[[#This Row],[Name]],LEN(SP_ACQ_Lib[[#This Row],[File Name Convention]]))&lt;&gt;SP_ACQ_Lib[[#This Row],[File Name Convention]],ISERROR(SEARCH(SP_ACQ_Lib[[#This Row],[ACQ Document Type]],SP_ACQ_Lib[[#This Row],[Name]]))),1,0)</f>
        <v>0</v>
      </c>
    </row>
    <row r="289" spans="1:25" ht="15" x14ac:dyDescent="0.2">
      <c r="A289" s="157" t="str">
        <f>CONCATENATE(SP_ACQ_Lib[[#This Row],[Acquisition Tract No.]],"_",SP_ACQ_Lib[[#This Row],[ACQ Document Type]])</f>
        <v>219_APPRAISAL USACOE Authorization to Proceed with Offer</v>
      </c>
      <c r="B289" s="14" t="s">
        <v>6310</v>
      </c>
      <c r="C289" s="45" t="s">
        <v>141</v>
      </c>
      <c r="D289" s="12" t="s">
        <v>6288</v>
      </c>
      <c r="E289" s="8" t="s">
        <v>1131</v>
      </c>
      <c r="F289" s="8" t="s">
        <v>4959</v>
      </c>
      <c r="G289" s="8" t="s">
        <v>4958</v>
      </c>
      <c r="H289" s="7" t="s">
        <v>592</v>
      </c>
      <c r="I289" s="16">
        <v>44001</v>
      </c>
      <c r="J289" s="16">
        <v>44004</v>
      </c>
      <c r="K289" s="17">
        <v>8262</v>
      </c>
      <c r="L289" s="3"/>
      <c r="M289" s="8" t="s">
        <v>4206</v>
      </c>
      <c r="N289" s="11">
        <v>44006.407511574071</v>
      </c>
      <c r="O289" s="8" t="s">
        <v>4206</v>
      </c>
      <c r="P289" s="11">
        <v>44001.638275462959</v>
      </c>
      <c r="Q289" s="13">
        <v>418763</v>
      </c>
      <c r="R289" s="46" t="s">
        <v>594</v>
      </c>
      <c r="S289" s="14" t="s">
        <v>6379</v>
      </c>
      <c r="T289" s="163">
        <v>1236</v>
      </c>
      <c r="U289" s="164" t="str">
        <f>CONCATENATE(LEFT(SP_ACQ_Lib[[#This Row],[Tax Parcel ID]],7),"_",SP_ACQ_Lib[[#This Row],[ACQ Document Type]])</f>
        <v>R023700_APPRAISAL USACOE Authorization to Proceed with Offer</v>
      </c>
      <c r="V289" s="65" t="str">
        <f>INDEX(SP_AcqTract_DB[WCAD Tax Parcel ID],MATCH(SP_ACQ_Lib[[#This Row],[Acquisition Tract No.]],SP_AcqTract_DB[Acquisition Tract No.],0))</f>
        <v>R023700;#31</v>
      </c>
      <c r="W289" s="48" t="str">
        <f>INDEX(SP_TaxPar_DB[Acquisition Tract No.],MATCH(LEFT(SP_ACQ_Lib[[#This Row],[Tax Parcel ID]],7),SP_TaxPar_DB[Tax Parcel ID],0))</f>
        <v>219</v>
      </c>
      <c r="X289" s="238" t="str">
        <f>IF(OR(SP_ACQ_Lib[[#This Row],[Acquisition Tract No.]]="",SP_ACQ_Lib[[#This Row],[ACQ Document Type]]=""),0,CONCATENATE("COW-FRMP_TR-",SP_ACQ_Lib[[#This Row],[Acquisition Tract No.]]," ",SP_ACQ_Lib[[#This Row],[ACQ Document Type]]))</f>
        <v>COW-FRMP_TR-219 APPRAISAL USACOE Authorization to Proceed with Offer</v>
      </c>
      <c r="Y289" s="239">
        <f>IF(OR(SP_ACQ_Lib[[#This Row],[File Name Convention]]=0,LEFT(SP_ACQ_Lib[[#This Row],[Name]],LEN(SP_ACQ_Lib[[#This Row],[File Name Convention]]))&lt;&gt;SP_ACQ_Lib[[#This Row],[File Name Convention]],ISERROR(SEARCH(SP_ACQ_Lib[[#This Row],[ACQ Document Type]],SP_ACQ_Lib[[#This Row],[Name]]))),1,0)</f>
        <v>0</v>
      </c>
    </row>
    <row r="290" spans="1:25" ht="15" x14ac:dyDescent="0.2">
      <c r="A290" s="157" t="str">
        <f>CONCATENATE(SP_ACQ_Lib[[#This Row],[Acquisition Tract No.]],"_",SP_ACQ_Lib[[#This Row],[ACQ Document Type]])</f>
        <v>219_CONTACT Initial Interview - Residential</v>
      </c>
      <c r="B290" s="14" t="s">
        <v>5540</v>
      </c>
      <c r="C290" s="45" t="s">
        <v>141</v>
      </c>
      <c r="D290" s="12" t="s">
        <v>6288</v>
      </c>
      <c r="E290" s="8" t="s">
        <v>865</v>
      </c>
      <c r="F290" s="8" t="s">
        <v>866</v>
      </c>
      <c r="G290" s="8" t="s">
        <v>618</v>
      </c>
      <c r="H290" s="7" t="s">
        <v>592</v>
      </c>
      <c r="I290" s="16">
        <v>43686</v>
      </c>
      <c r="J290" s="16"/>
      <c r="K290" s="17"/>
      <c r="L290" s="3"/>
      <c r="M290" s="8" t="s">
        <v>4206</v>
      </c>
      <c r="N290" s="11">
        <v>44007.508553240739</v>
      </c>
      <c r="O290" s="8" t="s">
        <v>4325</v>
      </c>
      <c r="P290" s="11">
        <v>43696.375543981485</v>
      </c>
      <c r="Q290" s="13">
        <v>213565</v>
      </c>
      <c r="R290" s="46" t="s">
        <v>594</v>
      </c>
      <c r="S290" s="14" t="s">
        <v>764</v>
      </c>
      <c r="T290" s="163">
        <v>89</v>
      </c>
      <c r="U290" s="164" t="str">
        <f>CONCATENATE(LEFT(SP_ACQ_Lib[[#This Row],[Tax Parcel ID]],7),"_",SP_ACQ_Lib[[#This Row],[ACQ Document Type]])</f>
        <v>R023700_CONTACT Initial Interview - Residential</v>
      </c>
      <c r="V290" s="65" t="str">
        <f>INDEX(SP_AcqTract_DB[WCAD Tax Parcel ID],MATCH(SP_ACQ_Lib[[#This Row],[Acquisition Tract No.]],SP_AcqTract_DB[Acquisition Tract No.],0))</f>
        <v>R023700;#31</v>
      </c>
      <c r="W290" s="48" t="str">
        <f>INDEX(SP_TaxPar_DB[Acquisition Tract No.],MATCH(LEFT(SP_ACQ_Lib[[#This Row],[Tax Parcel ID]],7),SP_TaxPar_DB[Tax Parcel ID],0))</f>
        <v>219</v>
      </c>
      <c r="X290" s="238" t="str">
        <f>IF(OR(SP_ACQ_Lib[[#This Row],[Acquisition Tract No.]]="",SP_ACQ_Lib[[#This Row],[ACQ Document Type]]=""),0,CONCATENATE("COW-FRMP_TR-",SP_ACQ_Lib[[#This Row],[Acquisition Tract No.]]," ",SP_ACQ_Lib[[#This Row],[ACQ Document Type]]))</f>
        <v>COW-FRMP_TR-219 CONTACT Initial Interview - Residential</v>
      </c>
      <c r="Y290" s="239">
        <f>IF(OR(SP_ACQ_Lib[[#This Row],[File Name Convention]]=0,LEFT(SP_ACQ_Lib[[#This Row],[Name]],LEN(SP_ACQ_Lib[[#This Row],[File Name Convention]]))&lt;&gt;SP_ACQ_Lib[[#This Row],[File Name Convention]],ISERROR(SEARCH(SP_ACQ_Lib[[#This Row],[ACQ Document Type]],SP_ACQ_Lib[[#This Row],[Name]]))),1,0)</f>
        <v>0</v>
      </c>
    </row>
    <row r="291" spans="1:25" ht="15" x14ac:dyDescent="0.2">
      <c r="A291" s="157" t="str">
        <f>CONCATENATE(SP_ACQ_Lib[[#This Row],[Acquisition Tract No.]],"_",SP_ACQ_Lib[[#This Row],[ACQ Document Type]])</f>
        <v>219_CONTACT Letter of Intent-HDR</v>
      </c>
      <c r="B291" s="14" t="s">
        <v>4461</v>
      </c>
      <c r="C291" s="45" t="s">
        <v>141</v>
      </c>
      <c r="D291" s="12" t="s">
        <v>6288</v>
      </c>
      <c r="E291" s="8" t="s">
        <v>865</v>
      </c>
      <c r="F291" s="8" t="s">
        <v>1401</v>
      </c>
      <c r="G291" s="8" t="s">
        <v>1400</v>
      </c>
      <c r="H291" s="7" t="s">
        <v>592</v>
      </c>
      <c r="I291" s="16">
        <v>43765</v>
      </c>
      <c r="J291" s="16"/>
      <c r="K291" s="17"/>
      <c r="L291" s="3" t="s">
        <v>4444</v>
      </c>
      <c r="M291" s="8" t="s">
        <v>4206</v>
      </c>
      <c r="N291" s="11">
        <v>44007.508692129632</v>
      </c>
      <c r="O291" s="8" t="s">
        <v>4206</v>
      </c>
      <c r="P291" s="11">
        <v>43893.593819444446</v>
      </c>
      <c r="Q291" s="13">
        <v>575523</v>
      </c>
      <c r="R291" s="46" t="s">
        <v>594</v>
      </c>
      <c r="S291" s="14" t="s">
        <v>4491</v>
      </c>
      <c r="T291" s="163">
        <v>759</v>
      </c>
      <c r="U291" s="164" t="str">
        <f>CONCATENATE(LEFT(SP_ACQ_Lib[[#This Row],[Tax Parcel ID]],7),"_",SP_ACQ_Lib[[#This Row],[ACQ Document Type]])</f>
        <v>R023700_CONTACT Letter of Intent-HDR</v>
      </c>
      <c r="V291" s="65" t="str">
        <f>INDEX(SP_AcqTract_DB[WCAD Tax Parcel ID],MATCH(SP_ACQ_Lib[[#This Row],[Acquisition Tract No.]],SP_AcqTract_DB[Acquisition Tract No.],0))</f>
        <v>R023700;#31</v>
      </c>
      <c r="W291" s="48" t="str">
        <f>INDEX(SP_TaxPar_DB[Acquisition Tract No.],MATCH(LEFT(SP_ACQ_Lib[[#This Row],[Tax Parcel ID]],7),SP_TaxPar_DB[Tax Parcel ID],0))</f>
        <v>219</v>
      </c>
      <c r="X291" s="238" t="str">
        <f>IF(OR(SP_ACQ_Lib[[#This Row],[Acquisition Tract No.]]="",SP_ACQ_Lib[[#This Row],[ACQ Document Type]]=""),0,CONCATENATE("COW-FRMP_TR-",SP_ACQ_Lib[[#This Row],[Acquisition Tract No.]]," ",SP_ACQ_Lib[[#This Row],[ACQ Document Type]]))</f>
        <v>COW-FRMP_TR-219 CONTACT Letter of Intent-HDR</v>
      </c>
      <c r="Y291" s="239">
        <f>IF(OR(SP_ACQ_Lib[[#This Row],[File Name Convention]]=0,LEFT(SP_ACQ_Lib[[#This Row],[Name]],LEN(SP_ACQ_Lib[[#This Row],[File Name Convention]]))&lt;&gt;SP_ACQ_Lib[[#This Row],[File Name Convention]],ISERROR(SEARCH(SP_ACQ_Lib[[#This Row],[ACQ Document Type]],SP_ACQ_Lib[[#This Row],[Name]]))),1,0)</f>
        <v>0</v>
      </c>
    </row>
    <row r="292" spans="1:25" ht="15" x14ac:dyDescent="0.2">
      <c r="A292" s="157" t="str">
        <f>CONCATENATE(SP_ACQ_Lib[[#This Row],[Acquisition Tract No.]],"_",SP_ACQ_Lib[[#This Row],[ACQ Document Type]])</f>
        <v>219_CONTACT Negotiator Report</v>
      </c>
      <c r="B292" s="14" t="s">
        <v>3389</v>
      </c>
      <c r="C292" s="45" t="s">
        <v>141</v>
      </c>
      <c r="D292" s="12" t="s">
        <v>6288</v>
      </c>
      <c r="E292" s="8" t="s">
        <v>865</v>
      </c>
      <c r="F292" s="8" t="s">
        <v>1068</v>
      </c>
      <c r="G292" s="8" t="s">
        <v>1067</v>
      </c>
      <c r="H292" s="7" t="s">
        <v>592</v>
      </c>
      <c r="I292" s="16"/>
      <c r="J292" s="16"/>
      <c r="K292" s="17"/>
      <c r="L292" s="3"/>
      <c r="M292" s="8" t="s">
        <v>4206</v>
      </c>
      <c r="N292" s="11">
        <v>44007.508831018517</v>
      </c>
      <c r="O292" s="8" t="s">
        <v>4207</v>
      </c>
      <c r="P292" s="11">
        <v>43738.41715277778</v>
      </c>
      <c r="Q292" s="13">
        <v>59378</v>
      </c>
      <c r="R292" s="46" t="s">
        <v>1069</v>
      </c>
      <c r="S292" s="14" t="s">
        <v>1089</v>
      </c>
      <c r="T292" s="163">
        <v>365</v>
      </c>
      <c r="U292" s="164" t="str">
        <f>CONCATENATE(LEFT(SP_ACQ_Lib[[#This Row],[Tax Parcel ID]],7),"_",SP_ACQ_Lib[[#This Row],[ACQ Document Type]])</f>
        <v>R023700_CONTACT Negotiator Report</v>
      </c>
      <c r="V292" s="65" t="str">
        <f>INDEX(SP_AcqTract_DB[WCAD Tax Parcel ID],MATCH(SP_ACQ_Lib[[#This Row],[Acquisition Tract No.]],SP_AcqTract_DB[Acquisition Tract No.],0))</f>
        <v>R023700;#31</v>
      </c>
      <c r="W292" s="48" t="str">
        <f>INDEX(SP_TaxPar_DB[Acquisition Tract No.],MATCH(LEFT(SP_ACQ_Lib[[#This Row],[Tax Parcel ID]],7),SP_TaxPar_DB[Tax Parcel ID],0))</f>
        <v>219</v>
      </c>
      <c r="X292" s="238" t="str">
        <f>IF(OR(SP_ACQ_Lib[[#This Row],[Acquisition Tract No.]]="",SP_ACQ_Lib[[#This Row],[ACQ Document Type]]=""),0,CONCATENATE("COW-FRMP_TR-",SP_ACQ_Lib[[#This Row],[Acquisition Tract No.]]," ",SP_ACQ_Lib[[#This Row],[ACQ Document Type]]))</f>
        <v>COW-FRMP_TR-219 CONTACT Negotiator Report</v>
      </c>
      <c r="Y292" s="239">
        <f>IF(OR(SP_ACQ_Lib[[#This Row],[File Name Convention]]=0,LEFT(SP_ACQ_Lib[[#This Row],[Name]],LEN(SP_ACQ_Lib[[#This Row],[File Name Convention]]))&lt;&gt;SP_ACQ_Lib[[#This Row],[File Name Convention]],ISERROR(SEARCH(SP_ACQ_Lib[[#This Row],[ACQ Document Type]],SP_ACQ_Lib[[#This Row],[Name]]))),1,0)</f>
        <v>0</v>
      </c>
    </row>
    <row r="293" spans="1:25" ht="15" x14ac:dyDescent="0.2">
      <c r="A293" s="157" t="str">
        <f>CONCATENATE(SP_ACQ_Lib[[#This Row],[Acquisition Tract No.]],"_",SP_ACQ_Lib[[#This Row],[ACQ Document Type]])</f>
        <v>219_NEGOTIATION Landowner Bill of Rights Letter</v>
      </c>
      <c r="B293" s="14" t="s">
        <v>3450</v>
      </c>
      <c r="C293" s="45" t="s">
        <v>141</v>
      </c>
      <c r="D293" s="12" t="s">
        <v>6288</v>
      </c>
      <c r="E293" s="8" t="s">
        <v>1142</v>
      </c>
      <c r="F293" s="8" t="s">
        <v>1746</v>
      </c>
      <c r="G293" s="8" t="s">
        <v>1745</v>
      </c>
      <c r="H293" s="7" t="s">
        <v>592</v>
      </c>
      <c r="I293" s="16">
        <v>43748</v>
      </c>
      <c r="J293" s="16"/>
      <c r="K293" s="17"/>
      <c r="L293" s="3"/>
      <c r="M293" s="8" t="s">
        <v>4206</v>
      </c>
      <c r="N293" s="11">
        <v>44007.509004629632</v>
      </c>
      <c r="O293" s="8" t="s">
        <v>4325</v>
      </c>
      <c r="P293" s="11">
        <v>43752.487847222219</v>
      </c>
      <c r="Q293" s="13">
        <v>327366</v>
      </c>
      <c r="R293" s="46" t="s">
        <v>594</v>
      </c>
      <c r="S293" s="14" t="s">
        <v>1207</v>
      </c>
      <c r="T293" s="163">
        <v>434</v>
      </c>
      <c r="U293" s="164" t="str">
        <f>CONCATENATE(LEFT(SP_ACQ_Lib[[#This Row],[Tax Parcel ID]],7),"_",SP_ACQ_Lib[[#This Row],[ACQ Document Type]])</f>
        <v>R023700_NEGOTIATION Landowner Bill of Rights Letter</v>
      </c>
      <c r="V293" s="65" t="str">
        <f>INDEX(SP_AcqTract_DB[WCAD Tax Parcel ID],MATCH(SP_ACQ_Lib[[#This Row],[Acquisition Tract No.]],SP_AcqTract_DB[Acquisition Tract No.],0))</f>
        <v>R023700;#31</v>
      </c>
      <c r="W293" s="48" t="str">
        <f>INDEX(SP_TaxPar_DB[Acquisition Tract No.],MATCH(LEFT(SP_ACQ_Lib[[#This Row],[Tax Parcel ID]],7),SP_TaxPar_DB[Tax Parcel ID],0))</f>
        <v>219</v>
      </c>
      <c r="X293" s="238" t="str">
        <f>IF(OR(SP_ACQ_Lib[[#This Row],[Acquisition Tract No.]]="",SP_ACQ_Lib[[#This Row],[ACQ Document Type]]=""),0,CONCATENATE("COW-FRMP_TR-",SP_ACQ_Lib[[#This Row],[Acquisition Tract No.]]," ",SP_ACQ_Lib[[#This Row],[ACQ Document Type]]))</f>
        <v>COW-FRMP_TR-219 NEGOTIATION Landowner Bill of Rights Letter</v>
      </c>
      <c r="Y293" s="239">
        <f>IF(OR(SP_ACQ_Lib[[#This Row],[File Name Convention]]=0,LEFT(SP_ACQ_Lib[[#This Row],[Name]],LEN(SP_ACQ_Lib[[#This Row],[File Name Convention]]))&lt;&gt;SP_ACQ_Lib[[#This Row],[File Name Convention]],ISERROR(SEARCH(SP_ACQ_Lib[[#This Row],[ACQ Document Type]],SP_ACQ_Lib[[#This Row],[Name]]))),1,0)</f>
        <v>0</v>
      </c>
    </row>
    <row r="294" spans="1:25" ht="15" x14ac:dyDescent="0.2">
      <c r="A294" s="157" t="str">
        <f>CONCATENATE(SP_ACQ_Lib[[#This Row],[Acquisition Tract No.]],"_",SP_ACQ_Lib[[#This Row],[ACQ Document Type]])</f>
        <v>219_SURVEY Description-Plat_CITY</v>
      </c>
      <c r="B294" s="14" t="s">
        <v>4832</v>
      </c>
      <c r="C294" s="45" t="s">
        <v>141</v>
      </c>
      <c r="D294" s="12" t="s">
        <v>6288</v>
      </c>
      <c r="E294" s="8" t="s">
        <v>858</v>
      </c>
      <c r="F294" s="8" t="s">
        <v>3503</v>
      </c>
      <c r="G294" s="8" t="s">
        <v>3502</v>
      </c>
      <c r="H294" s="7" t="s">
        <v>1749</v>
      </c>
      <c r="I294" s="16">
        <v>43906</v>
      </c>
      <c r="J294" s="16">
        <v>43936</v>
      </c>
      <c r="K294" s="17"/>
      <c r="L294" s="3"/>
      <c r="M294" s="8" t="s">
        <v>4206</v>
      </c>
      <c r="N294" s="11">
        <v>44007.509189814817</v>
      </c>
      <c r="O294" s="8" t="s">
        <v>4206</v>
      </c>
      <c r="P294" s="11">
        <v>43936.400173611109</v>
      </c>
      <c r="Q294" s="13">
        <v>269126</v>
      </c>
      <c r="R294" s="46" t="s">
        <v>594</v>
      </c>
      <c r="S294" s="14" t="s">
        <v>4834</v>
      </c>
      <c r="T294" s="163">
        <v>816</v>
      </c>
      <c r="U294" s="164" t="str">
        <f>CONCATENATE(LEFT(SP_ACQ_Lib[[#This Row],[Tax Parcel ID]],7),"_",SP_ACQ_Lib[[#This Row],[ACQ Document Type]])</f>
        <v>R023700_SURVEY Description-Plat_CITY</v>
      </c>
      <c r="V294" s="65" t="str">
        <f>INDEX(SP_AcqTract_DB[WCAD Tax Parcel ID],MATCH(SP_ACQ_Lib[[#This Row],[Acquisition Tract No.]],SP_AcqTract_DB[Acquisition Tract No.],0))</f>
        <v>R023700;#31</v>
      </c>
      <c r="W294" s="48" t="str">
        <f>INDEX(SP_TaxPar_DB[Acquisition Tract No.],MATCH(LEFT(SP_ACQ_Lib[[#This Row],[Tax Parcel ID]],7),SP_TaxPar_DB[Tax Parcel ID],0))</f>
        <v>219</v>
      </c>
      <c r="X294" s="238" t="str">
        <f>IF(OR(SP_ACQ_Lib[[#This Row],[Acquisition Tract No.]]="",SP_ACQ_Lib[[#This Row],[ACQ Document Type]]=""),0,CONCATENATE("COW-FRMP_TR-",SP_ACQ_Lib[[#This Row],[Acquisition Tract No.]]," ",SP_ACQ_Lib[[#This Row],[ACQ Document Type]]))</f>
        <v>COW-FRMP_TR-219 SURVEY Description-Plat_CITY</v>
      </c>
      <c r="Y294" s="239">
        <f>IF(OR(SP_ACQ_Lib[[#This Row],[File Name Convention]]=0,LEFT(SP_ACQ_Lib[[#This Row],[Name]],LEN(SP_ACQ_Lib[[#This Row],[File Name Convention]]))&lt;&gt;SP_ACQ_Lib[[#This Row],[File Name Convention]],ISERROR(SEARCH(SP_ACQ_Lib[[#This Row],[ACQ Document Type]],SP_ACQ_Lib[[#This Row],[Name]]))),1,0)</f>
        <v>0</v>
      </c>
    </row>
    <row r="295" spans="1:25" ht="15" x14ac:dyDescent="0.2">
      <c r="A295" s="157" t="str">
        <f>CONCATENATE(SP_ACQ_Lib[[#This Row],[Acquisition Tract No.]],"_",SP_ACQ_Lib[[#This Row],[ACQ Document Type]])</f>
        <v>219_SURVEY Description-Plat_USACOE</v>
      </c>
      <c r="B295" s="14" t="s">
        <v>4977</v>
      </c>
      <c r="C295" s="45" t="s">
        <v>141</v>
      </c>
      <c r="D295" s="12" t="s">
        <v>6288</v>
      </c>
      <c r="E295" s="8" t="s">
        <v>858</v>
      </c>
      <c r="F295" s="8" t="s">
        <v>3510</v>
      </c>
      <c r="G295" s="8" t="s">
        <v>3509</v>
      </c>
      <c r="H295" s="7" t="s">
        <v>592</v>
      </c>
      <c r="I295" s="16">
        <v>43906</v>
      </c>
      <c r="J295" s="16">
        <v>43948</v>
      </c>
      <c r="K295" s="17"/>
      <c r="L295" s="3"/>
      <c r="M295" s="8" t="s">
        <v>4206</v>
      </c>
      <c r="N295" s="11">
        <v>44007.509305555555</v>
      </c>
      <c r="O295" s="8" t="s">
        <v>4206</v>
      </c>
      <c r="P295" s="11">
        <v>43949.789560185185</v>
      </c>
      <c r="Q295" s="13">
        <v>509321</v>
      </c>
      <c r="R295" s="46" t="s">
        <v>594</v>
      </c>
      <c r="S295" s="14" t="s">
        <v>4995</v>
      </c>
      <c r="T295" s="163">
        <v>842</v>
      </c>
      <c r="U295" s="164" t="str">
        <f>CONCATENATE(LEFT(SP_ACQ_Lib[[#This Row],[Tax Parcel ID]],7),"_",SP_ACQ_Lib[[#This Row],[ACQ Document Type]])</f>
        <v>R023700_SURVEY Description-Plat_USACOE</v>
      </c>
      <c r="V295" s="65" t="str">
        <f>INDEX(SP_AcqTract_DB[WCAD Tax Parcel ID],MATCH(SP_ACQ_Lib[[#This Row],[Acquisition Tract No.]],SP_AcqTract_DB[Acquisition Tract No.],0))</f>
        <v>R023700;#31</v>
      </c>
      <c r="W295" s="48" t="str">
        <f>INDEX(SP_TaxPar_DB[Acquisition Tract No.],MATCH(LEFT(SP_ACQ_Lib[[#This Row],[Tax Parcel ID]],7),SP_TaxPar_DB[Tax Parcel ID],0))</f>
        <v>219</v>
      </c>
      <c r="X295" s="238" t="str">
        <f>IF(OR(SP_ACQ_Lib[[#This Row],[Acquisition Tract No.]]="",SP_ACQ_Lib[[#This Row],[ACQ Document Type]]=""),0,CONCATENATE("COW-FRMP_TR-",SP_ACQ_Lib[[#This Row],[Acquisition Tract No.]]," ",SP_ACQ_Lib[[#This Row],[ACQ Document Type]]))</f>
        <v>COW-FRMP_TR-219 SURVEY Description-Plat_USACOE</v>
      </c>
      <c r="Y295" s="239">
        <f>IF(OR(SP_ACQ_Lib[[#This Row],[File Name Convention]]=0,LEFT(SP_ACQ_Lib[[#This Row],[Name]],LEN(SP_ACQ_Lib[[#This Row],[File Name Convention]]))&lt;&gt;SP_ACQ_Lib[[#This Row],[File Name Convention]],ISERROR(SEARCH(SP_ACQ_Lib[[#This Row],[ACQ Document Type]],SP_ACQ_Lib[[#This Row],[Name]]))),1,0)</f>
        <v>0</v>
      </c>
    </row>
    <row r="296" spans="1:25" ht="15" x14ac:dyDescent="0.2">
      <c r="A296" s="157" t="str">
        <f>CONCATENATE(SP_ACQ_Lib[[#This Row],[Acquisition Tract No.]],"_",SP_ACQ_Lib[[#This Row],[ACQ Document Type]])</f>
        <v>219_SURVEY Right-of-Entry</v>
      </c>
      <c r="B296" s="14" t="s">
        <v>4462</v>
      </c>
      <c r="C296" s="45" t="s">
        <v>141</v>
      </c>
      <c r="D296" s="12" t="s">
        <v>6288</v>
      </c>
      <c r="E296" s="8" t="s">
        <v>858</v>
      </c>
      <c r="F296" s="8" t="s">
        <v>859</v>
      </c>
      <c r="G296" s="8" t="s">
        <v>591</v>
      </c>
      <c r="H296" s="7" t="s">
        <v>592</v>
      </c>
      <c r="I296" s="16">
        <v>43699</v>
      </c>
      <c r="J296" s="16"/>
      <c r="K296" s="17"/>
      <c r="L296" s="3" t="s">
        <v>4444</v>
      </c>
      <c r="M296" s="8" t="s">
        <v>4206</v>
      </c>
      <c r="N296" s="11">
        <v>44007.509421296294</v>
      </c>
      <c r="O296" s="8" t="s">
        <v>4206</v>
      </c>
      <c r="P296" s="11">
        <v>43893.597337962965</v>
      </c>
      <c r="Q296" s="13">
        <v>1598832</v>
      </c>
      <c r="R296" s="46" t="s">
        <v>594</v>
      </c>
      <c r="S296" s="14" t="s">
        <v>4492</v>
      </c>
      <c r="T296" s="163">
        <v>760</v>
      </c>
      <c r="U296" s="164" t="str">
        <f>CONCATENATE(LEFT(SP_ACQ_Lib[[#This Row],[Tax Parcel ID]],7),"_",SP_ACQ_Lib[[#This Row],[ACQ Document Type]])</f>
        <v>R023700_SURVEY Right-of-Entry</v>
      </c>
      <c r="V296" s="65" t="str">
        <f>INDEX(SP_AcqTract_DB[WCAD Tax Parcel ID],MATCH(SP_ACQ_Lib[[#This Row],[Acquisition Tract No.]],SP_AcqTract_DB[Acquisition Tract No.],0))</f>
        <v>R023700;#31</v>
      </c>
      <c r="W296" s="48" t="str">
        <f>INDEX(SP_TaxPar_DB[Acquisition Tract No.],MATCH(LEFT(SP_ACQ_Lib[[#This Row],[Tax Parcel ID]],7),SP_TaxPar_DB[Tax Parcel ID],0))</f>
        <v>219</v>
      </c>
      <c r="X296" s="238" t="str">
        <f>IF(OR(SP_ACQ_Lib[[#This Row],[Acquisition Tract No.]]="",SP_ACQ_Lib[[#This Row],[ACQ Document Type]]=""),0,CONCATENATE("COW-FRMP_TR-",SP_ACQ_Lib[[#This Row],[Acquisition Tract No.]]," ",SP_ACQ_Lib[[#This Row],[ACQ Document Type]]))</f>
        <v>COW-FRMP_TR-219 SURVEY Right-of-Entry</v>
      </c>
      <c r="Y296" s="239">
        <f>IF(OR(SP_ACQ_Lib[[#This Row],[File Name Convention]]=0,LEFT(SP_ACQ_Lib[[#This Row],[Name]],LEN(SP_ACQ_Lib[[#This Row],[File Name Convention]]))&lt;&gt;SP_ACQ_Lib[[#This Row],[File Name Convention]],ISERROR(SEARCH(SP_ACQ_Lib[[#This Row],[ACQ Document Type]],SP_ACQ_Lib[[#This Row],[Name]]))),1,0)</f>
        <v>0</v>
      </c>
    </row>
    <row r="297" spans="1:25" ht="15" x14ac:dyDescent="0.2">
      <c r="A297" s="157" t="str">
        <f>CONCATENATE(SP_ACQ_Lib[[#This Row],[Acquisition Tract No.]],"_",SP_ACQ_Lib[[#This Row],[ACQ Document Type]])</f>
        <v>219_SURVEY Right-of-Entry CMRR</v>
      </c>
      <c r="B297" s="14" t="s">
        <v>4463</v>
      </c>
      <c r="C297" s="45" t="s">
        <v>141</v>
      </c>
      <c r="D297" s="12" t="s">
        <v>6288</v>
      </c>
      <c r="E297" s="8" t="s">
        <v>858</v>
      </c>
      <c r="F297" s="8" t="s">
        <v>860</v>
      </c>
      <c r="G297" s="8" t="s">
        <v>598</v>
      </c>
      <c r="H297" s="7" t="s">
        <v>592</v>
      </c>
      <c r="I297" s="16">
        <v>43691</v>
      </c>
      <c r="J297" s="16"/>
      <c r="K297" s="17"/>
      <c r="L297" s="3" t="s">
        <v>3514</v>
      </c>
      <c r="M297" s="8" t="s">
        <v>4206</v>
      </c>
      <c r="N297" s="11">
        <v>44007.509571759256</v>
      </c>
      <c r="O297" s="8" t="s">
        <v>4206</v>
      </c>
      <c r="P297" s="11">
        <v>43893.602986111109</v>
      </c>
      <c r="Q297" s="13">
        <v>817261</v>
      </c>
      <c r="R297" s="46" t="s">
        <v>594</v>
      </c>
      <c r="S297" s="14" t="s">
        <v>4493</v>
      </c>
      <c r="T297" s="163">
        <v>761</v>
      </c>
      <c r="U297" s="164" t="str">
        <f>CONCATENATE(LEFT(SP_ACQ_Lib[[#This Row],[Tax Parcel ID]],7),"_",SP_ACQ_Lib[[#This Row],[ACQ Document Type]])</f>
        <v>R023700_SURVEY Right-of-Entry CMRR</v>
      </c>
      <c r="V297" s="65" t="str">
        <f>INDEX(SP_AcqTract_DB[WCAD Tax Parcel ID],MATCH(SP_ACQ_Lib[[#This Row],[Acquisition Tract No.]],SP_AcqTract_DB[Acquisition Tract No.],0))</f>
        <v>R023700;#31</v>
      </c>
      <c r="W297" s="48" t="str">
        <f>INDEX(SP_TaxPar_DB[Acquisition Tract No.],MATCH(LEFT(SP_ACQ_Lib[[#This Row],[Tax Parcel ID]],7),SP_TaxPar_DB[Tax Parcel ID],0))</f>
        <v>219</v>
      </c>
      <c r="X297" s="238" t="str">
        <f>IF(OR(SP_ACQ_Lib[[#This Row],[Acquisition Tract No.]]="",SP_ACQ_Lib[[#This Row],[ACQ Document Type]]=""),0,CONCATENATE("COW-FRMP_TR-",SP_ACQ_Lib[[#This Row],[Acquisition Tract No.]]," ",SP_ACQ_Lib[[#This Row],[ACQ Document Type]]))</f>
        <v>COW-FRMP_TR-219 SURVEY Right-of-Entry CMRR</v>
      </c>
      <c r="Y297" s="239">
        <f>IF(OR(SP_ACQ_Lib[[#This Row],[File Name Convention]]=0,LEFT(SP_ACQ_Lib[[#This Row],[Name]],LEN(SP_ACQ_Lib[[#This Row],[File Name Convention]]))&lt;&gt;SP_ACQ_Lib[[#This Row],[File Name Convention]],ISERROR(SEARCH(SP_ACQ_Lib[[#This Row],[ACQ Document Type]],SP_ACQ_Lib[[#This Row],[Name]]))),1,0)</f>
        <v>0</v>
      </c>
    </row>
    <row r="298" spans="1:25" ht="15" x14ac:dyDescent="0.2">
      <c r="A298" s="157" t="str">
        <f>CONCATENATE(SP_ACQ_Lib[[#This Row],[Acquisition Tract No.]],"_",SP_ACQ_Lib[[#This Row],[ACQ Document Type]])</f>
        <v>219_TITLE Commitment</v>
      </c>
      <c r="B298" s="14" t="s">
        <v>1492</v>
      </c>
      <c r="C298" s="45" t="s">
        <v>141</v>
      </c>
      <c r="D298" s="12" t="s">
        <v>6288</v>
      </c>
      <c r="E298" s="8" t="s">
        <v>861</v>
      </c>
      <c r="F298" s="8" t="s">
        <v>862</v>
      </c>
      <c r="G298" s="8" t="s">
        <v>614</v>
      </c>
      <c r="H298" s="7" t="s">
        <v>592</v>
      </c>
      <c r="I298" s="16">
        <v>43952</v>
      </c>
      <c r="J298" s="16">
        <v>43689</v>
      </c>
      <c r="K298" s="17">
        <v>6075</v>
      </c>
      <c r="L298" s="3" t="s">
        <v>5051</v>
      </c>
      <c r="M298" s="8" t="s">
        <v>4206</v>
      </c>
      <c r="N298" s="11">
        <v>44007.509768518517</v>
      </c>
      <c r="O298" s="8" t="s">
        <v>4326</v>
      </c>
      <c r="P298" s="11">
        <v>43689.592835648145</v>
      </c>
      <c r="Q298" s="13">
        <v>597079</v>
      </c>
      <c r="R298" s="46" t="s">
        <v>594</v>
      </c>
      <c r="S298" s="14" t="s">
        <v>765</v>
      </c>
      <c r="T298" s="163">
        <v>29</v>
      </c>
      <c r="U298" s="164" t="str">
        <f>CONCATENATE(LEFT(SP_ACQ_Lib[[#This Row],[Tax Parcel ID]],7),"_",SP_ACQ_Lib[[#This Row],[ACQ Document Type]])</f>
        <v>R023700_TITLE Commitment</v>
      </c>
      <c r="V298" s="65" t="str">
        <f>INDEX(SP_AcqTract_DB[WCAD Tax Parcel ID],MATCH(SP_ACQ_Lib[[#This Row],[Acquisition Tract No.]],SP_AcqTract_DB[Acquisition Tract No.],0))</f>
        <v>R023700;#31</v>
      </c>
      <c r="W298" s="48" t="str">
        <f>INDEX(SP_TaxPar_DB[Acquisition Tract No.],MATCH(LEFT(SP_ACQ_Lib[[#This Row],[Tax Parcel ID]],7),SP_TaxPar_DB[Tax Parcel ID],0))</f>
        <v>219</v>
      </c>
      <c r="X298" s="238" t="str">
        <f>IF(OR(SP_ACQ_Lib[[#This Row],[Acquisition Tract No.]]="",SP_ACQ_Lib[[#This Row],[ACQ Document Type]]=""),0,CONCATENATE("COW-FRMP_TR-",SP_ACQ_Lib[[#This Row],[Acquisition Tract No.]]," ",SP_ACQ_Lib[[#This Row],[ACQ Document Type]]))</f>
        <v>COW-FRMP_TR-219 TITLE Commitment</v>
      </c>
      <c r="Y298" s="239">
        <f>IF(OR(SP_ACQ_Lib[[#This Row],[File Name Convention]]=0,LEFT(SP_ACQ_Lib[[#This Row],[Name]],LEN(SP_ACQ_Lib[[#This Row],[File Name Convention]]))&lt;&gt;SP_ACQ_Lib[[#This Row],[File Name Convention]],ISERROR(SEARCH(SP_ACQ_Lib[[#This Row],[ACQ Document Type]],SP_ACQ_Lib[[#This Row],[Name]]))),1,0)</f>
        <v>0</v>
      </c>
    </row>
    <row r="299" spans="1:25" ht="15" x14ac:dyDescent="0.2">
      <c r="A299" s="157" t="str">
        <f>CONCATENATE(SP_ACQ_Lib[[#This Row],[Acquisition Tract No.]],"_",SP_ACQ_Lib[[#This Row],[ACQ Document Type]])</f>
        <v>219_TITLE Commitment Backup Docs</v>
      </c>
      <c r="B299" s="14" t="s">
        <v>1493</v>
      </c>
      <c r="C299" s="45" t="s">
        <v>141</v>
      </c>
      <c r="D299" s="12" t="s">
        <v>6288</v>
      </c>
      <c r="E299" s="8" t="s">
        <v>861</v>
      </c>
      <c r="F299" s="8" t="s">
        <v>863</v>
      </c>
      <c r="G299" s="8" t="s">
        <v>616</v>
      </c>
      <c r="H299" s="7" t="s">
        <v>592</v>
      </c>
      <c r="I299" s="16"/>
      <c r="J299" s="16"/>
      <c r="K299" s="17"/>
      <c r="L299" s="3"/>
      <c r="M299" s="8" t="s">
        <v>4206</v>
      </c>
      <c r="N299" s="11">
        <v>44007.510046296295</v>
      </c>
      <c r="O299" s="8" t="s">
        <v>4326</v>
      </c>
      <c r="P299" s="11">
        <v>43689.593206018515</v>
      </c>
      <c r="Q299" s="13">
        <v>399944</v>
      </c>
      <c r="R299" s="46" t="s">
        <v>594</v>
      </c>
      <c r="S299" s="14" t="s">
        <v>766</v>
      </c>
      <c r="T299" s="163">
        <v>30</v>
      </c>
      <c r="U299" s="164" t="str">
        <f>CONCATENATE(LEFT(SP_ACQ_Lib[[#This Row],[Tax Parcel ID]],7),"_",SP_ACQ_Lib[[#This Row],[ACQ Document Type]])</f>
        <v>R023700_TITLE Commitment Backup Docs</v>
      </c>
      <c r="V299" s="65" t="str">
        <f>INDEX(SP_AcqTract_DB[WCAD Tax Parcel ID],MATCH(SP_ACQ_Lib[[#This Row],[Acquisition Tract No.]],SP_AcqTract_DB[Acquisition Tract No.],0))</f>
        <v>R023700;#31</v>
      </c>
      <c r="W299" s="48" t="str">
        <f>INDEX(SP_TaxPar_DB[Acquisition Tract No.],MATCH(LEFT(SP_ACQ_Lib[[#This Row],[Tax Parcel ID]],7),SP_TaxPar_DB[Tax Parcel ID],0))</f>
        <v>219</v>
      </c>
      <c r="X299" s="238" t="str">
        <f>IF(OR(SP_ACQ_Lib[[#This Row],[Acquisition Tract No.]]="",SP_ACQ_Lib[[#This Row],[ACQ Document Type]]=""),0,CONCATENATE("COW-FRMP_TR-",SP_ACQ_Lib[[#This Row],[Acquisition Tract No.]]," ",SP_ACQ_Lib[[#This Row],[ACQ Document Type]]))</f>
        <v>COW-FRMP_TR-219 TITLE Commitment Backup Docs</v>
      </c>
      <c r="Y299" s="239">
        <f>IF(OR(SP_ACQ_Lib[[#This Row],[File Name Convention]]=0,LEFT(SP_ACQ_Lib[[#This Row],[Name]],LEN(SP_ACQ_Lib[[#This Row],[File Name Convention]]))&lt;&gt;SP_ACQ_Lib[[#This Row],[File Name Convention]],ISERROR(SEARCH(SP_ACQ_Lib[[#This Row],[ACQ Document Type]],SP_ACQ_Lib[[#This Row],[Name]]))),1,0)</f>
        <v>0</v>
      </c>
    </row>
    <row r="300" spans="1:25" ht="15" x14ac:dyDescent="0.2">
      <c r="A300" s="157" t="str">
        <f>CONCATENATE(SP_ACQ_Lib[[#This Row],[Acquisition Tract No.]],"_",SP_ACQ_Lib[[#This Row],[ACQ Document Type]])</f>
        <v>219_TITLE Curative Plan</v>
      </c>
      <c r="B300" s="14" t="s">
        <v>1494</v>
      </c>
      <c r="C300" s="45" t="s">
        <v>141</v>
      </c>
      <c r="D300" s="12" t="s">
        <v>6288</v>
      </c>
      <c r="E300" s="8" t="s">
        <v>861</v>
      </c>
      <c r="F300" s="8" t="s">
        <v>864</v>
      </c>
      <c r="G300" s="8" t="s">
        <v>617</v>
      </c>
      <c r="H300" s="7" t="s">
        <v>592</v>
      </c>
      <c r="I300" s="16">
        <v>43810</v>
      </c>
      <c r="J300" s="16"/>
      <c r="K300" s="17"/>
      <c r="L300" s="3"/>
      <c r="M300" s="8" t="s">
        <v>4206</v>
      </c>
      <c r="N300" s="11">
        <v>44007.510162037041</v>
      </c>
      <c r="O300" s="8" t="s">
        <v>4326</v>
      </c>
      <c r="P300" s="11">
        <v>43745.503460648149</v>
      </c>
      <c r="Q300" s="13">
        <v>39387</v>
      </c>
      <c r="R300" s="46" t="s">
        <v>594</v>
      </c>
      <c r="S300" s="14" t="s">
        <v>1208</v>
      </c>
      <c r="T300" s="163">
        <v>398</v>
      </c>
      <c r="U300" s="164" t="str">
        <f>CONCATENATE(LEFT(SP_ACQ_Lib[[#This Row],[Tax Parcel ID]],7),"_",SP_ACQ_Lib[[#This Row],[ACQ Document Type]])</f>
        <v>R023700_TITLE Curative Plan</v>
      </c>
      <c r="V300" s="65" t="str">
        <f>INDEX(SP_AcqTract_DB[WCAD Tax Parcel ID],MATCH(SP_ACQ_Lib[[#This Row],[Acquisition Tract No.]],SP_AcqTract_DB[Acquisition Tract No.],0))</f>
        <v>R023700;#31</v>
      </c>
      <c r="W300" s="48" t="str">
        <f>INDEX(SP_TaxPar_DB[Acquisition Tract No.],MATCH(LEFT(SP_ACQ_Lib[[#This Row],[Tax Parcel ID]],7),SP_TaxPar_DB[Tax Parcel ID],0))</f>
        <v>219</v>
      </c>
      <c r="X300" s="238" t="str">
        <f>IF(OR(SP_ACQ_Lib[[#This Row],[Acquisition Tract No.]]="",SP_ACQ_Lib[[#This Row],[ACQ Document Type]]=""),0,CONCATENATE("COW-FRMP_TR-",SP_ACQ_Lib[[#This Row],[Acquisition Tract No.]]," ",SP_ACQ_Lib[[#This Row],[ACQ Document Type]]))</f>
        <v>COW-FRMP_TR-219 TITLE Curative Plan</v>
      </c>
      <c r="Y300" s="239">
        <f>IF(OR(SP_ACQ_Lib[[#This Row],[File Name Convention]]=0,LEFT(SP_ACQ_Lib[[#This Row],[Name]],LEN(SP_ACQ_Lib[[#This Row],[File Name Convention]]))&lt;&gt;SP_ACQ_Lib[[#This Row],[File Name Convention]],ISERROR(SEARCH(SP_ACQ_Lib[[#This Row],[ACQ Document Type]],SP_ACQ_Lib[[#This Row],[Name]]))),1,0)</f>
        <v>0</v>
      </c>
    </row>
    <row r="301" spans="1:25" ht="15" x14ac:dyDescent="0.2">
      <c r="A301" s="157" t="str">
        <f>CONCATENATE(SP_ACQ_Lib[[#This Row],[Acquisition Tract No.]],"_",SP_ACQ_Lib[[#This Row],[ACQ Document Type]])</f>
        <v>219_TITLE Tax Card</v>
      </c>
      <c r="B301" s="14" t="s">
        <v>3867</v>
      </c>
      <c r="C301" s="45" t="s">
        <v>141</v>
      </c>
      <c r="D301" s="12" t="s">
        <v>6288</v>
      </c>
      <c r="E301" s="8" t="s">
        <v>861</v>
      </c>
      <c r="F301" s="8" t="s">
        <v>1150</v>
      </c>
      <c r="G301" s="8" t="s">
        <v>1149</v>
      </c>
      <c r="H301" s="7" t="s">
        <v>592</v>
      </c>
      <c r="I301" s="16"/>
      <c r="J301" s="16"/>
      <c r="K301" s="17"/>
      <c r="L301" s="3" t="s">
        <v>4444</v>
      </c>
      <c r="M301" s="8" t="s">
        <v>4206</v>
      </c>
      <c r="N301" s="11">
        <v>44007.510324074072</v>
      </c>
      <c r="O301" s="8" t="s">
        <v>4206</v>
      </c>
      <c r="P301" s="11">
        <v>43893.606145833335</v>
      </c>
      <c r="Q301" s="13">
        <v>932116</v>
      </c>
      <c r="R301" s="46" t="s">
        <v>594</v>
      </c>
      <c r="S301" s="14" t="s">
        <v>4494</v>
      </c>
      <c r="T301" s="163">
        <v>762</v>
      </c>
      <c r="U301" s="164" t="str">
        <f>CONCATENATE(LEFT(SP_ACQ_Lib[[#This Row],[Tax Parcel ID]],7),"_",SP_ACQ_Lib[[#This Row],[ACQ Document Type]])</f>
        <v>R023700_TITLE Tax Card</v>
      </c>
      <c r="V301" s="65" t="str">
        <f>INDEX(SP_AcqTract_DB[WCAD Tax Parcel ID],MATCH(SP_ACQ_Lib[[#This Row],[Acquisition Tract No.]],SP_AcqTract_DB[Acquisition Tract No.],0))</f>
        <v>R023700;#31</v>
      </c>
      <c r="W301" s="48" t="str">
        <f>INDEX(SP_TaxPar_DB[Acquisition Tract No.],MATCH(LEFT(SP_ACQ_Lib[[#This Row],[Tax Parcel ID]],7),SP_TaxPar_DB[Tax Parcel ID],0))</f>
        <v>219</v>
      </c>
      <c r="X301" s="238" t="str">
        <f>IF(OR(SP_ACQ_Lib[[#This Row],[Acquisition Tract No.]]="",SP_ACQ_Lib[[#This Row],[ACQ Document Type]]=""),0,CONCATENATE("COW-FRMP_TR-",SP_ACQ_Lib[[#This Row],[Acquisition Tract No.]]," ",SP_ACQ_Lib[[#This Row],[ACQ Document Type]]))</f>
        <v>COW-FRMP_TR-219 TITLE Tax Card</v>
      </c>
      <c r="Y301" s="239">
        <f>IF(OR(SP_ACQ_Lib[[#This Row],[File Name Convention]]=0,LEFT(SP_ACQ_Lib[[#This Row],[Name]],LEN(SP_ACQ_Lib[[#This Row],[File Name Convention]]))&lt;&gt;SP_ACQ_Lib[[#This Row],[File Name Convention]],ISERROR(SEARCH(SP_ACQ_Lib[[#This Row],[ACQ Document Type]],SP_ACQ_Lib[[#This Row],[Name]]))),1,0)</f>
        <v>0</v>
      </c>
    </row>
    <row r="302" spans="1:25" ht="15" x14ac:dyDescent="0.2">
      <c r="A302" s="157" t="str">
        <f>CONCATENATE(SP_ACQ_Lib[[#This Row],[Acquisition Tract No.]],"_",SP_ACQ_Lib[[#This Row],[ACQ Document Type]])</f>
        <v>220_APPRAISAL Final Appraisal</v>
      </c>
      <c r="B302" s="14" t="s">
        <v>6510</v>
      </c>
      <c r="C302" s="45" t="s">
        <v>147</v>
      </c>
      <c r="D302" s="12" t="s">
        <v>635</v>
      </c>
      <c r="E302" s="8" t="s">
        <v>1131</v>
      </c>
      <c r="F302" s="8" t="s">
        <v>4755</v>
      </c>
      <c r="G302" s="8" t="s">
        <v>4754</v>
      </c>
      <c r="H302" s="7" t="s">
        <v>592</v>
      </c>
      <c r="I302" s="16">
        <v>43912</v>
      </c>
      <c r="J302" s="16"/>
      <c r="K302" s="17">
        <v>22860</v>
      </c>
      <c r="L302" s="3"/>
      <c r="M302" s="8" t="s">
        <v>4206</v>
      </c>
      <c r="N302" s="11">
        <v>44011.406574074077</v>
      </c>
      <c r="O302" s="8" t="s">
        <v>4206</v>
      </c>
      <c r="P302" s="11">
        <v>44011.325787037036</v>
      </c>
      <c r="Q302" s="13">
        <v>11216522</v>
      </c>
      <c r="R302" s="46" t="s">
        <v>594</v>
      </c>
      <c r="S302" s="14" t="s">
        <v>6573</v>
      </c>
      <c r="T302" s="163">
        <v>1299</v>
      </c>
      <c r="U302" s="164" t="str">
        <f>CONCATENATE(LEFT(SP_ACQ_Lib[[#This Row],[Tax Parcel ID]],7),"_",SP_ACQ_Lib[[#This Row],[ACQ Document Type]])</f>
        <v>R023696_APPRAISAL Final Appraisal</v>
      </c>
      <c r="V302" s="65" t="str">
        <f>INDEX(SP_AcqTract_DB[WCAD Tax Parcel ID],MATCH(SP_ACQ_Lib[[#This Row],[Acquisition Tract No.]],SP_AcqTract_DB[Acquisition Tract No.],0))</f>
        <v>R023696;#32;#R053131;#33</v>
      </c>
      <c r="W302" s="48" t="str">
        <f>INDEX(SP_TaxPar_DB[Acquisition Tract No.],MATCH(LEFT(SP_ACQ_Lib[[#This Row],[Tax Parcel ID]],7),SP_TaxPar_DB[Tax Parcel ID],0))</f>
        <v>220</v>
      </c>
      <c r="X302" s="238" t="str">
        <f>IF(OR(SP_ACQ_Lib[[#This Row],[Acquisition Tract No.]]="",SP_ACQ_Lib[[#This Row],[ACQ Document Type]]=""),0,CONCATENATE("COW-FRMP_TR-",SP_ACQ_Lib[[#This Row],[Acquisition Tract No.]]," ",SP_ACQ_Lib[[#This Row],[ACQ Document Type]]))</f>
        <v>COW-FRMP_TR-220 APPRAISAL Final Appraisal</v>
      </c>
      <c r="Y302" s="239">
        <f>IF(OR(SP_ACQ_Lib[[#This Row],[File Name Convention]]=0,LEFT(SP_ACQ_Lib[[#This Row],[Name]],LEN(SP_ACQ_Lib[[#This Row],[File Name Convention]]))&lt;&gt;SP_ACQ_Lib[[#This Row],[File Name Convention]],ISERROR(SEARCH(SP_ACQ_Lib[[#This Row],[ACQ Document Type]],SP_ACQ_Lib[[#This Row],[Name]]))),1,0)</f>
        <v>0</v>
      </c>
    </row>
    <row r="303" spans="1:25" ht="15" x14ac:dyDescent="0.2">
      <c r="A303" s="157" t="str">
        <f>CONCATENATE(SP_ACQ_Lib[[#This Row],[Acquisition Tract No.]],"_",SP_ACQ_Lib[[#This Row],[ACQ Document Type]])</f>
        <v>220_APPRAISAL Just Compensation Memo</v>
      </c>
      <c r="B303" s="14" t="s">
        <v>6511</v>
      </c>
      <c r="C303" s="45" t="s">
        <v>147</v>
      </c>
      <c r="D303" s="12" t="s">
        <v>635</v>
      </c>
      <c r="E303" s="8" t="s">
        <v>1131</v>
      </c>
      <c r="F303" s="8" t="s">
        <v>4757</v>
      </c>
      <c r="G303" s="8" t="s">
        <v>4756</v>
      </c>
      <c r="H303" s="7" t="s">
        <v>592</v>
      </c>
      <c r="I303" s="16">
        <v>44008</v>
      </c>
      <c r="J303" s="16">
        <v>44011</v>
      </c>
      <c r="K303" s="17">
        <v>22860</v>
      </c>
      <c r="L303" s="3"/>
      <c r="M303" s="8" t="s">
        <v>4206</v>
      </c>
      <c r="N303" s="11">
        <v>44018.477754629632</v>
      </c>
      <c r="O303" s="8" t="s">
        <v>4206</v>
      </c>
      <c r="P303" s="11">
        <v>44011.325590277775</v>
      </c>
      <c r="Q303" s="13">
        <v>25925</v>
      </c>
      <c r="R303" s="46" t="s">
        <v>594</v>
      </c>
      <c r="S303" s="14" t="s">
        <v>6574</v>
      </c>
      <c r="T303" s="163">
        <v>1297</v>
      </c>
      <c r="U303" s="164" t="str">
        <f>CONCATENATE(LEFT(SP_ACQ_Lib[[#This Row],[Tax Parcel ID]],7),"_",SP_ACQ_Lib[[#This Row],[ACQ Document Type]])</f>
        <v>R023696_APPRAISAL Just Compensation Memo</v>
      </c>
      <c r="V303" s="65" t="str">
        <f>INDEX(SP_AcqTract_DB[WCAD Tax Parcel ID],MATCH(SP_ACQ_Lib[[#This Row],[Acquisition Tract No.]],SP_AcqTract_DB[Acquisition Tract No.],0))</f>
        <v>R023696;#32;#R053131;#33</v>
      </c>
      <c r="W303" s="48" t="str">
        <f>INDEX(SP_TaxPar_DB[Acquisition Tract No.],MATCH(LEFT(SP_ACQ_Lib[[#This Row],[Tax Parcel ID]],7),SP_TaxPar_DB[Tax Parcel ID],0))</f>
        <v>220</v>
      </c>
      <c r="X303" s="238" t="str">
        <f>IF(OR(SP_ACQ_Lib[[#This Row],[Acquisition Tract No.]]="",SP_ACQ_Lib[[#This Row],[ACQ Document Type]]=""),0,CONCATENATE("COW-FRMP_TR-",SP_ACQ_Lib[[#This Row],[Acquisition Tract No.]]," ",SP_ACQ_Lib[[#This Row],[ACQ Document Type]]))</f>
        <v>COW-FRMP_TR-220 APPRAISAL Just Compensation Memo</v>
      </c>
      <c r="Y303" s="239">
        <f>IF(OR(SP_ACQ_Lib[[#This Row],[File Name Convention]]=0,LEFT(SP_ACQ_Lib[[#This Row],[Name]],LEN(SP_ACQ_Lib[[#This Row],[File Name Convention]]))&lt;&gt;SP_ACQ_Lib[[#This Row],[File Name Convention]],ISERROR(SEARCH(SP_ACQ_Lib[[#This Row],[ACQ Document Type]],SP_ACQ_Lib[[#This Row],[Name]]))),1,0)</f>
        <v>0</v>
      </c>
    </row>
    <row r="304" spans="1:25" ht="15" x14ac:dyDescent="0.2">
      <c r="A304" s="157" t="str">
        <f>CONCATENATE(SP_ACQ_Lib[[#This Row],[Acquisition Tract No.]],"_",SP_ACQ_Lib[[#This Row],[ACQ Document Type]])</f>
        <v>220_APPRAISAL USACOE Authorization to Proceed with Offer</v>
      </c>
      <c r="B304" s="14" t="s">
        <v>6512</v>
      </c>
      <c r="C304" s="45" t="s">
        <v>147</v>
      </c>
      <c r="D304" s="12" t="s">
        <v>635</v>
      </c>
      <c r="E304" s="8" t="s">
        <v>1131</v>
      </c>
      <c r="F304" s="8" t="s">
        <v>4959</v>
      </c>
      <c r="G304" s="8" t="s">
        <v>4958</v>
      </c>
      <c r="H304" s="7" t="s">
        <v>592</v>
      </c>
      <c r="I304" s="16">
        <v>44008</v>
      </c>
      <c r="J304" s="16"/>
      <c r="K304" s="17">
        <v>22860</v>
      </c>
      <c r="L304" s="3"/>
      <c r="M304" s="8" t="s">
        <v>4206</v>
      </c>
      <c r="N304" s="11">
        <v>44011.327615740738</v>
      </c>
      <c r="O304" s="8" t="s">
        <v>4206</v>
      </c>
      <c r="P304" s="11">
        <v>44011.325601851851</v>
      </c>
      <c r="Q304" s="13">
        <v>421989</v>
      </c>
      <c r="R304" s="46" t="s">
        <v>594</v>
      </c>
      <c r="S304" s="14" t="s">
        <v>6575</v>
      </c>
      <c r="T304" s="163">
        <v>1298</v>
      </c>
      <c r="U304" s="164" t="str">
        <f>CONCATENATE(LEFT(SP_ACQ_Lib[[#This Row],[Tax Parcel ID]],7),"_",SP_ACQ_Lib[[#This Row],[ACQ Document Type]])</f>
        <v>R023696_APPRAISAL USACOE Authorization to Proceed with Offer</v>
      </c>
      <c r="V304" s="65" t="str">
        <f>INDEX(SP_AcqTract_DB[WCAD Tax Parcel ID],MATCH(SP_ACQ_Lib[[#This Row],[Acquisition Tract No.]],SP_AcqTract_DB[Acquisition Tract No.],0))</f>
        <v>R023696;#32;#R053131;#33</v>
      </c>
      <c r="W304" s="48" t="str">
        <f>INDEX(SP_TaxPar_DB[Acquisition Tract No.],MATCH(LEFT(SP_ACQ_Lib[[#This Row],[Tax Parcel ID]],7),SP_TaxPar_DB[Tax Parcel ID],0))</f>
        <v>220</v>
      </c>
      <c r="X304" s="238" t="str">
        <f>IF(OR(SP_ACQ_Lib[[#This Row],[Acquisition Tract No.]]="",SP_ACQ_Lib[[#This Row],[ACQ Document Type]]=""),0,CONCATENATE("COW-FRMP_TR-",SP_ACQ_Lib[[#This Row],[Acquisition Tract No.]]," ",SP_ACQ_Lib[[#This Row],[ACQ Document Type]]))</f>
        <v>COW-FRMP_TR-220 APPRAISAL USACOE Authorization to Proceed with Offer</v>
      </c>
      <c r="Y304" s="239">
        <f>IF(OR(SP_ACQ_Lib[[#This Row],[File Name Convention]]=0,LEFT(SP_ACQ_Lib[[#This Row],[Name]],LEN(SP_ACQ_Lib[[#This Row],[File Name Convention]]))&lt;&gt;SP_ACQ_Lib[[#This Row],[File Name Convention]],ISERROR(SEARCH(SP_ACQ_Lib[[#This Row],[ACQ Document Type]],SP_ACQ_Lib[[#This Row],[Name]]))),1,0)</f>
        <v>0</v>
      </c>
    </row>
    <row r="305" spans="1:25" ht="15" x14ac:dyDescent="0.2">
      <c r="A305" s="157" t="str">
        <f>CONCATENATE(SP_ACQ_Lib[[#This Row],[Acquisition Tract No.]],"_",SP_ACQ_Lib[[#This Row],[ACQ Document Type]])</f>
        <v>220_CONTACT Letter of Intent-HDR</v>
      </c>
      <c r="B305" s="14" t="s">
        <v>4464</v>
      </c>
      <c r="C305" s="45" t="s">
        <v>147</v>
      </c>
      <c r="D305" s="12" t="s">
        <v>635</v>
      </c>
      <c r="E305" s="8" t="s">
        <v>865</v>
      </c>
      <c r="F305" s="8" t="s">
        <v>1401</v>
      </c>
      <c r="G305" s="8" t="s">
        <v>1400</v>
      </c>
      <c r="H305" s="7" t="s">
        <v>592</v>
      </c>
      <c r="I305" s="16">
        <v>43765</v>
      </c>
      <c r="J305" s="16"/>
      <c r="K305" s="17"/>
      <c r="L305" s="3" t="s">
        <v>4444</v>
      </c>
      <c r="M305" s="8" t="s">
        <v>4206</v>
      </c>
      <c r="N305" s="11">
        <v>43893.615833333337</v>
      </c>
      <c r="O305" s="8" t="s">
        <v>4206</v>
      </c>
      <c r="P305" s="11">
        <v>43893.615127314813</v>
      </c>
      <c r="Q305" s="13">
        <v>586501</v>
      </c>
      <c r="R305" s="46" t="s">
        <v>594</v>
      </c>
      <c r="S305" s="14" t="s">
        <v>4495</v>
      </c>
      <c r="T305" s="163">
        <v>763</v>
      </c>
      <c r="U305" s="164" t="str">
        <f>CONCATENATE(LEFT(SP_ACQ_Lib[[#This Row],[Tax Parcel ID]],7),"_",SP_ACQ_Lib[[#This Row],[ACQ Document Type]])</f>
        <v>R023696_CONTACT Letter of Intent-HDR</v>
      </c>
      <c r="V305" s="65" t="str">
        <f>INDEX(SP_AcqTract_DB[WCAD Tax Parcel ID],MATCH(SP_ACQ_Lib[[#This Row],[Acquisition Tract No.]],SP_AcqTract_DB[Acquisition Tract No.],0))</f>
        <v>R023696;#32;#R053131;#33</v>
      </c>
      <c r="W305" s="48" t="str">
        <f>INDEX(SP_TaxPar_DB[Acquisition Tract No.],MATCH(LEFT(SP_ACQ_Lib[[#This Row],[Tax Parcel ID]],7),SP_TaxPar_DB[Tax Parcel ID],0))</f>
        <v>220</v>
      </c>
      <c r="X305" s="238" t="str">
        <f>IF(OR(SP_ACQ_Lib[[#This Row],[Acquisition Tract No.]]="",SP_ACQ_Lib[[#This Row],[ACQ Document Type]]=""),0,CONCATENATE("COW-FRMP_TR-",SP_ACQ_Lib[[#This Row],[Acquisition Tract No.]]," ",SP_ACQ_Lib[[#This Row],[ACQ Document Type]]))</f>
        <v>COW-FRMP_TR-220 CONTACT Letter of Intent-HDR</v>
      </c>
      <c r="Y305" s="239">
        <f>IF(OR(SP_ACQ_Lib[[#This Row],[File Name Convention]]=0,LEFT(SP_ACQ_Lib[[#This Row],[Name]],LEN(SP_ACQ_Lib[[#This Row],[File Name Convention]]))&lt;&gt;SP_ACQ_Lib[[#This Row],[File Name Convention]],ISERROR(SEARCH(SP_ACQ_Lib[[#This Row],[ACQ Document Type]],SP_ACQ_Lib[[#This Row],[Name]]))),1,0)</f>
        <v>0</v>
      </c>
    </row>
    <row r="306" spans="1:25" ht="15" x14ac:dyDescent="0.2">
      <c r="A306" s="157" t="str">
        <f>CONCATENATE(SP_ACQ_Lib[[#This Row],[Acquisition Tract No.]],"_",SP_ACQ_Lib[[#This Row],[ACQ Document Type]])</f>
        <v>220_CONTACT Negotiator Report</v>
      </c>
      <c r="B306" s="14" t="s">
        <v>3390</v>
      </c>
      <c r="C306" s="45" t="s">
        <v>147</v>
      </c>
      <c r="D306" s="12" t="s">
        <v>635</v>
      </c>
      <c r="E306" s="8" t="s">
        <v>865</v>
      </c>
      <c r="F306" s="8" t="s">
        <v>1068</v>
      </c>
      <c r="G306" s="8" t="s">
        <v>1067</v>
      </c>
      <c r="H306" s="7" t="s">
        <v>592</v>
      </c>
      <c r="I306" s="16"/>
      <c r="J306" s="16"/>
      <c r="K306" s="17"/>
      <c r="L306" s="3"/>
      <c r="M306" s="8" t="s">
        <v>1743</v>
      </c>
      <c r="N306" s="11">
        <v>44007.696435185186</v>
      </c>
      <c r="O306" s="8" t="s">
        <v>4325</v>
      </c>
      <c r="P306" s="11">
        <v>43732.577557870369</v>
      </c>
      <c r="Q306" s="13">
        <v>504486</v>
      </c>
      <c r="R306" s="46" t="s">
        <v>1069</v>
      </c>
      <c r="S306" s="14" t="s">
        <v>1090</v>
      </c>
      <c r="T306" s="163">
        <v>303</v>
      </c>
      <c r="U306" s="164" t="str">
        <f>CONCATENATE(LEFT(SP_ACQ_Lib[[#This Row],[Tax Parcel ID]],7),"_",SP_ACQ_Lib[[#This Row],[ACQ Document Type]])</f>
        <v>R023696_CONTACT Negotiator Report</v>
      </c>
      <c r="V306" s="65" t="str">
        <f>INDEX(SP_AcqTract_DB[WCAD Tax Parcel ID],MATCH(SP_ACQ_Lib[[#This Row],[Acquisition Tract No.]],SP_AcqTract_DB[Acquisition Tract No.],0))</f>
        <v>R023696;#32;#R053131;#33</v>
      </c>
      <c r="W306" s="48" t="str">
        <f>INDEX(SP_TaxPar_DB[Acquisition Tract No.],MATCH(LEFT(SP_ACQ_Lib[[#This Row],[Tax Parcel ID]],7),SP_TaxPar_DB[Tax Parcel ID],0))</f>
        <v>220</v>
      </c>
      <c r="X306" s="238" t="str">
        <f>IF(OR(SP_ACQ_Lib[[#This Row],[Acquisition Tract No.]]="",SP_ACQ_Lib[[#This Row],[ACQ Document Type]]=""),0,CONCATENATE("COW-FRMP_TR-",SP_ACQ_Lib[[#This Row],[Acquisition Tract No.]]," ",SP_ACQ_Lib[[#This Row],[ACQ Document Type]]))</f>
        <v>COW-FRMP_TR-220 CONTACT Negotiator Report</v>
      </c>
      <c r="Y306" s="239">
        <f>IF(OR(SP_ACQ_Lib[[#This Row],[File Name Convention]]=0,LEFT(SP_ACQ_Lib[[#This Row],[Name]],LEN(SP_ACQ_Lib[[#This Row],[File Name Convention]]))&lt;&gt;SP_ACQ_Lib[[#This Row],[File Name Convention]],ISERROR(SEARCH(SP_ACQ_Lib[[#This Row],[ACQ Document Type]],SP_ACQ_Lib[[#This Row],[Name]]))),1,0)</f>
        <v>0</v>
      </c>
    </row>
    <row r="307" spans="1:25" ht="15" x14ac:dyDescent="0.2">
      <c r="A307" s="157" t="str">
        <f>CONCATENATE(SP_ACQ_Lib[[#This Row],[Acquisition Tract No.]],"_",SP_ACQ_Lib[[#This Row],[ACQ Document Type]])</f>
        <v>220_NEGOTIATION Landowner Bill of Rights Letter</v>
      </c>
      <c r="B307" s="14" t="s">
        <v>3451</v>
      </c>
      <c r="C307" s="45" t="s">
        <v>147</v>
      </c>
      <c r="D307" s="12" t="s">
        <v>635</v>
      </c>
      <c r="E307" s="8" t="s">
        <v>1142</v>
      </c>
      <c r="F307" s="8" t="s">
        <v>1746</v>
      </c>
      <c r="G307" s="8" t="s">
        <v>1745</v>
      </c>
      <c r="H307" s="7" t="s">
        <v>592</v>
      </c>
      <c r="I307" s="16">
        <v>43748</v>
      </c>
      <c r="J307" s="16"/>
      <c r="K307" s="17"/>
      <c r="L307" s="3"/>
      <c r="M307" s="8" t="s">
        <v>4206</v>
      </c>
      <c r="N307" s="11">
        <v>43893.618738425925</v>
      </c>
      <c r="O307" s="8" t="s">
        <v>4325</v>
      </c>
      <c r="P307" s="11">
        <v>43752.489502314813</v>
      </c>
      <c r="Q307" s="13">
        <v>348319</v>
      </c>
      <c r="R307" s="46" t="s">
        <v>594</v>
      </c>
      <c r="S307" s="14" t="s">
        <v>1209</v>
      </c>
      <c r="T307" s="163">
        <v>435</v>
      </c>
      <c r="U307" s="164" t="str">
        <f>CONCATENATE(LEFT(SP_ACQ_Lib[[#This Row],[Tax Parcel ID]],7),"_",SP_ACQ_Lib[[#This Row],[ACQ Document Type]])</f>
        <v>R023696_NEGOTIATION Landowner Bill of Rights Letter</v>
      </c>
      <c r="V307" s="65" t="str">
        <f>INDEX(SP_AcqTract_DB[WCAD Tax Parcel ID],MATCH(SP_ACQ_Lib[[#This Row],[Acquisition Tract No.]],SP_AcqTract_DB[Acquisition Tract No.],0))</f>
        <v>R023696;#32;#R053131;#33</v>
      </c>
      <c r="W307" s="48" t="str">
        <f>INDEX(SP_TaxPar_DB[Acquisition Tract No.],MATCH(LEFT(SP_ACQ_Lib[[#This Row],[Tax Parcel ID]],7),SP_TaxPar_DB[Tax Parcel ID],0))</f>
        <v>220</v>
      </c>
      <c r="X307" s="238" t="str">
        <f>IF(OR(SP_ACQ_Lib[[#This Row],[Acquisition Tract No.]]="",SP_ACQ_Lib[[#This Row],[ACQ Document Type]]=""),0,CONCATENATE("COW-FRMP_TR-",SP_ACQ_Lib[[#This Row],[Acquisition Tract No.]]," ",SP_ACQ_Lib[[#This Row],[ACQ Document Type]]))</f>
        <v>COW-FRMP_TR-220 NEGOTIATION Landowner Bill of Rights Letter</v>
      </c>
      <c r="Y307" s="239">
        <f>IF(OR(SP_ACQ_Lib[[#This Row],[File Name Convention]]=0,LEFT(SP_ACQ_Lib[[#This Row],[Name]],LEN(SP_ACQ_Lib[[#This Row],[File Name Convention]]))&lt;&gt;SP_ACQ_Lib[[#This Row],[File Name Convention]],ISERROR(SEARCH(SP_ACQ_Lib[[#This Row],[ACQ Document Type]],SP_ACQ_Lib[[#This Row],[Name]]))),1,0)</f>
        <v>0</v>
      </c>
    </row>
    <row r="308" spans="1:25" ht="15" x14ac:dyDescent="0.2">
      <c r="A308" s="157" t="str">
        <f>CONCATENATE(SP_ACQ_Lib[[#This Row],[Acquisition Tract No.]],"_",SP_ACQ_Lib[[#This Row],[ACQ Document Type]])</f>
        <v>220_SURVEY Description-Plat_CITY</v>
      </c>
      <c r="B308" s="14" t="s">
        <v>4833</v>
      </c>
      <c r="C308" s="45" t="s">
        <v>147</v>
      </c>
      <c r="D308" s="12" t="s">
        <v>635</v>
      </c>
      <c r="E308" s="8" t="s">
        <v>858</v>
      </c>
      <c r="F308" s="8" t="s">
        <v>3503</v>
      </c>
      <c r="G308" s="8" t="s">
        <v>3502</v>
      </c>
      <c r="H308" s="7" t="s">
        <v>1749</v>
      </c>
      <c r="I308" s="16">
        <v>43906</v>
      </c>
      <c r="J308" s="16">
        <v>43936</v>
      </c>
      <c r="K308" s="17"/>
      <c r="L308" s="3"/>
      <c r="M308" s="8" t="s">
        <v>4206</v>
      </c>
      <c r="N308" s="11">
        <v>43937.582476851851</v>
      </c>
      <c r="O308" s="8" t="s">
        <v>4206</v>
      </c>
      <c r="P308" s="11">
        <v>43936.400185185186</v>
      </c>
      <c r="Q308" s="13">
        <v>269866</v>
      </c>
      <c r="R308" s="46" t="s">
        <v>594</v>
      </c>
      <c r="S308" s="14" t="s">
        <v>4835</v>
      </c>
      <c r="T308" s="163">
        <v>817</v>
      </c>
      <c r="U308" s="164" t="str">
        <f>CONCATENATE(LEFT(SP_ACQ_Lib[[#This Row],[Tax Parcel ID]],7),"_",SP_ACQ_Lib[[#This Row],[ACQ Document Type]])</f>
        <v>R023696_SURVEY Description-Plat_CITY</v>
      </c>
      <c r="V308" s="65" t="str">
        <f>INDEX(SP_AcqTract_DB[WCAD Tax Parcel ID],MATCH(SP_ACQ_Lib[[#This Row],[Acquisition Tract No.]],SP_AcqTract_DB[Acquisition Tract No.],0))</f>
        <v>R023696;#32;#R053131;#33</v>
      </c>
      <c r="W308" s="48" t="str">
        <f>INDEX(SP_TaxPar_DB[Acquisition Tract No.],MATCH(LEFT(SP_ACQ_Lib[[#This Row],[Tax Parcel ID]],7),SP_TaxPar_DB[Tax Parcel ID],0))</f>
        <v>220</v>
      </c>
      <c r="X308" s="238" t="str">
        <f>IF(OR(SP_ACQ_Lib[[#This Row],[Acquisition Tract No.]]="",SP_ACQ_Lib[[#This Row],[ACQ Document Type]]=""),0,CONCATENATE("COW-FRMP_TR-",SP_ACQ_Lib[[#This Row],[Acquisition Tract No.]]," ",SP_ACQ_Lib[[#This Row],[ACQ Document Type]]))</f>
        <v>COW-FRMP_TR-220 SURVEY Description-Plat_CITY</v>
      </c>
      <c r="Y308" s="239">
        <f>IF(OR(SP_ACQ_Lib[[#This Row],[File Name Convention]]=0,LEFT(SP_ACQ_Lib[[#This Row],[Name]],LEN(SP_ACQ_Lib[[#This Row],[File Name Convention]]))&lt;&gt;SP_ACQ_Lib[[#This Row],[File Name Convention]],ISERROR(SEARCH(SP_ACQ_Lib[[#This Row],[ACQ Document Type]],SP_ACQ_Lib[[#This Row],[Name]]))),1,0)</f>
        <v>0</v>
      </c>
    </row>
    <row r="309" spans="1:25" ht="15" x14ac:dyDescent="0.2">
      <c r="A309" s="157" t="str">
        <f>CONCATENATE(SP_ACQ_Lib[[#This Row],[Acquisition Tract No.]],"_",SP_ACQ_Lib[[#This Row],[ACQ Document Type]])</f>
        <v>220_SURVEY Description-Plat_USACOE</v>
      </c>
      <c r="B309" s="14" t="s">
        <v>4978</v>
      </c>
      <c r="C309" s="45" t="s">
        <v>147</v>
      </c>
      <c r="D309" s="12" t="s">
        <v>635</v>
      </c>
      <c r="E309" s="8" t="s">
        <v>858</v>
      </c>
      <c r="F309" s="8" t="s">
        <v>3510</v>
      </c>
      <c r="G309" s="8" t="s">
        <v>3509</v>
      </c>
      <c r="H309" s="7" t="s">
        <v>592</v>
      </c>
      <c r="I309" s="16">
        <v>43906</v>
      </c>
      <c r="J309" s="16">
        <v>43948</v>
      </c>
      <c r="K309" s="17"/>
      <c r="L309" s="3"/>
      <c r="M309" s="8" t="s">
        <v>4206</v>
      </c>
      <c r="N309" s="11">
        <v>43949.806793981479</v>
      </c>
      <c r="O309" s="8" t="s">
        <v>4206</v>
      </c>
      <c r="P309" s="11">
        <v>43949.790034722224</v>
      </c>
      <c r="Q309" s="13">
        <v>540308</v>
      </c>
      <c r="R309" s="46" t="s">
        <v>594</v>
      </c>
      <c r="S309" s="14" t="s">
        <v>4996</v>
      </c>
      <c r="T309" s="163">
        <v>843</v>
      </c>
      <c r="U309" s="164" t="str">
        <f>CONCATENATE(LEFT(SP_ACQ_Lib[[#This Row],[Tax Parcel ID]],7),"_",SP_ACQ_Lib[[#This Row],[ACQ Document Type]])</f>
        <v>R023696_SURVEY Description-Plat_USACOE</v>
      </c>
      <c r="V309" s="65" t="str">
        <f>INDEX(SP_AcqTract_DB[WCAD Tax Parcel ID],MATCH(SP_ACQ_Lib[[#This Row],[Acquisition Tract No.]],SP_AcqTract_DB[Acquisition Tract No.],0))</f>
        <v>R023696;#32;#R053131;#33</v>
      </c>
      <c r="W309" s="48" t="str">
        <f>INDEX(SP_TaxPar_DB[Acquisition Tract No.],MATCH(LEFT(SP_ACQ_Lib[[#This Row],[Tax Parcel ID]],7),SP_TaxPar_DB[Tax Parcel ID],0))</f>
        <v>220</v>
      </c>
      <c r="X309" s="238" t="str">
        <f>IF(OR(SP_ACQ_Lib[[#This Row],[Acquisition Tract No.]]="",SP_ACQ_Lib[[#This Row],[ACQ Document Type]]=""),0,CONCATENATE("COW-FRMP_TR-",SP_ACQ_Lib[[#This Row],[Acquisition Tract No.]]," ",SP_ACQ_Lib[[#This Row],[ACQ Document Type]]))</f>
        <v>COW-FRMP_TR-220 SURVEY Description-Plat_USACOE</v>
      </c>
      <c r="Y309" s="239">
        <f>IF(OR(SP_ACQ_Lib[[#This Row],[File Name Convention]]=0,LEFT(SP_ACQ_Lib[[#This Row],[Name]],LEN(SP_ACQ_Lib[[#This Row],[File Name Convention]]))&lt;&gt;SP_ACQ_Lib[[#This Row],[File Name Convention]],ISERROR(SEARCH(SP_ACQ_Lib[[#This Row],[ACQ Document Type]],SP_ACQ_Lib[[#This Row],[Name]]))),1,0)</f>
        <v>0</v>
      </c>
    </row>
    <row r="310" spans="1:25" ht="15" x14ac:dyDescent="0.2">
      <c r="A310" s="157" t="str">
        <f>CONCATENATE(SP_ACQ_Lib[[#This Row],[Acquisition Tract No.]],"_",SP_ACQ_Lib[[#This Row],[ACQ Document Type]])</f>
        <v>220_SURVEY Right-of-Entry</v>
      </c>
      <c r="B310" s="14" t="s">
        <v>4465</v>
      </c>
      <c r="C310" s="45" t="s">
        <v>147</v>
      </c>
      <c r="D310" s="12" t="s">
        <v>635</v>
      </c>
      <c r="E310" s="8" t="s">
        <v>858</v>
      </c>
      <c r="F310" s="8" t="s">
        <v>859</v>
      </c>
      <c r="G310" s="8" t="s">
        <v>591</v>
      </c>
      <c r="H310" s="7" t="s">
        <v>592</v>
      </c>
      <c r="I310" s="16">
        <v>43690</v>
      </c>
      <c r="J310" s="16"/>
      <c r="K310" s="17"/>
      <c r="L310" s="3" t="s">
        <v>4444</v>
      </c>
      <c r="M310" s="8" t="s">
        <v>4206</v>
      </c>
      <c r="N310" s="11">
        <v>43893.623530092591</v>
      </c>
      <c r="O310" s="8" t="s">
        <v>4206</v>
      </c>
      <c r="P310" s="11">
        <v>43893.622013888889</v>
      </c>
      <c r="Q310" s="13">
        <v>1621467</v>
      </c>
      <c r="R310" s="46" t="s">
        <v>594</v>
      </c>
      <c r="S310" s="14" t="s">
        <v>4496</v>
      </c>
      <c r="T310" s="163">
        <v>764</v>
      </c>
      <c r="U310" s="164" t="str">
        <f>CONCATENATE(LEFT(SP_ACQ_Lib[[#This Row],[Tax Parcel ID]],7),"_",SP_ACQ_Lib[[#This Row],[ACQ Document Type]])</f>
        <v>R023696_SURVEY Right-of-Entry</v>
      </c>
      <c r="V310" s="65" t="str">
        <f>INDEX(SP_AcqTract_DB[WCAD Tax Parcel ID],MATCH(SP_ACQ_Lib[[#This Row],[Acquisition Tract No.]],SP_AcqTract_DB[Acquisition Tract No.],0))</f>
        <v>R023696;#32;#R053131;#33</v>
      </c>
      <c r="W310" s="48" t="str">
        <f>INDEX(SP_TaxPar_DB[Acquisition Tract No.],MATCH(LEFT(SP_ACQ_Lib[[#This Row],[Tax Parcel ID]],7),SP_TaxPar_DB[Tax Parcel ID],0))</f>
        <v>220</v>
      </c>
      <c r="X310" s="238" t="str">
        <f>IF(OR(SP_ACQ_Lib[[#This Row],[Acquisition Tract No.]]="",SP_ACQ_Lib[[#This Row],[ACQ Document Type]]=""),0,CONCATENATE("COW-FRMP_TR-",SP_ACQ_Lib[[#This Row],[Acquisition Tract No.]]," ",SP_ACQ_Lib[[#This Row],[ACQ Document Type]]))</f>
        <v>COW-FRMP_TR-220 SURVEY Right-of-Entry</v>
      </c>
      <c r="Y310" s="239">
        <f>IF(OR(SP_ACQ_Lib[[#This Row],[File Name Convention]]=0,LEFT(SP_ACQ_Lib[[#This Row],[Name]],LEN(SP_ACQ_Lib[[#This Row],[File Name Convention]]))&lt;&gt;SP_ACQ_Lib[[#This Row],[File Name Convention]],ISERROR(SEARCH(SP_ACQ_Lib[[#This Row],[ACQ Document Type]],SP_ACQ_Lib[[#This Row],[Name]]))),1,0)</f>
        <v>0</v>
      </c>
    </row>
    <row r="311" spans="1:25" ht="15" x14ac:dyDescent="0.2">
      <c r="A311" s="157" t="str">
        <f>CONCATENATE(SP_ACQ_Lib[[#This Row],[Acquisition Tract No.]],"_",SP_ACQ_Lib[[#This Row],[ACQ Document Type]])</f>
        <v>220_TITLE Commitment</v>
      </c>
      <c r="B311" s="14" t="s">
        <v>1495</v>
      </c>
      <c r="C311" s="45" t="s">
        <v>147</v>
      </c>
      <c r="D311" s="12" t="s">
        <v>635</v>
      </c>
      <c r="E311" s="8" t="s">
        <v>861</v>
      </c>
      <c r="F311" s="8" t="s">
        <v>862</v>
      </c>
      <c r="G311" s="8" t="s">
        <v>614</v>
      </c>
      <c r="H311" s="7" t="s">
        <v>592</v>
      </c>
      <c r="I311" s="16">
        <v>43686</v>
      </c>
      <c r="J311" s="16">
        <v>43697</v>
      </c>
      <c r="K311" s="17"/>
      <c r="L311" s="3"/>
      <c r="M311" s="8" t="s">
        <v>4206</v>
      </c>
      <c r="N311" s="11">
        <v>43915.39329861111</v>
      </c>
      <c r="O311" s="8" t="s">
        <v>4326</v>
      </c>
      <c r="P311" s="11">
        <v>43706.537222222221</v>
      </c>
      <c r="Q311" s="13">
        <v>284304</v>
      </c>
      <c r="R311" s="46" t="s">
        <v>594</v>
      </c>
      <c r="S311" s="14" t="s">
        <v>767</v>
      </c>
      <c r="T311" s="163">
        <v>205</v>
      </c>
      <c r="U311" s="164" t="str">
        <f>CONCATENATE(LEFT(SP_ACQ_Lib[[#This Row],[Tax Parcel ID]],7),"_",SP_ACQ_Lib[[#This Row],[ACQ Document Type]])</f>
        <v>R023696_TITLE Commitment</v>
      </c>
      <c r="V311" s="65" t="str">
        <f>INDEX(SP_AcqTract_DB[WCAD Tax Parcel ID],MATCH(SP_ACQ_Lib[[#This Row],[Acquisition Tract No.]],SP_AcqTract_DB[Acquisition Tract No.],0))</f>
        <v>R023696;#32;#R053131;#33</v>
      </c>
      <c r="W311" s="48" t="str">
        <f>INDEX(SP_TaxPar_DB[Acquisition Tract No.],MATCH(LEFT(SP_ACQ_Lib[[#This Row],[Tax Parcel ID]],7),SP_TaxPar_DB[Tax Parcel ID],0))</f>
        <v>220</v>
      </c>
      <c r="X311" s="238" t="str">
        <f>IF(OR(SP_ACQ_Lib[[#This Row],[Acquisition Tract No.]]="",SP_ACQ_Lib[[#This Row],[ACQ Document Type]]=""),0,CONCATENATE("COW-FRMP_TR-",SP_ACQ_Lib[[#This Row],[Acquisition Tract No.]]," ",SP_ACQ_Lib[[#This Row],[ACQ Document Type]]))</f>
        <v>COW-FRMP_TR-220 TITLE Commitment</v>
      </c>
      <c r="Y311" s="239">
        <f>IF(OR(SP_ACQ_Lib[[#This Row],[File Name Convention]]=0,LEFT(SP_ACQ_Lib[[#This Row],[Name]],LEN(SP_ACQ_Lib[[#This Row],[File Name Convention]]))&lt;&gt;SP_ACQ_Lib[[#This Row],[File Name Convention]],ISERROR(SEARCH(SP_ACQ_Lib[[#This Row],[ACQ Document Type]],SP_ACQ_Lib[[#This Row],[Name]]))),1,0)</f>
        <v>0</v>
      </c>
    </row>
    <row r="312" spans="1:25" ht="15" x14ac:dyDescent="0.2">
      <c r="A312" s="157" t="str">
        <f>CONCATENATE(SP_ACQ_Lib[[#This Row],[Acquisition Tract No.]],"_",SP_ACQ_Lib[[#This Row],[ACQ Document Type]])</f>
        <v>220_TITLE Commitment Backup Docs</v>
      </c>
      <c r="B312" s="14" t="s">
        <v>1496</v>
      </c>
      <c r="C312" s="45" t="s">
        <v>147</v>
      </c>
      <c r="D312" s="12" t="s">
        <v>635</v>
      </c>
      <c r="E312" s="8" t="s">
        <v>861</v>
      </c>
      <c r="F312" s="8" t="s">
        <v>863</v>
      </c>
      <c r="G312" s="8" t="s">
        <v>616</v>
      </c>
      <c r="H312" s="7" t="s">
        <v>592</v>
      </c>
      <c r="I312" s="16"/>
      <c r="J312" s="16"/>
      <c r="K312" s="17"/>
      <c r="L312" s="3"/>
      <c r="M312" s="8" t="s">
        <v>4325</v>
      </c>
      <c r="N312" s="11">
        <v>43810.490069444444</v>
      </c>
      <c r="O312" s="8" t="s">
        <v>4326</v>
      </c>
      <c r="P312" s="11">
        <v>43706.537754629629</v>
      </c>
      <c r="Q312" s="13">
        <v>1605614</v>
      </c>
      <c r="R312" s="46" t="s">
        <v>594</v>
      </c>
      <c r="S312" s="14" t="s">
        <v>768</v>
      </c>
      <c r="T312" s="163">
        <v>206</v>
      </c>
      <c r="U312" s="164" t="str">
        <f>CONCATENATE(LEFT(SP_ACQ_Lib[[#This Row],[Tax Parcel ID]],7),"_",SP_ACQ_Lib[[#This Row],[ACQ Document Type]])</f>
        <v>R023696_TITLE Commitment Backup Docs</v>
      </c>
      <c r="V312" s="65" t="str">
        <f>INDEX(SP_AcqTract_DB[WCAD Tax Parcel ID],MATCH(SP_ACQ_Lib[[#This Row],[Acquisition Tract No.]],SP_AcqTract_DB[Acquisition Tract No.],0))</f>
        <v>R023696;#32;#R053131;#33</v>
      </c>
      <c r="W312" s="48" t="str">
        <f>INDEX(SP_TaxPar_DB[Acquisition Tract No.],MATCH(LEFT(SP_ACQ_Lib[[#This Row],[Tax Parcel ID]],7),SP_TaxPar_DB[Tax Parcel ID],0))</f>
        <v>220</v>
      </c>
      <c r="X312" s="238" t="str">
        <f>IF(OR(SP_ACQ_Lib[[#This Row],[Acquisition Tract No.]]="",SP_ACQ_Lib[[#This Row],[ACQ Document Type]]=""),0,CONCATENATE("COW-FRMP_TR-",SP_ACQ_Lib[[#This Row],[Acquisition Tract No.]]," ",SP_ACQ_Lib[[#This Row],[ACQ Document Type]]))</f>
        <v>COW-FRMP_TR-220 TITLE Commitment Backup Docs</v>
      </c>
      <c r="Y312" s="239">
        <f>IF(OR(SP_ACQ_Lib[[#This Row],[File Name Convention]]=0,LEFT(SP_ACQ_Lib[[#This Row],[Name]],LEN(SP_ACQ_Lib[[#This Row],[File Name Convention]]))&lt;&gt;SP_ACQ_Lib[[#This Row],[File Name Convention]],ISERROR(SEARCH(SP_ACQ_Lib[[#This Row],[ACQ Document Type]],SP_ACQ_Lib[[#This Row],[Name]]))),1,0)</f>
        <v>0</v>
      </c>
    </row>
    <row r="313" spans="1:25" ht="15" x14ac:dyDescent="0.2">
      <c r="A313" s="157" t="str">
        <f>CONCATENATE(SP_ACQ_Lib[[#This Row],[Acquisition Tract No.]],"_",SP_ACQ_Lib[[#This Row],[ACQ Document Type]])</f>
        <v>220_TITLE Curative Plan</v>
      </c>
      <c r="B313" s="14" t="s">
        <v>1497</v>
      </c>
      <c r="C313" s="45" t="s">
        <v>147</v>
      </c>
      <c r="D313" s="12" t="s">
        <v>635</v>
      </c>
      <c r="E313" s="8" t="s">
        <v>861</v>
      </c>
      <c r="F313" s="8" t="s">
        <v>864</v>
      </c>
      <c r="G313" s="8" t="s">
        <v>617</v>
      </c>
      <c r="H313" s="7" t="s">
        <v>592</v>
      </c>
      <c r="I313" s="16">
        <v>43810</v>
      </c>
      <c r="J313" s="16"/>
      <c r="K313" s="17"/>
      <c r="L313" s="3"/>
      <c r="M313" s="8" t="s">
        <v>4325</v>
      </c>
      <c r="N313" s="11">
        <v>43916.49046296296</v>
      </c>
      <c r="O313" s="8" t="s">
        <v>4326</v>
      </c>
      <c r="P313" s="11">
        <v>43742.556840277779</v>
      </c>
      <c r="Q313" s="13">
        <v>35310</v>
      </c>
      <c r="R313" s="46" t="s">
        <v>594</v>
      </c>
      <c r="S313" s="14" t="s">
        <v>1210</v>
      </c>
      <c r="T313" s="163">
        <v>387</v>
      </c>
      <c r="U313" s="164" t="str">
        <f>CONCATENATE(LEFT(SP_ACQ_Lib[[#This Row],[Tax Parcel ID]],7),"_",SP_ACQ_Lib[[#This Row],[ACQ Document Type]])</f>
        <v>R023696_TITLE Curative Plan</v>
      </c>
      <c r="V313" s="65" t="str">
        <f>INDEX(SP_AcqTract_DB[WCAD Tax Parcel ID],MATCH(SP_ACQ_Lib[[#This Row],[Acquisition Tract No.]],SP_AcqTract_DB[Acquisition Tract No.],0))</f>
        <v>R023696;#32;#R053131;#33</v>
      </c>
      <c r="W313" s="48" t="str">
        <f>INDEX(SP_TaxPar_DB[Acquisition Tract No.],MATCH(LEFT(SP_ACQ_Lib[[#This Row],[Tax Parcel ID]],7),SP_TaxPar_DB[Tax Parcel ID],0))</f>
        <v>220</v>
      </c>
      <c r="X313" s="238" t="str">
        <f>IF(OR(SP_ACQ_Lib[[#This Row],[Acquisition Tract No.]]="",SP_ACQ_Lib[[#This Row],[ACQ Document Type]]=""),0,CONCATENATE("COW-FRMP_TR-",SP_ACQ_Lib[[#This Row],[Acquisition Tract No.]]," ",SP_ACQ_Lib[[#This Row],[ACQ Document Type]]))</f>
        <v>COW-FRMP_TR-220 TITLE Curative Plan</v>
      </c>
      <c r="Y313" s="239">
        <f>IF(OR(SP_ACQ_Lib[[#This Row],[File Name Convention]]=0,LEFT(SP_ACQ_Lib[[#This Row],[Name]],LEN(SP_ACQ_Lib[[#This Row],[File Name Convention]]))&lt;&gt;SP_ACQ_Lib[[#This Row],[File Name Convention]],ISERROR(SEARCH(SP_ACQ_Lib[[#This Row],[ACQ Document Type]],SP_ACQ_Lib[[#This Row],[Name]]))),1,0)</f>
        <v>0</v>
      </c>
    </row>
    <row r="314" spans="1:25" ht="15" x14ac:dyDescent="0.2">
      <c r="A314" s="157" t="str">
        <f>CONCATENATE(SP_ACQ_Lib[[#This Row],[Acquisition Tract No.]],"_",SP_ACQ_Lib[[#This Row],[ACQ Document Type]])</f>
        <v>220_TITLE Tax Card</v>
      </c>
      <c r="B314" s="14" t="s">
        <v>3869</v>
      </c>
      <c r="C314" s="45" t="s">
        <v>147</v>
      </c>
      <c r="D314" s="12" t="s">
        <v>635</v>
      </c>
      <c r="E314" s="8" t="s">
        <v>861</v>
      </c>
      <c r="F314" s="8" t="s">
        <v>1150</v>
      </c>
      <c r="G314" s="8" t="s">
        <v>1149</v>
      </c>
      <c r="H314" s="7" t="s">
        <v>592</v>
      </c>
      <c r="I314" s="16"/>
      <c r="J314" s="16"/>
      <c r="K314" s="17"/>
      <c r="L314" s="3" t="s">
        <v>4444</v>
      </c>
      <c r="M314" s="8" t="s">
        <v>4206</v>
      </c>
      <c r="N314" s="11">
        <v>43893.625983796293</v>
      </c>
      <c r="O314" s="8" t="s">
        <v>4206</v>
      </c>
      <c r="P314" s="11">
        <v>43893.625358796293</v>
      </c>
      <c r="Q314" s="13">
        <v>909643</v>
      </c>
      <c r="R314" s="46" t="s">
        <v>594</v>
      </c>
      <c r="S314" s="14" t="s">
        <v>4497</v>
      </c>
      <c r="T314" s="163">
        <v>765</v>
      </c>
      <c r="U314" s="164" t="str">
        <f>CONCATENATE(LEFT(SP_ACQ_Lib[[#This Row],[Tax Parcel ID]],7),"_",SP_ACQ_Lib[[#This Row],[ACQ Document Type]])</f>
        <v>R023696_TITLE Tax Card</v>
      </c>
      <c r="V314" s="65" t="str">
        <f>INDEX(SP_AcqTract_DB[WCAD Tax Parcel ID],MATCH(SP_ACQ_Lib[[#This Row],[Acquisition Tract No.]],SP_AcqTract_DB[Acquisition Tract No.],0))</f>
        <v>R023696;#32;#R053131;#33</v>
      </c>
      <c r="W314" s="48" t="str">
        <f>INDEX(SP_TaxPar_DB[Acquisition Tract No.],MATCH(LEFT(SP_ACQ_Lib[[#This Row],[Tax Parcel ID]],7),SP_TaxPar_DB[Tax Parcel ID],0))</f>
        <v>220</v>
      </c>
      <c r="X314" s="238" t="str">
        <f>IF(OR(SP_ACQ_Lib[[#This Row],[Acquisition Tract No.]]="",SP_ACQ_Lib[[#This Row],[ACQ Document Type]]=""),0,CONCATENATE("COW-FRMP_TR-",SP_ACQ_Lib[[#This Row],[Acquisition Tract No.]]," ",SP_ACQ_Lib[[#This Row],[ACQ Document Type]]))</f>
        <v>COW-FRMP_TR-220 TITLE Tax Card</v>
      </c>
      <c r="Y314" s="239">
        <f>IF(OR(SP_ACQ_Lib[[#This Row],[File Name Convention]]=0,LEFT(SP_ACQ_Lib[[#This Row],[Name]],LEN(SP_ACQ_Lib[[#This Row],[File Name Convention]]))&lt;&gt;SP_ACQ_Lib[[#This Row],[File Name Convention]],ISERROR(SEARCH(SP_ACQ_Lib[[#This Row],[ACQ Document Type]],SP_ACQ_Lib[[#This Row],[Name]]))),1,0)</f>
        <v>0</v>
      </c>
    </row>
    <row r="315" spans="1:25" ht="15" x14ac:dyDescent="0.2">
      <c r="A315" s="157" t="str">
        <f>CONCATENATE(SP_ACQ_Lib[[#This Row],[Acquisition Tract No.]],"_",SP_ACQ_Lib[[#This Row],[ACQ Document Type]])</f>
        <v>222_APPRAISAL Final Appraisal</v>
      </c>
      <c r="B315" s="14" t="s">
        <v>6311</v>
      </c>
      <c r="C315" s="45" t="s">
        <v>149</v>
      </c>
      <c r="D315" s="12" t="s">
        <v>636</v>
      </c>
      <c r="E315" s="8" t="s">
        <v>1131</v>
      </c>
      <c r="F315" s="8" t="s">
        <v>4755</v>
      </c>
      <c r="G315" s="8" t="s">
        <v>4754</v>
      </c>
      <c r="H315" s="7" t="s">
        <v>592</v>
      </c>
      <c r="I315" s="16">
        <v>43962</v>
      </c>
      <c r="J315" s="16"/>
      <c r="K315" s="17">
        <v>1351</v>
      </c>
      <c r="L315" s="3"/>
      <c r="M315" s="8" t="s">
        <v>4206</v>
      </c>
      <c r="N315" s="11">
        <v>44004.587962962964</v>
      </c>
      <c r="O315" s="8" t="s">
        <v>4206</v>
      </c>
      <c r="P315" s="11">
        <v>44004.384814814817</v>
      </c>
      <c r="Q315" s="13">
        <v>8009443</v>
      </c>
      <c r="R315" s="46" t="s">
        <v>594</v>
      </c>
      <c r="S315" s="14" t="s">
        <v>6380</v>
      </c>
      <c r="T315" s="163">
        <v>1237</v>
      </c>
      <c r="U315" s="164" t="str">
        <f>CONCATENATE(LEFT(SP_ACQ_Lib[[#This Row],[Tax Parcel ID]],7),"_",SP_ACQ_Lib[[#This Row],[ACQ Document Type]])</f>
        <v>R053130_APPRAISAL Final Appraisal</v>
      </c>
      <c r="V315" s="65" t="str">
        <f>INDEX(SP_AcqTract_DB[WCAD Tax Parcel ID],MATCH(SP_ACQ_Lib[[#This Row],[Acquisition Tract No.]],SP_AcqTract_DB[Acquisition Tract No.],0))</f>
        <v>R053130;#34</v>
      </c>
      <c r="W315" s="48" t="str">
        <f>INDEX(SP_TaxPar_DB[Acquisition Tract No.],MATCH(LEFT(SP_ACQ_Lib[[#This Row],[Tax Parcel ID]],7),SP_TaxPar_DB[Tax Parcel ID],0))</f>
        <v>222</v>
      </c>
      <c r="X315" s="238" t="str">
        <f>IF(OR(SP_ACQ_Lib[[#This Row],[Acquisition Tract No.]]="",SP_ACQ_Lib[[#This Row],[ACQ Document Type]]=""),0,CONCATENATE("COW-FRMP_TR-",SP_ACQ_Lib[[#This Row],[Acquisition Tract No.]]," ",SP_ACQ_Lib[[#This Row],[ACQ Document Type]]))</f>
        <v>COW-FRMP_TR-222 APPRAISAL Final Appraisal</v>
      </c>
      <c r="Y315" s="239">
        <f>IF(OR(SP_ACQ_Lib[[#This Row],[File Name Convention]]=0,LEFT(SP_ACQ_Lib[[#This Row],[Name]],LEN(SP_ACQ_Lib[[#This Row],[File Name Convention]]))&lt;&gt;SP_ACQ_Lib[[#This Row],[File Name Convention]],ISERROR(SEARCH(SP_ACQ_Lib[[#This Row],[ACQ Document Type]],SP_ACQ_Lib[[#This Row],[Name]]))),1,0)</f>
        <v>0</v>
      </c>
    </row>
    <row r="316" spans="1:25" ht="15" x14ac:dyDescent="0.2">
      <c r="A316" s="157" t="str">
        <f>CONCATENATE(SP_ACQ_Lib[[#This Row],[Acquisition Tract No.]],"_",SP_ACQ_Lib[[#This Row],[ACQ Document Type]])</f>
        <v>222_APPRAISAL Just Compensation Memo</v>
      </c>
      <c r="B316" s="14" t="s">
        <v>6312</v>
      </c>
      <c r="C316" s="45" t="s">
        <v>149</v>
      </c>
      <c r="D316" s="12" t="s">
        <v>636</v>
      </c>
      <c r="E316" s="8" t="s">
        <v>1131</v>
      </c>
      <c r="F316" s="8" t="s">
        <v>4757</v>
      </c>
      <c r="G316" s="8" t="s">
        <v>4756</v>
      </c>
      <c r="H316" s="7" t="s">
        <v>592</v>
      </c>
      <c r="I316" s="16">
        <v>44001</v>
      </c>
      <c r="J316" s="16">
        <v>44004</v>
      </c>
      <c r="K316" s="17">
        <v>1351</v>
      </c>
      <c r="L316" s="3"/>
      <c r="M316" s="8" t="s">
        <v>4206</v>
      </c>
      <c r="N316" s="11">
        <v>44006.407777777778</v>
      </c>
      <c r="O316" s="8" t="s">
        <v>4206</v>
      </c>
      <c r="P316" s="11">
        <v>44004.384837962964</v>
      </c>
      <c r="Q316" s="13">
        <v>23106</v>
      </c>
      <c r="R316" s="46" t="s">
        <v>594</v>
      </c>
      <c r="S316" s="14" t="s">
        <v>6381</v>
      </c>
      <c r="T316" s="163">
        <v>1238</v>
      </c>
      <c r="U316" s="164" t="str">
        <f>CONCATENATE(LEFT(SP_ACQ_Lib[[#This Row],[Tax Parcel ID]],7),"_",SP_ACQ_Lib[[#This Row],[ACQ Document Type]])</f>
        <v>R053130_APPRAISAL Just Compensation Memo</v>
      </c>
      <c r="V316" s="65" t="str">
        <f>INDEX(SP_AcqTract_DB[WCAD Tax Parcel ID],MATCH(SP_ACQ_Lib[[#This Row],[Acquisition Tract No.]],SP_AcqTract_DB[Acquisition Tract No.],0))</f>
        <v>R053130;#34</v>
      </c>
      <c r="W316" s="48" t="str">
        <f>INDEX(SP_TaxPar_DB[Acquisition Tract No.],MATCH(LEFT(SP_ACQ_Lib[[#This Row],[Tax Parcel ID]],7),SP_TaxPar_DB[Tax Parcel ID],0))</f>
        <v>222</v>
      </c>
      <c r="X316" s="238" t="str">
        <f>IF(OR(SP_ACQ_Lib[[#This Row],[Acquisition Tract No.]]="",SP_ACQ_Lib[[#This Row],[ACQ Document Type]]=""),0,CONCATENATE("COW-FRMP_TR-",SP_ACQ_Lib[[#This Row],[Acquisition Tract No.]]," ",SP_ACQ_Lib[[#This Row],[ACQ Document Type]]))</f>
        <v>COW-FRMP_TR-222 APPRAISAL Just Compensation Memo</v>
      </c>
      <c r="Y316" s="239">
        <f>IF(OR(SP_ACQ_Lib[[#This Row],[File Name Convention]]=0,LEFT(SP_ACQ_Lib[[#This Row],[Name]],LEN(SP_ACQ_Lib[[#This Row],[File Name Convention]]))&lt;&gt;SP_ACQ_Lib[[#This Row],[File Name Convention]],ISERROR(SEARCH(SP_ACQ_Lib[[#This Row],[ACQ Document Type]],SP_ACQ_Lib[[#This Row],[Name]]))),1,0)</f>
        <v>0</v>
      </c>
    </row>
    <row r="317" spans="1:25" ht="15" x14ac:dyDescent="0.2">
      <c r="A317" s="157" t="str">
        <f>CONCATENATE(SP_ACQ_Lib[[#This Row],[Acquisition Tract No.]],"_",SP_ACQ_Lib[[#This Row],[ACQ Document Type]])</f>
        <v>222_APPRAISAL USACOE Authorization to Proceed with Offer</v>
      </c>
      <c r="B317" s="14" t="s">
        <v>6313</v>
      </c>
      <c r="C317" s="45" t="s">
        <v>149</v>
      </c>
      <c r="D317" s="12" t="s">
        <v>636</v>
      </c>
      <c r="E317" s="8" t="s">
        <v>1131</v>
      </c>
      <c r="F317" s="8" t="s">
        <v>4959</v>
      </c>
      <c r="G317" s="8" t="s">
        <v>4958</v>
      </c>
      <c r="H317" s="7" t="s">
        <v>592</v>
      </c>
      <c r="I317" s="16">
        <v>44001</v>
      </c>
      <c r="J317" s="16">
        <v>44004</v>
      </c>
      <c r="K317" s="17">
        <v>1351</v>
      </c>
      <c r="L317" s="3"/>
      <c r="M317" s="8" t="s">
        <v>4206</v>
      </c>
      <c r="N317" s="11">
        <v>44006.40792824074</v>
      </c>
      <c r="O317" s="8" t="s">
        <v>4206</v>
      </c>
      <c r="P317" s="11">
        <v>44004.38484953704</v>
      </c>
      <c r="Q317" s="13">
        <v>419052</v>
      </c>
      <c r="R317" s="46" t="s">
        <v>594</v>
      </c>
      <c r="S317" s="14" t="s">
        <v>6382</v>
      </c>
      <c r="T317" s="163">
        <v>1239</v>
      </c>
      <c r="U317" s="164" t="str">
        <f>CONCATENATE(LEFT(SP_ACQ_Lib[[#This Row],[Tax Parcel ID]],7),"_",SP_ACQ_Lib[[#This Row],[ACQ Document Type]])</f>
        <v>R053130_APPRAISAL USACOE Authorization to Proceed with Offer</v>
      </c>
      <c r="V317" s="65" t="str">
        <f>INDEX(SP_AcqTract_DB[WCAD Tax Parcel ID],MATCH(SP_ACQ_Lib[[#This Row],[Acquisition Tract No.]],SP_AcqTract_DB[Acquisition Tract No.],0))</f>
        <v>R053130;#34</v>
      </c>
      <c r="W317" s="48" t="str">
        <f>INDEX(SP_TaxPar_DB[Acquisition Tract No.],MATCH(LEFT(SP_ACQ_Lib[[#This Row],[Tax Parcel ID]],7),SP_TaxPar_DB[Tax Parcel ID],0))</f>
        <v>222</v>
      </c>
      <c r="X317" s="238" t="str">
        <f>IF(OR(SP_ACQ_Lib[[#This Row],[Acquisition Tract No.]]="",SP_ACQ_Lib[[#This Row],[ACQ Document Type]]=""),0,CONCATENATE("COW-FRMP_TR-",SP_ACQ_Lib[[#This Row],[Acquisition Tract No.]]," ",SP_ACQ_Lib[[#This Row],[ACQ Document Type]]))</f>
        <v>COW-FRMP_TR-222 APPRAISAL USACOE Authorization to Proceed with Offer</v>
      </c>
      <c r="Y317" s="239">
        <f>IF(OR(SP_ACQ_Lib[[#This Row],[File Name Convention]]=0,LEFT(SP_ACQ_Lib[[#This Row],[Name]],LEN(SP_ACQ_Lib[[#This Row],[File Name Convention]]))&lt;&gt;SP_ACQ_Lib[[#This Row],[File Name Convention]],ISERROR(SEARCH(SP_ACQ_Lib[[#This Row],[ACQ Document Type]],SP_ACQ_Lib[[#This Row],[Name]]))),1,0)</f>
        <v>0</v>
      </c>
    </row>
    <row r="318" spans="1:25" ht="15" x14ac:dyDescent="0.2">
      <c r="A318" s="157" t="str">
        <f>CONCATENATE(SP_ACQ_Lib[[#This Row],[Acquisition Tract No.]],"_",SP_ACQ_Lib[[#This Row],[ACQ Document Type]])</f>
        <v>222_CONTACT Letter of Intent-HDR</v>
      </c>
      <c r="B318" s="14" t="s">
        <v>1498</v>
      </c>
      <c r="C318" s="45" t="s">
        <v>149</v>
      </c>
      <c r="D318" s="12" t="s">
        <v>636</v>
      </c>
      <c r="E318" s="8" t="s">
        <v>865</v>
      </c>
      <c r="F318" s="8" t="s">
        <v>1401</v>
      </c>
      <c r="G318" s="8" t="s">
        <v>1400</v>
      </c>
      <c r="H318" s="7" t="s">
        <v>592</v>
      </c>
      <c r="I318" s="16">
        <v>43765</v>
      </c>
      <c r="J318" s="16"/>
      <c r="K318" s="17"/>
      <c r="L318" s="3"/>
      <c r="M318" s="8" t="s">
        <v>23</v>
      </c>
      <c r="N318" s="11">
        <v>43770.449166666665</v>
      </c>
      <c r="O318" s="8" t="s">
        <v>1402</v>
      </c>
      <c r="P318" s="11">
        <v>43769.619803240741</v>
      </c>
      <c r="Q318" s="13">
        <v>351069</v>
      </c>
      <c r="R318" s="46" t="s">
        <v>594</v>
      </c>
      <c r="S318" s="14" t="s">
        <v>1635</v>
      </c>
      <c r="T318" s="163">
        <v>512</v>
      </c>
      <c r="U318" s="164" t="str">
        <f>CONCATENATE(LEFT(SP_ACQ_Lib[[#This Row],[Tax Parcel ID]],7),"_",SP_ACQ_Lib[[#This Row],[ACQ Document Type]])</f>
        <v>R053130_CONTACT Letter of Intent-HDR</v>
      </c>
      <c r="V318" s="65" t="str">
        <f>INDEX(SP_AcqTract_DB[WCAD Tax Parcel ID],MATCH(SP_ACQ_Lib[[#This Row],[Acquisition Tract No.]],SP_AcqTract_DB[Acquisition Tract No.],0))</f>
        <v>R053130;#34</v>
      </c>
      <c r="W318" s="48" t="str">
        <f>INDEX(SP_TaxPar_DB[Acquisition Tract No.],MATCH(LEFT(SP_ACQ_Lib[[#This Row],[Tax Parcel ID]],7),SP_TaxPar_DB[Tax Parcel ID],0))</f>
        <v>222</v>
      </c>
      <c r="X318" s="238" t="str">
        <f>IF(OR(SP_ACQ_Lib[[#This Row],[Acquisition Tract No.]]="",SP_ACQ_Lib[[#This Row],[ACQ Document Type]]=""),0,CONCATENATE("COW-FRMP_TR-",SP_ACQ_Lib[[#This Row],[Acquisition Tract No.]]," ",SP_ACQ_Lib[[#This Row],[ACQ Document Type]]))</f>
        <v>COW-FRMP_TR-222 CONTACT Letter of Intent-HDR</v>
      </c>
      <c r="Y318" s="239">
        <f>IF(OR(SP_ACQ_Lib[[#This Row],[File Name Convention]]=0,LEFT(SP_ACQ_Lib[[#This Row],[Name]],LEN(SP_ACQ_Lib[[#This Row],[File Name Convention]]))&lt;&gt;SP_ACQ_Lib[[#This Row],[File Name Convention]],ISERROR(SEARCH(SP_ACQ_Lib[[#This Row],[ACQ Document Type]],SP_ACQ_Lib[[#This Row],[Name]]))),1,0)</f>
        <v>0</v>
      </c>
    </row>
    <row r="319" spans="1:25" ht="15" x14ac:dyDescent="0.2">
      <c r="A319" s="157" t="str">
        <f>CONCATENATE(SP_ACQ_Lib[[#This Row],[Acquisition Tract No.]],"_",SP_ACQ_Lib[[#This Row],[ACQ Document Type]])</f>
        <v>222_CONTACT Negotiator Report</v>
      </c>
      <c r="B319" s="14" t="s">
        <v>3391</v>
      </c>
      <c r="C319" s="45" t="s">
        <v>149</v>
      </c>
      <c r="D319" s="12" t="s">
        <v>636</v>
      </c>
      <c r="E319" s="8" t="s">
        <v>865</v>
      </c>
      <c r="F319" s="8" t="s">
        <v>1068</v>
      </c>
      <c r="G319" s="8" t="s">
        <v>1067</v>
      </c>
      <c r="H319" s="7" t="s">
        <v>592</v>
      </c>
      <c r="I319" s="16"/>
      <c r="J319" s="16"/>
      <c r="K319" s="17"/>
      <c r="L319" s="3"/>
      <c r="M319" s="8" t="s">
        <v>4206</v>
      </c>
      <c r="N319" s="11">
        <v>43872.545358796298</v>
      </c>
      <c r="O319" s="8" t="s">
        <v>4207</v>
      </c>
      <c r="P319" s="11">
        <v>43728.548842592594</v>
      </c>
      <c r="Q319" s="13">
        <v>59759</v>
      </c>
      <c r="R319" s="46" t="s">
        <v>1069</v>
      </c>
      <c r="S319" s="14" t="s">
        <v>1091</v>
      </c>
      <c r="T319" s="163">
        <v>305</v>
      </c>
      <c r="U319" s="164" t="str">
        <f>CONCATENATE(LEFT(SP_ACQ_Lib[[#This Row],[Tax Parcel ID]],7),"_",SP_ACQ_Lib[[#This Row],[ACQ Document Type]])</f>
        <v>R053130_CONTACT Negotiator Report</v>
      </c>
      <c r="V319" s="65" t="str">
        <f>INDEX(SP_AcqTract_DB[WCAD Tax Parcel ID],MATCH(SP_ACQ_Lib[[#This Row],[Acquisition Tract No.]],SP_AcqTract_DB[Acquisition Tract No.],0))</f>
        <v>R053130;#34</v>
      </c>
      <c r="W319" s="48" t="str">
        <f>INDEX(SP_TaxPar_DB[Acquisition Tract No.],MATCH(LEFT(SP_ACQ_Lib[[#This Row],[Tax Parcel ID]],7),SP_TaxPar_DB[Tax Parcel ID],0))</f>
        <v>222</v>
      </c>
      <c r="X319" s="238" t="str">
        <f>IF(OR(SP_ACQ_Lib[[#This Row],[Acquisition Tract No.]]="",SP_ACQ_Lib[[#This Row],[ACQ Document Type]]=""),0,CONCATENATE("COW-FRMP_TR-",SP_ACQ_Lib[[#This Row],[Acquisition Tract No.]]," ",SP_ACQ_Lib[[#This Row],[ACQ Document Type]]))</f>
        <v>COW-FRMP_TR-222 CONTACT Negotiator Report</v>
      </c>
      <c r="Y319" s="239">
        <f>IF(OR(SP_ACQ_Lib[[#This Row],[File Name Convention]]=0,LEFT(SP_ACQ_Lib[[#This Row],[Name]],LEN(SP_ACQ_Lib[[#This Row],[File Name Convention]]))&lt;&gt;SP_ACQ_Lib[[#This Row],[File Name Convention]],ISERROR(SEARCH(SP_ACQ_Lib[[#This Row],[ACQ Document Type]],SP_ACQ_Lib[[#This Row],[Name]]))),1,0)</f>
        <v>0</v>
      </c>
    </row>
    <row r="320" spans="1:25" ht="15" x14ac:dyDescent="0.2">
      <c r="A320" s="157" t="str">
        <f>CONCATENATE(SP_ACQ_Lib[[#This Row],[Acquisition Tract No.]],"_",SP_ACQ_Lib[[#This Row],[ACQ Document Type]])</f>
        <v>222_NEGOTIATION Landowner Bill of Rights Letter</v>
      </c>
      <c r="B320" s="14" t="s">
        <v>3452</v>
      </c>
      <c r="C320" s="45" t="s">
        <v>149</v>
      </c>
      <c r="D320" s="12" t="s">
        <v>636</v>
      </c>
      <c r="E320" s="8" t="s">
        <v>1142</v>
      </c>
      <c r="F320" s="8" t="s">
        <v>1746</v>
      </c>
      <c r="G320" s="8" t="s">
        <v>1745</v>
      </c>
      <c r="H320" s="7" t="s">
        <v>592</v>
      </c>
      <c r="I320" s="16">
        <v>43748</v>
      </c>
      <c r="J320" s="16"/>
      <c r="K320" s="17"/>
      <c r="L320" s="3"/>
      <c r="M320" s="8" t="s">
        <v>4206</v>
      </c>
      <c r="N320" s="11">
        <v>43872.561620370368</v>
      </c>
      <c r="O320" s="8" t="s">
        <v>4325</v>
      </c>
      <c r="P320" s="11">
        <v>43752.490983796299</v>
      </c>
      <c r="Q320" s="13">
        <v>326569</v>
      </c>
      <c r="R320" s="46" t="s">
        <v>594</v>
      </c>
      <c r="S320" s="14" t="s">
        <v>1211</v>
      </c>
      <c r="T320" s="163">
        <v>436</v>
      </c>
      <c r="U320" s="164" t="str">
        <f>CONCATENATE(LEFT(SP_ACQ_Lib[[#This Row],[Tax Parcel ID]],7),"_",SP_ACQ_Lib[[#This Row],[ACQ Document Type]])</f>
        <v>R053130_NEGOTIATION Landowner Bill of Rights Letter</v>
      </c>
      <c r="V320" s="65" t="str">
        <f>INDEX(SP_AcqTract_DB[WCAD Tax Parcel ID],MATCH(SP_ACQ_Lib[[#This Row],[Acquisition Tract No.]],SP_AcqTract_DB[Acquisition Tract No.],0))</f>
        <v>R053130;#34</v>
      </c>
      <c r="W320" s="48" t="str">
        <f>INDEX(SP_TaxPar_DB[Acquisition Tract No.],MATCH(LEFT(SP_ACQ_Lib[[#This Row],[Tax Parcel ID]],7),SP_TaxPar_DB[Tax Parcel ID],0))</f>
        <v>222</v>
      </c>
      <c r="X320" s="238" t="str">
        <f>IF(OR(SP_ACQ_Lib[[#This Row],[Acquisition Tract No.]]="",SP_ACQ_Lib[[#This Row],[ACQ Document Type]]=""),0,CONCATENATE("COW-FRMP_TR-",SP_ACQ_Lib[[#This Row],[Acquisition Tract No.]]," ",SP_ACQ_Lib[[#This Row],[ACQ Document Type]]))</f>
        <v>COW-FRMP_TR-222 NEGOTIATION Landowner Bill of Rights Letter</v>
      </c>
      <c r="Y320" s="239">
        <f>IF(OR(SP_ACQ_Lib[[#This Row],[File Name Convention]]=0,LEFT(SP_ACQ_Lib[[#This Row],[Name]],LEN(SP_ACQ_Lib[[#This Row],[File Name Convention]]))&lt;&gt;SP_ACQ_Lib[[#This Row],[File Name Convention]],ISERROR(SEARCH(SP_ACQ_Lib[[#This Row],[ACQ Document Type]],SP_ACQ_Lib[[#This Row],[Name]]))),1,0)</f>
        <v>0</v>
      </c>
    </row>
    <row r="321" spans="1:25" ht="15" x14ac:dyDescent="0.2">
      <c r="A321" s="157" t="str">
        <f>CONCATENATE(SP_ACQ_Lib[[#This Row],[Acquisition Tract No.]],"_",SP_ACQ_Lib[[#This Row],[ACQ Document Type]])</f>
        <v>222_SURVEY Description-Plat_CITY</v>
      </c>
      <c r="B321" s="14" t="s">
        <v>4580</v>
      </c>
      <c r="C321" s="45" t="s">
        <v>149</v>
      </c>
      <c r="D321" s="12" t="s">
        <v>636</v>
      </c>
      <c r="E321" s="8" t="s">
        <v>858</v>
      </c>
      <c r="F321" s="8" t="s">
        <v>3503</v>
      </c>
      <c r="G321" s="8" t="s">
        <v>3502</v>
      </c>
      <c r="H321" s="7" t="s">
        <v>1749</v>
      </c>
      <c r="I321" s="16">
        <v>43901</v>
      </c>
      <c r="J321" s="16">
        <v>43913</v>
      </c>
      <c r="K321" s="17"/>
      <c r="L321" s="3"/>
      <c r="M321" s="8" t="s">
        <v>4206</v>
      </c>
      <c r="N321" s="11">
        <v>43937.586909722224</v>
      </c>
      <c r="O321" s="8" t="s">
        <v>4205</v>
      </c>
      <c r="P321" s="11">
        <v>43913.536956018521</v>
      </c>
      <c r="Q321" s="13">
        <v>236047</v>
      </c>
      <c r="R321" s="46" t="s">
        <v>594</v>
      </c>
      <c r="S321" s="14" t="s">
        <v>4614</v>
      </c>
      <c r="T321" s="163">
        <v>784</v>
      </c>
      <c r="U321" s="164" t="str">
        <f>CONCATENATE(LEFT(SP_ACQ_Lib[[#This Row],[Tax Parcel ID]],7),"_",SP_ACQ_Lib[[#This Row],[ACQ Document Type]])</f>
        <v>R053130_SURVEY Description-Plat_CITY</v>
      </c>
      <c r="V321" s="65" t="str">
        <f>INDEX(SP_AcqTract_DB[WCAD Tax Parcel ID],MATCH(SP_ACQ_Lib[[#This Row],[Acquisition Tract No.]],SP_AcqTract_DB[Acquisition Tract No.],0))</f>
        <v>R053130;#34</v>
      </c>
      <c r="W321" s="48" t="str">
        <f>INDEX(SP_TaxPar_DB[Acquisition Tract No.],MATCH(LEFT(SP_ACQ_Lib[[#This Row],[Tax Parcel ID]],7),SP_TaxPar_DB[Tax Parcel ID],0))</f>
        <v>222</v>
      </c>
      <c r="X321" s="238" t="str">
        <f>IF(OR(SP_ACQ_Lib[[#This Row],[Acquisition Tract No.]]="",SP_ACQ_Lib[[#This Row],[ACQ Document Type]]=""),0,CONCATENATE("COW-FRMP_TR-",SP_ACQ_Lib[[#This Row],[Acquisition Tract No.]]," ",SP_ACQ_Lib[[#This Row],[ACQ Document Type]]))</f>
        <v>COW-FRMP_TR-222 SURVEY Description-Plat_CITY</v>
      </c>
      <c r="Y321" s="239">
        <f>IF(OR(SP_ACQ_Lib[[#This Row],[File Name Convention]]=0,LEFT(SP_ACQ_Lib[[#This Row],[Name]],LEN(SP_ACQ_Lib[[#This Row],[File Name Convention]]))&lt;&gt;SP_ACQ_Lib[[#This Row],[File Name Convention]],ISERROR(SEARCH(SP_ACQ_Lib[[#This Row],[ACQ Document Type]],SP_ACQ_Lib[[#This Row],[Name]]))),1,0)</f>
        <v>0</v>
      </c>
    </row>
    <row r="322" spans="1:25" ht="15" x14ac:dyDescent="0.2">
      <c r="A322" s="157" t="str">
        <f>CONCATENATE(SP_ACQ_Lib[[#This Row],[Acquisition Tract No.]],"_",SP_ACQ_Lib[[#This Row],[ACQ Document Type]])</f>
        <v>222_SURVEY Description-Plat_USACOE</v>
      </c>
      <c r="B322" s="14" t="s">
        <v>4979</v>
      </c>
      <c r="C322" s="45" t="s">
        <v>149</v>
      </c>
      <c r="D322" s="12" t="s">
        <v>636</v>
      </c>
      <c r="E322" s="8" t="s">
        <v>858</v>
      </c>
      <c r="F322" s="8" t="s">
        <v>3510</v>
      </c>
      <c r="G322" s="8" t="s">
        <v>3509</v>
      </c>
      <c r="H322" s="7" t="s">
        <v>592</v>
      </c>
      <c r="I322" s="16">
        <v>43901</v>
      </c>
      <c r="J322" s="16">
        <v>43948</v>
      </c>
      <c r="K322" s="17"/>
      <c r="L322" s="3"/>
      <c r="M322" s="8" t="s">
        <v>4206</v>
      </c>
      <c r="N322" s="11">
        <v>43950.363645833335</v>
      </c>
      <c r="O322" s="8" t="s">
        <v>4206</v>
      </c>
      <c r="P322" s="11">
        <v>43950.343194444446</v>
      </c>
      <c r="Q322" s="13">
        <v>241654</v>
      </c>
      <c r="R322" s="46" t="s">
        <v>594</v>
      </c>
      <c r="S322" s="14" t="s">
        <v>4997</v>
      </c>
      <c r="T322" s="163">
        <v>852</v>
      </c>
      <c r="U322" s="164" t="str">
        <f>CONCATENATE(LEFT(SP_ACQ_Lib[[#This Row],[Tax Parcel ID]],7),"_",SP_ACQ_Lib[[#This Row],[ACQ Document Type]])</f>
        <v>R053130_SURVEY Description-Plat_USACOE</v>
      </c>
      <c r="V322" s="65" t="str">
        <f>INDEX(SP_AcqTract_DB[WCAD Tax Parcel ID],MATCH(SP_ACQ_Lib[[#This Row],[Acquisition Tract No.]],SP_AcqTract_DB[Acquisition Tract No.],0))</f>
        <v>R053130;#34</v>
      </c>
      <c r="W322" s="48" t="str">
        <f>INDEX(SP_TaxPar_DB[Acquisition Tract No.],MATCH(LEFT(SP_ACQ_Lib[[#This Row],[Tax Parcel ID]],7),SP_TaxPar_DB[Tax Parcel ID],0))</f>
        <v>222</v>
      </c>
      <c r="X322" s="238" t="str">
        <f>IF(OR(SP_ACQ_Lib[[#This Row],[Acquisition Tract No.]]="",SP_ACQ_Lib[[#This Row],[ACQ Document Type]]=""),0,CONCATENATE("COW-FRMP_TR-",SP_ACQ_Lib[[#This Row],[Acquisition Tract No.]]," ",SP_ACQ_Lib[[#This Row],[ACQ Document Type]]))</f>
        <v>COW-FRMP_TR-222 SURVEY Description-Plat_USACOE</v>
      </c>
      <c r="Y322" s="239">
        <f>IF(OR(SP_ACQ_Lib[[#This Row],[File Name Convention]]=0,LEFT(SP_ACQ_Lib[[#This Row],[Name]],LEN(SP_ACQ_Lib[[#This Row],[File Name Convention]]))&lt;&gt;SP_ACQ_Lib[[#This Row],[File Name Convention]],ISERROR(SEARCH(SP_ACQ_Lib[[#This Row],[ACQ Document Type]],SP_ACQ_Lib[[#This Row],[Name]]))),1,0)</f>
        <v>0</v>
      </c>
    </row>
    <row r="323" spans="1:25" ht="15" x14ac:dyDescent="0.2">
      <c r="A323" s="157" t="str">
        <f>CONCATENATE(SP_ACQ_Lib[[#This Row],[Acquisition Tract No.]],"_",SP_ACQ_Lib[[#This Row],[ACQ Document Type]])</f>
        <v>222_SURVEY Right-of-Entry CMRR</v>
      </c>
      <c r="B323" s="14" t="s">
        <v>4581</v>
      </c>
      <c r="C323" s="45" t="s">
        <v>149</v>
      </c>
      <c r="D323" s="12" t="s">
        <v>636</v>
      </c>
      <c r="E323" s="8" t="s">
        <v>858</v>
      </c>
      <c r="F323" s="8" t="s">
        <v>860</v>
      </c>
      <c r="G323" s="8" t="s">
        <v>598</v>
      </c>
      <c r="H323" s="7" t="s">
        <v>608</v>
      </c>
      <c r="I323" s="16">
        <v>43691</v>
      </c>
      <c r="J323" s="16">
        <v>43701</v>
      </c>
      <c r="K323" s="17"/>
      <c r="L323" s="3" t="s">
        <v>4560</v>
      </c>
      <c r="M323" s="8" t="s">
        <v>4206</v>
      </c>
      <c r="N323" s="11">
        <v>43923.477824074071</v>
      </c>
      <c r="O323" s="8" t="s">
        <v>4325</v>
      </c>
      <c r="P323" s="11">
        <v>43699.453506944446</v>
      </c>
      <c r="Q323" s="13">
        <v>1146714</v>
      </c>
      <c r="R323" s="46" t="s">
        <v>594</v>
      </c>
      <c r="S323" s="14" t="s">
        <v>769</v>
      </c>
      <c r="T323" s="163">
        <v>121</v>
      </c>
      <c r="U323" s="164" t="str">
        <f>CONCATENATE(LEFT(SP_ACQ_Lib[[#This Row],[Tax Parcel ID]],7),"_",SP_ACQ_Lib[[#This Row],[ACQ Document Type]])</f>
        <v>R053130_SURVEY Right-of-Entry CMRR</v>
      </c>
      <c r="V323" s="65" t="str">
        <f>INDEX(SP_AcqTract_DB[WCAD Tax Parcel ID],MATCH(SP_ACQ_Lib[[#This Row],[Acquisition Tract No.]],SP_AcqTract_DB[Acquisition Tract No.],0))</f>
        <v>R053130;#34</v>
      </c>
      <c r="W323" s="48" t="str">
        <f>INDEX(SP_TaxPar_DB[Acquisition Tract No.],MATCH(LEFT(SP_ACQ_Lib[[#This Row],[Tax Parcel ID]],7),SP_TaxPar_DB[Tax Parcel ID],0))</f>
        <v>222</v>
      </c>
      <c r="X323" s="238" t="str">
        <f>IF(OR(SP_ACQ_Lib[[#This Row],[Acquisition Tract No.]]="",SP_ACQ_Lib[[#This Row],[ACQ Document Type]]=""),0,CONCATENATE("COW-FRMP_TR-",SP_ACQ_Lib[[#This Row],[Acquisition Tract No.]]," ",SP_ACQ_Lib[[#This Row],[ACQ Document Type]]))</f>
        <v>COW-FRMP_TR-222 SURVEY Right-of-Entry CMRR</v>
      </c>
      <c r="Y323" s="239">
        <f>IF(OR(SP_ACQ_Lib[[#This Row],[File Name Convention]]=0,LEFT(SP_ACQ_Lib[[#This Row],[Name]],LEN(SP_ACQ_Lib[[#This Row],[File Name Convention]]))&lt;&gt;SP_ACQ_Lib[[#This Row],[File Name Convention]],ISERROR(SEARCH(SP_ACQ_Lib[[#This Row],[ACQ Document Type]],SP_ACQ_Lib[[#This Row],[Name]]))),1,0)</f>
        <v>0</v>
      </c>
    </row>
    <row r="324" spans="1:25" ht="15" x14ac:dyDescent="0.2">
      <c r="A324" s="157" t="str">
        <f>CONCATENATE(SP_ACQ_Lib[[#This Row],[Acquisition Tract No.]],"_",SP_ACQ_Lib[[#This Row],[ACQ Document Type]])</f>
        <v>222_TITLE Commitment</v>
      </c>
      <c r="B324" s="14" t="s">
        <v>1499</v>
      </c>
      <c r="C324" s="45" t="s">
        <v>149</v>
      </c>
      <c r="D324" s="12" t="s">
        <v>636</v>
      </c>
      <c r="E324" s="8" t="s">
        <v>861</v>
      </c>
      <c r="F324" s="8" t="s">
        <v>862</v>
      </c>
      <c r="G324" s="8" t="s">
        <v>614</v>
      </c>
      <c r="H324" s="7" t="s">
        <v>592</v>
      </c>
      <c r="I324" s="16">
        <v>43952</v>
      </c>
      <c r="J324" s="16">
        <v>43963</v>
      </c>
      <c r="K324" s="17">
        <v>405</v>
      </c>
      <c r="L324" s="3" t="s">
        <v>637</v>
      </c>
      <c r="M324" s="8" t="s">
        <v>4325</v>
      </c>
      <c r="N324" s="11">
        <v>43963.481319444443</v>
      </c>
      <c r="O324" s="8" t="s">
        <v>4325</v>
      </c>
      <c r="P324" s="11">
        <v>43700.451840277776</v>
      </c>
      <c r="Q324" s="13">
        <v>522744</v>
      </c>
      <c r="R324" s="46" t="s">
        <v>594</v>
      </c>
      <c r="S324" s="14" t="s">
        <v>770</v>
      </c>
      <c r="T324" s="163">
        <v>152</v>
      </c>
      <c r="U324" s="164" t="str">
        <f>CONCATENATE(LEFT(SP_ACQ_Lib[[#This Row],[Tax Parcel ID]],7),"_",SP_ACQ_Lib[[#This Row],[ACQ Document Type]])</f>
        <v>R053130_TITLE Commitment</v>
      </c>
      <c r="V324" s="65" t="str">
        <f>INDEX(SP_AcqTract_DB[WCAD Tax Parcel ID],MATCH(SP_ACQ_Lib[[#This Row],[Acquisition Tract No.]],SP_AcqTract_DB[Acquisition Tract No.],0))</f>
        <v>R053130;#34</v>
      </c>
      <c r="W324" s="48" t="str">
        <f>INDEX(SP_TaxPar_DB[Acquisition Tract No.],MATCH(LEFT(SP_ACQ_Lib[[#This Row],[Tax Parcel ID]],7),SP_TaxPar_DB[Tax Parcel ID],0))</f>
        <v>222</v>
      </c>
      <c r="X324" s="238" t="str">
        <f>IF(OR(SP_ACQ_Lib[[#This Row],[Acquisition Tract No.]]="",SP_ACQ_Lib[[#This Row],[ACQ Document Type]]=""),0,CONCATENATE("COW-FRMP_TR-",SP_ACQ_Lib[[#This Row],[Acquisition Tract No.]]," ",SP_ACQ_Lib[[#This Row],[ACQ Document Type]]))</f>
        <v>COW-FRMP_TR-222 TITLE Commitment</v>
      </c>
      <c r="Y324" s="239">
        <f>IF(OR(SP_ACQ_Lib[[#This Row],[File Name Convention]]=0,LEFT(SP_ACQ_Lib[[#This Row],[Name]],LEN(SP_ACQ_Lib[[#This Row],[File Name Convention]]))&lt;&gt;SP_ACQ_Lib[[#This Row],[File Name Convention]],ISERROR(SEARCH(SP_ACQ_Lib[[#This Row],[ACQ Document Type]],SP_ACQ_Lib[[#This Row],[Name]]))),1,0)</f>
        <v>0</v>
      </c>
    </row>
    <row r="325" spans="1:25" ht="15" x14ac:dyDescent="0.2">
      <c r="A325" s="157" t="str">
        <f>CONCATENATE(SP_ACQ_Lib[[#This Row],[Acquisition Tract No.]],"_",SP_ACQ_Lib[[#This Row],[ACQ Document Type]])</f>
        <v>222_TITLE Commitment Backup Docs</v>
      </c>
      <c r="B325" s="14" t="s">
        <v>5541</v>
      </c>
      <c r="C325" s="45" t="s">
        <v>149</v>
      </c>
      <c r="D325" s="12" t="s">
        <v>636</v>
      </c>
      <c r="E325" s="8" t="s">
        <v>861</v>
      </c>
      <c r="F325" s="8" t="s">
        <v>863</v>
      </c>
      <c r="G325" s="8" t="s">
        <v>616</v>
      </c>
      <c r="H325" s="7" t="s">
        <v>592</v>
      </c>
      <c r="I325" s="16"/>
      <c r="J325" s="16"/>
      <c r="K325" s="17"/>
      <c r="L325" s="3"/>
      <c r="M325" s="8" t="s">
        <v>4206</v>
      </c>
      <c r="N325" s="11">
        <v>43983.520138888889</v>
      </c>
      <c r="O325" s="8" t="s">
        <v>4325</v>
      </c>
      <c r="P325" s="11">
        <v>43700.456574074073</v>
      </c>
      <c r="Q325" s="13">
        <v>240427</v>
      </c>
      <c r="R325" s="46" t="s">
        <v>594</v>
      </c>
      <c r="S325" s="14" t="s">
        <v>771</v>
      </c>
      <c r="T325" s="163">
        <v>153</v>
      </c>
      <c r="U325" s="164" t="str">
        <f>CONCATENATE(LEFT(SP_ACQ_Lib[[#This Row],[Tax Parcel ID]],7),"_",SP_ACQ_Lib[[#This Row],[ACQ Document Type]])</f>
        <v>R053130_TITLE Commitment Backup Docs</v>
      </c>
      <c r="V325" s="65" t="str">
        <f>INDEX(SP_AcqTract_DB[WCAD Tax Parcel ID],MATCH(SP_ACQ_Lib[[#This Row],[Acquisition Tract No.]],SP_AcqTract_DB[Acquisition Tract No.],0))</f>
        <v>R053130;#34</v>
      </c>
      <c r="W325" s="48" t="str">
        <f>INDEX(SP_TaxPar_DB[Acquisition Tract No.],MATCH(LEFT(SP_ACQ_Lib[[#This Row],[Tax Parcel ID]],7),SP_TaxPar_DB[Tax Parcel ID],0))</f>
        <v>222</v>
      </c>
      <c r="X325" s="238" t="str">
        <f>IF(OR(SP_ACQ_Lib[[#This Row],[Acquisition Tract No.]]="",SP_ACQ_Lib[[#This Row],[ACQ Document Type]]=""),0,CONCATENATE("COW-FRMP_TR-",SP_ACQ_Lib[[#This Row],[Acquisition Tract No.]]," ",SP_ACQ_Lib[[#This Row],[ACQ Document Type]]))</f>
        <v>COW-FRMP_TR-222 TITLE Commitment Backup Docs</v>
      </c>
      <c r="Y325" s="239">
        <f>IF(OR(SP_ACQ_Lib[[#This Row],[File Name Convention]]=0,LEFT(SP_ACQ_Lib[[#This Row],[Name]],LEN(SP_ACQ_Lib[[#This Row],[File Name Convention]]))&lt;&gt;SP_ACQ_Lib[[#This Row],[File Name Convention]],ISERROR(SEARCH(SP_ACQ_Lib[[#This Row],[ACQ Document Type]],SP_ACQ_Lib[[#This Row],[Name]]))),1,0)</f>
        <v>0</v>
      </c>
    </row>
    <row r="326" spans="1:25" ht="15" x14ac:dyDescent="0.2">
      <c r="A326" s="157" t="str">
        <f>CONCATENATE(SP_ACQ_Lib[[#This Row],[Acquisition Tract No.]],"_",SP_ACQ_Lib[[#This Row],[ACQ Document Type]])</f>
        <v>222_TITLE Curative Plan</v>
      </c>
      <c r="B326" s="14" t="s">
        <v>1500</v>
      </c>
      <c r="C326" s="45" t="s">
        <v>149</v>
      </c>
      <c r="D326" s="12" t="s">
        <v>636</v>
      </c>
      <c r="E326" s="8" t="s">
        <v>861</v>
      </c>
      <c r="F326" s="8" t="s">
        <v>864</v>
      </c>
      <c r="G326" s="8" t="s">
        <v>617</v>
      </c>
      <c r="H326" s="7" t="s">
        <v>592</v>
      </c>
      <c r="I326" s="16">
        <v>43810</v>
      </c>
      <c r="J326" s="16"/>
      <c r="K326" s="17"/>
      <c r="L326" s="3"/>
      <c r="M326" s="8" t="s">
        <v>4325</v>
      </c>
      <c r="N326" s="11">
        <v>43963.480057870373</v>
      </c>
      <c r="O326" s="8" t="s">
        <v>4326</v>
      </c>
      <c r="P326" s="11">
        <v>43745.511863425927</v>
      </c>
      <c r="Q326" s="13">
        <v>37430</v>
      </c>
      <c r="R326" s="46" t="s">
        <v>594</v>
      </c>
      <c r="S326" s="14" t="s">
        <v>1212</v>
      </c>
      <c r="T326" s="163">
        <v>399</v>
      </c>
      <c r="U326" s="164" t="str">
        <f>CONCATENATE(LEFT(SP_ACQ_Lib[[#This Row],[Tax Parcel ID]],7),"_",SP_ACQ_Lib[[#This Row],[ACQ Document Type]])</f>
        <v>R053130_TITLE Curative Plan</v>
      </c>
      <c r="V326" s="65" t="str">
        <f>INDEX(SP_AcqTract_DB[WCAD Tax Parcel ID],MATCH(SP_ACQ_Lib[[#This Row],[Acquisition Tract No.]],SP_AcqTract_DB[Acquisition Tract No.],0))</f>
        <v>R053130;#34</v>
      </c>
      <c r="W326" s="48" t="str">
        <f>INDEX(SP_TaxPar_DB[Acquisition Tract No.],MATCH(LEFT(SP_ACQ_Lib[[#This Row],[Tax Parcel ID]],7),SP_TaxPar_DB[Tax Parcel ID],0))</f>
        <v>222</v>
      </c>
      <c r="X326" s="238" t="str">
        <f>IF(OR(SP_ACQ_Lib[[#This Row],[Acquisition Tract No.]]="",SP_ACQ_Lib[[#This Row],[ACQ Document Type]]=""),0,CONCATENATE("COW-FRMP_TR-",SP_ACQ_Lib[[#This Row],[Acquisition Tract No.]]," ",SP_ACQ_Lib[[#This Row],[ACQ Document Type]]))</f>
        <v>COW-FRMP_TR-222 TITLE Curative Plan</v>
      </c>
      <c r="Y326" s="239">
        <f>IF(OR(SP_ACQ_Lib[[#This Row],[File Name Convention]]=0,LEFT(SP_ACQ_Lib[[#This Row],[Name]],LEN(SP_ACQ_Lib[[#This Row],[File Name Convention]]))&lt;&gt;SP_ACQ_Lib[[#This Row],[File Name Convention]],ISERROR(SEARCH(SP_ACQ_Lib[[#This Row],[ACQ Document Type]],SP_ACQ_Lib[[#This Row],[Name]]))),1,0)</f>
        <v>0</v>
      </c>
    </row>
    <row r="327" spans="1:25" ht="15" x14ac:dyDescent="0.2">
      <c r="A327" s="157" t="str">
        <f>CONCATENATE(SP_ACQ_Lib[[#This Row],[Acquisition Tract No.]],"_",SP_ACQ_Lib[[#This Row],[ACQ Document Type]])</f>
        <v>222_TITLE Tax Card</v>
      </c>
      <c r="B327" s="14" t="s">
        <v>3453</v>
      </c>
      <c r="C327" s="45" t="s">
        <v>149</v>
      </c>
      <c r="D327" s="12" t="s">
        <v>636</v>
      </c>
      <c r="E327" s="8" t="s">
        <v>861</v>
      </c>
      <c r="F327" s="8" t="s">
        <v>1150</v>
      </c>
      <c r="G327" s="8" t="s">
        <v>1149</v>
      </c>
      <c r="H327" s="7" t="s">
        <v>592</v>
      </c>
      <c r="I327" s="16"/>
      <c r="J327" s="16"/>
      <c r="K327" s="17"/>
      <c r="L327" s="3"/>
      <c r="M327" s="8" t="s">
        <v>4206</v>
      </c>
      <c r="N327" s="11">
        <v>43874.592233796298</v>
      </c>
      <c r="O327" s="8" t="s">
        <v>1272</v>
      </c>
      <c r="P327" s="11">
        <v>43817.479768518519</v>
      </c>
      <c r="Q327" s="13">
        <v>558619</v>
      </c>
      <c r="R327" s="46" t="s">
        <v>594</v>
      </c>
      <c r="S327" s="14" t="s">
        <v>1782</v>
      </c>
      <c r="T327" s="163">
        <v>635</v>
      </c>
      <c r="U327" s="164" t="str">
        <f>CONCATENATE(LEFT(SP_ACQ_Lib[[#This Row],[Tax Parcel ID]],7),"_",SP_ACQ_Lib[[#This Row],[ACQ Document Type]])</f>
        <v>R053130_TITLE Tax Card</v>
      </c>
      <c r="V327" s="65" t="str">
        <f>INDEX(SP_AcqTract_DB[WCAD Tax Parcel ID],MATCH(SP_ACQ_Lib[[#This Row],[Acquisition Tract No.]],SP_AcqTract_DB[Acquisition Tract No.],0))</f>
        <v>R053130;#34</v>
      </c>
      <c r="W327" s="48" t="str">
        <f>INDEX(SP_TaxPar_DB[Acquisition Tract No.],MATCH(LEFT(SP_ACQ_Lib[[#This Row],[Tax Parcel ID]],7),SP_TaxPar_DB[Tax Parcel ID],0))</f>
        <v>222</v>
      </c>
      <c r="X327" s="238" t="str">
        <f>IF(OR(SP_ACQ_Lib[[#This Row],[Acquisition Tract No.]]="",SP_ACQ_Lib[[#This Row],[ACQ Document Type]]=""),0,CONCATENATE("COW-FRMP_TR-",SP_ACQ_Lib[[#This Row],[Acquisition Tract No.]]," ",SP_ACQ_Lib[[#This Row],[ACQ Document Type]]))</f>
        <v>COW-FRMP_TR-222 TITLE Tax Card</v>
      </c>
      <c r="Y327" s="239">
        <f>IF(OR(SP_ACQ_Lib[[#This Row],[File Name Convention]]=0,LEFT(SP_ACQ_Lib[[#This Row],[Name]],LEN(SP_ACQ_Lib[[#This Row],[File Name Convention]]))&lt;&gt;SP_ACQ_Lib[[#This Row],[File Name Convention]],ISERROR(SEARCH(SP_ACQ_Lib[[#This Row],[ACQ Document Type]],SP_ACQ_Lib[[#This Row],[Name]]))),1,0)</f>
        <v>0</v>
      </c>
    </row>
    <row r="328" spans="1:25" ht="15" x14ac:dyDescent="0.2">
      <c r="A328" s="157" t="str">
        <f>CONCATENATE(SP_ACQ_Lib[[#This Row],[Acquisition Tract No.]],"_",SP_ACQ_Lib[[#This Row],[ACQ Document Type]])</f>
        <v>223_APPRAISAL Final Appraisal</v>
      </c>
      <c r="B328" s="14" t="s">
        <v>6314</v>
      </c>
      <c r="C328" s="45" t="s">
        <v>154</v>
      </c>
      <c r="D328" s="12" t="s">
        <v>638</v>
      </c>
      <c r="E328" s="8" t="s">
        <v>1131</v>
      </c>
      <c r="F328" s="8" t="s">
        <v>4755</v>
      </c>
      <c r="G328" s="8" t="s">
        <v>4754</v>
      </c>
      <c r="H328" s="7" t="s">
        <v>592</v>
      </c>
      <c r="I328" s="16">
        <v>43962</v>
      </c>
      <c r="J328" s="16"/>
      <c r="K328" s="17">
        <v>4767</v>
      </c>
      <c r="L328" s="3"/>
      <c r="M328" s="8" t="s">
        <v>4206</v>
      </c>
      <c r="N328" s="11">
        <v>44004.571689814817</v>
      </c>
      <c r="O328" s="8" t="s">
        <v>4206</v>
      </c>
      <c r="P328" s="11">
        <v>44004.568506944444</v>
      </c>
      <c r="Q328" s="13">
        <v>8176404</v>
      </c>
      <c r="R328" s="46" t="s">
        <v>594</v>
      </c>
      <c r="S328" s="14" t="s">
        <v>6383</v>
      </c>
      <c r="T328" s="163">
        <v>1249</v>
      </c>
      <c r="U328" s="164" t="str">
        <f>CONCATENATE(LEFT(SP_ACQ_Lib[[#This Row],[Tax Parcel ID]],7),"_",SP_ACQ_Lib[[#This Row],[ACQ Document Type]])</f>
        <v>R023694_APPRAISAL Final Appraisal</v>
      </c>
      <c r="V328" s="65" t="str">
        <f>INDEX(SP_AcqTract_DB[WCAD Tax Parcel ID],MATCH(SP_ACQ_Lib[[#This Row],[Acquisition Tract No.]],SP_AcqTract_DB[Acquisition Tract No.],0))</f>
        <v>R023694;#35</v>
      </c>
      <c r="W328" s="48" t="str">
        <f>INDEX(SP_TaxPar_DB[Acquisition Tract No.],MATCH(LEFT(SP_ACQ_Lib[[#This Row],[Tax Parcel ID]],7),SP_TaxPar_DB[Tax Parcel ID],0))</f>
        <v>223</v>
      </c>
      <c r="X328" s="238" t="str">
        <f>IF(OR(SP_ACQ_Lib[[#This Row],[Acquisition Tract No.]]="",SP_ACQ_Lib[[#This Row],[ACQ Document Type]]=""),0,CONCATENATE("COW-FRMP_TR-",SP_ACQ_Lib[[#This Row],[Acquisition Tract No.]]," ",SP_ACQ_Lib[[#This Row],[ACQ Document Type]]))</f>
        <v>COW-FRMP_TR-223 APPRAISAL Final Appraisal</v>
      </c>
      <c r="Y328" s="239">
        <f>IF(OR(SP_ACQ_Lib[[#This Row],[File Name Convention]]=0,LEFT(SP_ACQ_Lib[[#This Row],[Name]],LEN(SP_ACQ_Lib[[#This Row],[File Name Convention]]))&lt;&gt;SP_ACQ_Lib[[#This Row],[File Name Convention]],ISERROR(SEARCH(SP_ACQ_Lib[[#This Row],[ACQ Document Type]],SP_ACQ_Lib[[#This Row],[Name]]))),1,0)</f>
        <v>0</v>
      </c>
    </row>
    <row r="329" spans="1:25" ht="15" x14ac:dyDescent="0.2">
      <c r="A329" s="157" t="str">
        <f>CONCATENATE(SP_ACQ_Lib[[#This Row],[Acquisition Tract No.]],"_",SP_ACQ_Lib[[#This Row],[ACQ Document Type]])</f>
        <v>223_APPRAISAL Just Compensation Memo</v>
      </c>
      <c r="B329" s="14" t="s">
        <v>6315</v>
      </c>
      <c r="C329" s="45" t="s">
        <v>154</v>
      </c>
      <c r="D329" s="12" t="s">
        <v>638</v>
      </c>
      <c r="E329" s="8" t="s">
        <v>1131</v>
      </c>
      <c r="F329" s="8" t="s">
        <v>4757</v>
      </c>
      <c r="G329" s="8" t="s">
        <v>4756</v>
      </c>
      <c r="H329" s="7" t="s">
        <v>592</v>
      </c>
      <c r="I329" s="16">
        <v>44004</v>
      </c>
      <c r="J329" s="16">
        <v>44004</v>
      </c>
      <c r="K329" s="17">
        <v>4767</v>
      </c>
      <c r="L329" s="3"/>
      <c r="M329" s="8" t="s">
        <v>4206</v>
      </c>
      <c r="N329" s="11">
        <v>44006.408275462964</v>
      </c>
      <c r="O329" s="8" t="s">
        <v>4206</v>
      </c>
      <c r="P329" s="11">
        <v>44004.568506944444</v>
      </c>
      <c r="Q329" s="13">
        <v>23162</v>
      </c>
      <c r="R329" s="46" t="s">
        <v>594</v>
      </c>
      <c r="S329" s="14" t="s">
        <v>6384</v>
      </c>
      <c r="T329" s="163">
        <v>1250</v>
      </c>
      <c r="U329" s="164" t="str">
        <f>CONCATENATE(LEFT(SP_ACQ_Lib[[#This Row],[Tax Parcel ID]],7),"_",SP_ACQ_Lib[[#This Row],[ACQ Document Type]])</f>
        <v>R023694_APPRAISAL Just Compensation Memo</v>
      </c>
      <c r="V329" s="65" t="str">
        <f>INDEX(SP_AcqTract_DB[WCAD Tax Parcel ID],MATCH(SP_ACQ_Lib[[#This Row],[Acquisition Tract No.]],SP_AcqTract_DB[Acquisition Tract No.],0))</f>
        <v>R023694;#35</v>
      </c>
      <c r="W329" s="48" t="str">
        <f>INDEX(SP_TaxPar_DB[Acquisition Tract No.],MATCH(LEFT(SP_ACQ_Lib[[#This Row],[Tax Parcel ID]],7),SP_TaxPar_DB[Tax Parcel ID],0))</f>
        <v>223</v>
      </c>
      <c r="X329" s="238" t="str">
        <f>IF(OR(SP_ACQ_Lib[[#This Row],[Acquisition Tract No.]]="",SP_ACQ_Lib[[#This Row],[ACQ Document Type]]=""),0,CONCATENATE("COW-FRMP_TR-",SP_ACQ_Lib[[#This Row],[Acquisition Tract No.]]," ",SP_ACQ_Lib[[#This Row],[ACQ Document Type]]))</f>
        <v>COW-FRMP_TR-223 APPRAISAL Just Compensation Memo</v>
      </c>
      <c r="Y329" s="239">
        <f>IF(OR(SP_ACQ_Lib[[#This Row],[File Name Convention]]=0,LEFT(SP_ACQ_Lib[[#This Row],[Name]],LEN(SP_ACQ_Lib[[#This Row],[File Name Convention]]))&lt;&gt;SP_ACQ_Lib[[#This Row],[File Name Convention]],ISERROR(SEARCH(SP_ACQ_Lib[[#This Row],[ACQ Document Type]],SP_ACQ_Lib[[#This Row],[Name]]))),1,0)</f>
        <v>0</v>
      </c>
    </row>
    <row r="330" spans="1:25" ht="15" x14ac:dyDescent="0.2">
      <c r="A330" s="157" t="str">
        <f>CONCATENATE(SP_ACQ_Lib[[#This Row],[Acquisition Tract No.]],"_",SP_ACQ_Lib[[#This Row],[ACQ Document Type]])</f>
        <v>223_APPRAISAL USACOE Authorization to Proceed with Offer</v>
      </c>
      <c r="B330" s="14" t="s">
        <v>6316</v>
      </c>
      <c r="C330" s="45" t="s">
        <v>154</v>
      </c>
      <c r="D330" s="12" t="s">
        <v>638</v>
      </c>
      <c r="E330" s="8" t="s">
        <v>1131</v>
      </c>
      <c r="F330" s="8" t="s">
        <v>4959</v>
      </c>
      <c r="G330" s="8" t="s">
        <v>4958</v>
      </c>
      <c r="H330" s="7" t="s">
        <v>592</v>
      </c>
      <c r="I330" s="16">
        <v>44004</v>
      </c>
      <c r="J330" s="16">
        <v>44004</v>
      </c>
      <c r="K330" s="17">
        <v>4767</v>
      </c>
      <c r="L330" s="3"/>
      <c r="M330" s="8" t="s">
        <v>4206</v>
      </c>
      <c r="N330" s="11">
        <v>44006.408414351848</v>
      </c>
      <c r="O330" s="8" t="s">
        <v>4206</v>
      </c>
      <c r="P330" s="11">
        <v>44004.568518518521</v>
      </c>
      <c r="Q330" s="13">
        <v>418897</v>
      </c>
      <c r="R330" s="46" t="s">
        <v>594</v>
      </c>
      <c r="S330" s="14" t="s">
        <v>6385</v>
      </c>
      <c r="T330" s="163">
        <v>1251</v>
      </c>
      <c r="U330" s="164" t="str">
        <f>CONCATENATE(LEFT(SP_ACQ_Lib[[#This Row],[Tax Parcel ID]],7),"_",SP_ACQ_Lib[[#This Row],[ACQ Document Type]])</f>
        <v>R023694_APPRAISAL USACOE Authorization to Proceed with Offer</v>
      </c>
      <c r="V330" s="65" t="str">
        <f>INDEX(SP_AcqTract_DB[WCAD Tax Parcel ID],MATCH(SP_ACQ_Lib[[#This Row],[Acquisition Tract No.]],SP_AcqTract_DB[Acquisition Tract No.],0))</f>
        <v>R023694;#35</v>
      </c>
      <c r="W330" s="48" t="str">
        <f>INDEX(SP_TaxPar_DB[Acquisition Tract No.],MATCH(LEFT(SP_ACQ_Lib[[#This Row],[Tax Parcel ID]],7),SP_TaxPar_DB[Tax Parcel ID],0))</f>
        <v>223</v>
      </c>
      <c r="X330" s="238" t="str">
        <f>IF(OR(SP_ACQ_Lib[[#This Row],[Acquisition Tract No.]]="",SP_ACQ_Lib[[#This Row],[ACQ Document Type]]=""),0,CONCATENATE("COW-FRMP_TR-",SP_ACQ_Lib[[#This Row],[Acquisition Tract No.]]," ",SP_ACQ_Lib[[#This Row],[ACQ Document Type]]))</f>
        <v>COW-FRMP_TR-223 APPRAISAL USACOE Authorization to Proceed with Offer</v>
      </c>
      <c r="Y330" s="239">
        <f>IF(OR(SP_ACQ_Lib[[#This Row],[File Name Convention]]=0,LEFT(SP_ACQ_Lib[[#This Row],[Name]],LEN(SP_ACQ_Lib[[#This Row],[File Name Convention]]))&lt;&gt;SP_ACQ_Lib[[#This Row],[File Name Convention]],ISERROR(SEARCH(SP_ACQ_Lib[[#This Row],[ACQ Document Type]],SP_ACQ_Lib[[#This Row],[Name]]))),1,0)</f>
        <v>0</v>
      </c>
    </row>
    <row r="331" spans="1:25" ht="15" x14ac:dyDescent="0.2">
      <c r="A331" s="157" t="str">
        <f>CONCATENATE(SP_ACQ_Lib[[#This Row],[Acquisition Tract No.]],"_",SP_ACQ_Lib[[#This Row],[ACQ Document Type]])</f>
        <v>223_CONTACT Letter of Intent-HDR</v>
      </c>
      <c r="B331" s="14" t="s">
        <v>1501</v>
      </c>
      <c r="C331" s="45" t="s">
        <v>154</v>
      </c>
      <c r="D331" s="12" t="s">
        <v>638</v>
      </c>
      <c r="E331" s="8" t="s">
        <v>865</v>
      </c>
      <c r="F331" s="8" t="s">
        <v>1401</v>
      </c>
      <c r="G331" s="8" t="s">
        <v>1400</v>
      </c>
      <c r="H331" s="7" t="s">
        <v>592</v>
      </c>
      <c r="I331" s="16">
        <v>43765</v>
      </c>
      <c r="J331" s="16"/>
      <c r="K331" s="17"/>
      <c r="L331" s="3"/>
      <c r="M331" s="8" t="s">
        <v>23</v>
      </c>
      <c r="N331" s="11">
        <v>43770.449166666665</v>
      </c>
      <c r="O331" s="8" t="s">
        <v>1402</v>
      </c>
      <c r="P331" s="11">
        <v>43769.621493055558</v>
      </c>
      <c r="Q331" s="13">
        <v>326383</v>
      </c>
      <c r="R331" s="46" t="s">
        <v>594</v>
      </c>
      <c r="S331" s="14" t="s">
        <v>1636</v>
      </c>
      <c r="T331" s="163">
        <v>513</v>
      </c>
      <c r="U331" s="164" t="str">
        <f>CONCATENATE(LEFT(SP_ACQ_Lib[[#This Row],[Tax Parcel ID]],7),"_",SP_ACQ_Lib[[#This Row],[ACQ Document Type]])</f>
        <v>R023694_CONTACT Letter of Intent-HDR</v>
      </c>
      <c r="V331" s="65" t="str">
        <f>INDEX(SP_AcqTract_DB[WCAD Tax Parcel ID],MATCH(SP_ACQ_Lib[[#This Row],[Acquisition Tract No.]],SP_AcqTract_DB[Acquisition Tract No.],0))</f>
        <v>R023694;#35</v>
      </c>
      <c r="W331" s="48" t="str">
        <f>INDEX(SP_TaxPar_DB[Acquisition Tract No.],MATCH(LEFT(SP_ACQ_Lib[[#This Row],[Tax Parcel ID]],7),SP_TaxPar_DB[Tax Parcel ID],0))</f>
        <v>223</v>
      </c>
      <c r="X331" s="238" t="str">
        <f>IF(OR(SP_ACQ_Lib[[#This Row],[Acquisition Tract No.]]="",SP_ACQ_Lib[[#This Row],[ACQ Document Type]]=""),0,CONCATENATE("COW-FRMP_TR-",SP_ACQ_Lib[[#This Row],[Acquisition Tract No.]]," ",SP_ACQ_Lib[[#This Row],[ACQ Document Type]]))</f>
        <v>COW-FRMP_TR-223 CONTACT Letter of Intent-HDR</v>
      </c>
      <c r="Y331" s="239">
        <f>IF(OR(SP_ACQ_Lib[[#This Row],[File Name Convention]]=0,LEFT(SP_ACQ_Lib[[#This Row],[Name]],LEN(SP_ACQ_Lib[[#This Row],[File Name Convention]]))&lt;&gt;SP_ACQ_Lib[[#This Row],[File Name Convention]],ISERROR(SEARCH(SP_ACQ_Lib[[#This Row],[ACQ Document Type]],SP_ACQ_Lib[[#This Row],[Name]]))),1,0)</f>
        <v>0</v>
      </c>
    </row>
    <row r="332" spans="1:25" ht="15" x14ac:dyDescent="0.2">
      <c r="A332" s="157" t="str">
        <f>CONCATENATE(SP_ACQ_Lib[[#This Row],[Acquisition Tract No.]],"_",SP_ACQ_Lib[[#This Row],[ACQ Document Type]])</f>
        <v>223_CONTACT Negotiator Report</v>
      </c>
      <c r="B332" s="14" t="s">
        <v>3392</v>
      </c>
      <c r="C332" s="45" t="s">
        <v>154</v>
      </c>
      <c r="D332" s="12" t="s">
        <v>638</v>
      </c>
      <c r="E332" s="8" t="s">
        <v>865</v>
      </c>
      <c r="F332" s="8" t="s">
        <v>1068</v>
      </c>
      <c r="G332" s="8" t="s">
        <v>1067</v>
      </c>
      <c r="H332" s="7" t="s">
        <v>592</v>
      </c>
      <c r="I332" s="16"/>
      <c r="J332" s="16"/>
      <c r="K332" s="17"/>
      <c r="L332" s="3"/>
      <c r="M332" s="8" t="s">
        <v>1743</v>
      </c>
      <c r="N332" s="11">
        <v>44005.793263888889</v>
      </c>
      <c r="O332" s="8" t="s">
        <v>4207</v>
      </c>
      <c r="P332" s="11">
        <v>43728.552152777775</v>
      </c>
      <c r="Q332" s="13">
        <v>385431</v>
      </c>
      <c r="R332" s="46" t="s">
        <v>1069</v>
      </c>
      <c r="S332" s="14" t="s">
        <v>1092</v>
      </c>
      <c r="T332" s="163">
        <v>307</v>
      </c>
      <c r="U332" s="164" t="str">
        <f>CONCATENATE(LEFT(SP_ACQ_Lib[[#This Row],[Tax Parcel ID]],7),"_",SP_ACQ_Lib[[#This Row],[ACQ Document Type]])</f>
        <v>R023694_CONTACT Negotiator Report</v>
      </c>
      <c r="V332" s="65" t="str">
        <f>INDEX(SP_AcqTract_DB[WCAD Tax Parcel ID],MATCH(SP_ACQ_Lib[[#This Row],[Acquisition Tract No.]],SP_AcqTract_DB[Acquisition Tract No.],0))</f>
        <v>R023694;#35</v>
      </c>
      <c r="W332" s="48" t="str">
        <f>INDEX(SP_TaxPar_DB[Acquisition Tract No.],MATCH(LEFT(SP_ACQ_Lib[[#This Row],[Tax Parcel ID]],7),SP_TaxPar_DB[Tax Parcel ID],0))</f>
        <v>223</v>
      </c>
      <c r="X332" s="238" t="str">
        <f>IF(OR(SP_ACQ_Lib[[#This Row],[Acquisition Tract No.]]="",SP_ACQ_Lib[[#This Row],[ACQ Document Type]]=""),0,CONCATENATE("COW-FRMP_TR-",SP_ACQ_Lib[[#This Row],[Acquisition Tract No.]]," ",SP_ACQ_Lib[[#This Row],[ACQ Document Type]]))</f>
        <v>COW-FRMP_TR-223 CONTACT Negotiator Report</v>
      </c>
      <c r="Y332" s="239">
        <f>IF(OR(SP_ACQ_Lib[[#This Row],[File Name Convention]]=0,LEFT(SP_ACQ_Lib[[#This Row],[Name]],LEN(SP_ACQ_Lib[[#This Row],[File Name Convention]]))&lt;&gt;SP_ACQ_Lib[[#This Row],[File Name Convention]],ISERROR(SEARCH(SP_ACQ_Lib[[#This Row],[ACQ Document Type]],SP_ACQ_Lib[[#This Row],[Name]]))),1,0)</f>
        <v>0</v>
      </c>
    </row>
    <row r="333" spans="1:25" ht="15" x14ac:dyDescent="0.2">
      <c r="A333" s="157" t="str">
        <f>CONCATENATE(SP_ACQ_Lib[[#This Row],[Acquisition Tract No.]],"_",SP_ACQ_Lib[[#This Row],[ACQ Document Type]])</f>
        <v>223_NEGOTIATION Landowner Bill of Rights Letter</v>
      </c>
      <c r="B333" s="14" t="s">
        <v>3454</v>
      </c>
      <c r="C333" s="45" t="s">
        <v>154</v>
      </c>
      <c r="D333" s="12" t="s">
        <v>638</v>
      </c>
      <c r="E333" s="8" t="s">
        <v>1142</v>
      </c>
      <c r="F333" s="8" t="s">
        <v>1746</v>
      </c>
      <c r="G333" s="8" t="s">
        <v>1745</v>
      </c>
      <c r="H333" s="7" t="s">
        <v>592</v>
      </c>
      <c r="I333" s="16">
        <v>43748</v>
      </c>
      <c r="J333" s="16"/>
      <c r="K333" s="17"/>
      <c r="L333" s="3"/>
      <c r="M333" s="8" t="s">
        <v>4206</v>
      </c>
      <c r="N333" s="11">
        <v>43872.561782407407</v>
      </c>
      <c r="O333" s="8" t="s">
        <v>4325</v>
      </c>
      <c r="P333" s="11">
        <v>43752.492407407408</v>
      </c>
      <c r="Q333" s="13">
        <v>673440</v>
      </c>
      <c r="R333" s="46" t="s">
        <v>594</v>
      </c>
      <c r="S333" s="14" t="s">
        <v>1213</v>
      </c>
      <c r="T333" s="163">
        <v>437</v>
      </c>
      <c r="U333" s="164" t="str">
        <f>CONCATENATE(LEFT(SP_ACQ_Lib[[#This Row],[Tax Parcel ID]],7),"_",SP_ACQ_Lib[[#This Row],[ACQ Document Type]])</f>
        <v>R023694_NEGOTIATION Landowner Bill of Rights Letter</v>
      </c>
      <c r="V333" s="65" t="str">
        <f>INDEX(SP_AcqTract_DB[WCAD Tax Parcel ID],MATCH(SP_ACQ_Lib[[#This Row],[Acquisition Tract No.]],SP_AcqTract_DB[Acquisition Tract No.],0))</f>
        <v>R023694;#35</v>
      </c>
      <c r="W333" s="48" t="str">
        <f>INDEX(SP_TaxPar_DB[Acquisition Tract No.],MATCH(LEFT(SP_ACQ_Lib[[#This Row],[Tax Parcel ID]],7),SP_TaxPar_DB[Tax Parcel ID],0))</f>
        <v>223</v>
      </c>
      <c r="X333" s="238" t="str">
        <f>IF(OR(SP_ACQ_Lib[[#This Row],[Acquisition Tract No.]]="",SP_ACQ_Lib[[#This Row],[ACQ Document Type]]=""),0,CONCATENATE("COW-FRMP_TR-",SP_ACQ_Lib[[#This Row],[Acquisition Tract No.]]," ",SP_ACQ_Lib[[#This Row],[ACQ Document Type]]))</f>
        <v>COW-FRMP_TR-223 NEGOTIATION Landowner Bill of Rights Letter</v>
      </c>
      <c r="Y333" s="239">
        <f>IF(OR(SP_ACQ_Lib[[#This Row],[File Name Convention]]=0,LEFT(SP_ACQ_Lib[[#This Row],[Name]],LEN(SP_ACQ_Lib[[#This Row],[File Name Convention]]))&lt;&gt;SP_ACQ_Lib[[#This Row],[File Name Convention]],ISERROR(SEARCH(SP_ACQ_Lib[[#This Row],[ACQ Document Type]],SP_ACQ_Lib[[#This Row],[Name]]))),1,0)</f>
        <v>0</v>
      </c>
    </row>
    <row r="334" spans="1:25" ht="15" x14ac:dyDescent="0.2">
      <c r="A334" s="157" t="str">
        <f>CONCATENATE(SP_ACQ_Lib[[#This Row],[Acquisition Tract No.]],"_",SP_ACQ_Lib[[#This Row],[ACQ Document Type]])</f>
        <v>223_SURVEY Description-Plat_CITY</v>
      </c>
      <c r="B334" s="14" t="s">
        <v>4582</v>
      </c>
      <c r="C334" s="45" t="s">
        <v>154</v>
      </c>
      <c r="D334" s="12" t="s">
        <v>638</v>
      </c>
      <c r="E334" s="8" t="s">
        <v>858</v>
      </c>
      <c r="F334" s="8" t="s">
        <v>3503</v>
      </c>
      <c r="G334" s="8" t="s">
        <v>3502</v>
      </c>
      <c r="H334" s="7" t="s">
        <v>1749</v>
      </c>
      <c r="I334" s="16">
        <v>43901</v>
      </c>
      <c r="J334" s="16">
        <v>43913</v>
      </c>
      <c r="K334" s="17"/>
      <c r="L334" s="3"/>
      <c r="M334" s="8" t="s">
        <v>4206</v>
      </c>
      <c r="N334" s="11">
        <v>43937.587025462963</v>
      </c>
      <c r="O334" s="8" t="s">
        <v>4205</v>
      </c>
      <c r="P334" s="11">
        <v>43913.53696759259</v>
      </c>
      <c r="Q334" s="13">
        <v>247402</v>
      </c>
      <c r="R334" s="46" t="s">
        <v>594</v>
      </c>
      <c r="S334" s="14" t="s">
        <v>4615</v>
      </c>
      <c r="T334" s="163">
        <v>785</v>
      </c>
      <c r="U334" s="164" t="str">
        <f>CONCATENATE(LEFT(SP_ACQ_Lib[[#This Row],[Tax Parcel ID]],7),"_",SP_ACQ_Lib[[#This Row],[ACQ Document Type]])</f>
        <v>R023694_SURVEY Description-Plat_CITY</v>
      </c>
      <c r="V334" s="65" t="str">
        <f>INDEX(SP_AcqTract_DB[WCAD Tax Parcel ID],MATCH(SP_ACQ_Lib[[#This Row],[Acquisition Tract No.]],SP_AcqTract_DB[Acquisition Tract No.],0))</f>
        <v>R023694;#35</v>
      </c>
      <c r="W334" s="48" t="str">
        <f>INDEX(SP_TaxPar_DB[Acquisition Tract No.],MATCH(LEFT(SP_ACQ_Lib[[#This Row],[Tax Parcel ID]],7),SP_TaxPar_DB[Tax Parcel ID],0))</f>
        <v>223</v>
      </c>
      <c r="X334" s="238" t="str">
        <f>IF(OR(SP_ACQ_Lib[[#This Row],[Acquisition Tract No.]]="",SP_ACQ_Lib[[#This Row],[ACQ Document Type]]=""),0,CONCATENATE("COW-FRMP_TR-",SP_ACQ_Lib[[#This Row],[Acquisition Tract No.]]," ",SP_ACQ_Lib[[#This Row],[ACQ Document Type]]))</f>
        <v>COW-FRMP_TR-223 SURVEY Description-Plat_CITY</v>
      </c>
      <c r="Y334" s="239">
        <f>IF(OR(SP_ACQ_Lib[[#This Row],[File Name Convention]]=0,LEFT(SP_ACQ_Lib[[#This Row],[Name]],LEN(SP_ACQ_Lib[[#This Row],[File Name Convention]]))&lt;&gt;SP_ACQ_Lib[[#This Row],[File Name Convention]],ISERROR(SEARCH(SP_ACQ_Lib[[#This Row],[ACQ Document Type]],SP_ACQ_Lib[[#This Row],[Name]]))),1,0)</f>
        <v>0</v>
      </c>
    </row>
    <row r="335" spans="1:25" ht="15" x14ac:dyDescent="0.2">
      <c r="A335" s="157" t="str">
        <f>CONCATENATE(SP_ACQ_Lib[[#This Row],[Acquisition Tract No.]],"_",SP_ACQ_Lib[[#This Row],[ACQ Document Type]])</f>
        <v>223_SURVEY Description-Plat_USACOE</v>
      </c>
      <c r="B335" s="14" t="s">
        <v>4980</v>
      </c>
      <c r="C335" s="45" t="s">
        <v>154</v>
      </c>
      <c r="D335" s="12" t="s">
        <v>638</v>
      </c>
      <c r="E335" s="8" t="s">
        <v>858</v>
      </c>
      <c r="F335" s="8" t="s">
        <v>3510</v>
      </c>
      <c r="G335" s="8" t="s">
        <v>3509</v>
      </c>
      <c r="H335" s="7" t="s">
        <v>592</v>
      </c>
      <c r="I335" s="16">
        <v>43901</v>
      </c>
      <c r="J335" s="16">
        <v>43948</v>
      </c>
      <c r="K335" s="17"/>
      <c r="L335" s="3"/>
      <c r="M335" s="8" t="s">
        <v>4206</v>
      </c>
      <c r="N335" s="11">
        <v>43950.347094907411</v>
      </c>
      <c r="O335" s="8" t="s">
        <v>4206</v>
      </c>
      <c r="P335" s="11">
        <v>43950.343726851854</v>
      </c>
      <c r="Q335" s="13">
        <v>248546</v>
      </c>
      <c r="R335" s="46" t="s">
        <v>594</v>
      </c>
      <c r="S335" s="14" t="s">
        <v>4998</v>
      </c>
      <c r="T335" s="163">
        <v>853</v>
      </c>
      <c r="U335" s="164" t="str">
        <f>CONCATENATE(LEFT(SP_ACQ_Lib[[#This Row],[Tax Parcel ID]],7),"_",SP_ACQ_Lib[[#This Row],[ACQ Document Type]])</f>
        <v>R023694_SURVEY Description-Plat_USACOE</v>
      </c>
      <c r="V335" s="65" t="str">
        <f>INDEX(SP_AcqTract_DB[WCAD Tax Parcel ID],MATCH(SP_ACQ_Lib[[#This Row],[Acquisition Tract No.]],SP_AcqTract_DB[Acquisition Tract No.],0))</f>
        <v>R023694;#35</v>
      </c>
      <c r="W335" s="48" t="str">
        <f>INDEX(SP_TaxPar_DB[Acquisition Tract No.],MATCH(LEFT(SP_ACQ_Lib[[#This Row],[Tax Parcel ID]],7),SP_TaxPar_DB[Tax Parcel ID],0))</f>
        <v>223</v>
      </c>
      <c r="X335" s="238" t="str">
        <f>IF(OR(SP_ACQ_Lib[[#This Row],[Acquisition Tract No.]]="",SP_ACQ_Lib[[#This Row],[ACQ Document Type]]=""),0,CONCATENATE("COW-FRMP_TR-",SP_ACQ_Lib[[#This Row],[Acquisition Tract No.]]," ",SP_ACQ_Lib[[#This Row],[ACQ Document Type]]))</f>
        <v>COW-FRMP_TR-223 SURVEY Description-Plat_USACOE</v>
      </c>
      <c r="Y335" s="239">
        <f>IF(OR(SP_ACQ_Lib[[#This Row],[File Name Convention]]=0,LEFT(SP_ACQ_Lib[[#This Row],[Name]],LEN(SP_ACQ_Lib[[#This Row],[File Name Convention]]))&lt;&gt;SP_ACQ_Lib[[#This Row],[File Name Convention]],ISERROR(SEARCH(SP_ACQ_Lib[[#This Row],[ACQ Document Type]],SP_ACQ_Lib[[#This Row],[Name]]))),1,0)</f>
        <v>0</v>
      </c>
    </row>
    <row r="336" spans="1:25" ht="15" x14ac:dyDescent="0.2">
      <c r="A336" s="157" t="str">
        <f>CONCATENATE(SP_ACQ_Lib[[#This Row],[Acquisition Tract No.]],"_",SP_ACQ_Lib[[#This Row],[ACQ Document Type]])</f>
        <v>223_SURVEY Right-of-Entry CMRR</v>
      </c>
      <c r="B336" s="14" t="s">
        <v>4583</v>
      </c>
      <c r="C336" s="45" t="s">
        <v>154</v>
      </c>
      <c r="D336" s="12" t="s">
        <v>638</v>
      </c>
      <c r="E336" s="8" t="s">
        <v>858</v>
      </c>
      <c r="F336" s="8" t="s">
        <v>860</v>
      </c>
      <c r="G336" s="8" t="s">
        <v>598</v>
      </c>
      <c r="H336" s="7" t="s">
        <v>592</v>
      </c>
      <c r="I336" s="16">
        <v>43836</v>
      </c>
      <c r="J336" s="16">
        <v>43840</v>
      </c>
      <c r="K336" s="17"/>
      <c r="L336" s="3" t="s">
        <v>4561</v>
      </c>
      <c r="M336" s="8" t="s">
        <v>4206</v>
      </c>
      <c r="N336" s="11">
        <v>43917.426192129627</v>
      </c>
      <c r="O336" s="8" t="s">
        <v>4206</v>
      </c>
      <c r="P336" s="11">
        <v>43917.423981481479</v>
      </c>
      <c r="Q336" s="13">
        <v>2512966</v>
      </c>
      <c r="R336" s="46" t="s">
        <v>594</v>
      </c>
      <c r="S336" s="14" t="s">
        <v>4616</v>
      </c>
      <c r="T336" s="163">
        <v>792</v>
      </c>
      <c r="U336" s="164" t="str">
        <f>CONCATENATE(LEFT(SP_ACQ_Lib[[#This Row],[Tax Parcel ID]],7),"_",SP_ACQ_Lib[[#This Row],[ACQ Document Type]])</f>
        <v>R023694_SURVEY Right-of-Entry CMRR</v>
      </c>
      <c r="V336" s="65" t="str">
        <f>INDEX(SP_AcqTract_DB[WCAD Tax Parcel ID],MATCH(SP_ACQ_Lib[[#This Row],[Acquisition Tract No.]],SP_AcqTract_DB[Acquisition Tract No.],0))</f>
        <v>R023694;#35</v>
      </c>
      <c r="W336" s="48" t="str">
        <f>INDEX(SP_TaxPar_DB[Acquisition Tract No.],MATCH(LEFT(SP_ACQ_Lib[[#This Row],[Tax Parcel ID]],7),SP_TaxPar_DB[Tax Parcel ID],0))</f>
        <v>223</v>
      </c>
      <c r="X336" s="238" t="str">
        <f>IF(OR(SP_ACQ_Lib[[#This Row],[Acquisition Tract No.]]="",SP_ACQ_Lib[[#This Row],[ACQ Document Type]]=""),0,CONCATENATE("COW-FRMP_TR-",SP_ACQ_Lib[[#This Row],[Acquisition Tract No.]]," ",SP_ACQ_Lib[[#This Row],[ACQ Document Type]]))</f>
        <v>COW-FRMP_TR-223 SURVEY Right-of-Entry CMRR</v>
      </c>
      <c r="Y336" s="239">
        <f>IF(OR(SP_ACQ_Lib[[#This Row],[File Name Convention]]=0,LEFT(SP_ACQ_Lib[[#This Row],[Name]],LEN(SP_ACQ_Lib[[#This Row],[File Name Convention]]))&lt;&gt;SP_ACQ_Lib[[#This Row],[File Name Convention]],ISERROR(SEARCH(SP_ACQ_Lib[[#This Row],[ACQ Document Type]],SP_ACQ_Lib[[#This Row],[Name]]))),1,0)</f>
        <v>0</v>
      </c>
    </row>
    <row r="337" spans="1:25" ht="15" x14ac:dyDescent="0.2">
      <c r="A337" s="157" t="str">
        <f>CONCATENATE(SP_ACQ_Lib[[#This Row],[Acquisition Tract No.]],"_",SP_ACQ_Lib[[#This Row],[ACQ Document Type]])</f>
        <v>223_TITLE Commitment</v>
      </c>
      <c r="B337" s="14" t="s">
        <v>1502</v>
      </c>
      <c r="C337" s="45" t="s">
        <v>154</v>
      </c>
      <c r="D337" s="12" t="s">
        <v>638</v>
      </c>
      <c r="E337" s="8" t="s">
        <v>861</v>
      </c>
      <c r="F337" s="8" t="s">
        <v>862</v>
      </c>
      <c r="G337" s="8" t="s">
        <v>614</v>
      </c>
      <c r="H337" s="7" t="s">
        <v>592</v>
      </c>
      <c r="I337" s="16">
        <v>43952</v>
      </c>
      <c r="J337" s="16">
        <v>43963</v>
      </c>
      <c r="K337" s="17">
        <v>2700</v>
      </c>
      <c r="L337" s="3" t="s">
        <v>4708</v>
      </c>
      <c r="M337" s="8" t="s">
        <v>4325</v>
      </c>
      <c r="N337" s="11">
        <v>43963.508333333331</v>
      </c>
      <c r="O337" s="8" t="s">
        <v>4326</v>
      </c>
      <c r="P337" s="11">
        <v>43697.447592592594</v>
      </c>
      <c r="Q337" s="13">
        <v>560055</v>
      </c>
      <c r="R337" s="46" t="s">
        <v>594</v>
      </c>
      <c r="S337" s="14" t="s">
        <v>772</v>
      </c>
      <c r="T337" s="163">
        <v>112</v>
      </c>
      <c r="U337" s="164" t="str">
        <f>CONCATENATE(LEFT(SP_ACQ_Lib[[#This Row],[Tax Parcel ID]],7),"_",SP_ACQ_Lib[[#This Row],[ACQ Document Type]])</f>
        <v>R023694_TITLE Commitment</v>
      </c>
      <c r="V337" s="65" t="str">
        <f>INDEX(SP_AcqTract_DB[WCAD Tax Parcel ID],MATCH(SP_ACQ_Lib[[#This Row],[Acquisition Tract No.]],SP_AcqTract_DB[Acquisition Tract No.],0))</f>
        <v>R023694;#35</v>
      </c>
      <c r="W337" s="48" t="str">
        <f>INDEX(SP_TaxPar_DB[Acquisition Tract No.],MATCH(LEFT(SP_ACQ_Lib[[#This Row],[Tax Parcel ID]],7),SP_TaxPar_DB[Tax Parcel ID],0))</f>
        <v>223</v>
      </c>
      <c r="X337" s="238" t="str">
        <f>IF(OR(SP_ACQ_Lib[[#This Row],[Acquisition Tract No.]]="",SP_ACQ_Lib[[#This Row],[ACQ Document Type]]=""),0,CONCATENATE("COW-FRMP_TR-",SP_ACQ_Lib[[#This Row],[Acquisition Tract No.]]," ",SP_ACQ_Lib[[#This Row],[ACQ Document Type]]))</f>
        <v>COW-FRMP_TR-223 TITLE Commitment</v>
      </c>
      <c r="Y337" s="239">
        <f>IF(OR(SP_ACQ_Lib[[#This Row],[File Name Convention]]=0,LEFT(SP_ACQ_Lib[[#This Row],[Name]],LEN(SP_ACQ_Lib[[#This Row],[File Name Convention]]))&lt;&gt;SP_ACQ_Lib[[#This Row],[File Name Convention]],ISERROR(SEARCH(SP_ACQ_Lib[[#This Row],[ACQ Document Type]],SP_ACQ_Lib[[#This Row],[Name]]))),1,0)</f>
        <v>0</v>
      </c>
    </row>
    <row r="338" spans="1:25" ht="15" x14ac:dyDescent="0.2">
      <c r="A338" s="157" t="str">
        <f>CONCATENATE(SP_ACQ_Lib[[#This Row],[Acquisition Tract No.]],"_",SP_ACQ_Lib[[#This Row],[ACQ Document Type]])</f>
        <v>223_TITLE Commitment Backup Docs</v>
      </c>
      <c r="B338" s="14" t="s">
        <v>1503</v>
      </c>
      <c r="C338" s="45" t="s">
        <v>154</v>
      </c>
      <c r="D338" s="12" t="s">
        <v>638</v>
      </c>
      <c r="E338" s="8" t="s">
        <v>861</v>
      </c>
      <c r="F338" s="8" t="s">
        <v>863</v>
      </c>
      <c r="G338" s="8" t="s">
        <v>616</v>
      </c>
      <c r="H338" s="7" t="s">
        <v>592</v>
      </c>
      <c r="I338" s="16"/>
      <c r="J338" s="16"/>
      <c r="K338" s="17"/>
      <c r="L338" s="3"/>
      <c r="M338" s="8" t="s">
        <v>4325</v>
      </c>
      <c r="N338" s="11">
        <v>43838.351377314815</v>
      </c>
      <c r="O338" s="8" t="s">
        <v>4326</v>
      </c>
      <c r="P338" s="11">
        <v>43697.448483796295</v>
      </c>
      <c r="Q338" s="13">
        <v>2483707</v>
      </c>
      <c r="R338" s="46" t="s">
        <v>594</v>
      </c>
      <c r="S338" s="14" t="s">
        <v>773</v>
      </c>
      <c r="T338" s="163">
        <v>113</v>
      </c>
      <c r="U338" s="164" t="str">
        <f>CONCATENATE(LEFT(SP_ACQ_Lib[[#This Row],[Tax Parcel ID]],7),"_",SP_ACQ_Lib[[#This Row],[ACQ Document Type]])</f>
        <v>R023694_TITLE Commitment Backup Docs</v>
      </c>
      <c r="V338" s="65" t="str">
        <f>INDEX(SP_AcqTract_DB[WCAD Tax Parcel ID],MATCH(SP_ACQ_Lib[[#This Row],[Acquisition Tract No.]],SP_AcqTract_DB[Acquisition Tract No.],0))</f>
        <v>R023694;#35</v>
      </c>
      <c r="W338" s="48" t="str">
        <f>INDEX(SP_TaxPar_DB[Acquisition Tract No.],MATCH(LEFT(SP_ACQ_Lib[[#This Row],[Tax Parcel ID]],7),SP_TaxPar_DB[Tax Parcel ID],0))</f>
        <v>223</v>
      </c>
      <c r="X338" s="238" t="str">
        <f>IF(OR(SP_ACQ_Lib[[#This Row],[Acquisition Tract No.]]="",SP_ACQ_Lib[[#This Row],[ACQ Document Type]]=""),0,CONCATENATE("COW-FRMP_TR-",SP_ACQ_Lib[[#This Row],[Acquisition Tract No.]]," ",SP_ACQ_Lib[[#This Row],[ACQ Document Type]]))</f>
        <v>COW-FRMP_TR-223 TITLE Commitment Backup Docs</v>
      </c>
      <c r="Y338" s="239">
        <f>IF(OR(SP_ACQ_Lib[[#This Row],[File Name Convention]]=0,LEFT(SP_ACQ_Lib[[#This Row],[Name]],LEN(SP_ACQ_Lib[[#This Row],[File Name Convention]]))&lt;&gt;SP_ACQ_Lib[[#This Row],[File Name Convention]],ISERROR(SEARCH(SP_ACQ_Lib[[#This Row],[ACQ Document Type]],SP_ACQ_Lib[[#This Row],[Name]]))),1,0)</f>
        <v>0</v>
      </c>
    </row>
    <row r="339" spans="1:25" ht="15" x14ac:dyDescent="0.2">
      <c r="A339" s="157" t="str">
        <f>CONCATENATE(SP_ACQ_Lib[[#This Row],[Acquisition Tract No.]],"_",SP_ACQ_Lib[[#This Row],[ACQ Document Type]])</f>
        <v>223_TITLE Curative Plan</v>
      </c>
      <c r="B339" s="14" t="s">
        <v>1504</v>
      </c>
      <c r="C339" s="45" t="s">
        <v>154</v>
      </c>
      <c r="D339" s="12" t="s">
        <v>638</v>
      </c>
      <c r="E339" s="8" t="s">
        <v>861</v>
      </c>
      <c r="F339" s="8" t="s">
        <v>864</v>
      </c>
      <c r="G339" s="8" t="s">
        <v>617</v>
      </c>
      <c r="H339" s="7" t="s">
        <v>592</v>
      </c>
      <c r="I339" s="16">
        <v>43810</v>
      </c>
      <c r="J339" s="16"/>
      <c r="K339" s="17"/>
      <c r="L339" s="3"/>
      <c r="M339" s="8" t="s">
        <v>4325</v>
      </c>
      <c r="N339" s="11">
        <v>43963.507604166669</v>
      </c>
      <c r="O339" s="8" t="s">
        <v>4326</v>
      </c>
      <c r="P339" s="11">
        <v>43745.522592592592</v>
      </c>
      <c r="Q339" s="13">
        <v>37892</v>
      </c>
      <c r="R339" s="46" t="s">
        <v>594</v>
      </c>
      <c r="S339" s="14" t="s">
        <v>1214</v>
      </c>
      <c r="T339" s="163">
        <v>400</v>
      </c>
      <c r="U339" s="164" t="str">
        <f>CONCATENATE(LEFT(SP_ACQ_Lib[[#This Row],[Tax Parcel ID]],7),"_",SP_ACQ_Lib[[#This Row],[ACQ Document Type]])</f>
        <v>R023694_TITLE Curative Plan</v>
      </c>
      <c r="V339" s="65" t="str">
        <f>INDEX(SP_AcqTract_DB[WCAD Tax Parcel ID],MATCH(SP_ACQ_Lib[[#This Row],[Acquisition Tract No.]],SP_AcqTract_DB[Acquisition Tract No.],0))</f>
        <v>R023694;#35</v>
      </c>
      <c r="W339" s="48" t="str">
        <f>INDEX(SP_TaxPar_DB[Acquisition Tract No.],MATCH(LEFT(SP_ACQ_Lib[[#This Row],[Tax Parcel ID]],7),SP_TaxPar_DB[Tax Parcel ID],0))</f>
        <v>223</v>
      </c>
      <c r="X339" s="238" t="str">
        <f>IF(OR(SP_ACQ_Lib[[#This Row],[Acquisition Tract No.]]="",SP_ACQ_Lib[[#This Row],[ACQ Document Type]]=""),0,CONCATENATE("COW-FRMP_TR-",SP_ACQ_Lib[[#This Row],[Acquisition Tract No.]]," ",SP_ACQ_Lib[[#This Row],[ACQ Document Type]]))</f>
        <v>COW-FRMP_TR-223 TITLE Curative Plan</v>
      </c>
      <c r="Y339" s="239">
        <f>IF(OR(SP_ACQ_Lib[[#This Row],[File Name Convention]]=0,LEFT(SP_ACQ_Lib[[#This Row],[Name]],LEN(SP_ACQ_Lib[[#This Row],[File Name Convention]]))&lt;&gt;SP_ACQ_Lib[[#This Row],[File Name Convention]],ISERROR(SEARCH(SP_ACQ_Lib[[#This Row],[ACQ Document Type]],SP_ACQ_Lib[[#This Row],[Name]]))),1,0)</f>
        <v>0</v>
      </c>
    </row>
    <row r="340" spans="1:25" ht="15" x14ac:dyDescent="0.2">
      <c r="A340" s="157" t="str">
        <f>CONCATENATE(SP_ACQ_Lib[[#This Row],[Acquisition Tract No.]],"_",SP_ACQ_Lib[[#This Row],[ACQ Document Type]])</f>
        <v>223_TITLE SOS Business Organization Inquiry</v>
      </c>
      <c r="B340" s="14" t="s">
        <v>5542</v>
      </c>
      <c r="C340" s="45" t="s">
        <v>154</v>
      </c>
      <c r="D340" s="12" t="s">
        <v>638</v>
      </c>
      <c r="E340" s="8" t="s">
        <v>861</v>
      </c>
      <c r="F340" s="8" t="s">
        <v>1148</v>
      </c>
      <c r="G340" s="8" t="s">
        <v>1147</v>
      </c>
      <c r="H340" s="7" t="s">
        <v>592</v>
      </c>
      <c r="I340" s="16">
        <v>43922</v>
      </c>
      <c r="J340" s="16"/>
      <c r="K340" s="17"/>
      <c r="L340" s="3"/>
      <c r="M340" s="8" t="s">
        <v>4206</v>
      </c>
      <c r="N340" s="11">
        <v>43983.521215277775</v>
      </c>
      <c r="O340" s="8" t="s">
        <v>4325</v>
      </c>
      <c r="P340" s="11">
        <v>43922.547662037039</v>
      </c>
      <c r="Q340" s="13">
        <v>352308</v>
      </c>
      <c r="R340" s="46" t="s">
        <v>594</v>
      </c>
      <c r="S340" s="14" t="s">
        <v>4617</v>
      </c>
      <c r="T340" s="163">
        <v>800</v>
      </c>
      <c r="U340" s="164" t="str">
        <f>CONCATENATE(LEFT(SP_ACQ_Lib[[#This Row],[Tax Parcel ID]],7),"_",SP_ACQ_Lib[[#This Row],[ACQ Document Type]])</f>
        <v>R023694_TITLE SOS Business Organization Inquiry</v>
      </c>
      <c r="V340" s="65" t="str">
        <f>INDEX(SP_AcqTract_DB[WCAD Tax Parcel ID],MATCH(SP_ACQ_Lib[[#This Row],[Acquisition Tract No.]],SP_AcqTract_DB[Acquisition Tract No.],0))</f>
        <v>R023694;#35</v>
      </c>
      <c r="W340" s="48" t="str">
        <f>INDEX(SP_TaxPar_DB[Acquisition Tract No.],MATCH(LEFT(SP_ACQ_Lib[[#This Row],[Tax Parcel ID]],7),SP_TaxPar_DB[Tax Parcel ID],0))</f>
        <v>223</v>
      </c>
      <c r="X340" s="238" t="str">
        <f>IF(OR(SP_ACQ_Lib[[#This Row],[Acquisition Tract No.]]="",SP_ACQ_Lib[[#This Row],[ACQ Document Type]]=""),0,CONCATENATE("COW-FRMP_TR-",SP_ACQ_Lib[[#This Row],[Acquisition Tract No.]]," ",SP_ACQ_Lib[[#This Row],[ACQ Document Type]]))</f>
        <v>COW-FRMP_TR-223 TITLE SOS Business Organization Inquiry</v>
      </c>
      <c r="Y340" s="239">
        <f>IF(OR(SP_ACQ_Lib[[#This Row],[File Name Convention]]=0,LEFT(SP_ACQ_Lib[[#This Row],[Name]],LEN(SP_ACQ_Lib[[#This Row],[File Name Convention]]))&lt;&gt;SP_ACQ_Lib[[#This Row],[File Name Convention]],ISERROR(SEARCH(SP_ACQ_Lib[[#This Row],[ACQ Document Type]],SP_ACQ_Lib[[#This Row],[Name]]))),1,0)</f>
        <v>0</v>
      </c>
    </row>
    <row r="341" spans="1:25" ht="15" x14ac:dyDescent="0.2">
      <c r="A341" s="157" t="str">
        <f>CONCATENATE(SP_ACQ_Lib[[#This Row],[Acquisition Tract No.]],"_",SP_ACQ_Lib[[#This Row],[ACQ Document Type]])</f>
        <v>223_TITLE Tax Card</v>
      </c>
      <c r="B341" s="14" t="s">
        <v>3455</v>
      </c>
      <c r="C341" s="45" t="s">
        <v>154</v>
      </c>
      <c r="D341" s="12" t="s">
        <v>638</v>
      </c>
      <c r="E341" s="8" t="s">
        <v>861</v>
      </c>
      <c r="F341" s="8" t="s">
        <v>1150</v>
      </c>
      <c r="G341" s="8" t="s">
        <v>1149</v>
      </c>
      <c r="H341" s="7" t="s">
        <v>592</v>
      </c>
      <c r="I341" s="16"/>
      <c r="J341" s="16"/>
      <c r="K341" s="17"/>
      <c r="L341" s="3"/>
      <c r="M341" s="8" t="s">
        <v>4206</v>
      </c>
      <c r="N341" s="11">
        <v>43874.592453703706</v>
      </c>
      <c r="O341" s="8" t="s">
        <v>1272</v>
      </c>
      <c r="P341" s="11">
        <v>43817.479780092595</v>
      </c>
      <c r="Q341" s="13">
        <v>577276</v>
      </c>
      <c r="R341" s="46" t="s">
        <v>594</v>
      </c>
      <c r="S341" s="14" t="s">
        <v>1783</v>
      </c>
      <c r="T341" s="163">
        <v>636</v>
      </c>
      <c r="U341" s="164" t="str">
        <f>CONCATENATE(LEFT(SP_ACQ_Lib[[#This Row],[Tax Parcel ID]],7),"_",SP_ACQ_Lib[[#This Row],[ACQ Document Type]])</f>
        <v>R023694_TITLE Tax Card</v>
      </c>
      <c r="V341" s="65" t="str">
        <f>INDEX(SP_AcqTract_DB[WCAD Tax Parcel ID],MATCH(SP_ACQ_Lib[[#This Row],[Acquisition Tract No.]],SP_AcqTract_DB[Acquisition Tract No.],0))</f>
        <v>R023694;#35</v>
      </c>
      <c r="W341" s="48" t="str">
        <f>INDEX(SP_TaxPar_DB[Acquisition Tract No.],MATCH(LEFT(SP_ACQ_Lib[[#This Row],[Tax Parcel ID]],7),SP_TaxPar_DB[Tax Parcel ID],0))</f>
        <v>223</v>
      </c>
      <c r="X341" s="238" t="str">
        <f>IF(OR(SP_ACQ_Lib[[#This Row],[Acquisition Tract No.]]="",SP_ACQ_Lib[[#This Row],[ACQ Document Type]]=""),0,CONCATENATE("COW-FRMP_TR-",SP_ACQ_Lib[[#This Row],[Acquisition Tract No.]]," ",SP_ACQ_Lib[[#This Row],[ACQ Document Type]]))</f>
        <v>COW-FRMP_TR-223 TITLE Tax Card</v>
      </c>
      <c r="Y341" s="239">
        <f>IF(OR(SP_ACQ_Lib[[#This Row],[File Name Convention]]=0,LEFT(SP_ACQ_Lib[[#This Row],[Name]],LEN(SP_ACQ_Lib[[#This Row],[File Name Convention]]))&lt;&gt;SP_ACQ_Lib[[#This Row],[File Name Convention]],ISERROR(SEARCH(SP_ACQ_Lib[[#This Row],[ACQ Document Type]],SP_ACQ_Lib[[#This Row],[Name]]))),1,0)</f>
        <v>0</v>
      </c>
    </row>
    <row r="342" spans="1:25" ht="15" x14ac:dyDescent="0.2">
      <c r="A342" s="157" t="str">
        <f>CONCATENATE(SP_ACQ_Lib[[#This Row],[Acquisition Tract No.]],"_",SP_ACQ_Lib[[#This Row],[ACQ Document Type]])</f>
        <v>224_CONTACT Letter of Intent-HDR</v>
      </c>
      <c r="B342" s="14" t="s">
        <v>1505</v>
      </c>
      <c r="C342" s="45" t="s">
        <v>159</v>
      </c>
      <c r="D342" s="12" t="s">
        <v>989</v>
      </c>
      <c r="E342" s="8" t="s">
        <v>865</v>
      </c>
      <c r="F342" s="8" t="s">
        <v>1401</v>
      </c>
      <c r="G342" s="8" t="s">
        <v>1400</v>
      </c>
      <c r="H342" s="7" t="s">
        <v>592</v>
      </c>
      <c r="I342" s="16">
        <v>43765</v>
      </c>
      <c r="J342" s="16"/>
      <c r="K342" s="17"/>
      <c r="L342" s="3"/>
      <c r="M342" s="8" t="s">
        <v>23</v>
      </c>
      <c r="N342" s="11">
        <v>43770.449178240742</v>
      </c>
      <c r="O342" s="8" t="s">
        <v>1402</v>
      </c>
      <c r="P342" s="11">
        <v>43769.622650462959</v>
      </c>
      <c r="Q342" s="13">
        <v>329208</v>
      </c>
      <c r="R342" s="46" t="s">
        <v>594</v>
      </c>
      <c r="S342" s="14" t="s">
        <v>1637</v>
      </c>
      <c r="T342" s="163">
        <v>524</v>
      </c>
      <c r="U342" s="164" t="str">
        <f>CONCATENATE(LEFT(SP_ACQ_Lib[[#This Row],[Tax Parcel ID]],7),"_",SP_ACQ_Lib[[#This Row],[ACQ Document Type]])</f>
        <v>R050385_CONTACT Letter of Intent-HDR</v>
      </c>
      <c r="V342" s="65" t="str">
        <f>INDEX(SP_AcqTract_DB[WCAD Tax Parcel ID],MATCH(SP_ACQ_Lib[[#This Row],[Acquisition Tract No.]],SP_AcqTract_DB[Acquisition Tract No.],0))</f>
        <v>R050385;#36;#R050386;#37</v>
      </c>
      <c r="W342" s="48" t="str">
        <f>INDEX(SP_TaxPar_DB[Acquisition Tract No.],MATCH(LEFT(SP_ACQ_Lib[[#This Row],[Tax Parcel ID]],7),SP_TaxPar_DB[Tax Parcel ID],0))</f>
        <v>224</v>
      </c>
      <c r="X342" s="238" t="str">
        <f>IF(OR(SP_ACQ_Lib[[#This Row],[Acquisition Tract No.]]="",SP_ACQ_Lib[[#This Row],[ACQ Document Type]]=""),0,CONCATENATE("COW-FRMP_TR-",SP_ACQ_Lib[[#This Row],[Acquisition Tract No.]]," ",SP_ACQ_Lib[[#This Row],[ACQ Document Type]]))</f>
        <v>COW-FRMP_TR-224 CONTACT Letter of Intent-HDR</v>
      </c>
      <c r="Y342" s="239">
        <f>IF(OR(SP_ACQ_Lib[[#This Row],[File Name Convention]]=0,LEFT(SP_ACQ_Lib[[#This Row],[Name]],LEN(SP_ACQ_Lib[[#This Row],[File Name Convention]]))&lt;&gt;SP_ACQ_Lib[[#This Row],[File Name Convention]],ISERROR(SEARCH(SP_ACQ_Lib[[#This Row],[ACQ Document Type]],SP_ACQ_Lib[[#This Row],[Name]]))),1,0)</f>
        <v>0</v>
      </c>
    </row>
    <row r="343" spans="1:25" ht="15" x14ac:dyDescent="0.2">
      <c r="A343" s="157" t="str">
        <f>CONCATENATE(SP_ACQ_Lib[[#This Row],[Acquisition Tract No.]],"_",SP_ACQ_Lib[[#This Row],[ACQ Document Type]])</f>
        <v>224_CONTACT Negotiator Report</v>
      </c>
      <c r="B343" s="14" t="s">
        <v>3393</v>
      </c>
      <c r="C343" s="45" t="s">
        <v>159</v>
      </c>
      <c r="D343" s="12" t="s">
        <v>989</v>
      </c>
      <c r="E343" s="8" t="s">
        <v>865</v>
      </c>
      <c r="F343" s="8" t="s">
        <v>1068</v>
      </c>
      <c r="G343" s="8" t="s">
        <v>1067</v>
      </c>
      <c r="H343" s="7" t="s">
        <v>592</v>
      </c>
      <c r="I343" s="16"/>
      <c r="J343" s="16"/>
      <c r="K343" s="17"/>
      <c r="L343" s="3"/>
      <c r="M343" s="8" t="s">
        <v>4206</v>
      </c>
      <c r="N343" s="11">
        <v>43893.627245370371</v>
      </c>
      <c r="O343" s="8" t="s">
        <v>4207</v>
      </c>
      <c r="P343" s="11">
        <v>43738.424270833333</v>
      </c>
      <c r="Q343" s="13">
        <v>58725</v>
      </c>
      <c r="R343" s="46" t="s">
        <v>1069</v>
      </c>
      <c r="S343" s="14" t="s">
        <v>1093</v>
      </c>
      <c r="T343" s="163">
        <v>366</v>
      </c>
      <c r="U343" s="164" t="str">
        <f>CONCATENATE(LEFT(SP_ACQ_Lib[[#This Row],[Tax Parcel ID]],7),"_",SP_ACQ_Lib[[#This Row],[ACQ Document Type]])</f>
        <v>R050385_CONTACT Negotiator Report</v>
      </c>
      <c r="V343" s="65" t="str">
        <f>INDEX(SP_AcqTract_DB[WCAD Tax Parcel ID],MATCH(SP_ACQ_Lib[[#This Row],[Acquisition Tract No.]],SP_AcqTract_DB[Acquisition Tract No.],0))</f>
        <v>R050385;#36;#R050386;#37</v>
      </c>
      <c r="W343" s="48" t="str">
        <f>INDEX(SP_TaxPar_DB[Acquisition Tract No.],MATCH(LEFT(SP_ACQ_Lib[[#This Row],[Tax Parcel ID]],7),SP_TaxPar_DB[Tax Parcel ID],0))</f>
        <v>224</v>
      </c>
      <c r="X343" s="238" t="str">
        <f>IF(OR(SP_ACQ_Lib[[#This Row],[Acquisition Tract No.]]="",SP_ACQ_Lib[[#This Row],[ACQ Document Type]]=""),0,CONCATENATE("COW-FRMP_TR-",SP_ACQ_Lib[[#This Row],[Acquisition Tract No.]]," ",SP_ACQ_Lib[[#This Row],[ACQ Document Type]]))</f>
        <v>COW-FRMP_TR-224 CONTACT Negotiator Report</v>
      </c>
      <c r="Y343" s="239">
        <f>IF(OR(SP_ACQ_Lib[[#This Row],[File Name Convention]]=0,LEFT(SP_ACQ_Lib[[#This Row],[Name]],LEN(SP_ACQ_Lib[[#This Row],[File Name Convention]]))&lt;&gt;SP_ACQ_Lib[[#This Row],[File Name Convention]],ISERROR(SEARCH(SP_ACQ_Lib[[#This Row],[ACQ Document Type]],SP_ACQ_Lib[[#This Row],[Name]]))),1,0)</f>
        <v>0</v>
      </c>
    </row>
    <row r="344" spans="1:25" ht="15" x14ac:dyDescent="0.2">
      <c r="A344" s="157" t="str">
        <f>CONCATENATE(SP_ACQ_Lib[[#This Row],[Acquisition Tract No.]],"_",SP_ACQ_Lib[[#This Row],[ACQ Document Type]])</f>
        <v>224_NEGOTIATION Landowner Bill of Rights Letter</v>
      </c>
      <c r="B344" s="14" t="s">
        <v>3456</v>
      </c>
      <c r="C344" s="45" t="s">
        <v>159</v>
      </c>
      <c r="D344" s="12" t="s">
        <v>989</v>
      </c>
      <c r="E344" s="8" t="s">
        <v>1142</v>
      </c>
      <c r="F344" s="8" t="s">
        <v>1746</v>
      </c>
      <c r="G344" s="8" t="s">
        <v>1745</v>
      </c>
      <c r="H344" s="7" t="s">
        <v>592</v>
      </c>
      <c r="I344" s="16">
        <v>43748</v>
      </c>
      <c r="J344" s="16"/>
      <c r="K344" s="17"/>
      <c r="L344" s="3"/>
      <c r="M344" s="8" t="s">
        <v>4206</v>
      </c>
      <c r="N344" s="11">
        <v>43872.562002314815</v>
      </c>
      <c r="O344" s="8" t="s">
        <v>4325</v>
      </c>
      <c r="P344" s="11">
        <v>43752.493657407409</v>
      </c>
      <c r="Q344" s="13">
        <v>352511</v>
      </c>
      <c r="R344" s="46" t="s">
        <v>594</v>
      </c>
      <c r="S344" s="14" t="s">
        <v>1215</v>
      </c>
      <c r="T344" s="163">
        <v>438</v>
      </c>
      <c r="U344" s="164" t="str">
        <f>CONCATENATE(LEFT(SP_ACQ_Lib[[#This Row],[Tax Parcel ID]],7),"_",SP_ACQ_Lib[[#This Row],[ACQ Document Type]])</f>
        <v>R050385_NEGOTIATION Landowner Bill of Rights Letter</v>
      </c>
      <c r="V344" s="65" t="str">
        <f>INDEX(SP_AcqTract_DB[WCAD Tax Parcel ID],MATCH(SP_ACQ_Lib[[#This Row],[Acquisition Tract No.]],SP_AcqTract_DB[Acquisition Tract No.],0))</f>
        <v>R050385;#36;#R050386;#37</v>
      </c>
      <c r="W344" s="48" t="str">
        <f>INDEX(SP_TaxPar_DB[Acquisition Tract No.],MATCH(LEFT(SP_ACQ_Lib[[#This Row],[Tax Parcel ID]],7),SP_TaxPar_DB[Tax Parcel ID],0))</f>
        <v>224</v>
      </c>
      <c r="X344" s="238" t="str">
        <f>IF(OR(SP_ACQ_Lib[[#This Row],[Acquisition Tract No.]]="",SP_ACQ_Lib[[#This Row],[ACQ Document Type]]=""),0,CONCATENATE("COW-FRMP_TR-",SP_ACQ_Lib[[#This Row],[Acquisition Tract No.]]," ",SP_ACQ_Lib[[#This Row],[ACQ Document Type]]))</f>
        <v>COW-FRMP_TR-224 NEGOTIATION Landowner Bill of Rights Letter</v>
      </c>
      <c r="Y344" s="239">
        <f>IF(OR(SP_ACQ_Lib[[#This Row],[File Name Convention]]=0,LEFT(SP_ACQ_Lib[[#This Row],[Name]],LEN(SP_ACQ_Lib[[#This Row],[File Name Convention]]))&lt;&gt;SP_ACQ_Lib[[#This Row],[File Name Convention]],ISERROR(SEARCH(SP_ACQ_Lib[[#This Row],[ACQ Document Type]],SP_ACQ_Lib[[#This Row],[Name]]))),1,0)</f>
        <v>0</v>
      </c>
    </row>
    <row r="345" spans="1:25" ht="15" x14ac:dyDescent="0.2">
      <c r="A345" s="157" t="str">
        <f>CONCATENATE(SP_ACQ_Lib[[#This Row],[Acquisition Tract No.]],"_",SP_ACQ_Lib[[#This Row],[ACQ Document Type]])</f>
        <v>224_SURVEY Right-of-Entry</v>
      </c>
      <c r="B345" s="14" t="s">
        <v>4466</v>
      </c>
      <c r="C345" s="45" t="s">
        <v>159</v>
      </c>
      <c r="D345" s="12" t="s">
        <v>989</v>
      </c>
      <c r="E345" s="8" t="s">
        <v>858</v>
      </c>
      <c r="F345" s="8" t="s">
        <v>859</v>
      </c>
      <c r="G345" s="8" t="s">
        <v>591</v>
      </c>
      <c r="H345" s="7" t="s">
        <v>592</v>
      </c>
      <c r="I345" s="16">
        <v>43697</v>
      </c>
      <c r="J345" s="16"/>
      <c r="K345" s="17"/>
      <c r="L345" s="3" t="s">
        <v>639</v>
      </c>
      <c r="M345" s="8" t="s">
        <v>4206</v>
      </c>
      <c r="N345" s="11">
        <v>43893.635451388887</v>
      </c>
      <c r="O345" s="8" t="s">
        <v>4206</v>
      </c>
      <c r="P345" s="11">
        <v>43893.634444444448</v>
      </c>
      <c r="Q345" s="13">
        <v>3990854</v>
      </c>
      <c r="R345" s="46" t="s">
        <v>594</v>
      </c>
      <c r="S345" s="14" t="s">
        <v>4498</v>
      </c>
      <c r="T345" s="163">
        <v>766</v>
      </c>
      <c r="U345" s="164" t="str">
        <f>CONCATENATE(LEFT(SP_ACQ_Lib[[#This Row],[Tax Parcel ID]],7),"_",SP_ACQ_Lib[[#This Row],[ACQ Document Type]])</f>
        <v>R050385_SURVEY Right-of-Entry</v>
      </c>
      <c r="V345" s="65" t="str">
        <f>INDEX(SP_AcqTract_DB[WCAD Tax Parcel ID],MATCH(SP_ACQ_Lib[[#This Row],[Acquisition Tract No.]],SP_AcqTract_DB[Acquisition Tract No.],0))</f>
        <v>R050385;#36;#R050386;#37</v>
      </c>
      <c r="W345" s="48" t="str">
        <f>INDEX(SP_TaxPar_DB[Acquisition Tract No.],MATCH(LEFT(SP_ACQ_Lib[[#This Row],[Tax Parcel ID]],7),SP_TaxPar_DB[Tax Parcel ID],0))</f>
        <v>224</v>
      </c>
      <c r="X345" s="238" t="str">
        <f>IF(OR(SP_ACQ_Lib[[#This Row],[Acquisition Tract No.]]="",SP_ACQ_Lib[[#This Row],[ACQ Document Type]]=""),0,CONCATENATE("COW-FRMP_TR-",SP_ACQ_Lib[[#This Row],[Acquisition Tract No.]]," ",SP_ACQ_Lib[[#This Row],[ACQ Document Type]]))</f>
        <v>COW-FRMP_TR-224 SURVEY Right-of-Entry</v>
      </c>
      <c r="Y345" s="239">
        <f>IF(OR(SP_ACQ_Lib[[#This Row],[File Name Convention]]=0,LEFT(SP_ACQ_Lib[[#This Row],[Name]],LEN(SP_ACQ_Lib[[#This Row],[File Name Convention]]))&lt;&gt;SP_ACQ_Lib[[#This Row],[File Name Convention]],ISERROR(SEARCH(SP_ACQ_Lib[[#This Row],[ACQ Document Type]],SP_ACQ_Lib[[#This Row],[Name]]))),1,0)</f>
        <v>0</v>
      </c>
    </row>
    <row r="346" spans="1:25" ht="15" x14ac:dyDescent="0.2">
      <c r="A346" s="157" t="str">
        <f>CONCATENATE(SP_ACQ_Lib[[#This Row],[Acquisition Tract No.]],"_",SP_ACQ_Lib[[#This Row],[ACQ Document Type]])</f>
        <v>224_TITLE Commitment</v>
      </c>
      <c r="B346" s="14" t="s">
        <v>1506</v>
      </c>
      <c r="C346" s="45" t="s">
        <v>159</v>
      </c>
      <c r="D346" s="12" t="s">
        <v>989</v>
      </c>
      <c r="E346" s="8" t="s">
        <v>861</v>
      </c>
      <c r="F346" s="8" t="s">
        <v>862</v>
      </c>
      <c r="G346" s="8" t="s">
        <v>614</v>
      </c>
      <c r="H346" s="7" t="s">
        <v>592</v>
      </c>
      <c r="I346" s="16">
        <v>43714</v>
      </c>
      <c r="J346" s="16">
        <v>43724</v>
      </c>
      <c r="K346" s="17"/>
      <c r="L346" s="3"/>
      <c r="M346" s="8" t="s">
        <v>4206</v>
      </c>
      <c r="N346" s="11">
        <v>43915.395555555559</v>
      </c>
      <c r="O346" s="8" t="s">
        <v>4326</v>
      </c>
      <c r="P346" s="11">
        <v>43738.379687499997</v>
      </c>
      <c r="Q346" s="13">
        <v>296716</v>
      </c>
      <c r="R346" s="46" t="s">
        <v>594</v>
      </c>
      <c r="S346" s="14" t="s">
        <v>1094</v>
      </c>
      <c r="T346" s="163">
        <v>361</v>
      </c>
      <c r="U346" s="164" t="str">
        <f>CONCATENATE(LEFT(SP_ACQ_Lib[[#This Row],[Tax Parcel ID]],7),"_",SP_ACQ_Lib[[#This Row],[ACQ Document Type]])</f>
        <v>R050385_TITLE Commitment</v>
      </c>
      <c r="V346" s="65" t="str">
        <f>INDEX(SP_AcqTract_DB[WCAD Tax Parcel ID],MATCH(SP_ACQ_Lib[[#This Row],[Acquisition Tract No.]],SP_AcqTract_DB[Acquisition Tract No.],0))</f>
        <v>R050385;#36;#R050386;#37</v>
      </c>
      <c r="W346" s="48" t="str">
        <f>INDEX(SP_TaxPar_DB[Acquisition Tract No.],MATCH(LEFT(SP_ACQ_Lib[[#This Row],[Tax Parcel ID]],7),SP_TaxPar_DB[Tax Parcel ID],0))</f>
        <v>224</v>
      </c>
      <c r="X346" s="238" t="str">
        <f>IF(OR(SP_ACQ_Lib[[#This Row],[Acquisition Tract No.]]="",SP_ACQ_Lib[[#This Row],[ACQ Document Type]]=""),0,CONCATENATE("COW-FRMP_TR-",SP_ACQ_Lib[[#This Row],[Acquisition Tract No.]]," ",SP_ACQ_Lib[[#This Row],[ACQ Document Type]]))</f>
        <v>COW-FRMP_TR-224 TITLE Commitment</v>
      </c>
      <c r="Y346" s="239">
        <f>IF(OR(SP_ACQ_Lib[[#This Row],[File Name Convention]]=0,LEFT(SP_ACQ_Lib[[#This Row],[Name]],LEN(SP_ACQ_Lib[[#This Row],[File Name Convention]]))&lt;&gt;SP_ACQ_Lib[[#This Row],[File Name Convention]],ISERROR(SEARCH(SP_ACQ_Lib[[#This Row],[ACQ Document Type]],SP_ACQ_Lib[[#This Row],[Name]]))),1,0)</f>
        <v>0</v>
      </c>
    </row>
    <row r="347" spans="1:25" ht="15" x14ac:dyDescent="0.2">
      <c r="A347" s="157" t="str">
        <f>CONCATENATE(SP_ACQ_Lib[[#This Row],[Acquisition Tract No.]],"_",SP_ACQ_Lib[[#This Row],[ACQ Document Type]])</f>
        <v>224_TITLE Commitment Backup Docs</v>
      </c>
      <c r="B347" s="14" t="s">
        <v>1507</v>
      </c>
      <c r="C347" s="45" t="s">
        <v>159</v>
      </c>
      <c r="D347" s="12" t="s">
        <v>989</v>
      </c>
      <c r="E347" s="8" t="s">
        <v>861</v>
      </c>
      <c r="F347" s="8" t="s">
        <v>863</v>
      </c>
      <c r="G347" s="8" t="s">
        <v>616</v>
      </c>
      <c r="H347" s="7" t="s">
        <v>592</v>
      </c>
      <c r="I347" s="16"/>
      <c r="J347" s="16"/>
      <c r="K347" s="17"/>
      <c r="L347" s="3"/>
      <c r="M347" s="8" t="s">
        <v>4325</v>
      </c>
      <c r="N347" s="11">
        <v>43845.709618055553</v>
      </c>
      <c r="O347" s="8" t="s">
        <v>4326</v>
      </c>
      <c r="P347" s="11">
        <v>43738.38082175926</v>
      </c>
      <c r="Q347" s="13">
        <v>3037442</v>
      </c>
      <c r="R347" s="46" t="s">
        <v>594</v>
      </c>
      <c r="S347" s="14" t="s">
        <v>1095</v>
      </c>
      <c r="T347" s="163">
        <v>362</v>
      </c>
      <c r="U347" s="164" t="str">
        <f>CONCATENATE(LEFT(SP_ACQ_Lib[[#This Row],[Tax Parcel ID]],7),"_",SP_ACQ_Lib[[#This Row],[ACQ Document Type]])</f>
        <v>R050385_TITLE Commitment Backup Docs</v>
      </c>
      <c r="V347" s="65" t="str">
        <f>INDEX(SP_AcqTract_DB[WCAD Tax Parcel ID],MATCH(SP_ACQ_Lib[[#This Row],[Acquisition Tract No.]],SP_AcqTract_DB[Acquisition Tract No.],0))</f>
        <v>R050385;#36;#R050386;#37</v>
      </c>
      <c r="W347" s="48" t="str">
        <f>INDEX(SP_TaxPar_DB[Acquisition Tract No.],MATCH(LEFT(SP_ACQ_Lib[[#This Row],[Tax Parcel ID]],7),SP_TaxPar_DB[Tax Parcel ID],0))</f>
        <v>224</v>
      </c>
      <c r="X347" s="238" t="str">
        <f>IF(OR(SP_ACQ_Lib[[#This Row],[Acquisition Tract No.]]="",SP_ACQ_Lib[[#This Row],[ACQ Document Type]]=""),0,CONCATENATE("COW-FRMP_TR-",SP_ACQ_Lib[[#This Row],[Acquisition Tract No.]]," ",SP_ACQ_Lib[[#This Row],[ACQ Document Type]]))</f>
        <v>COW-FRMP_TR-224 TITLE Commitment Backup Docs</v>
      </c>
      <c r="Y347" s="239">
        <f>IF(OR(SP_ACQ_Lib[[#This Row],[File Name Convention]]=0,LEFT(SP_ACQ_Lib[[#This Row],[Name]],LEN(SP_ACQ_Lib[[#This Row],[File Name Convention]]))&lt;&gt;SP_ACQ_Lib[[#This Row],[File Name Convention]],ISERROR(SEARCH(SP_ACQ_Lib[[#This Row],[ACQ Document Type]],SP_ACQ_Lib[[#This Row],[Name]]))),1,0)</f>
        <v>0</v>
      </c>
    </row>
    <row r="348" spans="1:25" ht="15" x14ac:dyDescent="0.2">
      <c r="A348" s="157" t="str">
        <f>CONCATENATE(SP_ACQ_Lib[[#This Row],[Acquisition Tract No.]],"_",SP_ACQ_Lib[[#This Row],[ACQ Document Type]])</f>
        <v>224_TITLE Curative Plan</v>
      </c>
      <c r="B348" s="14" t="s">
        <v>1508</v>
      </c>
      <c r="C348" s="45" t="s">
        <v>159</v>
      </c>
      <c r="D348" s="12" t="s">
        <v>989</v>
      </c>
      <c r="E348" s="8" t="s">
        <v>861</v>
      </c>
      <c r="F348" s="8" t="s">
        <v>864</v>
      </c>
      <c r="G348" s="8" t="s">
        <v>617</v>
      </c>
      <c r="H348" s="7" t="s">
        <v>592</v>
      </c>
      <c r="I348" s="16">
        <v>43810</v>
      </c>
      <c r="J348" s="16"/>
      <c r="K348" s="17"/>
      <c r="L348" s="3"/>
      <c r="M348" s="8" t="s">
        <v>4325</v>
      </c>
      <c r="N348" s="11">
        <v>43810.547476851854</v>
      </c>
      <c r="O348" s="8" t="s">
        <v>4326</v>
      </c>
      <c r="P348" s="11">
        <v>43745.531157407408</v>
      </c>
      <c r="Q348" s="13">
        <v>39013</v>
      </c>
      <c r="R348" s="46" t="s">
        <v>594</v>
      </c>
      <c r="S348" s="14" t="s">
        <v>1216</v>
      </c>
      <c r="T348" s="163">
        <v>401</v>
      </c>
      <c r="U348" s="164" t="str">
        <f>CONCATENATE(LEFT(SP_ACQ_Lib[[#This Row],[Tax Parcel ID]],7),"_",SP_ACQ_Lib[[#This Row],[ACQ Document Type]])</f>
        <v>R050385_TITLE Curative Plan</v>
      </c>
      <c r="V348" s="65" t="str">
        <f>INDEX(SP_AcqTract_DB[WCAD Tax Parcel ID],MATCH(SP_ACQ_Lib[[#This Row],[Acquisition Tract No.]],SP_AcqTract_DB[Acquisition Tract No.],0))</f>
        <v>R050385;#36;#R050386;#37</v>
      </c>
      <c r="W348" s="48" t="str">
        <f>INDEX(SP_TaxPar_DB[Acquisition Tract No.],MATCH(LEFT(SP_ACQ_Lib[[#This Row],[Tax Parcel ID]],7),SP_TaxPar_DB[Tax Parcel ID],0))</f>
        <v>224</v>
      </c>
      <c r="X348" s="238" t="str">
        <f>IF(OR(SP_ACQ_Lib[[#This Row],[Acquisition Tract No.]]="",SP_ACQ_Lib[[#This Row],[ACQ Document Type]]=""),0,CONCATENATE("COW-FRMP_TR-",SP_ACQ_Lib[[#This Row],[Acquisition Tract No.]]," ",SP_ACQ_Lib[[#This Row],[ACQ Document Type]]))</f>
        <v>COW-FRMP_TR-224 TITLE Curative Plan</v>
      </c>
      <c r="Y348" s="239">
        <f>IF(OR(SP_ACQ_Lib[[#This Row],[File Name Convention]]=0,LEFT(SP_ACQ_Lib[[#This Row],[Name]],LEN(SP_ACQ_Lib[[#This Row],[File Name Convention]]))&lt;&gt;SP_ACQ_Lib[[#This Row],[File Name Convention]],ISERROR(SEARCH(SP_ACQ_Lib[[#This Row],[ACQ Document Type]],SP_ACQ_Lib[[#This Row],[Name]]))),1,0)</f>
        <v>0</v>
      </c>
    </row>
    <row r="349" spans="1:25" ht="15" x14ac:dyDescent="0.2">
      <c r="A349" s="157" t="str">
        <f>CONCATENATE(SP_ACQ_Lib[[#This Row],[Acquisition Tract No.]],"_",SP_ACQ_Lib[[#This Row],[ACQ Document Type]])</f>
        <v>224_TITLE SOS Business Organization Inquiry</v>
      </c>
      <c r="B349" s="14" t="s">
        <v>1509</v>
      </c>
      <c r="C349" s="45" t="s">
        <v>159</v>
      </c>
      <c r="D349" s="12" t="s">
        <v>989</v>
      </c>
      <c r="E349" s="8" t="s">
        <v>861</v>
      </c>
      <c r="F349" s="8" t="s">
        <v>1148</v>
      </c>
      <c r="G349" s="8" t="s">
        <v>1147</v>
      </c>
      <c r="H349" s="7" t="s">
        <v>592</v>
      </c>
      <c r="I349" s="16"/>
      <c r="J349" s="16"/>
      <c r="K349" s="17"/>
      <c r="L349" s="3"/>
      <c r="M349" s="8" t="s">
        <v>23</v>
      </c>
      <c r="N349" s="11">
        <v>43770.449178240742</v>
      </c>
      <c r="O349" s="8" t="s">
        <v>4326</v>
      </c>
      <c r="P349" s="11">
        <v>43767.560914351852</v>
      </c>
      <c r="Q349" s="13">
        <v>586505</v>
      </c>
      <c r="R349" s="46" t="s">
        <v>594</v>
      </c>
      <c r="S349" s="14" t="s">
        <v>1387</v>
      </c>
      <c r="T349" s="163">
        <v>471</v>
      </c>
      <c r="U349" s="164" t="str">
        <f>CONCATENATE(LEFT(SP_ACQ_Lib[[#This Row],[Tax Parcel ID]],7),"_",SP_ACQ_Lib[[#This Row],[ACQ Document Type]])</f>
        <v>R050385_TITLE SOS Business Organization Inquiry</v>
      </c>
      <c r="V349" s="65" t="str">
        <f>INDEX(SP_AcqTract_DB[WCAD Tax Parcel ID],MATCH(SP_ACQ_Lib[[#This Row],[Acquisition Tract No.]],SP_AcqTract_DB[Acquisition Tract No.],0))</f>
        <v>R050385;#36;#R050386;#37</v>
      </c>
      <c r="W349" s="48" t="str">
        <f>INDEX(SP_TaxPar_DB[Acquisition Tract No.],MATCH(LEFT(SP_ACQ_Lib[[#This Row],[Tax Parcel ID]],7),SP_TaxPar_DB[Tax Parcel ID],0))</f>
        <v>224</v>
      </c>
      <c r="X349" s="238" t="str">
        <f>IF(OR(SP_ACQ_Lib[[#This Row],[Acquisition Tract No.]]="",SP_ACQ_Lib[[#This Row],[ACQ Document Type]]=""),0,CONCATENATE("COW-FRMP_TR-",SP_ACQ_Lib[[#This Row],[Acquisition Tract No.]]," ",SP_ACQ_Lib[[#This Row],[ACQ Document Type]]))</f>
        <v>COW-FRMP_TR-224 TITLE SOS Business Organization Inquiry</v>
      </c>
      <c r="Y349" s="239">
        <f>IF(OR(SP_ACQ_Lib[[#This Row],[File Name Convention]]=0,LEFT(SP_ACQ_Lib[[#This Row],[Name]],LEN(SP_ACQ_Lib[[#This Row],[File Name Convention]]))&lt;&gt;SP_ACQ_Lib[[#This Row],[File Name Convention]],ISERROR(SEARCH(SP_ACQ_Lib[[#This Row],[ACQ Document Type]],SP_ACQ_Lib[[#This Row],[Name]]))),1,0)</f>
        <v>0</v>
      </c>
    </row>
    <row r="350" spans="1:25" ht="15" x14ac:dyDescent="0.2">
      <c r="A350" s="157" t="str">
        <f>CONCATENATE(SP_ACQ_Lib[[#This Row],[Acquisition Tract No.]],"_",SP_ACQ_Lib[[#This Row],[ACQ Document Type]])</f>
        <v>224_TITLE Tax Card</v>
      </c>
      <c r="B350" s="14" t="s">
        <v>4467</v>
      </c>
      <c r="C350" s="45" t="s">
        <v>159</v>
      </c>
      <c r="D350" s="12" t="s">
        <v>989</v>
      </c>
      <c r="E350" s="8" t="s">
        <v>861</v>
      </c>
      <c r="F350" s="8" t="s">
        <v>1150</v>
      </c>
      <c r="G350" s="8" t="s">
        <v>1149</v>
      </c>
      <c r="H350" s="7" t="s">
        <v>592</v>
      </c>
      <c r="I350" s="16"/>
      <c r="J350" s="16"/>
      <c r="K350" s="17"/>
      <c r="L350" s="3" t="s">
        <v>4444</v>
      </c>
      <c r="M350" s="8" t="s">
        <v>4206</v>
      </c>
      <c r="N350" s="11">
        <v>43893.637175925927</v>
      </c>
      <c r="O350" s="8" t="s">
        <v>4206</v>
      </c>
      <c r="P350" s="11">
        <v>43893.636770833335</v>
      </c>
      <c r="Q350" s="13">
        <v>702885</v>
      </c>
      <c r="R350" s="46" t="s">
        <v>594</v>
      </c>
      <c r="S350" s="14" t="s">
        <v>4499</v>
      </c>
      <c r="T350" s="163">
        <v>767</v>
      </c>
      <c r="U350" s="164" t="str">
        <f>CONCATENATE(LEFT(SP_ACQ_Lib[[#This Row],[Tax Parcel ID]],7),"_",SP_ACQ_Lib[[#This Row],[ACQ Document Type]])</f>
        <v>R050385_TITLE Tax Card</v>
      </c>
      <c r="V350" s="65" t="str">
        <f>INDEX(SP_AcqTract_DB[WCAD Tax Parcel ID],MATCH(SP_ACQ_Lib[[#This Row],[Acquisition Tract No.]],SP_AcqTract_DB[Acquisition Tract No.],0))</f>
        <v>R050385;#36;#R050386;#37</v>
      </c>
      <c r="W350" s="48" t="str">
        <f>INDEX(SP_TaxPar_DB[Acquisition Tract No.],MATCH(LEFT(SP_ACQ_Lib[[#This Row],[Tax Parcel ID]],7),SP_TaxPar_DB[Tax Parcel ID],0))</f>
        <v>224</v>
      </c>
      <c r="X350" s="238" t="str">
        <f>IF(OR(SP_ACQ_Lib[[#This Row],[Acquisition Tract No.]]="",SP_ACQ_Lib[[#This Row],[ACQ Document Type]]=""),0,CONCATENATE("COW-FRMP_TR-",SP_ACQ_Lib[[#This Row],[Acquisition Tract No.]]," ",SP_ACQ_Lib[[#This Row],[ACQ Document Type]]))</f>
        <v>COW-FRMP_TR-224 TITLE Tax Card</v>
      </c>
      <c r="Y350" s="239">
        <f>IF(OR(SP_ACQ_Lib[[#This Row],[File Name Convention]]=0,LEFT(SP_ACQ_Lib[[#This Row],[Name]],LEN(SP_ACQ_Lib[[#This Row],[File Name Convention]]))&lt;&gt;SP_ACQ_Lib[[#This Row],[File Name Convention]],ISERROR(SEARCH(SP_ACQ_Lib[[#This Row],[ACQ Document Type]],SP_ACQ_Lib[[#This Row],[Name]]))),1,0)</f>
        <v>0</v>
      </c>
    </row>
    <row r="351" spans="1:25" ht="15" x14ac:dyDescent="0.2">
      <c r="A351" s="157" t="str">
        <f>CONCATENATE(SP_ACQ_Lib[[#This Row],[Acquisition Tract No.]],"_",SP_ACQ_Lib[[#This Row],[ACQ Document Type]])</f>
        <v>225_SURVEY Description-Plat_USACOE</v>
      </c>
      <c r="B351" s="14" t="s">
        <v>6027</v>
      </c>
      <c r="C351" s="45" t="s">
        <v>3289</v>
      </c>
      <c r="D351" s="12" t="s">
        <v>22</v>
      </c>
      <c r="E351" s="8" t="s">
        <v>858</v>
      </c>
      <c r="F351" s="8" t="s">
        <v>3510</v>
      </c>
      <c r="G351" s="8" t="s">
        <v>3509</v>
      </c>
      <c r="H351" s="7" t="s">
        <v>592</v>
      </c>
      <c r="I351" s="16">
        <v>43991</v>
      </c>
      <c r="J351" s="16">
        <v>43993</v>
      </c>
      <c r="K351" s="17"/>
      <c r="L351" s="3"/>
      <c r="M351" s="8" t="s">
        <v>4206</v>
      </c>
      <c r="N351" s="11">
        <v>43994.373101851852</v>
      </c>
      <c r="O351" s="8" t="s">
        <v>4206</v>
      </c>
      <c r="P351" s="11">
        <v>43994.366666666669</v>
      </c>
      <c r="Q351" s="13">
        <v>363765</v>
      </c>
      <c r="R351" s="46" t="s">
        <v>594</v>
      </c>
      <c r="S351" s="14" t="s">
        <v>6048</v>
      </c>
      <c r="T351" s="163">
        <v>1190</v>
      </c>
      <c r="U351" s="164" t="str">
        <f>CONCATENATE(LEFT(SP_ACQ_Lib[[#This Row],[Tax Parcel ID]],7),"_",SP_ACQ_Lib[[#This Row],[ACQ Document Type]])</f>
        <v>_SURVEY Description-Plat_USACOE</v>
      </c>
      <c r="V351" s="65" t="str">
        <f>INDEX(SP_AcqTract_DB[WCAD Tax Parcel ID],MATCH(SP_ACQ_Lib[[#This Row],[Acquisition Tract No.]],SP_AcqTract_DB[Acquisition Tract No.],0))</f>
        <v/>
      </c>
      <c r="W351" s="48" t="e">
        <f>INDEX(SP_TaxPar_DB[Acquisition Tract No.],MATCH(LEFT(SP_ACQ_Lib[[#This Row],[Tax Parcel ID]],7),SP_TaxPar_DB[Tax Parcel ID],0))</f>
        <v>#N/A</v>
      </c>
      <c r="X351" s="238" t="str">
        <f>IF(OR(SP_ACQ_Lib[[#This Row],[Acquisition Tract No.]]="",SP_ACQ_Lib[[#This Row],[ACQ Document Type]]=""),0,CONCATENATE("COW-FRMP_TR-",SP_ACQ_Lib[[#This Row],[Acquisition Tract No.]]," ",SP_ACQ_Lib[[#This Row],[ACQ Document Type]]))</f>
        <v>COW-FRMP_TR-225 SURVEY Description-Plat_USACOE</v>
      </c>
      <c r="Y351" s="239">
        <f>IF(OR(SP_ACQ_Lib[[#This Row],[File Name Convention]]=0,LEFT(SP_ACQ_Lib[[#This Row],[Name]],LEN(SP_ACQ_Lib[[#This Row],[File Name Convention]]))&lt;&gt;SP_ACQ_Lib[[#This Row],[File Name Convention]],ISERROR(SEARCH(SP_ACQ_Lib[[#This Row],[ACQ Document Type]],SP_ACQ_Lib[[#This Row],[Name]]))),1,0)</f>
        <v>0</v>
      </c>
    </row>
    <row r="352" spans="1:25" ht="15" x14ac:dyDescent="0.2">
      <c r="A352" s="157" t="str">
        <f>CONCATENATE(SP_ACQ_Lib[[#This Row],[Acquisition Tract No.]],"_",SP_ACQ_Lib[[#This Row],[ACQ Document Type]])</f>
        <v>226_SURVEY Description-Plat_CITY</v>
      </c>
      <c r="B352" s="14" t="s">
        <v>5543</v>
      </c>
      <c r="C352" s="45" t="s">
        <v>3294</v>
      </c>
      <c r="D352" s="12" t="s">
        <v>22</v>
      </c>
      <c r="E352" s="8" t="s">
        <v>858</v>
      </c>
      <c r="F352" s="8" t="s">
        <v>3503</v>
      </c>
      <c r="G352" s="8" t="s">
        <v>3502</v>
      </c>
      <c r="H352" s="7" t="s">
        <v>592</v>
      </c>
      <c r="I352" s="16">
        <v>43901</v>
      </c>
      <c r="J352" s="16">
        <v>43913</v>
      </c>
      <c r="K352" s="17"/>
      <c r="L352" s="3"/>
      <c r="M352" s="8" t="s">
        <v>4206</v>
      </c>
      <c r="N352" s="11">
        <v>43983.523425925923</v>
      </c>
      <c r="O352" s="8" t="s">
        <v>4206</v>
      </c>
      <c r="P352" s="11">
        <v>43950.355995370373</v>
      </c>
      <c r="Q352" s="13">
        <v>255414</v>
      </c>
      <c r="R352" s="46" t="s">
        <v>594</v>
      </c>
      <c r="S352" s="14" t="s">
        <v>4999</v>
      </c>
      <c r="T352" s="163">
        <v>857</v>
      </c>
      <c r="U352" s="164" t="str">
        <f>CONCATENATE(LEFT(SP_ACQ_Lib[[#This Row],[Tax Parcel ID]],7),"_",SP_ACQ_Lib[[#This Row],[ACQ Document Type]])</f>
        <v>_SURVEY Description-Plat_CITY</v>
      </c>
      <c r="V352" s="65" t="str">
        <f>INDEX(SP_AcqTract_DB[WCAD Tax Parcel ID],MATCH(SP_ACQ_Lib[[#This Row],[Acquisition Tract No.]],SP_AcqTract_DB[Acquisition Tract No.],0))</f>
        <v/>
      </c>
      <c r="W352" s="48" t="e">
        <f>INDEX(SP_TaxPar_DB[Acquisition Tract No.],MATCH(LEFT(SP_ACQ_Lib[[#This Row],[Tax Parcel ID]],7),SP_TaxPar_DB[Tax Parcel ID],0))</f>
        <v>#N/A</v>
      </c>
      <c r="X352" s="238" t="str">
        <f>IF(OR(SP_ACQ_Lib[[#This Row],[Acquisition Tract No.]]="",SP_ACQ_Lib[[#This Row],[ACQ Document Type]]=""),0,CONCATENATE("COW-FRMP_TR-",SP_ACQ_Lib[[#This Row],[Acquisition Tract No.]]," ",SP_ACQ_Lib[[#This Row],[ACQ Document Type]]))</f>
        <v>COW-FRMP_TR-226 SURVEY Description-Plat_CITY</v>
      </c>
      <c r="Y352" s="239">
        <f>IF(OR(SP_ACQ_Lib[[#This Row],[File Name Convention]]=0,LEFT(SP_ACQ_Lib[[#This Row],[Name]],LEN(SP_ACQ_Lib[[#This Row],[File Name Convention]]))&lt;&gt;SP_ACQ_Lib[[#This Row],[File Name Convention]],ISERROR(SEARCH(SP_ACQ_Lib[[#This Row],[ACQ Document Type]],SP_ACQ_Lib[[#This Row],[Name]]))),1,0)</f>
        <v>0</v>
      </c>
    </row>
    <row r="353" spans="1:25" ht="15" x14ac:dyDescent="0.2">
      <c r="A353" s="157" t="str">
        <f>CONCATENATE(SP_ACQ_Lib[[#This Row],[Acquisition Tract No.]],"_",SP_ACQ_Lib[[#This Row],[ACQ Document Type]])</f>
        <v>226_SURVEY Description-Plat_USACOE</v>
      </c>
      <c r="B353" s="14" t="s">
        <v>4981</v>
      </c>
      <c r="C353" s="45" t="s">
        <v>3294</v>
      </c>
      <c r="D353" s="12" t="s">
        <v>22</v>
      </c>
      <c r="E353" s="8" t="s">
        <v>858</v>
      </c>
      <c r="F353" s="8" t="s">
        <v>3510</v>
      </c>
      <c r="G353" s="8" t="s">
        <v>3509</v>
      </c>
      <c r="H353" s="7" t="s">
        <v>592</v>
      </c>
      <c r="I353" s="16">
        <v>43901</v>
      </c>
      <c r="J353" s="16">
        <v>43948</v>
      </c>
      <c r="K353" s="17"/>
      <c r="L353" s="3"/>
      <c r="M353" s="8" t="s">
        <v>4206</v>
      </c>
      <c r="N353" s="11">
        <v>43950.347488425927</v>
      </c>
      <c r="O353" s="8" t="s">
        <v>4206</v>
      </c>
      <c r="P353" s="11">
        <v>43950.344131944446</v>
      </c>
      <c r="Q353" s="13">
        <v>252092</v>
      </c>
      <c r="R353" s="46" t="s">
        <v>594</v>
      </c>
      <c r="S353" s="14" t="s">
        <v>5000</v>
      </c>
      <c r="T353" s="163">
        <v>854</v>
      </c>
      <c r="U353" s="164" t="str">
        <f>CONCATENATE(LEFT(SP_ACQ_Lib[[#This Row],[Tax Parcel ID]],7),"_",SP_ACQ_Lib[[#This Row],[ACQ Document Type]])</f>
        <v>_SURVEY Description-Plat_USACOE</v>
      </c>
      <c r="V353" s="65" t="str">
        <f>INDEX(SP_AcqTract_DB[WCAD Tax Parcel ID],MATCH(SP_ACQ_Lib[[#This Row],[Acquisition Tract No.]],SP_AcqTract_DB[Acquisition Tract No.],0))</f>
        <v/>
      </c>
      <c r="W353" s="48" t="e">
        <f>INDEX(SP_TaxPar_DB[Acquisition Tract No.],MATCH(LEFT(SP_ACQ_Lib[[#This Row],[Tax Parcel ID]],7),SP_TaxPar_DB[Tax Parcel ID],0))</f>
        <v>#N/A</v>
      </c>
      <c r="X353" s="238" t="str">
        <f>IF(OR(SP_ACQ_Lib[[#This Row],[Acquisition Tract No.]]="",SP_ACQ_Lib[[#This Row],[ACQ Document Type]]=""),0,CONCATENATE("COW-FRMP_TR-",SP_ACQ_Lib[[#This Row],[Acquisition Tract No.]]," ",SP_ACQ_Lib[[#This Row],[ACQ Document Type]]))</f>
        <v>COW-FRMP_TR-226 SURVEY Description-Plat_USACOE</v>
      </c>
      <c r="Y353" s="239">
        <f>IF(OR(SP_ACQ_Lib[[#This Row],[File Name Convention]]=0,LEFT(SP_ACQ_Lib[[#This Row],[Name]],LEN(SP_ACQ_Lib[[#This Row],[File Name Convention]]))&lt;&gt;SP_ACQ_Lib[[#This Row],[File Name Convention]],ISERROR(SEARCH(SP_ACQ_Lib[[#This Row],[ACQ Document Type]],SP_ACQ_Lib[[#This Row],[Name]]))),1,0)</f>
        <v>0</v>
      </c>
    </row>
    <row r="354" spans="1:25" ht="15" x14ac:dyDescent="0.2">
      <c r="A354" s="157" t="str">
        <f>CONCATENATE(SP_ACQ_Lib[[#This Row],[Acquisition Tract No.]],"_",SP_ACQ_Lib[[#This Row],[ACQ Document Type]])</f>
        <v>227_SURVEY Description-Plat_CITY</v>
      </c>
      <c r="B354" s="14" t="s">
        <v>4982</v>
      </c>
      <c r="C354" s="45" t="s">
        <v>3299</v>
      </c>
      <c r="D354" s="12" t="s">
        <v>22</v>
      </c>
      <c r="E354" s="8" t="s">
        <v>858</v>
      </c>
      <c r="F354" s="8" t="s">
        <v>3503</v>
      </c>
      <c r="G354" s="8" t="s">
        <v>3502</v>
      </c>
      <c r="H354" s="7" t="s">
        <v>592</v>
      </c>
      <c r="I354" s="16">
        <v>43901</v>
      </c>
      <c r="J354" s="16">
        <v>43913</v>
      </c>
      <c r="K354" s="17"/>
      <c r="L354" s="3"/>
      <c r="M354" s="8" t="s">
        <v>4206</v>
      </c>
      <c r="N354" s="11">
        <v>43950.357002314813</v>
      </c>
      <c r="O354" s="8" t="s">
        <v>4206</v>
      </c>
      <c r="P354" s="11">
        <v>43950.356585648151</v>
      </c>
      <c r="Q354" s="13">
        <v>257723</v>
      </c>
      <c r="R354" s="46" t="s">
        <v>594</v>
      </c>
      <c r="S354" s="14" t="s">
        <v>5001</v>
      </c>
      <c r="T354" s="163">
        <v>858</v>
      </c>
      <c r="U354" s="164" t="str">
        <f>CONCATENATE(LEFT(SP_ACQ_Lib[[#This Row],[Tax Parcel ID]],7),"_",SP_ACQ_Lib[[#This Row],[ACQ Document Type]])</f>
        <v>_SURVEY Description-Plat_CITY</v>
      </c>
      <c r="V354" s="65" t="str">
        <f>INDEX(SP_AcqTract_DB[WCAD Tax Parcel ID],MATCH(SP_ACQ_Lib[[#This Row],[Acquisition Tract No.]],SP_AcqTract_DB[Acquisition Tract No.],0))</f>
        <v/>
      </c>
      <c r="W354" s="48" t="e">
        <f>INDEX(SP_TaxPar_DB[Acquisition Tract No.],MATCH(LEFT(SP_ACQ_Lib[[#This Row],[Tax Parcel ID]],7),SP_TaxPar_DB[Tax Parcel ID],0))</f>
        <v>#N/A</v>
      </c>
      <c r="X354" s="238" t="str">
        <f>IF(OR(SP_ACQ_Lib[[#This Row],[Acquisition Tract No.]]="",SP_ACQ_Lib[[#This Row],[ACQ Document Type]]=""),0,CONCATENATE("COW-FRMP_TR-",SP_ACQ_Lib[[#This Row],[Acquisition Tract No.]]," ",SP_ACQ_Lib[[#This Row],[ACQ Document Type]]))</f>
        <v>COW-FRMP_TR-227 SURVEY Description-Plat_CITY</v>
      </c>
      <c r="Y354" s="239">
        <f>IF(OR(SP_ACQ_Lib[[#This Row],[File Name Convention]]=0,LEFT(SP_ACQ_Lib[[#This Row],[Name]],LEN(SP_ACQ_Lib[[#This Row],[File Name Convention]]))&lt;&gt;SP_ACQ_Lib[[#This Row],[File Name Convention]],ISERROR(SEARCH(SP_ACQ_Lib[[#This Row],[ACQ Document Type]],SP_ACQ_Lib[[#This Row],[Name]]))),1,0)</f>
        <v>0</v>
      </c>
    </row>
    <row r="355" spans="1:25" ht="15" x14ac:dyDescent="0.2">
      <c r="A355" s="157" t="str">
        <f>CONCATENATE(SP_ACQ_Lib[[#This Row],[Acquisition Tract No.]],"_",SP_ACQ_Lib[[#This Row],[ACQ Document Type]])</f>
        <v>227_SURVEY Description-Plat_USACOE</v>
      </c>
      <c r="B355" s="14" t="s">
        <v>4983</v>
      </c>
      <c r="C355" s="45" t="s">
        <v>3299</v>
      </c>
      <c r="D355" s="12" t="s">
        <v>22</v>
      </c>
      <c r="E355" s="8" t="s">
        <v>858</v>
      </c>
      <c r="F355" s="8" t="s">
        <v>3510</v>
      </c>
      <c r="G355" s="8" t="s">
        <v>3509</v>
      </c>
      <c r="H355" s="7" t="s">
        <v>592</v>
      </c>
      <c r="I355" s="16">
        <v>43901</v>
      </c>
      <c r="J355" s="16">
        <v>43948</v>
      </c>
      <c r="K355" s="17"/>
      <c r="L355" s="3"/>
      <c r="M355" s="8" t="s">
        <v>4206</v>
      </c>
      <c r="N355" s="11">
        <v>43950.344861111109</v>
      </c>
      <c r="O355" s="8" t="s">
        <v>4206</v>
      </c>
      <c r="P355" s="11">
        <v>43950.344629629632</v>
      </c>
      <c r="Q355" s="13">
        <v>255741</v>
      </c>
      <c r="R355" s="46" t="s">
        <v>594</v>
      </c>
      <c r="S355" s="14" t="s">
        <v>5002</v>
      </c>
      <c r="T355" s="163">
        <v>855</v>
      </c>
      <c r="U355" s="164" t="str">
        <f>CONCATENATE(LEFT(SP_ACQ_Lib[[#This Row],[Tax Parcel ID]],7),"_",SP_ACQ_Lib[[#This Row],[ACQ Document Type]])</f>
        <v>_SURVEY Description-Plat_USACOE</v>
      </c>
      <c r="V355" s="65" t="str">
        <f>INDEX(SP_AcqTract_DB[WCAD Tax Parcel ID],MATCH(SP_ACQ_Lib[[#This Row],[Acquisition Tract No.]],SP_AcqTract_DB[Acquisition Tract No.],0))</f>
        <v/>
      </c>
      <c r="W355" s="48" t="e">
        <f>INDEX(SP_TaxPar_DB[Acquisition Tract No.],MATCH(LEFT(SP_ACQ_Lib[[#This Row],[Tax Parcel ID]],7),SP_TaxPar_DB[Tax Parcel ID],0))</f>
        <v>#N/A</v>
      </c>
      <c r="X355" s="238" t="str">
        <f>IF(OR(SP_ACQ_Lib[[#This Row],[Acquisition Tract No.]]="",SP_ACQ_Lib[[#This Row],[ACQ Document Type]]=""),0,CONCATENATE("COW-FRMP_TR-",SP_ACQ_Lib[[#This Row],[Acquisition Tract No.]]," ",SP_ACQ_Lib[[#This Row],[ACQ Document Type]]))</f>
        <v>COW-FRMP_TR-227 SURVEY Description-Plat_USACOE</v>
      </c>
      <c r="Y355" s="239">
        <f>IF(OR(SP_ACQ_Lib[[#This Row],[File Name Convention]]=0,LEFT(SP_ACQ_Lib[[#This Row],[Name]],LEN(SP_ACQ_Lib[[#This Row],[File Name Convention]]))&lt;&gt;SP_ACQ_Lib[[#This Row],[File Name Convention]],ISERROR(SEARCH(SP_ACQ_Lib[[#This Row],[ACQ Document Type]],SP_ACQ_Lib[[#This Row],[Name]]))),1,0)</f>
        <v>0</v>
      </c>
    </row>
    <row r="356" spans="1:25" ht="15" x14ac:dyDescent="0.2">
      <c r="A356" s="157" t="str">
        <f>CONCATENATE(SP_ACQ_Lib[[#This Row],[Acquisition Tract No.]],"_",SP_ACQ_Lib[[#This Row],[ACQ Document Type]])</f>
        <v>228_SURVEY Description-Plat_USACOE</v>
      </c>
      <c r="B356" s="14" t="s">
        <v>4984</v>
      </c>
      <c r="C356" s="45" t="s">
        <v>3302</v>
      </c>
      <c r="D356" s="12" t="s">
        <v>22</v>
      </c>
      <c r="E356" s="8" t="s">
        <v>858</v>
      </c>
      <c r="F356" s="8" t="s">
        <v>3510</v>
      </c>
      <c r="G356" s="8" t="s">
        <v>3509</v>
      </c>
      <c r="H356" s="7" t="s">
        <v>592</v>
      </c>
      <c r="I356" s="16">
        <v>43917</v>
      </c>
      <c r="J356" s="16">
        <v>43948</v>
      </c>
      <c r="K356" s="17"/>
      <c r="L356" s="3"/>
      <c r="M356" s="8" t="s">
        <v>4206</v>
      </c>
      <c r="N356" s="11">
        <v>43950.345370370371</v>
      </c>
      <c r="O356" s="8" t="s">
        <v>4206</v>
      </c>
      <c r="P356" s="11">
        <v>43950.345104166663</v>
      </c>
      <c r="Q356" s="13">
        <v>480045</v>
      </c>
      <c r="R356" s="46" t="s">
        <v>594</v>
      </c>
      <c r="S356" s="14" t="s">
        <v>5003</v>
      </c>
      <c r="T356" s="163">
        <v>856</v>
      </c>
      <c r="U356" s="164" t="str">
        <f>CONCATENATE(LEFT(SP_ACQ_Lib[[#This Row],[Tax Parcel ID]],7),"_",SP_ACQ_Lib[[#This Row],[ACQ Document Type]])</f>
        <v>_SURVEY Description-Plat_USACOE</v>
      </c>
      <c r="V356" s="65" t="str">
        <f>INDEX(SP_AcqTract_DB[WCAD Tax Parcel ID],MATCH(SP_ACQ_Lib[[#This Row],[Acquisition Tract No.]],SP_AcqTract_DB[Acquisition Tract No.],0))</f>
        <v/>
      </c>
      <c r="W356" s="48" t="e">
        <f>INDEX(SP_TaxPar_DB[Acquisition Tract No.],MATCH(LEFT(SP_ACQ_Lib[[#This Row],[Tax Parcel ID]],7),SP_TaxPar_DB[Tax Parcel ID],0))</f>
        <v>#N/A</v>
      </c>
      <c r="X356" s="238" t="str">
        <f>IF(OR(SP_ACQ_Lib[[#This Row],[Acquisition Tract No.]]="",SP_ACQ_Lib[[#This Row],[ACQ Document Type]]=""),0,CONCATENATE("COW-FRMP_TR-",SP_ACQ_Lib[[#This Row],[Acquisition Tract No.]]," ",SP_ACQ_Lib[[#This Row],[ACQ Document Type]]))</f>
        <v>COW-FRMP_TR-228 SURVEY Description-Plat_USACOE</v>
      </c>
      <c r="Y356" s="239">
        <f>IF(OR(SP_ACQ_Lib[[#This Row],[File Name Convention]]=0,LEFT(SP_ACQ_Lib[[#This Row],[Name]],LEN(SP_ACQ_Lib[[#This Row],[File Name Convention]]))&lt;&gt;SP_ACQ_Lib[[#This Row],[File Name Convention]],ISERROR(SEARCH(SP_ACQ_Lib[[#This Row],[ACQ Document Type]],SP_ACQ_Lib[[#This Row],[Name]]))),1,0)</f>
        <v>0</v>
      </c>
    </row>
    <row r="357" spans="1:25" ht="15" x14ac:dyDescent="0.2">
      <c r="A357" s="157" t="str">
        <f>CONCATENATE(SP_ACQ_Lib[[#This Row],[Acquisition Tract No.]],"_",SP_ACQ_Lib[[#This Row],[ACQ Document Type]])</f>
        <v>230_CONTACT Negotiator Report</v>
      </c>
      <c r="B357" s="14" t="s">
        <v>5530</v>
      </c>
      <c r="C357" s="45" t="s">
        <v>3310</v>
      </c>
      <c r="D357" s="12" t="s">
        <v>3029</v>
      </c>
      <c r="E357" s="8" t="s">
        <v>865</v>
      </c>
      <c r="F357" s="8" t="s">
        <v>1068</v>
      </c>
      <c r="G357" s="8" t="s">
        <v>1067</v>
      </c>
      <c r="H357" s="7" t="s">
        <v>592</v>
      </c>
      <c r="I357" s="16"/>
      <c r="J357" s="16"/>
      <c r="K357" s="17"/>
      <c r="L357" s="3"/>
      <c r="M357" s="8" t="s">
        <v>1744</v>
      </c>
      <c r="N357" s="11">
        <v>43992.685347222221</v>
      </c>
      <c r="O357" s="8" t="s">
        <v>1744</v>
      </c>
      <c r="P357" s="11">
        <v>43930.873796296299</v>
      </c>
      <c r="Q357" s="13">
        <v>988037</v>
      </c>
      <c r="R357" s="46" t="s">
        <v>1069</v>
      </c>
      <c r="S357" s="14" t="s">
        <v>4714</v>
      </c>
      <c r="T357" s="163">
        <v>831</v>
      </c>
      <c r="U357" s="164" t="str">
        <f>CONCATENATE(LEFT(SP_ACQ_Lib[[#This Row],[Tax Parcel ID]],7),"_",SP_ACQ_Lib[[#This Row],[ACQ Document Type]])</f>
        <v>R023655_CONTACT Negotiator Report</v>
      </c>
      <c r="V357" s="65" t="str">
        <f>INDEX(SP_AcqTract_DB[WCAD Tax Parcel ID],MATCH(SP_ACQ_Lib[[#This Row],[Acquisition Tract No.]],SP_AcqTract_DB[Acquisition Tract No.],0))</f>
        <v>R023655;#169</v>
      </c>
      <c r="W357" s="48" t="str">
        <f>INDEX(SP_TaxPar_DB[Acquisition Tract No.],MATCH(LEFT(SP_ACQ_Lib[[#This Row],[Tax Parcel ID]],7),SP_TaxPar_DB[Tax Parcel ID],0))</f>
        <v>230</v>
      </c>
      <c r="X357" s="238" t="str">
        <f>IF(OR(SP_ACQ_Lib[[#This Row],[Acquisition Tract No.]]="",SP_ACQ_Lib[[#This Row],[ACQ Document Type]]=""),0,CONCATENATE("COW-FRMP_TR-",SP_ACQ_Lib[[#This Row],[Acquisition Tract No.]]," ",SP_ACQ_Lib[[#This Row],[ACQ Document Type]]))</f>
        <v>COW-FRMP_TR-230 CONTACT Negotiator Report</v>
      </c>
      <c r="Y357" s="239">
        <f>IF(OR(SP_ACQ_Lib[[#This Row],[File Name Convention]]=0,LEFT(SP_ACQ_Lib[[#This Row],[Name]],LEN(SP_ACQ_Lib[[#This Row],[File Name Convention]]))&lt;&gt;SP_ACQ_Lib[[#This Row],[File Name Convention]],ISERROR(SEARCH(SP_ACQ_Lib[[#This Row],[ACQ Document Type]],SP_ACQ_Lib[[#This Row],[Name]]))),1,0)</f>
        <v>0</v>
      </c>
    </row>
    <row r="358" spans="1:25" ht="15" x14ac:dyDescent="0.2">
      <c r="A358" s="157" t="str">
        <f>CONCATENATE(SP_ACQ_Lib[[#This Row],[Acquisition Tract No.]],"_",SP_ACQ_Lib[[#This Row],[ACQ Document Type]])</f>
        <v>230_CONTACT Negotiator Report</v>
      </c>
      <c r="B358" s="14" t="s">
        <v>5531</v>
      </c>
      <c r="C358" s="45" t="s">
        <v>3310</v>
      </c>
      <c r="D358" s="12" t="s">
        <v>3029</v>
      </c>
      <c r="E358" s="8" t="s">
        <v>865</v>
      </c>
      <c r="F358" s="8" t="s">
        <v>1068</v>
      </c>
      <c r="G358" s="8" t="s">
        <v>1067</v>
      </c>
      <c r="H358" s="7" t="s">
        <v>592</v>
      </c>
      <c r="I358" s="16"/>
      <c r="J358" s="16"/>
      <c r="K358" s="17"/>
      <c r="L358" s="3"/>
      <c r="M358" s="8" t="s">
        <v>23</v>
      </c>
      <c r="N358" s="11">
        <v>43979.422824074078</v>
      </c>
      <c r="O358" s="8" t="s">
        <v>4206</v>
      </c>
      <c r="P358" s="11">
        <v>43979.392581018517</v>
      </c>
      <c r="Q358" s="13">
        <v>43639</v>
      </c>
      <c r="R358" s="46" t="s">
        <v>1069</v>
      </c>
      <c r="S358" s="14" t="s">
        <v>5532</v>
      </c>
      <c r="T358" s="163">
        <v>1060</v>
      </c>
      <c r="U358" s="164" t="str">
        <f>CONCATENATE(LEFT(SP_ACQ_Lib[[#This Row],[Tax Parcel ID]],7),"_",SP_ACQ_Lib[[#This Row],[ACQ Document Type]])</f>
        <v>R023655_CONTACT Negotiator Report</v>
      </c>
      <c r="V358" s="65" t="str">
        <f>INDEX(SP_AcqTract_DB[WCAD Tax Parcel ID],MATCH(SP_ACQ_Lib[[#This Row],[Acquisition Tract No.]],SP_AcqTract_DB[Acquisition Tract No.],0))</f>
        <v>R023655;#169</v>
      </c>
      <c r="W358" s="48" t="str">
        <f>INDEX(SP_TaxPar_DB[Acquisition Tract No.],MATCH(LEFT(SP_ACQ_Lib[[#This Row],[Tax Parcel ID]],7),SP_TaxPar_DB[Tax Parcel ID],0))</f>
        <v>230</v>
      </c>
      <c r="X358" s="238" t="str">
        <f>IF(OR(SP_ACQ_Lib[[#This Row],[Acquisition Tract No.]]="",SP_ACQ_Lib[[#This Row],[ACQ Document Type]]=""),0,CONCATENATE("COW-FRMP_TR-",SP_ACQ_Lib[[#This Row],[Acquisition Tract No.]]," ",SP_ACQ_Lib[[#This Row],[ACQ Document Type]]))</f>
        <v>COW-FRMP_TR-230 CONTACT Negotiator Report</v>
      </c>
      <c r="Y358" s="239">
        <f>IF(OR(SP_ACQ_Lib[[#This Row],[File Name Convention]]=0,LEFT(SP_ACQ_Lib[[#This Row],[Name]],LEN(SP_ACQ_Lib[[#This Row],[File Name Convention]]))&lt;&gt;SP_ACQ_Lib[[#This Row],[File Name Convention]],ISERROR(SEARCH(SP_ACQ_Lib[[#This Row],[ACQ Document Type]],SP_ACQ_Lib[[#This Row],[Name]]))),1,0)</f>
        <v>0</v>
      </c>
    </row>
    <row r="359" spans="1:25" ht="15" x14ac:dyDescent="0.2">
      <c r="A359" s="157" t="str">
        <f>CONCATENATE(SP_ACQ_Lib[[#This Row],[Acquisition Tract No.]],"_",SP_ACQ_Lib[[#This Row],[ACQ Document Type]])</f>
        <v>230_SURVEY Right-of-Entry</v>
      </c>
      <c r="B359" s="14" t="s">
        <v>5655</v>
      </c>
      <c r="C359" s="45" t="s">
        <v>3310</v>
      </c>
      <c r="D359" s="12" t="s">
        <v>3029</v>
      </c>
      <c r="E359" s="8" t="s">
        <v>858</v>
      </c>
      <c r="F359" s="8" t="s">
        <v>859</v>
      </c>
      <c r="G359" s="8" t="s">
        <v>591</v>
      </c>
      <c r="H359" s="7" t="s">
        <v>592</v>
      </c>
      <c r="I359" s="16">
        <v>43950</v>
      </c>
      <c r="J359" s="16"/>
      <c r="K359" s="17"/>
      <c r="L359" s="3"/>
      <c r="M359" s="8" t="s">
        <v>4206</v>
      </c>
      <c r="N359" s="11">
        <v>43985.458587962959</v>
      </c>
      <c r="O359" s="8" t="s">
        <v>4206</v>
      </c>
      <c r="P359" s="11">
        <v>43984.744375000002</v>
      </c>
      <c r="Q359" s="13">
        <v>2237970</v>
      </c>
      <c r="R359" s="46" t="s">
        <v>594</v>
      </c>
      <c r="S359" s="14" t="s">
        <v>5656</v>
      </c>
      <c r="T359" s="163">
        <v>1083</v>
      </c>
      <c r="U359" s="164" t="str">
        <f>CONCATENATE(LEFT(SP_ACQ_Lib[[#This Row],[Tax Parcel ID]],7),"_",SP_ACQ_Lib[[#This Row],[ACQ Document Type]])</f>
        <v>R023655_SURVEY Right-of-Entry</v>
      </c>
      <c r="V359" s="65" t="str">
        <f>INDEX(SP_AcqTract_DB[WCAD Tax Parcel ID],MATCH(SP_ACQ_Lib[[#This Row],[Acquisition Tract No.]],SP_AcqTract_DB[Acquisition Tract No.],0))</f>
        <v>R023655;#169</v>
      </c>
      <c r="W359" s="48" t="str">
        <f>INDEX(SP_TaxPar_DB[Acquisition Tract No.],MATCH(LEFT(SP_ACQ_Lib[[#This Row],[Tax Parcel ID]],7),SP_TaxPar_DB[Tax Parcel ID],0))</f>
        <v>230</v>
      </c>
      <c r="X359" s="238" t="str">
        <f>IF(OR(SP_ACQ_Lib[[#This Row],[Acquisition Tract No.]]="",SP_ACQ_Lib[[#This Row],[ACQ Document Type]]=""),0,CONCATENATE("COW-FRMP_TR-",SP_ACQ_Lib[[#This Row],[Acquisition Tract No.]]," ",SP_ACQ_Lib[[#This Row],[ACQ Document Type]]))</f>
        <v>COW-FRMP_TR-230 SURVEY Right-of-Entry</v>
      </c>
      <c r="Y359" s="239">
        <f>IF(OR(SP_ACQ_Lib[[#This Row],[File Name Convention]]=0,LEFT(SP_ACQ_Lib[[#This Row],[Name]],LEN(SP_ACQ_Lib[[#This Row],[File Name Convention]]))&lt;&gt;SP_ACQ_Lib[[#This Row],[File Name Convention]],ISERROR(SEARCH(SP_ACQ_Lib[[#This Row],[ACQ Document Type]],SP_ACQ_Lib[[#This Row],[Name]]))),1,0)</f>
        <v>0</v>
      </c>
    </row>
    <row r="360" spans="1:25" ht="15" x14ac:dyDescent="0.2">
      <c r="A360" s="157" t="str">
        <f>CONCATENATE(SP_ACQ_Lib[[#This Row],[Acquisition Tract No.]],"_",SP_ACQ_Lib[[#This Row],[ACQ Document Type]])</f>
        <v>230_SURVEY Right-of-Entry CMRR</v>
      </c>
      <c r="B360" s="14" t="s">
        <v>4584</v>
      </c>
      <c r="C360" s="45" t="s">
        <v>3310</v>
      </c>
      <c r="D360" s="12" t="s">
        <v>3029</v>
      </c>
      <c r="E360" s="8" t="s">
        <v>858</v>
      </c>
      <c r="F360" s="8" t="s">
        <v>860</v>
      </c>
      <c r="G360" s="8" t="s">
        <v>598</v>
      </c>
      <c r="H360" s="7" t="s">
        <v>592</v>
      </c>
      <c r="I360" s="16">
        <v>43845</v>
      </c>
      <c r="J360" s="16">
        <v>43853</v>
      </c>
      <c r="K360" s="17"/>
      <c r="L360" s="3" t="s">
        <v>4560</v>
      </c>
      <c r="M360" s="8" t="s">
        <v>4206</v>
      </c>
      <c r="N360" s="11">
        <v>43923.478217592594</v>
      </c>
      <c r="O360" s="8" t="s">
        <v>4206</v>
      </c>
      <c r="P360" s="11">
        <v>43917.492025462961</v>
      </c>
      <c r="Q360" s="13">
        <v>980421</v>
      </c>
      <c r="R360" s="46" t="s">
        <v>594</v>
      </c>
      <c r="S360" s="14" t="s">
        <v>4618</v>
      </c>
      <c r="T360" s="163">
        <v>795</v>
      </c>
      <c r="U360" s="164" t="str">
        <f>CONCATENATE(LEFT(SP_ACQ_Lib[[#This Row],[Tax Parcel ID]],7),"_",SP_ACQ_Lib[[#This Row],[ACQ Document Type]])</f>
        <v>R023655_SURVEY Right-of-Entry CMRR</v>
      </c>
      <c r="V360" s="65" t="str">
        <f>INDEX(SP_AcqTract_DB[WCAD Tax Parcel ID],MATCH(SP_ACQ_Lib[[#This Row],[Acquisition Tract No.]],SP_AcqTract_DB[Acquisition Tract No.],0))</f>
        <v>R023655;#169</v>
      </c>
      <c r="W360" s="48" t="str">
        <f>INDEX(SP_TaxPar_DB[Acquisition Tract No.],MATCH(LEFT(SP_ACQ_Lib[[#This Row],[Tax Parcel ID]],7),SP_TaxPar_DB[Tax Parcel ID],0))</f>
        <v>230</v>
      </c>
      <c r="X360" s="238" t="str">
        <f>IF(OR(SP_ACQ_Lib[[#This Row],[Acquisition Tract No.]]="",SP_ACQ_Lib[[#This Row],[ACQ Document Type]]=""),0,CONCATENATE("COW-FRMP_TR-",SP_ACQ_Lib[[#This Row],[Acquisition Tract No.]]," ",SP_ACQ_Lib[[#This Row],[ACQ Document Type]]))</f>
        <v>COW-FRMP_TR-230 SURVEY Right-of-Entry CMRR</v>
      </c>
      <c r="Y360" s="239">
        <f>IF(OR(SP_ACQ_Lib[[#This Row],[File Name Convention]]=0,LEFT(SP_ACQ_Lib[[#This Row],[Name]],LEN(SP_ACQ_Lib[[#This Row],[File Name Convention]]))&lt;&gt;SP_ACQ_Lib[[#This Row],[File Name Convention]],ISERROR(SEARCH(SP_ACQ_Lib[[#This Row],[ACQ Document Type]],SP_ACQ_Lib[[#This Row],[Name]]))),1,0)</f>
        <v>0</v>
      </c>
    </row>
    <row r="361" spans="1:25" ht="15" x14ac:dyDescent="0.2">
      <c r="A361" s="157" t="str">
        <f>CONCATENATE(SP_ACQ_Lib[[#This Row],[Acquisition Tract No.]],"_",SP_ACQ_Lib[[#This Row],[ACQ Document Type]])</f>
        <v>230_TITLE Commitment</v>
      </c>
      <c r="B361" s="14" t="s">
        <v>4468</v>
      </c>
      <c r="C361" s="45" t="s">
        <v>3310</v>
      </c>
      <c r="D361" s="12" t="s">
        <v>3029</v>
      </c>
      <c r="E361" s="8" t="s">
        <v>861</v>
      </c>
      <c r="F361" s="8" t="s">
        <v>862</v>
      </c>
      <c r="G361" s="8" t="s">
        <v>614</v>
      </c>
      <c r="H361" s="7" t="s">
        <v>592</v>
      </c>
      <c r="I361" s="16">
        <v>43889</v>
      </c>
      <c r="J361" s="16">
        <v>43906</v>
      </c>
      <c r="K361" s="17"/>
      <c r="L361" s="3" t="s">
        <v>4446</v>
      </c>
      <c r="M361" s="8" t="s">
        <v>4325</v>
      </c>
      <c r="N361" s="11">
        <v>43907.602870370371</v>
      </c>
      <c r="O361" s="8" t="s">
        <v>4325</v>
      </c>
      <c r="P361" s="11">
        <v>43907.536354166667</v>
      </c>
      <c r="Q361" s="13">
        <v>332680</v>
      </c>
      <c r="R361" s="46" t="s">
        <v>594</v>
      </c>
      <c r="S361" s="14" t="s">
        <v>4500</v>
      </c>
      <c r="T361" s="163">
        <v>782</v>
      </c>
      <c r="U361" s="164" t="str">
        <f>CONCATENATE(LEFT(SP_ACQ_Lib[[#This Row],[Tax Parcel ID]],7),"_",SP_ACQ_Lib[[#This Row],[ACQ Document Type]])</f>
        <v>R023655_TITLE Commitment</v>
      </c>
      <c r="V361" s="65" t="str">
        <f>INDEX(SP_AcqTract_DB[WCAD Tax Parcel ID],MATCH(SP_ACQ_Lib[[#This Row],[Acquisition Tract No.]],SP_AcqTract_DB[Acquisition Tract No.],0))</f>
        <v>R023655;#169</v>
      </c>
      <c r="W361" s="48" t="str">
        <f>INDEX(SP_TaxPar_DB[Acquisition Tract No.],MATCH(LEFT(SP_ACQ_Lib[[#This Row],[Tax Parcel ID]],7),SP_TaxPar_DB[Tax Parcel ID],0))</f>
        <v>230</v>
      </c>
      <c r="X361" s="238" t="str">
        <f>IF(OR(SP_ACQ_Lib[[#This Row],[Acquisition Tract No.]]="",SP_ACQ_Lib[[#This Row],[ACQ Document Type]]=""),0,CONCATENATE("COW-FRMP_TR-",SP_ACQ_Lib[[#This Row],[Acquisition Tract No.]]," ",SP_ACQ_Lib[[#This Row],[ACQ Document Type]]))</f>
        <v>COW-FRMP_TR-230 TITLE Commitment</v>
      </c>
      <c r="Y361" s="239">
        <f>IF(OR(SP_ACQ_Lib[[#This Row],[File Name Convention]]=0,LEFT(SP_ACQ_Lib[[#This Row],[Name]],LEN(SP_ACQ_Lib[[#This Row],[File Name Convention]]))&lt;&gt;SP_ACQ_Lib[[#This Row],[File Name Convention]],ISERROR(SEARCH(SP_ACQ_Lib[[#This Row],[ACQ Document Type]],SP_ACQ_Lib[[#This Row],[Name]]))),1,0)</f>
        <v>0</v>
      </c>
    </row>
    <row r="362" spans="1:25" ht="15" x14ac:dyDescent="0.2">
      <c r="A362" s="157" t="str">
        <f>CONCATENATE(SP_ACQ_Lib[[#This Row],[Acquisition Tract No.]],"_",SP_ACQ_Lib[[#This Row],[ACQ Document Type]])</f>
        <v>230_TITLE Commitment Backup Docs</v>
      </c>
      <c r="B362" s="14" t="s">
        <v>4469</v>
      </c>
      <c r="C362" s="45" t="s">
        <v>3310</v>
      </c>
      <c r="D362" s="12" t="s">
        <v>3029</v>
      </c>
      <c r="E362" s="8" t="s">
        <v>861</v>
      </c>
      <c r="F362" s="8" t="s">
        <v>863</v>
      </c>
      <c r="G362" s="8" t="s">
        <v>616</v>
      </c>
      <c r="H362" s="7" t="s">
        <v>592</v>
      </c>
      <c r="I362" s="16">
        <v>43907</v>
      </c>
      <c r="J362" s="16"/>
      <c r="K362" s="17"/>
      <c r="L362" s="3"/>
      <c r="M362" s="8" t="s">
        <v>4325</v>
      </c>
      <c r="N362" s="11">
        <v>43907.602997685186</v>
      </c>
      <c r="O362" s="8" t="s">
        <v>4325</v>
      </c>
      <c r="P362" s="11">
        <v>43907.598078703704</v>
      </c>
      <c r="Q362" s="13">
        <v>280672</v>
      </c>
      <c r="R362" s="46" t="s">
        <v>594</v>
      </c>
      <c r="S362" s="14" t="s">
        <v>4501</v>
      </c>
      <c r="T362" s="163">
        <v>783</v>
      </c>
      <c r="U362" s="164" t="str">
        <f>CONCATENATE(LEFT(SP_ACQ_Lib[[#This Row],[Tax Parcel ID]],7),"_",SP_ACQ_Lib[[#This Row],[ACQ Document Type]])</f>
        <v>R023655_TITLE Commitment Backup Docs</v>
      </c>
      <c r="V362" s="65" t="str">
        <f>INDEX(SP_AcqTract_DB[WCAD Tax Parcel ID],MATCH(SP_ACQ_Lib[[#This Row],[Acquisition Tract No.]],SP_AcqTract_DB[Acquisition Tract No.],0))</f>
        <v>R023655;#169</v>
      </c>
      <c r="W362" s="48" t="str">
        <f>INDEX(SP_TaxPar_DB[Acquisition Tract No.],MATCH(LEFT(SP_ACQ_Lib[[#This Row],[Tax Parcel ID]],7),SP_TaxPar_DB[Tax Parcel ID],0))</f>
        <v>230</v>
      </c>
      <c r="X362" s="238" t="str">
        <f>IF(OR(SP_ACQ_Lib[[#This Row],[Acquisition Tract No.]]="",SP_ACQ_Lib[[#This Row],[ACQ Document Type]]=""),0,CONCATENATE("COW-FRMP_TR-",SP_ACQ_Lib[[#This Row],[Acquisition Tract No.]]," ",SP_ACQ_Lib[[#This Row],[ACQ Document Type]]))</f>
        <v>COW-FRMP_TR-230 TITLE Commitment Backup Docs</v>
      </c>
      <c r="Y362" s="239">
        <f>IF(OR(SP_ACQ_Lib[[#This Row],[File Name Convention]]=0,LEFT(SP_ACQ_Lib[[#This Row],[Name]],LEN(SP_ACQ_Lib[[#This Row],[File Name Convention]]))&lt;&gt;SP_ACQ_Lib[[#This Row],[File Name Convention]],ISERROR(SEARCH(SP_ACQ_Lib[[#This Row],[ACQ Document Type]],SP_ACQ_Lib[[#This Row],[Name]]))),1,0)</f>
        <v>0</v>
      </c>
    </row>
    <row r="363" spans="1:25" ht="15" x14ac:dyDescent="0.2">
      <c r="A363" s="157" t="str">
        <f>CONCATENATE(SP_ACQ_Lib[[#This Row],[Acquisition Tract No.]],"_",SP_ACQ_Lib[[#This Row],[ACQ Document Type]])</f>
        <v>230_TITLE Curative Plan</v>
      </c>
      <c r="B363" s="14" t="s">
        <v>4470</v>
      </c>
      <c r="C363" s="45" t="s">
        <v>3310</v>
      </c>
      <c r="D363" s="12" t="s">
        <v>3029</v>
      </c>
      <c r="E363" s="8" t="s">
        <v>861</v>
      </c>
      <c r="F363" s="8" t="s">
        <v>864</v>
      </c>
      <c r="G363" s="8" t="s">
        <v>617</v>
      </c>
      <c r="H363" s="7" t="s">
        <v>592</v>
      </c>
      <c r="I363" s="16">
        <v>43889</v>
      </c>
      <c r="J363" s="16">
        <v>43906</v>
      </c>
      <c r="K363" s="17"/>
      <c r="L363" s="3" t="s">
        <v>4447</v>
      </c>
      <c r="M363" s="8" t="s">
        <v>4325</v>
      </c>
      <c r="N363" s="11">
        <v>43907.603159722225</v>
      </c>
      <c r="O363" s="8" t="s">
        <v>4325</v>
      </c>
      <c r="P363" s="11">
        <v>43907.533750000002</v>
      </c>
      <c r="Q363" s="13">
        <v>38651</v>
      </c>
      <c r="R363" s="46" t="s">
        <v>594</v>
      </c>
      <c r="S363" s="14" t="s">
        <v>4502</v>
      </c>
      <c r="T363" s="163">
        <v>781</v>
      </c>
      <c r="U363" s="164" t="str">
        <f>CONCATENATE(LEFT(SP_ACQ_Lib[[#This Row],[Tax Parcel ID]],7),"_",SP_ACQ_Lib[[#This Row],[ACQ Document Type]])</f>
        <v>R023655_TITLE Curative Plan</v>
      </c>
      <c r="V363" s="65" t="str">
        <f>INDEX(SP_AcqTract_DB[WCAD Tax Parcel ID],MATCH(SP_ACQ_Lib[[#This Row],[Acquisition Tract No.]],SP_AcqTract_DB[Acquisition Tract No.],0))</f>
        <v>R023655;#169</v>
      </c>
      <c r="W363" s="48" t="str">
        <f>INDEX(SP_TaxPar_DB[Acquisition Tract No.],MATCH(LEFT(SP_ACQ_Lib[[#This Row],[Tax Parcel ID]],7),SP_TaxPar_DB[Tax Parcel ID],0))</f>
        <v>230</v>
      </c>
      <c r="X363" s="238" t="str">
        <f>IF(OR(SP_ACQ_Lib[[#This Row],[Acquisition Tract No.]]="",SP_ACQ_Lib[[#This Row],[ACQ Document Type]]=""),0,CONCATENATE("COW-FRMP_TR-",SP_ACQ_Lib[[#This Row],[Acquisition Tract No.]]," ",SP_ACQ_Lib[[#This Row],[ACQ Document Type]]))</f>
        <v>COW-FRMP_TR-230 TITLE Curative Plan</v>
      </c>
      <c r="Y363" s="239">
        <f>IF(OR(SP_ACQ_Lib[[#This Row],[File Name Convention]]=0,LEFT(SP_ACQ_Lib[[#This Row],[Name]],LEN(SP_ACQ_Lib[[#This Row],[File Name Convention]]))&lt;&gt;SP_ACQ_Lib[[#This Row],[File Name Convention]],ISERROR(SEARCH(SP_ACQ_Lib[[#This Row],[ACQ Document Type]],SP_ACQ_Lib[[#This Row],[Name]]))),1,0)</f>
        <v>0</v>
      </c>
    </row>
    <row r="364" spans="1:25" ht="15" x14ac:dyDescent="0.2">
      <c r="A364" s="157" t="str">
        <f>CONCATENATE(SP_ACQ_Lib[[#This Row],[Acquisition Tract No.]],"_",SP_ACQ_Lib[[#This Row],[ACQ Document Type]])</f>
        <v>230_TITLE Tax Card</v>
      </c>
      <c r="B364" s="14" t="s">
        <v>3878</v>
      </c>
      <c r="C364" s="15" t="s">
        <v>3310</v>
      </c>
      <c r="D364" s="12" t="s">
        <v>3029</v>
      </c>
      <c r="E364" s="8" t="s">
        <v>861</v>
      </c>
      <c r="F364" s="8" t="s">
        <v>1150</v>
      </c>
      <c r="G364" s="8" t="s">
        <v>1149</v>
      </c>
      <c r="H364" s="7" t="s">
        <v>592</v>
      </c>
      <c r="I364" s="16"/>
      <c r="J364" s="16"/>
      <c r="K364" s="17"/>
      <c r="L364" s="3" t="s">
        <v>4944</v>
      </c>
      <c r="M364" s="8" t="s">
        <v>4206</v>
      </c>
      <c r="N364" s="11">
        <v>43942.316979166666</v>
      </c>
      <c r="O364" s="8" t="s">
        <v>4206</v>
      </c>
      <c r="P364" s="11">
        <v>43942.31658564815</v>
      </c>
      <c r="Q364" s="13">
        <v>687472</v>
      </c>
      <c r="R364" s="19" t="s">
        <v>594</v>
      </c>
      <c r="S364" s="14" t="s">
        <v>4948</v>
      </c>
      <c r="T364" s="163">
        <v>822</v>
      </c>
      <c r="U364" s="164" t="str">
        <f>CONCATENATE(LEFT(SP_ACQ_Lib[[#This Row],[Tax Parcel ID]],7),"_",SP_ACQ_Lib[[#This Row],[ACQ Document Type]])</f>
        <v>R023655_TITLE Tax Card</v>
      </c>
      <c r="V364" s="65" t="str">
        <f>INDEX(SP_AcqTract_DB[WCAD Tax Parcel ID],MATCH(SP_ACQ_Lib[[#This Row],[Acquisition Tract No.]],SP_AcqTract_DB[Acquisition Tract No.],0))</f>
        <v>R023655;#169</v>
      </c>
      <c r="W364" s="48" t="str">
        <f>INDEX(SP_TaxPar_DB[Acquisition Tract No.],MATCH(LEFT(SP_ACQ_Lib[[#This Row],[Tax Parcel ID]],7),SP_TaxPar_DB[Tax Parcel ID],0))</f>
        <v>230</v>
      </c>
      <c r="X364" s="238" t="str">
        <f>IF(OR(SP_ACQ_Lib[[#This Row],[Acquisition Tract No.]]="",SP_ACQ_Lib[[#This Row],[ACQ Document Type]]=""),0,CONCATENATE("COW-FRMP_TR-",SP_ACQ_Lib[[#This Row],[Acquisition Tract No.]]," ",SP_ACQ_Lib[[#This Row],[ACQ Document Type]]))</f>
        <v>COW-FRMP_TR-230 TITLE Tax Card</v>
      </c>
      <c r="Y364" s="239">
        <f>IF(OR(SP_ACQ_Lib[[#This Row],[File Name Convention]]=0,LEFT(SP_ACQ_Lib[[#This Row],[Name]],LEN(SP_ACQ_Lib[[#This Row],[File Name Convention]]))&lt;&gt;SP_ACQ_Lib[[#This Row],[File Name Convention]],ISERROR(SEARCH(SP_ACQ_Lib[[#This Row],[ACQ Document Type]],SP_ACQ_Lib[[#This Row],[Name]]))),1,0)</f>
        <v>0</v>
      </c>
    </row>
    <row r="365" spans="1:25" ht="15" x14ac:dyDescent="0.2">
      <c r="A365" s="157" t="str">
        <f>CONCATENATE(SP_ACQ_Lib[[#This Row],[Acquisition Tract No.]],"_",SP_ACQ_Lib[[#This Row],[ACQ Document Type]])</f>
        <v>231_CONTACT Negotiator Report</v>
      </c>
      <c r="B365" s="14" t="s">
        <v>4946</v>
      </c>
      <c r="C365" s="45" t="s">
        <v>3315</v>
      </c>
      <c r="D365" s="12" t="s">
        <v>3030</v>
      </c>
      <c r="E365" s="8" t="s">
        <v>865</v>
      </c>
      <c r="F365" s="8" t="s">
        <v>1068</v>
      </c>
      <c r="G365" s="8" t="s">
        <v>1067</v>
      </c>
      <c r="H365" s="7" t="s">
        <v>592</v>
      </c>
      <c r="I365" s="16">
        <v>43851</v>
      </c>
      <c r="J365" s="16"/>
      <c r="K365" s="17"/>
      <c r="L365" s="3" t="s">
        <v>4945</v>
      </c>
      <c r="M365" s="8" t="s">
        <v>1744</v>
      </c>
      <c r="N365" s="11">
        <v>43977.885231481479</v>
      </c>
      <c r="O365" s="8" t="s">
        <v>4206</v>
      </c>
      <c r="P365" s="11">
        <v>43942.32712962963</v>
      </c>
      <c r="Q365" s="13">
        <v>2737925</v>
      </c>
      <c r="R365" s="46" t="s">
        <v>1069</v>
      </c>
      <c r="S365" s="14" t="s">
        <v>4949</v>
      </c>
      <c r="T365" s="163">
        <v>833</v>
      </c>
      <c r="U365" s="164" t="str">
        <f>CONCATENATE(LEFT(SP_ACQ_Lib[[#This Row],[Tax Parcel ID]],7),"_",SP_ACQ_Lib[[#This Row],[ACQ Document Type]])</f>
        <v>R023656_CONTACT Negotiator Report</v>
      </c>
      <c r="V365" s="65" t="str">
        <f>INDEX(SP_AcqTract_DB[WCAD Tax Parcel ID],MATCH(SP_ACQ_Lib[[#This Row],[Acquisition Tract No.]],SP_AcqTract_DB[Acquisition Tract No.],0))</f>
        <v>R023656;#170</v>
      </c>
      <c r="W365" s="48" t="str">
        <f>INDEX(SP_TaxPar_DB[Acquisition Tract No.],MATCH(LEFT(SP_ACQ_Lib[[#This Row],[Tax Parcel ID]],7),SP_TaxPar_DB[Tax Parcel ID],0))</f>
        <v>231</v>
      </c>
      <c r="X365" s="238" t="str">
        <f>IF(OR(SP_ACQ_Lib[[#This Row],[Acquisition Tract No.]]="",SP_ACQ_Lib[[#This Row],[ACQ Document Type]]=""),0,CONCATENATE("COW-FRMP_TR-",SP_ACQ_Lib[[#This Row],[Acquisition Tract No.]]," ",SP_ACQ_Lib[[#This Row],[ACQ Document Type]]))</f>
        <v>COW-FRMP_TR-231 CONTACT Negotiator Report</v>
      </c>
      <c r="Y365" s="239">
        <f>IF(OR(SP_ACQ_Lib[[#This Row],[File Name Convention]]=0,LEFT(SP_ACQ_Lib[[#This Row],[Name]],LEN(SP_ACQ_Lib[[#This Row],[File Name Convention]]))&lt;&gt;SP_ACQ_Lib[[#This Row],[File Name Convention]],ISERROR(SEARCH(SP_ACQ_Lib[[#This Row],[ACQ Document Type]],SP_ACQ_Lib[[#This Row],[Name]]))),1,0)</f>
        <v>0</v>
      </c>
    </row>
    <row r="366" spans="1:25" ht="15" x14ac:dyDescent="0.2">
      <c r="A366" s="157" t="str">
        <f>CONCATENATE(SP_ACQ_Lib[[#This Row],[Acquisition Tract No.]],"_",SP_ACQ_Lib[[#This Row],[ACQ Document Type]])</f>
        <v>231_ENVIRONMENTAL Right-of-Entry Executed</v>
      </c>
      <c r="B366" s="14" t="s">
        <v>6722</v>
      </c>
      <c r="C366" s="45" t="s">
        <v>3315</v>
      </c>
      <c r="D366" s="12" t="s">
        <v>3030</v>
      </c>
      <c r="E366" s="8" t="s">
        <v>2682</v>
      </c>
      <c r="F366" s="8" t="s">
        <v>2683</v>
      </c>
      <c r="G366" s="8" t="s">
        <v>2681</v>
      </c>
      <c r="H366" s="7" t="s">
        <v>592</v>
      </c>
      <c r="I366" s="16">
        <v>43872</v>
      </c>
      <c r="J366" s="16"/>
      <c r="K366" s="17"/>
      <c r="L366" s="3" t="s">
        <v>6720</v>
      </c>
      <c r="M366" s="8" t="s">
        <v>4206</v>
      </c>
      <c r="N366" s="11">
        <v>44025.437523148146</v>
      </c>
      <c r="O366" s="8" t="s">
        <v>4206</v>
      </c>
      <c r="P366" s="11">
        <v>44025.436620370368</v>
      </c>
      <c r="Q366" s="13">
        <v>1930554</v>
      </c>
      <c r="R366" s="46" t="s">
        <v>594</v>
      </c>
      <c r="S366" s="14" t="s">
        <v>6724</v>
      </c>
      <c r="T366" s="163">
        <v>1385</v>
      </c>
      <c r="U366" s="164" t="str">
        <f>CONCATENATE(LEFT(SP_ACQ_Lib[[#This Row],[Tax Parcel ID]],7),"_",SP_ACQ_Lib[[#This Row],[ACQ Document Type]])</f>
        <v>R023656_ENVIRONMENTAL Right-of-Entry Executed</v>
      </c>
      <c r="V366" s="65" t="str">
        <f>INDEX(SP_AcqTract_DB[WCAD Tax Parcel ID],MATCH(SP_ACQ_Lib[[#This Row],[Acquisition Tract No.]],SP_AcqTract_DB[Acquisition Tract No.],0))</f>
        <v>R023656;#170</v>
      </c>
      <c r="W366" s="48" t="str">
        <f>INDEX(SP_TaxPar_DB[Acquisition Tract No.],MATCH(LEFT(SP_ACQ_Lib[[#This Row],[Tax Parcel ID]],7),SP_TaxPar_DB[Tax Parcel ID],0))</f>
        <v>231</v>
      </c>
      <c r="X366" s="238" t="str">
        <f>IF(OR(SP_ACQ_Lib[[#This Row],[Acquisition Tract No.]]="",SP_ACQ_Lib[[#This Row],[ACQ Document Type]]=""),0,CONCATENATE("COW-FRMP_TR-",SP_ACQ_Lib[[#This Row],[Acquisition Tract No.]]," ",SP_ACQ_Lib[[#This Row],[ACQ Document Type]]))</f>
        <v>COW-FRMP_TR-231 ENVIRONMENTAL Right-of-Entry Executed</v>
      </c>
      <c r="Y366" s="239">
        <f>IF(OR(SP_ACQ_Lib[[#This Row],[File Name Convention]]=0,LEFT(SP_ACQ_Lib[[#This Row],[Name]],LEN(SP_ACQ_Lib[[#This Row],[File Name Convention]]))&lt;&gt;SP_ACQ_Lib[[#This Row],[File Name Convention]],ISERROR(SEARCH(SP_ACQ_Lib[[#This Row],[ACQ Document Type]],SP_ACQ_Lib[[#This Row],[Name]]))),1,0)</f>
        <v>0</v>
      </c>
    </row>
    <row r="367" spans="1:25" ht="15" x14ac:dyDescent="0.2">
      <c r="A367" s="157" t="str">
        <f>CONCATENATE(SP_ACQ_Lib[[#This Row],[Acquisition Tract No.]],"_",SP_ACQ_Lib[[#This Row],[ACQ Document Type]])</f>
        <v>231_ENVIRONMENTAL Right-of-Entry Package</v>
      </c>
      <c r="B367" s="14" t="s">
        <v>3879</v>
      </c>
      <c r="C367" s="45" t="s">
        <v>3315</v>
      </c>
      <c r="D367" s="12" t="s">
        <v>3030</v>
      </c>
      <c r="E367" s="8" t="s">
        <v>2682</v>
      </c>
      <c r="F367" s="8" t="s">
        <v>2687</v>
      </c>
      <c r="G367" s="8" t="s">
        <v>2686</v>
      </c>
      <c r="H367" s="7" t="s">
        <v>592</v>
      </c>
      <c r="I367" s="16">
        <v>43845</v>
      </c>
      <c r="J367" s="16">
        <v>43852</v>
      </c>
      <c r="K367" s="17"/>
      <c r="L367" s="3" t="s">
        <v>6721</v>
      </c>
      <c r="M367" s="8" t="s">
        <v>4206</v>
      </c>
      <c r="N367" s="11">
        <v>44025.436238425929</v>
      </c>
      <c r="O367" s="8" t="s">
        <v>4206</v>
      </c>
      <c r="P367" s="11">
        <v>43942.324745370373</v>
      </c>
      <c r="Q367" s="13">
        <v>1125271</v>
      </c>
      <c r="R367" s="46" t="s">
        <v>594</v>
      </c>
      <c r="S367" s="14" t="s">
        <v>4950</v>
      </c>
      <c r="T367" s="163">
        <v>825</v>
      </c>
      <c r="U367" s="164" t="str">
        <f>CONCATENATE(LEFT(SP_ACQ_Lib[[#This Row],[Tax Parcel ID]],7),"_",SP_ACQ_Lib[[#This Row],[ACQ Document Type]])</f>
        <v>R023656_ENVIRONMENTAL Right-of-Entry Package</v>
      </c>
      <c r="V367" s="65" t="str">
        <f>INDEX(SP_AcqTract_DB[WCAD Tax Parcel ID],MATCH(SP_ACQ_Lib[[#This Row],[Acquisition Tract No.]],SP_AcqTract_DB[Acquisition Tract No.],0))</f>
        <v>R023656;#170</v>
      </c>
      <c r="W367" s="48" t="str">
        <f>INDEX(SP_TaxPar_DB[Acquisition Tract No.],MATCH(LEFT(SP_ACQ_Lib[[#This Row],[Tax Parcel ID]],7),SP_TaxPar_DB[Tax Parcel ID],0))</f>
        <v>231</v>
      </c>
      <c r="X367" s="238" t="str">
        <f>IF(OR(SP_ACQ_Lib[[#This Row],[Acquisition Tract No.]]="",SP_ACQ_Lib[[#This Row],[ACQ Document Type]]=""),0,CONCATENATE("COW-FRMP_TR-",SP_ACQ_Lib[[#This Row],[Acquisition Tract No.]]," ",SP_ACQ_Lib[[#This Row],[ACQ Document Type]]))</f>
        <v>COW-FRMP_TR-231 ENVIRONMENTAL Right-of-Entry Package</v>
      </c>
      <c r="Y367" s="239">
        <f>IF(OR(SP_ACQ_Lib[[#This Row],[File Name Convention]]=0,LEFT(SP_ACQ_Lib[[#This Row],[Name]],LEN(SP_ACQ_Lib[[#This Row],[File Name Convention]]))&lt;&gt;SP_ACQ_Lib[[#This Row],[File Name Convention]],ISERROR(SEARCH(SP_ACQ_Lib[[#This Row],[ACQ Document Type]],SP_ACQ_Lib[[#This Row],[Name]]))),1,0)</f>
        <v>0</v>
      </c>
    </row>
    <row r="368" spans="1:25" ht="15" x14ac:dyDescent="0.2">
      <c r="A368" s="157" t="str">
        <f>CONCATENATE(SP_ACQ_Lib[[#This Row],[Acquisition Tract No.]],"_",SP_ACQ_Lib[[#This Row],[ACQ Document Type]])</f>
        <v>231_SURVEY Right-of-Entry</v>
      </c>
      <c r="B368" s="14" t="s">
        <v>4947</v>
      </c>
      <c r="C368" s="45" t="s">
        <v>3315</v>
      </c>
      <c r="D368" s="12" t="s">
        <v>3030</v>
      </c>
      <c r="E368" s="8" t="s">
        <v>858</v>
      </c>
      <c r="F368" s="8" t="s">
        <v>859</v>
      </c>
      <c r="G368" s="8" t="s">
        <v>591</v>
      </c>
      <c r="H368" s="7" t="s">
        <v>592</v>
      </c>
      <c r="I368" s="16">
        <v>44021</v>
      </c>
      <c r="J368" s="16"/>
      <c r="K368" s="17"/>
      <c r="L368" s="3"/>
      <c r="M368" s="8" t="s">
        <v>4206</v>
      </c>
      <c r="N368" s="11">
        <v>44025.432349537034</v>
      </c>
      <c r="O368" s="8" t="s">
        <v>4206</v>
      </c>
      <c r="P368" s="11">
        <v>44025.425983796296</v>
      </c>
      <c r="Q368" s="13">
        <v>1737052</v>
      </c>
      <c r="R368" s="46" t="s">
        <v>594</v>
      </c>
      <c r="S368" s="14" t="s">
        <v>6725</v>
      </c>
      <c r="T368" s="163">
        <v>1383</v>
      </c>
      <c r="U368" s="164" t="str">
        <f>CONCATENATE(LEFT(SP_ACQ_Lib[[#This Row],[Tax Parcel ID]],7),"_",SP_ACQ_Lib[[#This Row],[ACQ Document Type]])</f>
        <v>R023656_SURVEY Right-of-Entry</v>
      </c>
      <c r="V368" s="65" t="str">
        <f>INDEX(SP_AcqTract_DB[WCAD Tax Parcel ID],MATCH(SP_ACQ_Lib[[#This Row],[Acquisition Tract No.]],SP_AcqTract_DB[Acquisition Tract No.],0))</f>
        <v>R023656;#170</v>
      </c>
      <c r="W368" s="48" t="str">
        <f>INDEX(SP_TaxPar_DB[Acquisition Tract No.],MATCH(LEFT(SP_ACQ_Lib[[#This Row],[Tax Parcel ID]],7),SP_TaxPar_DB[Tax Parcel ID],0))</f>
        <v>231</v>
      </c>
      <c r="X368" s="238" t="str">
        <f>IF(OR(SP_ACQ_Lib[[#This Row],[Acquisition Tract No.]]="",SP_ACQ_Lib[[#This Row],[ACQ Document Type]]=""),0,CONCATENATE("COW-FRMP_TR-",SP_ACQ_Lib[[#This Row],[Acquisition Tract No.]]," ",SP_ACQ_Lib[[#This Row],[ACQ Document Type]]))</f>
        <v>COW-FRMP_TR-231 SURVEY Right-of-Entry</v>
      </c>
      <c r="Y368" s="239">
        <f>IF(OR(SP_ACQ_Lib[[#This Row],[File Name Convention]]=0,LEFT(SP_ACQ_Lib[[#This Row],[Name]],LEN(SP_ACQ_Lib[[#This Row],[File Name Convention]]))&lt;&gt;SP_ACQ_Lib[[#This Row],[File Name Convention]],ISERROR(SEARCH(SP_ACQ_Lib[[#This Row],[ACQ Document Type]],SP_ACQ_Lib[[#This Row],[Name]]))),1,0)</f>
        <v>0</v>
      </c>
    </row>
    <row r="369" spans="1:25" ht="15" x14ac:dyDescent="0.2">
      <c r="A369" s="157" t="str">
        <f>CONCATENATE(SP_ACQ_Lib[[#This Row],[Acquisition Tract No.]],"_",SP_ACQ_Lib[[#This Row],[ACQ Document Type]])</f>
        <v>231_TITLE Commitment</v>
      </c>
      <c r="B369" s="14" t="s">
        <v>6317</v>
      </c>
      <c r="C369" s="45" t="s">
        <v>3315</v>
      </c>
      <c r="D369" s="12" t="s">
        <v>3030</v>
      </c>
      <c r="E369" s="8" t="s">
        <v>861</v>
      </c>
      <c r="F369" s="8" t="s">
        <v>862</v>
      </c>
      <c r="G369" s="8" t="s">
        <v>614</v>
      </c>
      <c r="H369" s="7" t="s">
        <v>592</v>
      </c>
      <c r="I369" s="16">
        <v>43987</v>
      </c>
      <c r="J369" s="16">
        <v>43998</v>
      </c>
      <c r="K369" s="17"/>
      <c r="L369" s="3" t="s">
        <v>6289</v>
      </c>
      <c r="M369" s="8" t="s">
        <v>4325</v>
      </c>
      <c r="N369" s="11">
        <v>43999.683703703704</v>
      </c>
      <c r="O369" s="8" t="s">
        <v>4325</v>
      </c>
      <c r="P369" s="11">
        <v>43999.683055555557</v>
      </c>
      <c r="Q369" s="13">
        <v>1921261</v>
      </c>
      <c r="R369" s="46" t="s">
        <v>594</v>
      </c>
      <c r="S369" s="14" t="s">
        <v>6386</v>
      </c>
      <c r="T369" s="163">
        <v>1221</v>
      </c>
      <c r="U369" s="164" t="str">
        <f>CONCATENATE(LEFT(SP_ACQ_Lib[[#This Row],[Tax Parcel ID]],7),"_",SP_ACQ_Lib[[#This Row],[ACQ Document Type]])</f>
        <v>R023656_TITLE Commitment</v>
      </c>
      <c r="V369" s="65" t="str">
        <f>INDEX(SP_AcqTract_DB[WCAD Tax Parcel ID],MATCH(SP_ACQ_Lib[[#This Row],[Acquisition Tract No.]],SP_AcqTract_DB[Acquisition Tract No.],0))</f>
        <v>R023656;#170</v>
      </c>
      <c r="W369" s="48" t="str">
        <f>INDEX(SP_TaxPar_DB[Acquisition Tract No.],MATCH(LEFT(SP_ACQ_Lib[[#This Row],[Tax Parcel ID]],7),SP_TaxPar_DB[Tax Parcel ID],0))</f>
        <v>231</v>
      </c>
      <c r="X369" s="238" t="str">
        <f>IF(OR(SP_ACQ_Lib[[#This Row],[Acquisition Tract No.]]="",SP_ACQ_Lib[[#This Row],[ACQ Document Type]]=""),0,CONCATENATE("COW-FRMP_TR-",SP_ACQ_Lib[[#This Row],[Acquisition Tract No.]]," ",SP_ACQ_Lib[[#This Row],[ACQ Document Type]]))</f>
        <v>COW-FRMP_TR-231 TITLE Commitment</v>
      </c>
      <c r="Y369" s="239">
        <f>IF(OR(SP_ACQ_Lib[[#This Row],[File Name Convention]]=0,LEFT(SP_ACQ_Lib[[#This Row],[Name]],LEN(SP_ACQ_Lib[[#This Row],[File Name Convention]]))&lt;&gt;SP_ACQ_Lib[[#This Row],[File Name Convention]],ISERROR(SEARCH(SP_ACQ_Lib[[#This Row],[ACQ Document Type]],SP_ACQ_Lib[[#This Row],[Name]]))),1,0)</f>
        <v>0</v>
      </c>
    </row>
    <row r="370" spans="1:25" ht="15" x14ac:dyDescent="0.2">
      <c r="A370" s="157" t="str">
        <f>CONCATENATE(SP_ACQ_Lib[[#This Row],[Acquisition Tract No.]],"_",SP_ACQ_Lib[[#This Row],[ACQ Document Type]])</f>
        <v>231_TITLE Commitment Backup Docs</v>
      </c>
      <c r="B370" s="14" t="s">
        <v>6513</v>
      </c>
      <c r="C370" s="45" t="s">
        <v>3315</v>
      </c>
      <c r="D370" s="12" t="s">
        <v>3030</v>
      </c>
      <c r="E370" s="8" t="s">
        <v>861</v>
      </c>
      <c r="F370" s="8" t="s">
        <v>863</v>
      </c>
      <c r="G370" s="8" t="s">
        <v>616</v>
      </c>
      <c r="H370" s="7" t="s">
        <v>592</v>
      </c>
      <c r="I370" s="16">
        <v>44020</v>
      </c>
      <c r="J370" s="16"/>
      <c r="K370" s="17"/>
      <c r="L370" s="3"/>
      <c r="M370" s="8" t="s">
        <v>4325</v>
      </c>
      <c r="N370" s="11">
        <v>44020.500393518516</v>
      </c>
      <c r="O370" s="8" t="s">
        <v>4325</v>
      </c>
      <c r="P370" s="11">
        <v>44020.498912037037</v>
      </c>
      <c r="Q370" s="13">
        <v>1376590</v>
      </c>
      <c r="R370" s="46" t="s">
        <v>594</v>
      </c>
      <c r="S370" s="14" t="s">
        <v>6576</v>
      </c>
      <c r="T370" s="163">
        <v>1365</v>
      </c>
      <c r="U370" s="164" t="str">
        <f>CONCATENATE(LEFT(SP_ACQ_Lib[[#This Row],[Tax Parcel ID]],7),"_",SP_ACQ_Lib[[#This Row],[ACQ Document Type]])</f>
        <v>R023656_TITLE Commitment Backup Docs</v>
      </c>
      <c r="V370" s="65" t="str">
        <f>INDEX(SP_AcqTract_DB[WCAD Tax Parcel ID],MATCH(SP_ACQ_Lib[[#This Row],[Acquisition Tract No.]],SP_AcqTract_DB[Acquisition Tract No.],0))</f>
        <v>R023656;#170</v>
      </c>
      <c r="W370" s="48" t="str">
        <f>INDEX(SP_TaxPar_DB[Acquisition Tract No.],MATCH(LEFT(SP_ACQ_Lib[[#This Row],[Tax Parcel ID]],7),SP_TaxPar_DB[Tax Parcel ID],0))</f>
        <v>231</v>
      </c>
      <c r="X370" s="238" t="str">
        <f>IF(OR(SP_ACQ_Lib[[#This Row],[Acquisition Tract No.]]="",SP_ACQ_Lib[[#This Row],[ACQ Document Type]]=""),0,CONCATENATE("COW-FRMP_TR-",SP_ACQ_Lib[[#This Row],[Acquisition Tract No.]]," ",SP_ACQ_Lib[[#This Row],[ACQ Document Type]]))</f>
        <v>COW-FRMP_TR-231 TITLE Commitment Backup Docs</v>
      </c>
      <c r="Y370" s="239">
        <f>IF(OR(SP_ACQ_Lib[[#This Row],[File Name Convention]]=0,LEFT(SP_ACQ_Lib[[#This Row],[Name]],LEN(SP_ACQ_Lib[[#This Row],[File Name Convention]]))&lt;&gt;SP_ACQ_Lib[[#This Row],[File Name Convention]],ISERROR(SEARCH(SP_ACQ_Lib[[#This Row],[ACQ Document Type]],SP_ACQ_Lib[[#This Row],[Name]]))),1,0)</f>
        <v>0</v>
      </c>
    </row>
    <row r="371" spans="1:25" ht="15" x14ac:dyDescent="0.2">
      <c r="A371" s="157" t="str">
        <f>CONCATENATE(SP_ACQ_Lib[[#This Row],[Acquisition Tract No.]],"_",SP_ACQ_Lib[[#This Row],[ACQ Document Type]])</f>
        <v>231_TITLE Curative Plan</v>
      </c>
      <c r="B371" s="14" t="s">
        <v>6514</v>
      </c>
      <c r="C371" s="45" t="s">
        <v>3315</v>
      </c>
      <c r="D371" s="12" t="s">
        <v>3030</v>
      </c>
      <c r="E371" s="8" t="s">
        <v>861</v>
      </c>
      <c r="F371" s="8" t="s">
        <v>864</v>
      </c>
      <c r="G371" s="8" t="s">
        <v>617</v>
      </c>
      <c r="H371" s="7" t="s">
        <v>592</v>
      </c>
      <c r="I371" s="16">
        <v>43987</v>
      </c>
      <c r="J371" s="16">
        <v>43998</v>
      </c>
      <c r="K371" s="17"/>
      <c r="L371" s="3" t="s">
        <v>6481</v>
      </c>
      <c r="M371" s="8" t="s">
        <v>4325</v>
      </c>
      <c r="N371" s="11">
        <v>44014.366851851853</v>
      </c>
      <c r="O371" s="8" t="s">
        <v>4325</v>
      </c>
      <c r="P371" s="11">
        <v>44014.365451388891</v>
      </c>
      <c r="Q371" s="13">
        <v>37259</v>
      </c>
      <c r="R371" s="46" t="s">
        <v>594</v>
      </c>
      <c r="S371" s="14" t="s">
        <v>6577</v>
      </c>
      <c r="T371" s="163">
        <v>1329</v>
      </c>
      <c r="U371" s="164" t="str">
        <f>CONCATENATE(LEFT(SP_ACQ_Lib[[#This Row],[Tax Parcel ID]],7),"_",SP_ACQ_Lib[[#This Row],[ACQ Document Type]])</f>
        <v>R023656_TITLE Curative Plan</v>
      </c>
      <c r="V371" s="65" t="str">
        <f>INDEX(SP_AcqTract_DB[WCAD Tax Parcel ID],MATCH(SP_ACQ_Lib[[#This Row],[Acquisition Tract No.]],SP_AcqTract_DB[Acquisition Tract No.],0))</f>
        <v>R023656;#170</v>
      </c>
      <c r="W371" s="48" t="str">
        <f>INDEX(SP_TaxPar_DB[Acquisition Tract No.],MATCH(LEFT(SP_ACQ_Lib[[#This Row],[Tax Parcel ID]],7),SP_TaxPar_DB[Tax Parcel ID],0))</f>
        <v>231</v>
      </c>
      <c r="X371" s="238" t="str">
        <f>IF(OR(SP_ACQ_Lib[[#This Row],[Acquisition Tract No.]]="",SP_ACQ_Lib[[#This Row],[ACQ Document Type]]=""),0,CONCATENATE("COW-FRMP_TR-",SP_ACQ_Lib[[#This Row],[Acquisition Tract No.]]," ",SP_ACQ_Lib[[#This Row],[ACQ Document Type]]))</f>
        <v>COW-FRMP_TR-231 TITLE Curative Plan</v>
      </c>
      <c r="Y371" s="239">
        <f>IF(OR(SP_ACQ_Lib[[#This Row],[File Name Convention]]=0,LEFT(SP_ACQ_Lib[[#This Row],[Name]],LEN(SP_ACQ_Lib[[#This Row],[File Name Convention]]))&lt;&gt;SP_ACQ_Lib[[#This Row],[File Name Convention]],ISERROR(SEARCH(SP_ACQ_Lib[[#This Row],[ACQ Document Type]],SP_ACQ_Lib[[#This Row],[Name]]))),1,0)</f>
        <v>0</v>
      </c>
    </row>
    <row r="372" spans="1:25" ht="15" x14ac:dyDescent="0.2">
      <c r="A372" s="157" t="str">
        <f>CONCATENATE(SP_ACQ_Lib[[#This Row],[Acquisition Tract No.]],"_",SP_ACQ_Lib[[#This Row],[ACQ Document Type]])</f>
        <v>231_TITLE Tax Card</v>
      </c>
      <c r="B372" s="14" t="s">
        <v>3880</v>
      </c>
      <c r="C372" s="45" t="s">
        <v>3315</v>
      </c>
      <c r="D372" s="12" t="s">
        <v>3030</v>
      </c>
      <c r="E372" s="8" t="s">
        <v>861</v>
      </c>
      <c r="F372" s="8" t="s">
        <v>1150</v>
      </c>
      <c r="G372" s="8" t="s">
        <v>1149</v>
      </c>
      <c r="H372" s="7" t="s">
        <v>592</v>
      </c>
      <c r="I372" s="16"/>
      <c r="J372" s="16"/>
      <c r="K372" s="17"/>
      <c r="L372" s="3" t="s">
        <v>4945</v>
      </c>
      <c r="M372" s="8" t="s">
        <v>4206</v>
      </c>
      <c r="N372" s="11">
        <v>43942.319976851853</v>
      </c>
      <c r="O372" s="8" t="s">
        <v>4206</v>
      </c>
      <c r="P372" s="11">
        <v>43942.319236111114</v>
      </c>
      <c r="Q372" s="13">
        <v>751112</v>
      </c>
      <c r="R372" s="46" t="s">
        <v>594</v>
      </c>
      <c r="S372" s="14" t="s">
        <v>4951</v>
      </c>
      <c r="T372" s="163">
        <v>823</v>
      </c>
      <c r="U372" s="164" t="str">
        <f>CONCATENATE(LEFT(SP_ACQ_Lib[[#This Row],[Tax Parcel ID]],7),"_",SP_ACQ_Lib[[#This Row],[ACQ Document Type]])</f>
        <v>R023656_TITLE Tax Card</v>
      </c>
      <c r="V372" s="65" t="str">
        <f>INDEX(SP_AcqTract_DB[WCAD Tax Parcel ID],MATCH(SP_ACQ_Lib[[#This Row],[Acquisition Tract No.]],SP_AcqTract_DB[Acquisition Tract No.],0))</f>
        <v>R023656;#170</v>
      </c>
      <c r="W372" s="48" t="str">
        <f>INDEX(SP_TaxPar_DB[Acquisition Tract No.],MATCH(LEFT(SP_ACQ_Lib[[#This Row],[Tax Parcel ID]],7),SP_TaxPar_DB[Tax Parcel ID],0))</f>
        <v>231</v>
      </c>
      <c r="X372" s="238" t="str">
        <f>IF(OR(SP_ACQ_Lib[[#This Row],[Acquisition Tract No.]]="",SP_ACQ_Lib[[#This Row],[ACQ Document Type]]=""),0,CONCATENATE("COW-FRMP_TR-",SP_ACQ_Lib[[#This Row],[Acquisition Tract No.]]," ",SP_ACQ_Lib[[#This Row],[ACQ Document Type]]))</f>
        <v>COW-FRMP_TR-231 TITLE Tax Card</v>
      </c>
      <c r="Y372" s="239">
        <f>IF(OR(SP_ACQ_Lib[[#This Row],[File Name Convention]]=0,LEFT(SP_ACQ_Lib[[#This Row],[Name]],LEN(SP_ACQ_Lib[[#This Row],[File Name Convention]]))&lt;&gt;SP_ACQ_Lib[[#This Row],[File Name Convention]],ISERROR(SEARCH(SP_ACQ_Lib[[#This Row],[ACQ Document Type]],SP_ACQ_Lib[[#This Row],[Name]]))),1,0)</f>
        <v>0</v>
      </c>
    </row>
    <row r="373" spans="1:25" ht="15" x14ac:dyDescent="0.2">
      <c r="A373" s="157" t="str">
        <f>CONCATENATE(SP_ACQ_Lib[[#This Row],[Acquisition Tract No.]],"_",SP_ACQ_Lib[[#This Row],[ACQ Document Type]])</f>
        <v>300_CONTACT Letter of Intent-HDR</v>
      </c>
      <c r="B373" s="14" t="s">
        <v>1510</v>
      </c>
      <c r="C373" s="45" t="s">
        <v>44</v>
      </c>
      <c r="D373" s="12" t="s">
        <v>640</v>
      </c>
      <c r="E373" s="8" t="s">
        <v>865</v>
      </c>
      <c r="F373" s="8" t="s">
        <v>1401</v>
      </c>
      <c r="G373" s="8" t="s">
        <v>1400</v>
      </c>
      <c r="H373" s="7" t="s">
        <v>592</v>
      </c>
      <c r="I373" s="16">
        <v>43765</v>
      </c>
      <c r="J373" s="16"/>
      <c r="K373" s="17"/>
      <c r="L373" s="3"/>
      <c r="M373" s="8" t="s">
        <v>23</v>
      </c>
      <c r="N373" s="11">
        <v>43770.449178240742</v>
      </c>
      <c r="O373" s="8" t="s">
        <v>1402</v>
      </c>
      <c r="P373" s="11">
        <v>43769.624351851853</v>
      </c>
      <c r="Q373" s="13">
        <v>345818</v>
      </c>
      <c r="R373" s="46" t="s">
        <v>594</v>
      </c>
      <c r="S373" s="14" t="s">
        <v>1638</v>
      </c>
      <c r="T373" s="163">
        <v>525</v>
      </c>
      <c r="U373" s="164" t="str">
        <f>CONCATENATE(LEFT(SP_ACQ_Lib[[#This Row],[Tax Parcel ID]],7),"_",SP_ACQ_Lib[[#This Row],[ACQ Document Type]])</f>
        <v>R059284_CONTACT Letter of Intent-HDR</v>
      </c>
      <c r="V373" s="65" t="str">
        <f>INDEX(SP_AcqTract_DB[WCAD Tax Parcel ID],MATCH(SP_ACQ_Lib[[#This Row],[Acquisition Tract No.]],SP_AcqTract_DB[Acquisition Tract No.],0))</f>
        <v>R059284;#38</v>
      </c>
      <c r="W373" s="48" t="str">
        <f>INDEX(SP_TaxPar_DB[Acquisition Tract No.],MATCH(LEFT(SP_ACQ_Lib[[#This Row],[Tax Parcel ID]],7),SP_TaxPar_DB[Tax Parcel ID],0))</f>
        <v>300</v>
      </c>
      <c r="X373" s="238" t="str">
        <f>IF(OR(SP_ACQ_Lib[[#This Row],[Acquisition Tract No.]]="",SP_ACQ_Lib[[#This Row],[ACQ Document Type]]=""),0,CONCATENATE("COW-FRMP_TR-",SP_ACQ_Lib[[#This Row],[Acquisition Tract No.]]," ",SP_ACQ_Lib[[#This Row],[ACQ Document Type]]))</f>
        <v>COW-FRMP_TR-300 CONTACT Letter of Intent-HDR</v>
      </c>
      <c r="Y373" s="239">
        <f>IF(OR(SP_ACQ_Lib[[#This Row],[File Name Convention]]=0,LEFT(SP_ACQ_Lib[[#This Row],[Name]],LEN(SP_ACQ_Lib[[#This Row],[File Name Convention]]))&lt;&gt;SP_ACQ_Lib[[#This Row],[File Name Convention]],ISERROR(SEARCH(SP_ACQ_Lib[[#This Row],[ACQ Document Type]],SP_ACQ_Lib[[#This Row],[Name]]))),1,0)</f>
        <v>0</v>
      </c>
    </row>
    <row r="374" spans="1:25" ht="15" x14ac:dyDescent="0.2">
      <c r="A374" s="157" t="str">
        <f>CONCATENATE(SP_ACQ_Lib[[#This Row],[Acquisition Tract No.]],"_",SP_ACQ_Lib[[#This Row],[ACQ Document Type]])</f>
        <v>300_CONTACT Letter of Intent-HDR</v>
      </c>
      <c r="B374" s="14" t="s">
        <v>1511</v>
      </c>
      <c r="C374" s="45" t="s">
        <v>44</v>
      </c>
      <c r="D374" s="12" t="s">
        <v>640</v>
      </c>
      <c r="E374" s="8" t="s">
        <v>865</v>
      </c>
      <c r="F374" s="8" t="s">
        <v>1401</v>
      </c>
      <c r="G374" s="8" t="s">
        <v>1400</v>
      </c>
      <c r="H374" s="7" t="s">
        <v>592</v>
      </c>
      <c r="I374" s="16">
        <v>43765</v>
      </c>
      <c r="J374" s="16"/>
      <c r="K374" s="17"/>
      <c r="L374" s="3"/>
      <c r="M374" s="8" t="s">
        <v>23</v>
      </c>
      <c r="N374" s="11">
        <v>43770.449178240742</v>
      </c>
      <c r="O374" s="8" t="s">
        <v>1402</v>
      </c>
      <c r="P374" s="11">
        <v>43769.625706018516</v>
      </c>
      <c r="Q374" s="13">
        <v>328413</v>
      </c>
      <c r="R374" s="46" t="s">
        <v>594</v>
      </c>
      <c r="S374" s="14" t="s">
        <v>1639</v>
      </c>
      <c r="T374" s="163">
        <v>526</v>
      </c>
      <c r="U374" s="164" t="str">
        <f>CONCATENATE(LEFT(SP_ACQ_Lib[[#This Row],[Tax Parcel ID]],7),"_",SP_ACQ_Lib[[#This Row],[ACQ Document Type]])</f>
        <v>R059284_CONTACT Letter of Intent-HDR</v>
      </c>
      <c r="V374" s="65" t="str">
        <f>INDEX(SP_AcqTract_DB[WCAD Tax Parcel ID],MATCH(SP_ACQ_Lib[[#This Row],[Acquisition Tract No.]],SP_AcqTract_DB[Acquisition Tract No.],0))</f>
        <v>R059284;#38</v>
      </c>
      <c r="W374" s="48" t="str">
        <f>INDEX(SP_TaxPar_DB[Acquisition Tract No.],MATCH(LEFT(SP_ACQ_Lib[[#This Row],[Tax Parcel ID]],7),SP_TaxPar_DB[Tax Parcel ID],0))</f>
        <v>300</v>
      </c>
      <c r="X374" s="238" t="str">
        <f>IF(OR(SP_ACQ_Lib[[#This Row],[Acquisition Tract No.]]="",SP_ACQ_Lib[[#This Row],[ACQ Document Type]]=""),0,CONCATENATE("COW-FRMP_TR-",SP_ACQ_Lib[[#This Row],[Acquisition Tract No.]]," ",SP_ACQ_Lib[[#This Row],[ACQ Document Type]]))</f>
        <v>COW-FRMP_TR-300 CONTACT Letter of Intent-HDR</v>
      </c>
      <c r="Y374" s="239">
        <f>IF(OR(SP_ACQ_Lib[[#This Row],[File Name Convention]]=0,LEFT(SP_ACQ_Lib[[#This Row],[Name]],LEN(SP_ACQ_Lib[[#This Row],[File Name Convention]]))&lt;&gt;SP_ACQ_Lib[[#This Row],[File Name Convention]],ISERROR(SEARCH(SP_ACQ_Lib[[#This Row],[ACQ Document Type]],SP_ACQ_Lib[[#This Row],[Name]]))),1,0)</f>
        <v>0</v>
      </c>
    </row>
    <row r="375" spans="1:25" ht="15" x14ac:dyDescent="0.2">
      <c r="A375" s="157" t="str">
        <f>CONCATENATE(SP_ACQ_Lib[[#This Row],[Acquisition Tract No.]],"_",SP_ACQ_Lib[[#This Row],[ACQ Document Type]])</f>
        <v>300_CONTACT Letter of Intent-HDR</v>
      </c>
      <c r="B375" s="14" t="s">
        <v>1512</v>
      </c>
      <c r="C375" s="45" t="s">
        <v>44</v>
      </c>
      <c r="D375" s="12" t="s">
        <v>640</v>
      </c>
      <c r="E375" s="8" t="s">
        <v>865</v>
      </c>
      <c r="F375" s="8" t="s">
        <v>1401</v>
      </c>
      <c r="G375" s="8" t="s">
        <v>1400</v>
      </c>
      <c r="H375" s="7" t="s">
        <v>592</v>
      </c>
      <c r="I375" s="16">
        <v>43765</v>
      </c>
      <c r="J375" s="16"/>
      <c r="K375" s="17"/>
      <c r="L375" s="3"/>
      <c r="M375" s="8" t="s">
        <v>23</v>
      </c>
      <c r="N375" s="11">
        <v>43770.449178240742</v>
      </c>
      <c r="O375" s="8" t="s">
        <v>1402</v>
      </c>
      <c r="P375" s="11">
        <v>43769.62736111111</v>
      </c>
      <c r="Q375" s="13">
        <v>346112</v>
      </c>
      <c r="R375" s="46" t="s">
        <v>594</v>
      </c>
      <c r="S375" s="14" t="s">
        <v>1640</v>
      </c>
      <c r="T375" s="163">
        <v>529</v>
      </c>
      <c r="U375" s="164" t="str">
        <f>CONCATENATE(LEFT(SP_ACQ_Lib[[#This Row],[Tax Parcel ID]],7),"_",SP_ACQ_Lib[[#This Row],[ACQ Document Type]])</f>
        <v>R059284_CONTACT Letter of Intent-HDR</v>
      </c>
      <c r="V375" s="65" t="str">
        <f>INDEX(SP_AcqTract_DB[WCAD Tax Parcel ID],MATCH(SP_ACQ_Lib[[#This Row],[Acquisition Tract No.]],SP_AcqTract_DB[Acquisition Tract No.],0))</f>
        <v>R059284;#38</v>
      </c>
      <c r="W375" s="48" t="str">
        <f>INDEX(SP_TaxPar_DB[Acquisition Tract No.],MATCH(LEFT(SP_ACQ_Lib[[#This Row],[Tax Parcel ID]],7),SP_TaxPar_DB[Tax Parcel ID],0))</f>
        <v>300</v>
      </c>
      <c r="X375" s="238" t="str">
        <f>IF(OR(SP_ACQ_Lib[[#This Row],[Acquisition Tract No.]]="",SP_ACQ_Lib[[#This Row],[ACQ Document Type]]=""),0,CONCATENATE("COW-FRMP_TR-",SP_ACQ_Lib[[#This Row],[Acquisition Tract No.]]," ",SP_ACQ_Lib[[#This Row],[ACQ Document Type]]))</f>
        <v>COW-FRMP_TR-300 CONTACT Letter of Intent-HDR</v>
      </c>
      <c r="Y375" s="239">
        <f>IF(OR(SP_ACQ_Lib[[#This Row],[File Name Convention]]=0,LEFT(SP_ACQ_Lib[[#This Row],[Name]],LEN(SP_ACQ_Lib[[#This Row],[File Name Convention]]))&lt;&gt;SP_ACQ_Lib[[#This Row],[File Name Convention]],ISERROR(SEARCH(SP_ACQ_Lib[[#This Row],[ACQ Document Type]],SP_ACQ_Lib[[#This Row],[Name]]))),1,0)</f>
        <v>0</v>
      </c>
    </row>
    <row r="376" spans="1:25" ht="15" x14ac:dyDescent="0.2">
      <c r="A376" s="157" t="str">
        <f>CONCATENATE(SP_ACQ_Lib[[#This Row],[Acquisition Tract No.]],"_",SP_ACQ_Lib[[#This Row],[ACQ Document Type]])</f>
        <v>300_CONTACT Negotiator Report</v>
      </c>
      <c r="B376" s="14" t="s">
        <v>3394</v>
      </c>
      <c r="C376" s="45" t="s">
        <v>44</v>
      </c>
      <c r="D376" s="12" t="s">
        <v>640</v>
      </c>
      <c r="E376" s="8" t="s">
        <v>865</v>
      </c>
      <c r="F376" s="8" t="s">
        <v>1068</v>
      </c>
      <c r="G376" s="8" t="s">
        <v>1067</v>
      </c>
      <c r="H376" s="7" t="s">
        <v>592</v>
      </c>
      <c r="I376" s="16"/>
      <c r="J376" s="16"/>
      <c r="K376" s="17"/>
      <c r="L376" s="3"/>
      <c r="M376" s="8" t="s">
        <v>1743</v>
      </c>
      <c r="N376" s="11">
        <v>43998.637372685182</v>
      </c>
      <c r="O376" s="8" t="s">
        <v>4325</v>
      </c>
      <c r="P376" s="11">
        <v>43728.693344907406</v>
      </c>
      <c r="Q376" s="13">
        <v>240432</v>
      </c>
      <c r="R376" s="46" t="s">
        <v>1069</v>
      </c>
      <c r="S376" s="14" t="s">
        <v>1096</v>
      </c>
      <c r="T376" s="163">
        <v>309</v>
      </c>
      <c r="U376" s="164" t="str">
        <f>CONCATENATE(LEFT(SP_ACQ_Lib[[#This Row],[Tax Parcel ID]],7),"_",SP_ACQ_Lib[[#This Row],[ACQ Document Type]])</f>
        <v>R059284_CONTACT Negotiator Report</v>
      </c>
      <c r="V376" s="65" t="str">
        <f>INDEX(SP_AcqTract_DB[WCAD Tax Parcel ID],MATCH(SP_ACQ_Lib[[#This Row],[Acquisition Tract No.]],SP_AcqTract_DB[Acquisition Tract No.],0))</f>
        <v>R059284;#38</v>
      </c>
      <c r="W376" s="48" t="str">
        <f>INDEX(SP_TaxPar_DB[Acquisition Tract No.],MATCH(LEFT(SP_ACQ_Lib[[#This Row],[Tax Parcel ID]],7),SP_TaxPar_DB[Tax Parcel ID],0))</f>
        <v>300</v>
      </c>
      <c r="X376" s="238" t="str">
        <f>IF(OR(SP_ACQ_Lib[[#This Row],[Acquisition Tract No.]]="",SP_ACQ_Lib[[#This Row],[ACQ Document Type]]=""),0,CONCATENATE("COW-FRMP_TR-",SP_ACQ_Lib[[#This Row],[Acquisition Tract No.]]," ",SP_ACQ_Lib[[#This Row],[ACQ Document Type]]))</f>
        <v>COW-FRMP_TR-300 CONTACT Negotiator Report</v>
      </c>
      <c r="Y376" s="239">
        <f>IF(OR(SP_ACQ_Lib[[#This Row],[File Name Convention]]=0,LEFT(SP_ACQ_Lib[[#This Row],[Name]],LEN(SP_ACQ_Lib[[#This Row],[File Name Convention]]))&lt;&gt;SP_ACQ_Lib[[#This Row],[File Name Convention]],ISERROR(SEARCH(SP_ACQ_Lib[[#This Row],[ACQ Document Type]],SP_ACQ_Lib[[#This Row],[Name]]))),1,0)</f>
        <v>0</v>
      </c>
    </row>
    <row r="377" spans="1:25" ht="15" x14ac:dyDescent="0.2">
      <c r="A377" s="157" t="str">
        <f>CONCATENATE(SP_ACQ_Lib[[#This Row],[Acquisition Tract No.]],"_",SP_ACQ_Lib[[#This Row],[ACQ Document Type]])</f>
        <v>300_NEGOTIATION Landowner Bill of Rights Letter</v>
      </c>
      <c r="B377" s="14" t="s">
        <v>3457</v>
      </c>
      <c r="C377" s="45" t="s">
        <v>44</v>
      </c>
      <c r="D377" s="12" t="s">
        <v>640</v>
      </c>
      <c r="E377" s="8" t="s">
        <v>1142</v>
      </c>
      <c r="F377" s="8" t="s">
        <v>1746</v>
      </c>
      <c r="G377" s="8" t="s">
        <v>1745</v>
      </c>
      <c r="H377" s="7" t="s">
        <v>592</v>
      </c>
      <c r="I377" s="16">
        <v>43748</v>
      </c>
      <c r="J377" s="16"/>
      <c r="K377" s="17"/>
      <c r="L377" s="3"/>
      <c r="M377" s="8" t="s">
        <v>4206</v>
      </c>
      <c r="N377" s="11">
        <v>43872.562222222223</v>
      </c>
      <c r="O377" s="8" t="s">
        <v>4325</v>
      </c>
      <c r="P377" s="11">
        <v>43752.499236111114</v>
      </c>
      <c r="Q377" s="13">
        <v>943498</v>
      </c>
      <c r="R377" s="46" t="s">
        <v>594</v>
      </c>
      <c r="S377" s="14" t="s">
        <v>1217</v>
      </c>
      <c r="T377" s="163">
        <v>439</v>
      </c>
      <c r="U377" s="164" t="str">
        <f>CONCATENATE(LEFT(SP_ACQ_Lib[[#This Row],[Tax Parcel ID]],7),"_",SP_ACQ_Lib[[#This Row],[ACQ Document Type]])</f>
        <v>R059284_NEGOTIATION Landowner Bill of Rights Letter</v>
      </c>
      <c r="V377" s="65" t="str">
        <f>INDEX(SP_AcqTract_DB[WCAD Tax Parcel ID],MATCH(SP_ACQ_Lib[[#This Row],[Acquisition Tract No.]],SP_AcqTract_DB[Acquisition Tract No.],0))</f>
        <v>R059284;#38</v>
      </c>
      <c r="W377" s="48" t="str">
        <f>INDEX(SP_TaxPar_DB[Acquisition Tract No.],MATCH(LEFT(SP_ACQ_Lib[[#This Row],[Tax Parcel ID]],7),SP_TaxPar_DB[Tax Parcel ID],0))</f>
        <v>300</v>
      </c>
      <c r="X377" s="238" t="str">
        <f>IF(OR(SP_ACQ_Lib[[#This Row],[Acquisition Tract No.]]="",SP_ACQ_Lib[[#This Row],[ACQ Document Type]]=""),0,CONCATENATE("COW-FRMP_TR-",SP_ACQ_Lib[[#This Row],[Acquisition Tract No.]]," ",SP_ACQ_Lib[[#This Row],[ACQ Document Type]]))</f>
        <v>COW-FRMP_TR-300 NEGOTIATION Landowner Bill of Rights Letter</v>
      </c>
      <c r="Y377" s="239">
        <f>IF(OR(SP_ACQ_Lib[[#This Row],[File Name Convention]]=0,LEFT(SP_ACQ_Lib[[#This Row],[Name]],LEN(SP_ACQ_Lib[[#This Row],[File Name Convention]]))&lt;&gt;SP_ACQ_Lib[[#This Row],[File Name Convention]],ISERROR(SEARCH(SP_ACQ_Lib[[#This Row],[ACQ Document Type]],SP_ACQ_Lib[[#This Row],[Name]]))),1,0)</f>
        <v>0</v>
      </c>
    </row>
    <row r="378" spans="1:25" ht="15" x14ac:dyDescent="0.2">
      <c r="A378" s="157" t="str">
        <f>CONCATENATE(SP_ACQ_Lib[[#This Row],[Acquisition Tract No.]],"_",SP_ACQ_Lib[[#This Row],[ACQ Document Type]])</f>
        <v>300_SURVEY Description-Plat_CITY</v>
      </c>
      <c r="B378" s="14" t="s">
        <v>4585</v>
      </c>
      <c r="C378" s="45" t="s">
        <v>44</v>
      </c>
      <c r="D378" s="12" t="s">
        <v>640</v>
      </c>
      <c r="E378" s="8" t="s">
        <v>858</v>
      </c>
      <c r="F378" s="8" t="s">
        <v>3503</v>
      </c>
      <c r="G378" s="8" t="s">
        <v>3502</v>
      </c>
      <c r="H378" s="7" t="s">
        <v>1749</v>
      </c>
      <c r="I378" s="16">
        <v>43859</v>
      </c>
      <c r="J378" s="16">
        <v>43913</v>
      </c>
      <c r="K378" s="17"/>
      <c r="L378" s="3"/>
      <c r="M378" s="8" t="s">
        <v>4206</v>
      </c>
      <c r="N378" s="11">
        <v>43937.58766203704</v>
      </c>
      <c r="O378" s="8" t="s">
        <v>4205</v>
      </c>
      <c r="P378" s="11">
        <v>43913.537002314813</v>
      </c>
      <c r="Q378" s="13">
        <v>280372</v>
      </c>
      <c r="R378" s="46" t="s">
        <v>594</v>
      </c>
      <c r="S378" s="14" t="s">
        <v>4619</v>
      </c>
      <c r="T378" s="163">
        <v>786</v>
      </c>
      <c r="U378" s="164" t="str">
        <f>CONCATENATE(LEFT(SP_ACQ_Lib[[#This Row],[Tax Parcel ID]],7),"_",SP_ACQ_Lib[[#This Row],[ACQ Document Type]])</f>
        <v>R059284_SURVEY Description-Plat_CITY</v>
      </c>
      <c r="V378" s="65" t="str">
        <f>INDEX(SP_AcqTract_DB[WCAD Tax Parcel ID],MATCH(SP_ACQ_Lib[[#This Row],[Acquisition Tract No.]],SP_AcqTract_DB[Acquisition Tract No.],0))</f>
        <v>R059284;#38</v>
      </c>
      <c r="W378" s="48" t="str">
        <f>INDEX(SP_TaxPar_DB[Acquisition Tract No.],MATCH(LEFT(SP_ACQ_Lib[[#This Row],[Tax Parcel ID]],7),SP_TaxPar_DB[Tax Parcel ID],0))</f>
        <v>300</v>
      </c>
      <c r="X378" s="238" t="str">
        <f>IF(OR(SP_ACQ_Lib[[#This Row],[Acquisition Tract No.]]="",SP_ACQ_Lib[[#This Row],[ACQ Document Type]]=""),0,CONCATENATE("COW-FRMP_TR-",SP_ACQ_Lib[[#This Row],[Acquisition Tract No.]]," ",SP_ACQ_Lib[[#This Row],[ACQ Document Type]]))</f>
        <v>COW-FRMP_TR-300 SURVEY Description-Plat_CITY</v>
      </c>
      <c r="Y378" s="239">
        <f>IF(OR(SP_ACQ_Lib[[#This Row],[File Name Convention]]=0,LEFT(SP_ACQ_Lib[[#This Row],[Name]],LEN(SP_ACQ_Lib[[#This Row],[File Name Convention]]))&lt;&gt;SP_ACQ_Lib[[#This Row],[File Name Convention]],ISERROR(SEARCH(SP_ACQ_Lib[[#This Row],[ACQ Document Type]],SP_ACQ_Lib[[#This Row],[Name]]))),1,0)</f>
        <v>0</v>
      </c>
    </row>
    <row r="379" spans="1:25" ht="15" x14ac:dyDescent="0.2">
      <c r="A379" s="157" t="str">
        <f>CONCATENATE(SP_ACQ_Lib[[#This Row],[Acquisition Tract No.]],"_",SP_ACQ_Lib[[#This Row],[ACQ Document Type]])</f>
        <v>300_SURVEY Description-Plat_USACOE</v>
      </c>
      <c r="B379" s="14" t="s">
        <v>6029</v>
      </c>
      <c r="C379" s="45" t="s">
        <v>44</v>
      </c>
      <c r="D379" s="12" t="s">
        <v>640</v>
      </c>
      <c r="E379" s="8" t="s">
        <v>858</v>
      </c>
      <c r="F379" s="8" t="s">
        <v>3510</v>
      </c>
      <c r="G379" s="8" t="s">
        <v>3509</v>
      </c>
      <c r="H379" s="7" t="s">
        <v>592</v>
      </c>
      <c r="I379" s="16">
        <v>43991</v>
      </c>
      <c r="J379" s="16">
        <v>43993</v>
      </c>
      <c r="K379" s="17"/>
      <c r="L379" s="3"/>
      <c r="M379" s="8" t="s">
        <v>4206</v>
      </c>
      <c r="N379" s="11">
        <v>43994.373657407406</v>
      </c>
      <c r="O379" s="8" t="s">
        <v>4206</v>
      </c>
      <c r="P379" s="11">
        <v>43994.366666666669</v>
      </c>
      <c r="Q379" s="13">
        <v>552262</v>
      </c>
      <c r="R379" s="46" t="s">
        <v>594</v>
      </c>
      <c r="S379" s="14" t="s">
        <v>6050</v>
      </c>
      <c r="T379" s="163">
        <v>1191</v>
      </c>
      <c r="U379" s="164" t="str">
        <f>CONCATENATE(LEFT(SP_ACQ_Lib[[#This Row],[Tax Parcel ID]],7),"_",SP_ACQ_Lib[[#This Row],[ACQ Document Type]])</f>
        <v>R059284_SURVEY Description-Plat_USACOE</v>
      </c>
      <c r="V379" s="65" t="str">
        <f>INDEX(SP_AcqTract_DB[WCAD Tax Parcel ID],MATCH(SP_ACQ_Lib[[#This Row],[Acquisition Tract No.]],SP_AcqTract_DB[Acquisition Tract No.],0))</f>
        <v>R059284;#38</v>
      </c>
      <c r="W379" s="48" t="str">
        <f>INDEX(SP_TaxPar_DB[Acquisition Tract No.],MATCH(LEFT(SP_ACQ_Lib[[#This Row],[Tax Parcel ID]],7),SP_TaxPar_DB[Tax Parcel ID],0))</f>
        <v>300</v>
      </c>
      <c r="X379" s="238" t="str">
        <f>IF(OR(SP_ACQ_Lib[[#This Row],[Acquisition Tract No.]]="",SP_ACQ_Lib[[#This Row],[ACQ Document Type]]=""),0,CONCATENATE("COW-FRMP_TR-",SP_ACQ_Lib[[#This Row],[Acquisition Tract No.]]," ",SP_ACQ_Lib[[#This Row],[ACQ Document Type]]))</f>
        <v>COW-FRMP_TR-300 SURVEY Description-Plat_USACOE</v>
      </c>
      <c r="Y379" s="239">
        <f>IF(OR(SP_ACQ_Lib[[#This Row],[File Name Convention]]=0,LEFT(SP_ACQ_Lib[[#This Row],[Name]],LEN(SP_ACQ_Lib[[#This Row],[File Name Convention]]))&lt;&gt;SP_ACQ_Lib[[#This Row],[File Name Convention]],ISERROR(SEARCH(SP_ACQ_Lib[[#This Row],[ACQ Document Type]],SP_ACQ_Lib[[#This Row],[Name]]))),1,0)</f>
        <v>0</v>
      </c>
    </row>
    <row r="380" spans="1:25" ht="15" x14ac:dyDescent="0.2">
      <c r="A380" s="157" t="str">
        <f>CONCATENATE(SP_ACQ_Lib[[#This Row],[Acquisition Tract No.]],"_",SP_ACQ_Lib[[#This Row],[ACQ Document Type]])</f>
        <v>300_SURVEY Right-of-Entry CMRR</v>
      </c>
      <c r="B380" s="14" t="s">
        <v>4586</v>
      </c>
      <c r="C380" s="45" t="s">
        <v>44</v>
      </c>
      <c r="D380" s="12" t="s">
        <v>640</v>
      </c>
      <c r="E380" s="8" t="s">
        <v>858</v>
      </c>
      <c r="F380" s="8" t="s">
        <v>860</v>
      </c>
      <c r="G380" s="8" t="s">
        <v>598</v>
      </c>
      <c r="H380" s="7" t="s">
        <v>592</v>
      </c>
      <c r="I380" s="16">
        <v>43711</v>
      </c>
      <c r="J380" s="16">
        <v>43717</v>
      </c>
      <c r="K380" s="17"/>
      <c r="L380" s="3" t="s">
        <v>4562</v>
      </c>
      <c r="M380" s="8" t="s">
        <v>4206</v>
      </c>
      <c r="N380" s="11">
        <v>43922.410497685189</v>
      </c>
      <c r="O380" s="8" t="s">
        <v>4206</v>
      </c>
      <c r="P380" s="11">
        <v>43917.430763888886</v>
      </c>
      <c r="Q380" s="13">
        <v>4476142</v>
      </c>
      <c r="R380" s="46" t="s">
        <v>594</v>
      </c>
      <c r="S380" s="14" t="s">
        <v>4620</v>
      </c>
      <c r="T380" s="163">
        <v>793</v>
      </c>
      <c r="U380" s="164" t="str">
        <f>CONCATENATE(LEFT(SP_ACQ_Lib[[#This Row],[Tax Parcel ID]],7),"_",SP_ACQ_Lib[[#This Row],[ACQ Document Type]])</f>
        <v>R059284_SURVEY Right-of-Entry CMRR</v>
      </c>
      <c r="V380" s="65" t="str">
        <f>INDEX(SP_AcqTract_DB[WCAD Tax Parcel ID],MATCH(SP_ACQ_Lib[[#This Row],[Acquisition Tract No.]],SP_AcqTract_DB[Acquisition Tract No.],0))</f>
        <v>R059284;#38</v>
      </c>
      <c r="W380" s="48" t="str">
        <f>INDEX(SP_TaxPar_DB[Acquisition Tract No.],MATCH(LEFT(SP_ACQ_Lib[[#This Row],[Tax Parcel ID]],7),SP_TaxPar_DB[Tax Parcel ID],0))</f>
        <v>300</v>
      </c>
      <c r="X380" s="238" t="str">
        <f>IF(OR(SP_ACQ_Lib[[#This Row],[Acquisition Tract No.]]="",SP_ACQ_Lib[[#This Row],[ACQ Document Type]]=""),0,CONCATENATE("COW-FRMP_TR-",SP_ACQ_Lib[[#This Row],[Acquisition Tract No.]]," ",SP_ACQ_Lib[[#This Row],[ACQ Document Type]]))</f>
        <v>COW-FRMP_TR-300 SURVEY Right-of-Entry CMRR</v>
      </c>
      <c r="Y380" s="239">
        <f>IF(OR(SP_ACQ_Lib[[#This Row],[File Name Convention]]=0,LEFT(SP_ACQ_Lib[[#This Row],[Name]],LEN(SP_ACQ_Lib[[#This Row],[File Name Convention]]))&lt;&gt;SP_ACQ_Lib[[#This Row],[File Name Convention]],ISERROR(SEARCH(SP_ACQ_Lib[[#This Row],[ACQ Document Type]],SP_ACQ_Lib[[#This Row],[Name]]))),1,0)</f>
        <v>0</v>
      </c>
    </row>
    <row r="381" spans="1:25" ht="15" x14ac:dyDescent="0.2">
      <c r="A381" s="157" t="str">
        <f>CONCATENATE(SP_ACQ_Lib[[#This Row],[Acquisition Tract No.]],"_",SP_ACQ_Lib[[#This Row],[ACQ Document Type]])</f>
        <v>300_TITLE Commitment</v>
      </c>
      <c r="B381" s="14" t="s">
        <v>1513</v>
      </c>
      <c r="C381" s="45" t="s">
        <v>44</v>
      </c>
      <c r="D381" s="12" t="s">
        <v>640</v>
      </c>
      <c r="E381" s="8" t="s">
        <v>861</v>
      </c>
      <c r="F381" s="8" t="s">
        <v>862</v>
      </c>
      <c r="G381" s="8" t="s">
        <v>614</v>
      </c>
      <c r="H381" s="7" t="s">
        <v>592</v>
      </c>
      <c r="I381" s="16">
        <v>43903</v>
      </c>
      <c r="J381" s="16">
        <v>43917</v>
      </c>
      <c r="K381" s="17"/>
      <c r="L381" s="3" t="s">
        <v>4563</v>
      </c>
      <c r="M381" s="8" t="s">
        <v>4325</v>
      </c>
      <c r="N381" s="11">
        <v>43917.537847222222</v>
      </c>
      <c r="O381" s="8" t="s">
        <v>4326</v>
      </c>
      <c r="P381" s="11">
        <v>43690.347500000003</v>
      </c>
      <c r="Q381" s="13">
        <v>2019882</v>
      </c>
      <c r="R381" s="46" t="s">
        <v>594</v>
      </c>
      <c r="S381" s="14" t="s">
        <v>774</v>
      </c>
      <c r="T381" s="163">
        <v>35</v>
      </c>
      <c r="U381" s="164" t="str">
        <f>CONCATENATE(LEFT(SP_ACQ_Lib[[#This Row],[Tax Parcel ID]],7),"_",SP_ACQ_Lib[[#This Row],[ACQ Document Type]])</f>
        <v>R059284_TITLE Commitment</v>
      </c>
      <c r="V381" s="65" t="str">
        <f>INDEX(SP_AcqTract_DB[WCAD Tax Parcel ID],MATCH(SP_ACQ_Lib[[#This Row],[Acquisition Tract No.]],SP_AcqTract_DB[Acquisition Tract No.],0))</f>
        <v>R059284;#38</v>
      </c>
      <c r="W381" s="48" t="str">
        <f>INDEX(SP_TaxPar_DB[Acquisition Tract No.],MATCH(LEFT(SP_ACQ_Lib[[#This Row],[Tax Parcel ID]],7),SP_TaxPar_DB[Tax Parcel ID],0))</f>
        <v>300</v>
      </c>
      <c r="X381" s="238" t="str">
        <f>IF(OR(SP_ACQ_Lib[[#This Row],[Acquisition Tract No.]]="",SP_ACQ_Lib[[#This Row],[ACQ Document Type]]=""),0,CONCATENATE("COW-FRMP_TR-",SP_ACQ_Lib[[#This Row],[Acquisition Tract No.]]," ",SP_ACQ_Lib[[#This Row],[ACQ Document Type]]))</f>
        <v>COW-FRMP_TR-300 TITLE Commitment</v>
      </c>
      <c r="Y381" s="239">
        <f>IF(OR(SP_ACQ_Lib[[#This Row],[File Name Convention]]=0,LEFT(SP_ACQ_Lib[[#This Row],[Name]],LEN(SP_ACQ_Lib[[#This Row],[File Name Convention]]))&lt;&gt;SP_ACQ_Lib[[#This Row],[File Name Convention]],ISERROR(SEARCH(SP_ACQ_Lib[[#This Row],[ACQ Document Type]],SP_ACQ_Lib[[#This Row],[Name]]))),1,0)</f>
        <v>0</v>
      </c>
    </row>
    <row r="382" spans="1:25" ht="15" x14ac:dyDescent="0.2">
      <c r="A382" s="157" t="str">
        <f>CONCATENATE(SP_ACQ_Lib[[#This Row],[Acquisition Tract No.]],"_",SP_ACQ_Lib[[#This Row],[ACQ Document Type]])</f>
        <v>300_TITLE Commitment Backup Docs</v>
      </c>
      <c r="B382" s="14" t="s">
        <v>1514</v>
      </c>
      <c r="C382" s="45" t="s">
        <v>44</v>
      </c>
      <c r="D382" s="12" t="s">
        <v>640</v>
      </c>
      <c r="E382" s="8" t="s">
        <v>861</v>
      </c>
      <c r="F382" s="8" t="s">
        <v>863</v>
      </c>
      <c r="G382" s="8" t="s">
        <v>616</v>
      </c>
      <c r="H382" s="7" t="s">
        <v>592</v>
      </c>
      <c r="I382" s="16"/>
      <c r="J382" s="16"/>
      <c r="K382" s="17"/>
      <c r="L382" s="3"/>
      <c r="M382" s="8" t="s">
        <v>4325</v>
      </c>
      <c r="N382" s="11">
        <v>43804.568506944444</v>
      </c>
      <c r="O382" s="8" t="s">
        <v>4326</v>
      </c>
      <c r="P382" s="11">
        <v>43690.348113425927</v>
      </c>
      <c r="Q382" s="13">
        <v>1152117</v>
      </c>
      <c r="R382" s="46" t="s">
        <v>594</v>
      </c>
      <c r="S382" s="14" t="s">
        <v>775</v>
      </c>
      <c r="T382" s="163">
        <v>36</v>
      </c>
      <c r="U382" s="164" t="str">
        <f>CONCATENATE(LEFT(SP_ACQ_Lib[[#This Row],[Tax Parcel ID]],7),"_",SP_ACQ_Lib[[#This Row],[ACQ Document Type]])</f>
        <v>R059284_TITLE Commitment Backup Docs</v>
      </c>
      <c r="V382" s="65" t="str">
        <f>INDEX(SP_AcqTract_DB[WCAD Tax Parcel ID],MATCH(SP_ACQ_Lib[[#This Row],[Acquisition Tract No.]],SP_AcqTract_DB[Acquisition Tract No.],0))</f>
        <v>R059284;#38</v>
      </c>
      <c r="W382" s="48" t="str">
        <f>INDEX(SP_TaxPar_DB[Acquisition Tract No.],MATCH(LEFT(SP_ACQ_Lib[[#This Row],[Tax Parcel ID]],7),SP_TaxPar_DB[Tax Parcel ID],0))</f>
        <v>300</v>
      </c>
      <c r="X382" s="238" t="str">
        <f>IF(OR(SP_ACQ_Lib[[#This Row],[Acquisition Tract No.]]="",SP_ACQ_Lib[[#This Row],[ACQ Document Type]]=""),0,CONCATENATE("COW-FRMP_TR-",SP_ACQ_Lib[[#This Row],[Acquisition Tract No.]]," ",SP_ACQ_Lib[[#This Row],[ACQ Document Type]]))</f>
        <v>COW-FRMP_TR-300 TITLE Commitment Backup Docs</v>
      </c>
      <c r="Y382" s="239">
        <f>IF(OR(SP_ACQ_Lib[[#This Row],[File Name Convention]]=0,LEFT(SP_ACQ_Lib[[#This Row],[Name]],LEN(SP_ACQ_Lib[[#This Row],[File Name Convention]]))&lt;&gt;SP_ACQ_Lib[[#This Row],[File Name Convention]],ISERROR(SEARCH(SP_ACQ_Lib[[#This Row],[ACQ Document Type]],SP_ACQ_Lib[[#This Row],[Name]]))),1,0)</f>
        <v>0</v>
      </c>
    </row>
    <row r="383" spans="1:25" ht="15" x14ac:dyDescent="0.2">
      <c r="A383" s="157" t="str">
        <f>CONCATENATE(SP_ACQ_Lib[[#This Row],[Acquisition Tract No.]],"_",SP_ACQ_Lib[[#This Row],[ACQ Document Type]])</f>
        <v>300_TITLE Curative Plan</v>
      </c>
      <c r="B383" s="14" t="s">
        <v>1515</v>
      </c>
      <c r="C383" s="45" t="s">
        <v>44</v>
      </c>
      <c r="D383" s="12" t="s">
        <v>640</v>
      </c>
      <c r="E383" s="8" t="s">
        <v>861</v>
      </c>
      <c r="F383" s="8" t="s">
        <v>864</v>
      </c>
      <c r="G383" s="8" t="s">
        <v>617</v>
      </c>
      <c r="H383" s="7" t="s">
        <v>592</v>
      </c>
      <c r="I383" s="16">
        <v>43810</v>
      </c>
      <c r="J383" s="16"/>
      <c r="K383" s="17"/>
      <c r="L383" s="3"/>
      <c r="M383" s="8" t="s">
        <v>4325</v>
      </c>
      <c r="N383" s="11">
        <v>43917.543854166666</v>
      </c>
      <c r="O383" s="8" t="s">
        <v>4326</v>
      </c>
      <c r="P383" s="11">
        <v>43745.540578703702</v>
      </c>
      <c r="Q383" s="13">
        <v>36978</v>
      </c>
      <c r="R383" s="46" t="s">
        <v>594</v>
      </c>
      <c r="S383" s="14" t="s">
        <v>1218</v>
      </c>
      <c r="T383" s="163">
        <v>402</v>
      </c>
      <c r="U383" s="164" t="str">
        <f>CONCATENATE(LEFT(SP_ACQ_Lib[[#This Row],[Tax Parcel ID]],7),"_",SP_ACQ_Lib[[#This Row],[ACQ Document Type]])</f>
        <v>R059284_TITLE Curative Plan</v>
      </c>
      <c r="V383" s="65" t="str">
        <f>INDEX(SP_AcqTract_DB[WCAD Tax Parcel ID],MATCH(SP_ACQ_Lib[[#This Row],[Acquisition Tract No.]],SP_AcqTract_DB[Acquisition Tract No.],0))</f>
        <v>R059284;#38</v>
      </c>
      <c r="W383" s="48" t="str">
        <f>INDEX(SP_TaxPar_DB[Acquisition Tract No.],MATCH(LEFT(SP_ACQ_Lib[[#This Row],[Tax Parcel ID]],7),SP_TaxPar_DB[Tax Parcel ID],0))</f>
        <v>300</v>
      </c>
      <c r="X383" s="238" t="str">
        <f>IF(OR(SP_ACQ_Lib[[#This Row],[Acquisition Tract No.]]="",SP_ACQ_Lib[[#This Row],[ACQ Document Type]]=""),0,CONCATENATE("COW-FRMP_TR-",SP_ACQ_Lib[[#This Row],[Acquisition Tract No.]]," ",SP_ACQ_Lib[[#This Row],[ACQ Document Type]]))</f>
        <v>COW-FRMP_TR-300 TITLE Curative Plan</v>
      </c>
      <c r="Y383" s="239">
        <f>IF(OR(SP_ACQ_Lib[[#This Row],[File Name Convention]]=0,LEFT(SP_ACQ_Lib[[#This Row],[Name]],LEN(SP_ACQ_Lib[[#This Row],[File Name Convention]]))&lt;&gt;SP_ACQ_Lib[[#This Row],[File Name Convention]],ISERROR(SEARCH(SP_ACQ_Lib[[#This Row],[ACQ Document Type]],SP_ACQ_Lib[[#This Row],[Name]]))),1,0)</f>
        <v>0</v>
      </c>
    </row>
    <row r="384" spans="1:25" ht="15" x14ac:dyDescent="0.2">
      <c r="A384" s="157" t="str">
        <f>CONCATENATE(SP_ACQ_Lib[[#This Row],[Acquisition Tract No.]],"_",SP_ACQ_Lib[[#This Row],[ACQ Document Type]])</f>
        <v>300_TITLE Tax Card</v>
      </c>
      <c r="B384" s="14" t="s">
        <v>3458</v>
      </c>
      <c r="C384" s="45" t="s">
        <v>44</v>
      </c>
      <c r="D384" s="12" t="s">
        <v>640</v>
      </c>
      <c r="E384" s="8" t="s">
        <v>861</v>
      </c>
      <c r="F384" s="8" t="s">
        <v>1150</v>
      </c>
      <c r="G384" s="8" t="s">
        <v>1149</v>
      </c>
      <c r="H384" s="7" t="s">
        <v>592</v>
      </c>
      <c r="I384" s="16"/>
      <c r="J384" s="16"/>
      <c r="K384" s="17"/>
      <c r="L384" s="3"/>
      <c r="M384" s="8" t="s">
        <v>4206</v>
      </c>
      <c r="N384" s="11">
        <v>43874.592881944445</v>
      </c>
      <c r="O384" s="8" t="s">
        <v>1272</v>
      </c>
      <c r="P384" s="11">
        <v>43817.479814814818</v>
      </c>
      <c r="Q384" s="13">
        <v>629507</v>
      </c>
      <c r="R384" s="46" t="s">
        <v>594</v>
      </c>
      <c r="S384" s="14" t="s">
        <v>1784</v>
      </c>
      <c r="T384" s="163">
        <v>639</v>
      </c>
      <c r="U384" s="164" t="str">
        <f>CONCATENATE(LEFT(SP_ACQ_Lib[[#This Row],[Tax Parcel ID]],7),"_",SP_ACQ_Lib[[#This Row],[ACQ Document Type]])</f>
        <v>R059284_TITLE Tax Card</v>
      </c>
      <c r="V384" s="65" t="str">
        <f>INDEX(SP_AcqTract_DB[WCAD Tax Parcel ID],MATCH(SP_ACQ_Lib[[#This Row],[Acquisition Tract No.]],SP_AcqTract_DB[Acquisition Tract No.],0))</f>
        <v>R059284;#38</v>
      </c>
      <c r="W384" s="48" t="str">
        <f>INDEX(SP_TaxPar_DB[Acquisition Tract No.],MATCH(LEFT(SP_ACQ_Lib[[#This Row],[Tax Parcel ID]],7),SP_TaxPar_DB[Tax Parcel ID],0))</f>
        <v>300</v>
      </c>
      <c r="X384" s="238" t="str">
        <f>IF(OR(SP_ACQ_Lib[[#This Row],[Acquisition Tract No.]]="",SP_ACQ_Lib[[#This Row],[ACQ Document Type]]=""),0,CONCATENATE("COW-FRMP_TR-",SP_ACQ_Lib[[#This Row],[Acquisition Tract No.]]," ",SP_ACQ_Lib[[#This Row],[ACQ Document Type]]))</f>
        <v>COW-FRMP_TR-300 TITLE Tax Card</v>
      </c>
      <c r="Y384" s="239">
        <f>IF(OR(SP_ACQ_Lib[[#This Row],[File Name Convention]]=0,LEFT(SP_ACQ_Lib[[#This Row],[Name]],LEN(SP_ACQ_Lib[[#This Row],[File Name Convention]]))&lt;&gt;SP_ACQ_Lib[[#This Row],[File Name Convention]],ISERROR(SEARCH(SP_ACQ_Lib[[#This Row],[ACQ Document Type]],SP_ACQ_Lib[[#This Row],[Name]]))),1,0)</f>
        <v>0</v>
      </c>
    </row>
    <row r="385" spans="1:25" ht="15" x14ac:dyDescent="0.2">
      <c r="A385" s="157" t="str">
        <f>CONCATENATE(SP_ACQ_Lib[[#This Row],[Acquisition Tract No.]],"_",SP_ACQ_Lib[[#This Row],[ACQ Document Type]])</f>
        <v>301_APPRAISAL Final Appraisal</v>
      </c>
      <c r="B385" s="14" t="s">
        <v>6515</v>
      </c>
      <c r="C385" s="45" t="s">
        <v>45</v>
      </c>
      <c r="D385" s="12" t="s">
        <v>642</v>
      </c>
      <c r="E385" s="8" t="s">
        <v>1131</v>
      </c>
      <c r="F385" s="8" t="s">
        <v>4755</v>
      </c>
      <c r="G385" s="8" t="s">
        <v>4754</v>
      </c>
      <c r="H385" s="7" t="s">
        <v>592</v>
      </c>
      <c r="I385" s="16">
        <v>43960</v>
      </c>
      <c r="J385" s="16"/>
      <c r="K385" s="17">
        <v>149</v>
      </c>
      <c r="L385" s="3"/>
      <c r="M385" s="8" t="s">
        <v>4206</v>
      </c>
      <c r="N385" s="11">
        <v>44019.345393518517</v>
      </c>
      <c r="O385" s="8" t="s">
        <v>4206</v>
      </c>
      <c r="P385" s="11">
        <v>44019.342048611114</v>
      </c>
      <c r="Q385" s="13">
        <v>3929922</v>
      </c>
      <c r="R385" s="46" t="s">
        <v>594</v>
      </c>
      <c r="S385" s="14" t="s">
        <v>6578</v>
      </c>
      <c r="T385" s="163">
        <v>1342</v>
      </c>
      <c r="U385" s="164" t="str">
        <f>CONCATENATE(LEFT(SP_ACQ_Lib[[#This Row],[Tax Parcel ID]],7),"_",SP_ACQ_Lib[[#This Row],[ACQ Document Type]])</f>
        <v>R018556_APPRAISAL Final Appraisal</v>
      </c>
      <c r="V385" s="65" t="str">
        <f>INDEX(SP_AcqTract_DB[WCAD Tax Parcel ID],MATCH(SP_ACQ_Lib[[#This Row],[Acquisition Tract No.]],SP_AcqTract_DB[Acquisition Tract No.],0))</f>
        <v>R018556;#39</v>
      </c>
      <c r="W385" s="48" t="str">
        <f>INDEX(SP_TaxPar_DB[Acquisition Tract No.],MATCH(LEFT(SP_ACQ_Lib[[#This Row],[Tax Parcel ID]],7),SP_TaxPar_DB[Tax Parcel ID],0))</f>
        <v>301</v>
      </c>
      <c r="X385" s="238" t="str">
        <f>IF(OR(SP_ACQ_Lib[[#This Row],[Acquisition Tract No.]]="",SP_ACQ_Lib[[#This Row],[ACQ Document Type]]=""),0,CONCATENATE("COW-FRMP_TR-",SP_ACQ_Lib[[#This Row],[Acquisition Tract No.]]," ",SP_ACQ_Lib[[#This Row],[ACQ Document Type]]))</f>
        <v>COW-FRMP_TR-301 APPRAISAL Final Appraisal</v>
      </c>
      <c r="Y385" s="239">
        <f>IF(OR(SP_ACQ_Lib[[#This Row],[File Name Convention]]=0,LEFT(SP_ACQ_Lib[[#This Row],[Name]],LEN(SP_ACQ_Lib[[#This Row],[File Name Convention]]))&lt;&gt;SP_ACQ_Lib[[#This Row],[File Name Convention]],ISERROR(SEARCH(SP_ACQ_Lib[[#This Row],[ACQ Document Type]],SP_ACQ_Lib[[#This Row],[Name]]))),1,0)</f>
        <v>0</v>
      </c>
    </row>
    <row r="386" spans="1:25" ht="15" x14ac:dyDescent="0.2">
      <c r="A386" s="157" t="str">
        <f>CONCATENATE(SP_ACQ_Lib[[#This Row],[Acquisition Tract No.]],"_",SP_ACQ_Lib[[#This Row],[ACQ Document Type]])</f>
        <v>301_APPRAISAL Just Compensation Memo</v>
      </c>
      <c r="B386" s="14" t="s">
        <v>6516</v>
      </c>
      <c r="C386" s="45" t="s">
        <v>45</v>
      </c>
      <c r="D386" s="12" t="s">
        <v>642</v>
      </c>
      <c r="E386" s="8" t="s">
        <v>1131</v>
      </c>
      <c r="F386" s="8" t="s">
        <v>4757</v>
      </c>
      <c r="G386" s="8" t="s">
        <v>4756</v>
      </c>
      <c r="H386" s="7" t="s">
        <v>592</v>
      </c>
      <c r="I386" s="16">
        <v>44018</v>
      </c>
      <c r="J386" s="16">
        <v>44018</v>
      </c>
      <c r="K386" s="17">
        <v>149</v>
      </c>
      <c r="L386" s="3"/>
      <c r="M386" s="8" t="s">
        <v>4206</v>
      </c>
      <c r="N386" s="11">
        <v>44025.396192129629</v>
      </c>
      <c r="O386" s="8" t="s">
        <v>4206</v>
      </c>
      <c r="P386" s="11">
        <v>44019.342048611114</v>
      </c>
      <c r="Q386" s="13">
        <v>25994</v>
      </c>
      <c r="R386" s="46" t="s">
        <v>594</v>
      </c>
      <c r="S386" s="14" t="s">
        <v>6579</v>
      </c>
      <c r="T386" s="163">
        <v>1343</v>
      </c>
      <c r="U386" s="164" t="str">
        <f>CONCATENATE(LEFT(SP_ACQ_Lib[[#This Row],[Tax Parcel ID]],7),"_",SP_ACQ_Lib[[#This Row],[ACQ Document Type]])</f>
        <v>R018556_APPRAISAL Just Compensation Memo</v>
      </c>
      <c r="V386" s="65" t="str">
        <f>INDEX(SP_AcqTract_DB[WCAD Tax Parcel ID],MATCH(SP_ACQ_Lib[[#This Row],[Acquisition Tract No.]],SP_AcqTract_DB[Acquisition Tract No.],0))</f>
        <v>R018556;#39</v>
      </c>
      <c r="W386" s="48" t="str">
        <f>INDEX(SP_TaxPar_DB[Acquisition Tract No.],MATCH(LEFT(SP_ACQ_Lib[[#This Row],[Tax Parcel ID]],7),SP_TaxPar_DB[Tax Parcel ID],0))</f>
        <v>301</v>
      </c>
      <c r="X386" s="238" t="str">
        <f>IF(OR(SP_ACQ_Lib[[#This Row],[Acquisition Tract No.]]="",SP_ACQ_Lib[[#This Row],[ACQ Document Type]]=""),0,CONCATENATE("COW-FRMP_TR-",SP_ACQ_Lib[[#This Row],[Acquisition Tract No.]]," ",SP_ACQ_Lib[[#This Row],[ACQ Document Type]]))</f>
        <v>COW-FRMP_TR-301 APPRAISAL Just Compensation Memo</v>
      </c>
      <c r="Y386" s="239">
        <f>IF(OR(SP_ACQ_Lib[[#This Row],[File Name Convention]]=0,LEFT(SP_ACQ_Lib[[#This Row],[Name]],LEN(SP_ACQ_Lib[[#This Row],[File Name Convention]]))&lt;&gt;SP_ACQ_Lib[[#This Row],[File Name Convention]],ISERROR(SEARCH(SP_ACQ_Lib[[#This Row],[ACQ Document Type]],SP_ACQ_Lib[[#This Row],[Name]]))),1,0)</f>
        <v>0</v>
      </c>
    </row>
    <row r="387" spans="1:25" ht="15" x14ac:dyDescent="0.2">
      <c r="A387" s="157" t="str">
        <f>CONCATENATE(SP_ACQ_Lib[[#This Row],[Acquisition Tract No.]],"_",SP_ACQ_Lib[[#This Row],[ACQ Document Type]])</f>
        <v>301_APPRAISAL USACOE Authorization to Proceed with Offer</v>
      </c>
      <c r="B387" s="14" t="s">
        <v>6517</v>
      </c>
      <c r="C387" s="45" t="s">
        <v>45</v>
      </c>
      <c r="D387" s="12" t="s">
        <v>642</v>
      </c>
      <c r="E387" s="8" t="s">
        <v>1131</v>
      </c>
      <c r="F387" s="8" t="s">
        <v>4959</v>
      </c>
      <c r="G387" s="8" t="s">
        <v>4958</v>
      </c>
      <c r="H387" s="7" t="s">
        <v>592</v>
      </c>
      <c r="I387" s="16">
        <v>44018</v>
      </c>
      <c r="J387" s="16">
        <v>44018</v>
      </c>
      <c r="K387" s="17">
        <v>149</v>
      </c>
      <c r="L387" s="3"/>
      <c r="M387" s="8" t="s">
        <v>4206</v>
      </c>
      <c r="N387" s="11">
        <v>44025.396365740744</v>
      </c>
      <c r="O387" s="8" t="s">
        <v>4206</v>
      </c>
      <c r="P387" s="11">
        <v>44019.342048611114</v>
      </c>
      <c r="Q387" s="13">
        <v>420862</v>
      </c>
      <c r="R387" s="46" t="s">
        <v>594</v>
      </c>
      <c r="S387" s="14" t="s">
        <v>6580</v>
      </c>
      <c r="T387" s="163">
        <v>1344</v>
      </c>
      <c r="U387" s="164" t="str">
        <f>CONCATENATE(LEFT(SP_ACQ_Lib[[#This Row],[Tax Parcel ID]],7),"_",SP_ACQ_Lib[[#This Row],[ACQ Document Type]])</f>
        <v>R018556_APPRAISAL USACOE Authorization to Proceed with Offer</v>
      </c>
      <c r="V387" s="65" t="str">
        <f>INDEX(SP_AcqTract_DB[WCAD Tax Parcel ID],MATCH(SP_ACQ_Lib[[#This Row],[Acquisition Tract No.]],SP_AcqTract_DB[Acquisition Tract No.],0))</f>
        <v>R018556;#39</v>
      </c>
      <c r="W387" s="48" t="str">
        <f>INDEX(SP_TaxPar_DB[Acquisition Tract No.],MATCH(LEFT(SP_ACQ_Lib[[#This Row],[Tax Parcel ID]],7),SP_TaxPar_DB[Tax Parcel ID],0))</f>
        <v>301</v>
      </c>
      <c r="X387" s="238" t="str">
        <f>IF(OR(SP_ACQ_Lib[[#This Row],[Acquisition Tract No.]]="",SP_ACQ_Lib[[#This Row],[ACQ Document Type]]=""),0,CONCATENATE("COW-FRMP_TR-",SP_ACQ_Lib[[#This Row],[Acquisition Tract No.]]," ",SP_ACQ_Lib[[#This Row],[ACQ Document Type]]))</f>
        <v>COW-FRMP_TR-301 APPRAISAL USACOE Authorization to Proceed with Offer</v>
      </c>
      <c r="Y387" s="239">
        <f>IF(OR(SP_ACQ_Lib[[#This Row],[File Name Convention]]=0,LEFT(SP_ACQ_Lib[[#This Row],[Name]],LEN(SP_ACQ_Lib[[#This Row],[File Name Convention]]))&lt;&gt;SP_ACQ_Lib[[#This Row],[File Name Convention]],ISERROR(SEARCH(SP_ACQ_Lib[[#This Row],[ACQ Document Type]],SP_ACQ_Lib[[#This Row],[Name]]))),1,0)</f>
        <v>0</v>
      </c>
    </row>
    <row r="388" spans="1:25" ht="15" x14ac:dyDescent="0.2">
      <c r="A388" s="157" t="str">
        <f>CONCATENATE(SP_ACQ_Lib[[#This Row],[Acquisition Tract No.]],"_",SP_ACQ_Lib[[#This Row],[ACQ Document Type]])</f>
        <v>301_CONTACT Letter of Intent-HDR</v>
      </c>
      <c r="B388" s="14" t="s">
        <v>1516</v>
      </c>
      <c r="C388" s="45" t="s">
        <v>45</v>
      </c>
      <c r="D388" s="12" t="s">
        <v>642</v>
      </c>
      <c r="E388" s="8" t="s">
        <v>865</v>
      </c>
      <c r="F388" s="8" t="s">
        <v>1401</v>
      </c>
      <c r="G388" s="8" t="s">
        <v>1400</v>
      </c>
      <c r="H388" s="7" t="s">
        <v>592</v>
      </c>
      <c r="I388" s="16">
        <v>43765</v>
      </c>
      <c r="J388" s="16"/>
      <c r="K388" s="17"/>
      <c r="L388" s="3"/>
      <c r="M388" s="8" t="s">
        <v>23</v>
      </c>
      <c r="N388" s="11">
        <v>43770.449189814812</v>
      </c>
      <c r="O388" s="8" t="s">
        <v>1402</v>
      </c>
      <c r="P388" s="11">
        <v>43769.628842592596</v>
      </c>
      <c r="Q388" s="13">
        <v>349750</v>
      </c>
      <c r="R388" s="46" t="s">
        <v>594</v>
      </c>
      <c r="S388" s="14" t="s">
        <v>1641</v>
      </c>
      <c r="T388" s="163">
        <v>532</v>
      </c>
      <c r="U388" s="164" t="str">
        <f>CONCATENATE(LEFT(SP_ACQ_Lib[[#This Row],[Tax Parcel ID]],7),"_",SP_ACQ_Lib[[#This Row],[ACQ Document Type]])</f>
        <v>R018556_CONTACT Letter of Intent-HDR</v>
      </c>
      <c r="V388" s="65" t="str">
        <f>INDEX(SP_AcqTract_DB[WCAD Tax Parcel ID],MATCH(SP_ACQ_Lib[[#This Row],[Acquisition Tract No.]],SP_AcqTract_DB[Acquisition Tract No.],0))</f>
        <v>R018556;#39</v>
      </c>
      <c r="W388" s="48" t="str">
        <f>INDEX(SP_TaxPar_DB[Acquisition Tract No.],MATCH(LEFT(SP_ACQ_Lib[[#This Row],[Tax Parcel ID]],7),SP_TaxPar_DB[Tax Parcel ID],0))</f>
        <v>301</v>
      </c>
      <c r="X388" s="238" t="str">
        <f>IF(OR(SP_ACQ_Lib[[#This Row],[Acquisition Tract No.]]="",SP_ACQ_Lib[[#This Row],[ACQ Document Type]]=""),0,CONCATENATE("COW-FRMP_TR-",SP_ACQ_Lib[[#This Row],[Acquisition Tract No.]]," ",SP_ACQ_Lib[[#This Row],[ACQ Document Type]]))</f>
        <v>COW-FRMP_TR-301 CONTACT Letter of Intent-HDR</v>
      </c>
      <c r="Y388" s="239">
        <f>IF(OR(SP_ACQ_Lib[[#This Row],[File Name Convention]]=0,LEFT(SP_ACQ_Lib[[#This Row],[Name]],LEN(SP_ACQ_Lib[[#This Row],[File Name Convention]]))&lt;&gt;SP_ACQ_Lib[[#This Row],[File Name Convention]],ISERROR(SEARCH(SP_ACQ_Lib[[#This Row],[ACQ Document Type]],SP_ACQ_Lib[[#This Row],[Name]]))),1,0)</f>
        <v>0</v>
      </c>
    </row>
    <row r="389" spans="1:25" ht="15" x14ac:dyDescent="0.2">
      <c r="A389" s="157" t="str">
        <f>CONCATENATE(SP_ACQ_Lib[[#This Row],[Acquisition Tract No.]],"_",SP_ACQ_Lib[[#This Row],[ACQ Document Type]])</f>
        <v>301_CONTACT Negotiator Report</v>
      </c>
      <c r="B389" s="14" t="s">
        <v>3395</v>
      </c>
      <c r="C389" s="45" t="s">
        <v>45</v>
      </c>
      <c r="D389" s="12" t="s">
        <v>642</v>
      </c>
      <c r="E389" s="8" t="s">
        <v>865</v>
      </c>
      <c r="F389" s="8" t="s">
        <v>1068</v>
      </c>
      <c r="G389" s="8" t="s">
        <v>1067</v>
      </c>
      <c r="H389" s="7" t="s">
        <v>592</v>
      </c>
      <c r="I389" s="16"/>
      <c r="J389" s="16"/>
      <c r="K389" s="17"/>
      <c r="L389" s="3"/>
      <c r="M389" s="8" t="s">
        <v>1744</v>
      </c>
      <c r="N389" s="11">
        <v>43910.482569444444</v>
      </c>
      <c r="O389" s="8" t="s">
        <v>4207</v>
      </c>
      <c r="P389" s="11">
        <v>43728.564166666663</v>
      </c>
      <c r="Q389" s="13">
        <v>100644</v>
      </c>
      <c r="R389" s="46" t="s">
        <v>1069</v>
      </c>
      <c r="S389" s="14" t="s">
        <v>1097</v>
      </c>
      <c r="T389" s="163">
        <v>311</v>
      </c>
      <c r="U389" s="164" t="str">
        <f>CONCATENATE(LEFT(SP_ACQ_Lib[[#This Row],[Tax Parcel ID]],7),"_",SP_ACQ_Lib[[#This Row],[ACQ Document Type]])</f>
        <v>R018556_CONTACT Negotiator Report</v>
      </c>
      <c r="V389" s="65" t="str">
        <f>INDEX(SP_AcqTract_DB[WCAD Tax Parcel ID],MATCH(SP_ACQ_Lib[[#This Row],[Acquisition Tract No.]],SP_AcqTract_DB[Acquisition Tract No.],0))</f>
        <v>R018556;#39</v>
      </c>
      <c r="W389" s="48" t="str">
        <f>INDEX(SP_TaxPar_DB[Acquisition Tract No.],MATCH(LEFT(SP_ACQ_Lib[[#This Row],[Tax Parcel ID]],7),SP_TaxPar_DB[Tax Parcel ID],0))</f>
        <v>301</v>
      </c>
      <c r="X389" s="238" t="str">
        <f>IF(OR(SP_ACQ_Lib[[#This Row],[Acquisition Tract No.]]="",SP_ACQ_Lib[[#This Row],[ACQ Document Type]]=""),0,CONCATENATE("COW-FRMP_TR-",SP_ACQ_Lib[[#This Row],[Acquisition Tract No.]]," ",SP_ACQ_Lib[[#This Row],[ACQ Document Type]]))</f>
        <v>COW-FRMP_TR-301 CONTACT Negotiator Report</v>
      </c>
      <c r="Y389" s="239">
        <f>IF(OR(SP_ACQ_Lib[[#This Row],[File Name Convention]]=0,LEFT(SP_ACQ_Lib[[#This Row],[Name]],LEN(SP_ACQ_Lib[[#This Row],[File Name Convention]]))&lt;&gt;SP_ACQ_Lib[[#This Row],[File Name Convention]],ISERROR(SEARCH(SP_ACQ_Lib[[#This Row],[ACQ Document Type]],SP_ACQ_Lib[[#This Row],[Name]]))),1,0)</f>
        <v>0</v>
      </c>
    </row>
    <row r="390" spans="1:25" ht="15" x14ac:dyDescent="0.2">
      <c r="A390" s="157" t="str">
        <f>CONCATENATE(SP_ACQ_Lib[[#This Row],[Acquisition Tract No.]],"_",SP_ACQ_Lib[[#This Row],[ACQ Document Type]])</f>
        <v>301_NEGOTIATION Landowner Bill of Rights Letter</v>
      </c>
      <c r="B390" s="14" t="s">
        <v>3459</v>
      </c>
      <c r="C390" s="45" t="s">
        <v>45</v>
      </c>
      <c r="D390" s="12" t="s">
        <v>642</v>
      </c>
      <c r="E390" s="8" t="s">
        <v>1142</v>
      </c>
      <c r="F390" s="8" t="s">
        <v>1746</v>
      </c>
      <c r="G390" s="8" t="s">
        <v>1745</v>
      </c>
      <c r="H390" s="7" t="s">
        <v>592</v>
      </c>
      <c r="I390" s="16">
        <v>43748</v>
      </c>
      <c r="J390" s="16"/>
      <c r="K390" s="17"/>
      <c r="L390" s="3"/>
      <c r="M390" s="8" t="s">
        <v>4206</v>
      </c>
      <c r="N390" s="11">
        <v>43872.562511574077</v>
      </c>
      <c r="O390" s="8" t="s">
        <v>4325</v>
      </c>
      <c r="P390" s="11">
        <v>43752.500763888886</v>
      </c>
      <c r="Q390" s="13">
        <v>357905</v>
      </c>
      <c r="R390" s="46" t="s">
        <v>594</v>
      </c>
      <c r="S390" s="14" t="s">
        <v>1219</v>
      </c>
      <c r="T390" s="163">
        <v>440</v>
      </c>
      <c r="U390" s="164" t="str">
        <f>CONCATENATE(LEFT(SP_ACQ_Lib[[#This Row],[Tax Parcel ID]],7),"_",SP_ACQ_Lib[[#This Row],[ACQ Document Type]])</f>
        <v>R018556_NEGOTIATION Landowner Bill of Rights Letter</v>
      </c>
      <c r="V390" s="65" t="str">
        <f>INDEX(SP_AcqTract_DB[WCAD Tax Parcel ID],MATCH(SP_ACQ_Lib[[#This Row],[Acquisition Tract No.]],SP_AcqTract_DB[Acquisition Tract No.],0))</f>
        <v>R018556;#39</v>
      </c>
      <c r="W390" s="48" t="str">
        <f>INDEX(SP_TaxPar_DB[Acquisition Tract No.],MATCH(LEFT(SP_ACQ_Lib[[#This Row],[Tax Parcel ID]],7),SP_TaxPar_DB[Tax Parcel ID],0))</f>
        <v>301</v>
      </c>
      <c r="X390" s="238" t="str">
        <f>IF(OR(SP_ACQ_Lib[[#This Row],[Acquisition Tract No.]]="",SP_ACQ_Lib[[#This Row],[ACQ Document Type]]=""),0,CONCATENATE("COW-FRMP_TR-",SP_ACQ_Lib[[#This Row],[Acquisition Tract No.]]," ",SP_ACQ_Lib[[#This Row],[ACQ Document Type]]))</f>
        <v>COW-FRMP_TR-301 NEGOTIATION Landowner Bill of Rights Letter</v>
      </c>
      <c r="Y390" s="239">
        <f>IF(OR(SP_ACQ_Lib[[#This Row],[File Name Convention]]=0,LEFT(SP_ACQ_Lib[[#This Row],[Name]],LEN(SP_ACQ_Lib[[#This Row],[File Name Convention]]))&lt;&gt;SP_ACQ_Lib[[#This Row],[File Name Convention]],ISERROR(SEARCH(SP_ACQ_Lib[[#This Row],[ACQ Document Type]],SP_ACQ_Lib[[#This Row],[Name]]))),1,0)</f>
        <v>0</v>
      </c>
    </row>
    <row r="391" spans="1:25" ht="15" x14ac:dyDescent="0.2">
      <c r="A391" s="157" t="str">
        <f>CONCATENATE(SP_ACQ_Lib[[#This Row],[Acquisition Tract No.]],"_",SP_ACQ_Lib[[#This Row],[ACQ Document Type]])</f>
        <v>301_SURVEY Description-Plat_USACOE</v>
      </c>
      <c r="B391" s="14" t="s">
        <v>6030</v>
      </c>
      <c r="C391" s="45" t="s">
        <v>45</v>
      </c>
      <c r="D391" s="12" t="s">
        <v>642</v>
      </c>
      <c r="E391" s="8" t="s">
        <v>858</v>
      </c>
      <c r="F391" s="8" t="s">
        <v>3510</v>
      </c>
      <c r="G391" s="8" t="s">
        <v>3509</v>
      </c>
      <c r="H391" s="7" t="s">
        <v>592</v>
      </c>
      <c r="I391" s="16">
        <v>43991</v>
      </c>
      <c r="J391" s="16">
        <v>43993</v>
      </c>
      <c r="K391" s="17"/>
      <c r="L391" s="3"/>
      <c r="M391" s="8" t="s">
        <v>4206</v>
      </c>
      <c r="N391" s="11">
        <v>43994.374189814815</v>
      </c>
      <c r="O391" s="8" t="s">
        <v>4206</v>
      </c>
      <c r="P391" s="11">
        <v>43994.366666666669</v>
      </c>
      <c r="Q391" s="13">
        <v>502673</v>
      </c>
      <c r="R391" s="46" t="s">
        <v>594</v>
      </c>
      <c r="S391" s="14" t="s">
        <v>6051</v>
      </c>
      <c r="T391" s="163">
        <v>1192</v>
      </c>
      <c r="U391" s="164" t="str">
        <f>CONCATENATE(LEFT(SP_ACQ_Lib[[#This Row],[Tax Parcel ID]],7),"_",SP_ACQ_Lib[[#This Row],[ACQ Document Type]])</f>
        <v>R018556_SURVEY Description-Plat_USACOE</v>
      </c>
      <c r="V391" s="65" t="str">
        <f>INDEX(SP_AcqTract_DB[WCAD Tax Parcel ID],MATCH(SP_ACQ_Lib[[#This Row],[Acquisition Tract No.]],SP_AcqTract_DB[Acquisition Tract No.],0))</f>
        <v>R018556;#39</v>
      </c>
      <c r="W391" s="48" t="str">
        <f>INDEX(SP_TaxPar_DB[Acquisition Tract No.],MATCH(LEFT(SP_ACQ_Lib[[#This Row],[Tax Parcel ID]],7),SP_TaxPar_DB[Tax Parcel ID],0))</f>
        <v>301</v>
      </c>
      <c r="X391" s="238" t="str">
        <f>IF(OR(SP_ACQ_Lib[[#This Row],[Acquisition Tract No.]]="",SP_ACQ_Lib[[#This Row],[ACQ Document Type]]=""),0,CONCATENATE("COW-FRMP_TR-",SP_ACQ_Lib[[#This Row],[Acquisition Tract No.]]," ",SP_ACQ_Lib[[#This Row],[ACQ Document Type]]))</f>
        <v>COW-FRMP_TR-301 SURVEY Description-Plat_USACOE</v>
      </c>
      <c r="Y391" s="239">
        <f>IF(OR(SP_ACQ_Lib[[#This Row],[File Name Convention]]=0,LEFT(SP_ACQ_Lib[[#This Row],[Name]],LEN(SP_ACQ_Lib[[#This Row],[File Name Convention]]))&lt;&gt;SP_ACQ_Lib[[#This Row],[File Name Convention]],ISERROR(SEARCH(SP_ACQ_Lib[[#This Row],[ACQ Document Type]],SP_ACQ_Lib[[#This Row],[Name]]))),1,0)</f>
        <v>0</v>
      </c>
    </row>
    <row r="392" spans="1:25" ht="15" x14ac:dyDescent="0.2">
      <c r="A392" s="157" t="str">
        <f>CONCATENATE(SP_ACQ_Lib[[#This Row],[Acquisition Tract No.]],"_",SP_ACQ_Lib[[#This Row],[ACQ Document Type]])</f>
        <v>301_SURVEY Right-of-Entry</v>
      </c>
      <c r="B392" s="14" t="s">
        <v>4587</v>
      </c>
      <c r="C392" s="45" t="s">
        <v>45</v>
      </c>
      <c r="D392" s="12" t="s">
        <v>642</v>
      </c>
      <c r="E392" s="8" t="s">
        <v>858</v>
      </c>
      <c r="F392" s="8" t="s">
        <v>859</v>
      </c>
      <c r="G392" s="8" t="s">
        <v>591</v>
      </c>
      <c r="H392" s="7" t="s">
        <v>592</v>
      </c>
      <c r="I392" s="16">
        <v>43705</v>
      </c>
      <c r="J392" s="16"/>
      <c r="K392" s="17"/>
      <c r="L392" s="3" t="s">
        <v>641</v>
      </c>
      <c r="M392" s="8" t="s">
        <v>4206</v>
      </c>
      <c r="N392" s="11">
        <v>43922.376631944448</v>
      </c>
      <c r="O392" s="8" t="s">
        <v>4325</v>
      </c>
      <c r="P392" s="11">
        <v>43705.571701388886</v>
      </c>
      <c r="Q392" s="13">
        <v>2245144</v>
      </c>
      <c r="R392" s="46" t="s">
        <v>594</v>
      </c>
      <c r="S392" s="14" t="s">
        <v>776</v>
      </c>
      <c r="T392" s="163">
        <v>181</v>
      </c>
      <c r="U392" s="164" t="str">
        <f>CONCATENATE(LEFT(SP_ACQ_Lib[[#This Row],[Tax Parcel ID]],7),"_",SP_ACQ_Lib[[#This Row],[ACQ Document Type]])</f>
        <v>R018556_SURVEY Right-of-Entry</v>
      </c>
      <c r="V392" s="65" t="str">
        <f>INDEX(SP_AcqTract_DB[WCAD Tax Parcel ID],MATCH(SP_ACQ_Lib[[#This Row],[Acquisition Tract No.]],SP_AcqTract_DB[Acquisition Tract No.],0))</f>
        <v>R018556;#39</v>
      </c>
      <c r="W392" s="48" t="str">
        <f>INDEX(SP_TaxPar_DB[Acquisition Tract No.],MATCH(LEFT(SP_ACQ_Lib[[#This Row],[Tax Parcel ID]],7),SP_TaxPar_DB[Tax Parcel ID],0))</f>
        <v>301</v>
      </c>
      <c r="X392" s="238" t="str">
        <f>IF(OR(SP_ACQ_Lib[[#This Row],[Acquisition Tract No.]]="",SP_ACQ_Lib[[#This Row],[ACQ Document Type]]=""),0,CONCATENATE("COW-FRMP_TR-",SP_ACQ_Lib[[#This Row],[Acquisition Tract No.]]," ",SP_ACQ_Lib[[#This Row],[ACQ Document Type]]))</f>
        <v>COW-FRMP_TR-301 SURVEY Right-of-Entry</v>
      </c>
      <c r="Y392" s="239">
        <f>IF(OR(SP_ACQ_Lib[[#This Row],[File Name Convention]]=0,LEFT(SP_ACQ_Lib[[#This Row],[Name]],LEN(SP_ACQ_Lib[[#This Row],[File Name Convention]]))&lt;&gt;SP_ACQ_Lib[[#This Row],[File Name Convention]],ISERROR(SEARCH(SP_ACQ_Lib[[#This Row],[ACQ Document Type]],SP_ACQ_Lib[[#This Row],[Name]]))),1,0)</f>
        <v>0</v>
      </c>
    </row>
    <row r="393" spans="1:25" ht="15" x14ac:dyDescent="0.2">
      <c r="A393" s="157" t="str">
        <f>CONCATENATE(SP_ACQ_Lib[[#This Row],[Acquisition Tract No.]],"_",SP_ACQ_Lib[[#This Row],[ACQ Document Type]])</f>
        <v>301_TITLE Commitment</v>
      </c>
      <c r="B393" s="14" t="s">
        <v>1517</v>
      </c>
      <c r="C393" s="45" t="s">
        <v>45</v>
      </c>
      <c r="D393" s="12" t="s">
        <v>642</v>
      </c>
      <c r="E393" s="8" t="s">
        <v>861</v>
      </c>
      <c r="F393" s="8" t="s">
        <v>862</v>
      </c>
      <c r="G393" s="8" t="s">
        <v>614</v>
      </c>
      <c r="H393" s="7" t="s">
        <v>592</v>
      </c>
      <c r="I393" s="16">
        <v>43669</v>
      </c>
      <c r="J393" s="16">
        <v>43677</v>
      </c>
      <c r="K393" s="17"/>
      <c r="L393" s="3"/>
      <c r="M393" s="8" t="s">
        <v>4206</v>
      </c>
      <c r="N393" s="11">
        <v>43915.396354166667</v>
      </c>
      <c r="O393" s="8" t="s">
        <v>4326</v>
      </c>
      <c r="P393" s="11">
        <v>43689.391296296293</v>
      </c>
      <c r="Q393" s="13">
        <v>265601</v>
      </c>
      <c r="R393" s="46" t="s">
        <v>594</v>
      </c>
      <c r="S393" s="14" t="s">
        <v>777</v>
      </c>
      <c r="T393" s="163">
        <v>15</v>
      </c>
      <c r="U393" s="164" t="str">
        <f>CONCATENATE(LEFT(SP_ACQ_Lib[[#This Row],[Tax Parcel ID]],7),"_",SP_ACQ_Lib[[#This Row],[ACQ Document Type]])</f>
        <v>R018556_TITLE Commitment</v>
      </c>
      <c r="V393" s="65" t="str">
        <f>INDEX(SP_AcqTract_DB[WCAD Tax Parcel ID],MATCH(SP_ACQ_Lib[[#This Row],[Acquisition Tract No.]],SP_AcqTract_DB[Acquisition Tract No.],0))</f>
        <v>R018556;#39</v>
      </c>
      <c r="W393" s="48" t="str">
        <f>INDEX(SP_TaxPar_DB[Acquisition Tract No.],MATCH(LEFT(SP_ACQ_Lib[[#This Row],[Tax Parcel ID]],7),SP_TaxPar_DB[Tax Parcel ID],0))</f>
        <v>301</v>
      </c>
      <c r="X393" s="238" t="str">
        <f>IF(OR(SP_ACQ_Lib[[#This Row],[Acquisition Tract No.]]="",SP_ACQ_Lib[[#This Row],[ACQ Document Type]]=""),0,CONCATENATE("COW-FRMP_TR-",SP_ACQ_Lib[[#This Row],[Acquisition Tract No.]]," ",SP_ACQ_Lib[[#This Row],[ACQ Document Type]]))</f>
        <v>COW-FRMP_TR-301 TITLE Commitment</v>
      </c>
      <c r="Y393" s="239">
        <f>IF(OR(SP_ACQ_Lib[[#This Row],[File Name Convention]]=0,LEFT(SP_ACQ_Lib[[#This Row],[Name]],LEN(SP_ACQ_Lib[[#This Row],[File Name Convention]]))&lt;&gt;SP_ACQ_Lib[[#This Row],[File Name Convention]],ISERROR(SEARCH(SP_ACQ_Lib[[#This Row],[ACQ Document Type]],SP_ACQ_Lib[[#This Row],[Name]]))),1,0)</f>
        <v>0</v>
      </c>
    </row>
    <row r="394" spans="1:25" ht="15" x14ac:dyDescent="0.2">
      <c r="A394" s="157" t="str">
        <f>CONCATENATE(SP_ACQ_Lib[[#This Row],[Acquisition Tract No.]],"_",SP_ACQ_Lib[[#This Row],[ACQ Document Type]])</f>
        <v>301_TITLE Commitment Backup Docs</v>
      </c>
      <c r="B394" s="14" t="s">
        <v>1518</v>
      </c>
      <c r="C394" s="45" t="s">
        <v>45</v>
      </c>
      <c r="D394" s="12" t="s">
        <v>642</v>
      </c>
      <c r="E394" s="8" t="s">
        <v>861</v>
      </c>
      <c r="F394" s="8" t="s">
        <v>863</v>
      </c>
      <c r="G394" s="8" t="s">
        <v>616</v>
      </c>
      <c r="H394" s="7" t="s">
        <v>592</v>
      </c>
      <c r="I394" s="16"/>
      <c r="J394" s="16"/>
      <c r="K394" s="17"/>
      <c r="L394" s="3"/>
      <c r="M394" s="8" t="s">
        <v>4325</v>
      </c>
      <c r="N394" s="11">
        <v>43812.407407407409</v>
      </c>
      <c r="O394" s="8" t="s">
        <v>4326</v>
      </c>
      <c r="P394" s="11">
        <v>43689.391828703701</v>
      </c>
      <c r="Q394" s="13">
        <v>438212</v>
      </c>
      <c r="R394" s="46" t="s">
        <v>594</v>
      </c>
      <c r="S394" s="14" t="s">
        <v>778</v>
      </c>
      <c r="T394" s="163">
        <v>16</v>
      </c>
      <c r="U394" s="164" t="str">
        <f>CONCATENATE(LEFT(SP_ACQ_Lib[[#This Row],[Tax Parcel ID]],7),"_",SP_ACQ_Lib[[#This Row],[ACQ Document Type]])</f>
        <v>R018556_TITLE Commitment Backup Docs</v>
      </c>
      <c r="V394" s="65" t="str">
        <f>INDEX(SP_AcqTract_DB[WCAD Tax Parcel ID],MATCH(SP_ACQ_Lib[[#This Row],[Acquisition Tract No.]],SP_AcqTract_DB[Acquisition Tract No.],0))</f>
        <v>R018556;#39</v>
      </c>
      <c r="W394" s="48" t="str">
        <f>INDEX(SP_TaxPar_DB[Acquisition Tract No.],MATCH(LEFT(SP_ACQ_Lib[[#This Row],[Tax Parcel ID]],7),SP_TaxPar_DB[Tax Parcel ID],0))</f>
        <v>301</v>
      </c>
      <c r="X394" s="238" t="str">
        <f>IF(OR(SP_ACQ_Lib[[#This Row],[Acquisition Tract No.]]="",SP_ACQ_Lib[[#This Row],[ACQ Document Type]]=""),0,CONCATENATE("COW-FRMP_TR-",SP_ACQ_Lib[[#This Row],[Acquisition Tract No.]]," ",SP_ACQ_Lib[[#This Row],[ACQ Document Type]]))</f>
        <v>COW-FRMP_TR-301 TITLE Commitment Backup Docs</v>
      </c>
      <c r="Y394" s="239">
        <f>IF(OR(SP_ACQ_Lib[[#This Row],[File Name Convention]]=0,LEFT(SP_ACQ_Lib[[#This Row],[Name]],LEN(SP_ACQ_Lib[[#This Row],[File Name Convention]]))&lt;&gt;SP_ACQ_Lib[[#This Row],[File Name Convention]],ISERROR(SEARCH(SP_ACQ_Lib[[#This Row],[ACQ Document Type]],SP_ACQ_Lib[[#This Row],[Name]]))),1,0)</f>
        <v>0</v>
      </c>
    </row>
    <row r="395" spans="1:25" ht="15" x14ac:dyDescent="0.2">
      <c r="A395" s="157" t="str">
        <f>CONCATENATE(SP_ACQ_Lib[[#This Row],[Acquisition Tract No.]],"_",SP_ACQ_Lib[[#This Row],[ACQ Document Type]])</f>
        <v>301_TITLE Curative Plan</v>
      </c>
      <c r="B395" s="14" t="s">
        <v>1519</v>
      </c>
      <c r="C395" s="45" t="s">
        <v>45</v>
      </c>
      <c r="D395" s="12" t="s">
        <v>642</v>
      </c>
      <c r="E395" s="8" t="s">
        <v>861</v>
      </c>
      <c r="F395" s="8" t="s">
        <v>864</v>
      </c>
      <c r="G395" s="8" t="s">
        <v>617</v>
      </c>
      <c r="H395" s="7" t="s">
        <v>592</v>
      </c>
      <c r="I395" s="16">
        <v>43812</v>
      </c>
      <c r="J395" s="16"/>
      <c r="K395" s="17"/>
      <c r="L395" s="3"/>
      <c r="M395" s="8" t="s">
        <v>4325</v>
      </c>
      <c r="N395" s="11">
        <v>43812.412939814814</v>
      </c>
      <c r="O395" s="8" t="s">
        <v>4326</v>
      </c>
      <c r="P395" s="11">
        <v>43745.547094907408</v>
      </c>
      <c r="Q395" s="13">
        <v>37601</v>
      </c>
      <c r="R395" s="46" t="s">
        <v>594</v>
      </c>
      <c r="S395" s="14" t="s">
        <v>1220</v>
      </c>
      <c r="T395" s="163">
        <v>403</v>
      </c>
      <c r="U395" s="164" t="str">
        <f>CONCATENATE(LEFT(SP_ACQ_Lib[[#This Row],[Tax Parcel ID]],7),"_",SP_ACQ_Lib[[#This Row],[ACQ Document Type]])</f>
        <v>R018556_TITLE Curative Plan</v>
      </c>
      <c r="V395" s="65" t="str">
        <f>INDEX(SP_AcqTract_DB[WCAD Tax Parcel ID],MATCH(SP_ACQ_Lib[[#This Row],[Acquisition Tract No.]],SP_AcqTract_DB[Acquisition Tract No.],0))</f>
        <v>R018556;#39</v>
      </c>
      <c r="W395" s="48" t="str">
        <f>INDEX(SP_TaxPar_DB[Acquisition Tract No.],MATCH(LEFT(SP_ACQ_Lib[[#This Row],[Tax Parcel ID]],7),SP_TaxPar_DB[Tax Parcel ID],0))</f>
        <v>301</v>
      </c>
      <c r="X395" s="238" t="str">
        <f>IF(OR(SP_ACQ_Lib[[#This Row],[Acquisition Tract No.]]="",SP_ACQ_Lib[[#This Row],[ACQ Document Type]]=""),0,CONCATENATE("COW-FRMP_TR-",SP_ACQ_Lib[[#This Row],[Acquisition Tract No.]]," ",SP_ACQ_Lib[[#This Row],[ACQ Document Type]]))</f>
        <v>COW-FRMP_TR-301 TITLE Curative Plan</v>
      </c>
      <c r="Y395" s="239">
        <f>IF(OR(SP_ACQ_Lib[[#This Row],[File Name Convention]]=0,LEFT(SP_ACQ_Lib[[#This Row],[Name]],LEN(SP_ACQ_Lib[[#This Row],[File Name Convention]]))&lt;&gt;SP_ACQ_Lib[[#This Row],[File Name Convention]],ISERROR(SEARCH(SP_ACQ_Lib[[#This Row],[ACQ Document Type]],SP_ACQ_Lib[[#This Row],[Name]]))),1,0)</f>
        <v>0</v>
      </c>
    </row>
    <row r="396" spans="1:25" ht="15" x14ac:dyDescent="0.2">
      <c r="A396" s="157" t="str">
        <f>CONCATENATE(SP_ACQ_Lib[[#This Row],[Acquisition Tract No.]],"_",SP_ACQ_Lib[[#This Row],[ACQ Document Type]])</f>
        <v>301_TITLE SOS Business Organization Inquiry</v>
      </c>
      <c r="B396" s="14" t="s">
        <v>5544</v>
      </c>
      <c r="C396" s="45" t="s">
        <v>45</v>
      </c>
      <c r="D396" s="12" t="s">
        <v>642</v>
      </c>
      <c r="E396" s="8" t="s">
        <v>861</v>
      </c>
      <c r="F396" s="8" t="s">
        <v>1148</v>
      </c>
      <c r="G396" s="8" t="s">
        <v>1147</v>
      </c>
      <c r="H396" s="7" t="s">
        <v>592</v>
      </c>
      <c r="I396" s="16">
        <v>43922</v>
      </c>
      <c r="J396" s="16"/>
      <c r="K396" s="17"/>
      <c r="L396" s="3"/>
      <c r="M396" s="8" t="s">
        <v>4206</v>
      </c>
      <c r="N396" s="11">
        <v>43983.524328703701</v>
      </c>
      <c r="O396" s="8" t="s">
        <v>4325</v>
      </c>
      <c r="P396" s="11">
        <v>43922.549895833334</v>
      </c>
      <c r="Q396" s="13">
        <v>351168</v>
      </c>
      <c r="R396" s="46" t="s">
        <v>594</v>
      </c>
      <c r="S396" s="14" t="s">
        <v>4621</v>
      </c>
      <c r="T396" s="163">
        <v>801</v>
      </c>
      <c r="U396" s="164" t="str">
        <f>CONCATENATE(LEFT(SP_ACQ_Lib[[#This Row],[Tax Parcel ID]],7),"_",SP_ACQ_Lib[[#This Row],[ACQ Document Type]])</f>
        <v>R018556_TITLE SOS Business Organization Inquiry</v>
      </c>
      <c r="V396" s="65" t="str">
        <f>INDEX(SP_AcqTract_DB[WCAD Tax Parcel ID],MATCH(SP_ACQ_Lib[[#This Row],[Acquisition Tract No.]],SP_AcqTract_DB[Acquisition Tract No.],0))</f>
        <v>R018556;#39</v>
      </c>
      <c r="W396" s="48" t="str">
        <f>INDEX(SP_TaxPar_DB[Acquisition Tract No.],MATCH(LEFT(SP_ACQ_Lib[[#This Row],[Tax Parcel ID]],7),SP_TaxPar_DB[Tax Parcel ID],0))</f>
        <v>301</v>
      </c>
      <c r="X396" s="238" t="str">
        <f>IF(OR(SP_ACQ_Lib[[#This Row],[Acquisition Tract No.]]="",SP_ACQ_Lib[[#This Row],[ACQ Document Type]]=""),0,CONCATENATE("COW-FRMP_TR-",SP_ACQ_Lib[[#This Row],[Acquisition Tract No.]]," ",SP_ACQ_Lib[[#This Row],[ACQ Document Type]]))</f>
        <v>COW-FRMP_TR-301 TITLE SOS Business Organization Inquiry</v>
      </c>
      <c r="Y396" s="239">
        <f>IF(OR(SP_ACQ_Lib[[#This Row],[File Name Convention]]=0,LEFT(SP_ACQ_Lib[[#This Row],[Name]],LEN(SP_ACQ_Lib[[#This Row],[File Name Convention]]))&lt;&gt;SP_ACQ_Lib[[#This Row],[File Name Convention]],ISERROR(SEARCH(SP_ACQ_Lib[[#This Row],[ACQ Document Type]],SP_ACQ_Lib[[#This Row],[Name]]))),1,0)</f>
        <v>0</v>
      </c>
    </row>
    <row r="397" spans="1:25" ht="15" x14ac:dyDescent="0.2">
      <c r="A397" s="157" t="str">
        <f>CONCATENATE(SP_ACQ_Lib[[#This Row],[Acquisition Tract No.]],"_",SP_ACQ_Lib[[#This Row],[ACQ Document Type]])</f>
        <v>301_TITLE Tax Card</v>
      </c>
      <c r="B397" s="14" t="s">
        <v>3460</v>
      </c>
      <c r="C397" s="45" t="s">
        <v>45</v>
      </c>
      <c r="D397" s="12" t="s">
        <v>642</v>
      </c>
      <c r="E397" s="8" t="s">
        <v>861</v>
      </c>
      <c r="F397" s="8" t="s">
        <v>1150</v>
      </c>
      <c r="G397" s="8" t="s">
        <v>1149</v>
      </c>
      <c r="H397" s="7" t="s">
        <v>592</v>
      </c>
      <c r="I397" s="16"/>
      <c r="J397" s="16"/>
      <c r="K397" s="17"/>
      <c r="L397" s="3"/>
      <c r="M397" s="8" t="s">
        <v>4206</v>
      </c>
      <c r="N397" s="11">
        <v>43874.592986111114</v>
      </c>
      <c r="O397" s="8" t="s">
        <v>1272</v>
      </c>
      <c r="P397" s="11">
        <v>43817.479803240742</v>
      </c>
      <c r="Q397" s="13">
        <v>630182</v>
      </c>
      <c r="R397" s="46" t="s">
        <v>594</v>
      </c>
      <c r="S397" s="14" t="s">
        <v>1786</v>
      </c>
      <c r="T397" s="163">
        <v>640</v>
      </c>
      <c r="U397" s="164" t="str">
        <f>CONCATENATE(LEFT(SP_ACQ_Lib[[#This Row],[Tax Parcel ID]],7),"_",SP_ACQ_Lib[[#This Row],[ACQ Document Type]])</f>
        <v>R018556_TITLE Tax Card</v>
      </c>
      <c r="V397" s="65" t="str">
        <f>INDEX(SP_AcqTract_DB[WCAD Tax Parcel ID],MATCH(SP_ACQ_Lib[[#This Row],[Acquisition Tract No.]],SP_AcqTract_DB[Acquisition Tract No.],0))</f>
        <v>R018556;#39</v>
      </c>
      <c r="W397" s="48" t="str">
        <f>INDEX(SP_TaxPar_DB[Acquisition Tract No.],MATCH(LEFT(SP_ACQ_Lib[[#This Row],[Tax Parcel ID]],7),SP_TaxPar_DB[Tax Parcel ID],0))</f>
        <v>301</v>
      </c>
      <c r="X397" s="238" t="str">
        <f>IF(OR(SP_ACQ_Lib[[#This Row],[Acquisition Tract No.]]="",SP_ACQ_Lib[[#This Row],[ACQ Document Type]]=""),0,CONCATENATE("COW-FRMP_TR-",SP_ACQ_Lib[[#This Row],[Acquisition Tract No.]]," ",SP_ACQ_Lib[[#This Row],[ACQ Document Type]]))</f>
        <v>COW-FRMP_TR-301 TITLE Tax Card</v>
      </c>
      <c r="Y397" s="239">
        <f>IF(OR(SP_ACQ_Lib[[#This Row],[File Name Convention]]=0,LEFT(SP_ACQ_Lib[[#This Row],[Name]],LEN(SP_ACQ_Lib[[#This Row],[File Name Convention]]))&lt;&gt;SP_ACQ_Lib[[#This Row],[File Name Convention]],ISERROR(SEARCH(SP_ACQ_Lib[[#This Row],[ACQ Document Type]],SP_ACQ_Lib[[#This Row],[Name]]))),1,0)</f>
        <v>0</v>
      </c>
    </row>
    <row r="398" spans="1:25" ht="15" x14ac:dyDescent="0.2">
      <c r="A398" s="157" t="str">
        <f>CONCATENATE(SP_ACQ_Lib[[#This Row],[Acquisition Tract No.]],"_",SP_ACQ_Lib[[#This Row],[ACQ Document Type]])</f>
        <v>302_APPRAISAL Final Appraisal</v>
      </c>
      <c r="B398" s="14" t="s">
        <v>6318</v>
      </c>
      <c r="C398" s="45" t="s">
        <v>46</v>
      </c>
      <c r="D398" s="12" t="s">
        <v>643</v>
      </c>
      <c r="E398" s="8" t="s">
        <v>1131</v>
      </c>
      <c r="F398" s="8" t="s">
        <v>4755</v>
      </c>
      <c r="G398" s="8" t="s">
        <v>4754</v>
      </c>
      <c r="H398" s="7" t="s">
        <v>592</v>
      </c>
      <c r="I398" s="16">
        <v>43960</v>
      </c>
      <c r="J398" s="16"/>
      <c r="K398" s="17">
        <v>7496</v>
      </c>
      <c r="L398" s="3"/>
      <c r="M398" s="8" t="s">
        <v>4206</v>
      </c>
      <c r="N398" s="11">
        <v>44004.574652777781</v>
      </c>
      <c r="O398" s="8" t="s">
        <v>4206</v>
      </c>
      <c r="P398" s="11">
        <v>44004.56858796296</v>
      </c>
      <c r="Q398" s="13">
        <v>3593293</v>
      </c>
      <c r="R398" s="46" t="s">
        <v>594</v>
      </c>
      <c r="S398" s="14" t="s">
        <v>6387</v>
      </c>
      <c r="T398" s="163">
        <v>1252</v>
      </c>
      <c r="U398" s="164" t="str">
        <f>CONCATENATE(LEFT(SP_ACQ_Lib[[#This Row],[Tax Parcel ID]],7),"_",SP_ACQ_Lib[[#This Row],[ACQ Document Type]])</f>
        <v>R018586_APPRAISAL Final Appraisal</v>
      </c>
      <c r="V398" s="65" t="str">
        <f>INDEX(SP_AcqTract_DB[WCAD Tax Parcel ID],MATCH(SP_ACQ_Lib[[#This Row],[Acquisition Tract No.]],SP_AcqTract_DB[Acquisition Tract No.],0))</f>
        <v>R018586;#40</v>
      </c>
      <c r="W398" s="48" t="str">
        <f>INDEX(SP_TaxPar_DB[Acquisition Tract No.],MATCH(LEFT(SP_ACQ_Lib[[#This Row],[Tax Parcel ID]],7),SP_TaxPar_DB[Tax Parcel ID],0))</f>
        <v>302</v>
      </c>
      <c r="X398" s="238" t="str">
        <f>IF(OR(SP_ACQ_Lib[[#This Row],[Acquisition Tract No.]]="",SP_ACQ_Lib[[#This Row],[ACQ Document Type]]=""),0,CONCATENATE("COW-FRMP_TR-",SP_ACQ_Lib[[#This Row],[Acquisition Tract No.]]," ",SP_ACQ_Lib[[#This Row],[ACQ Document Type]]))</f>
        <v>COW-FRMP_TR-302 APPRAISAL Final Appraisal</v>
      </c>
      <c r="Y398" s="239">
        <f>IF(OR(SP_ACQ_Lib[[#This Row],[File Name Convention]]=0,LEFT(SP_ACQ_Lib[[#This Row],[Name]],LEN(SP_ACQ_Lib[[#This Row],[File Name Convention]]))&lt;&gt;SP_ACQ_Lib[[#This Row],[File Name Convention]],ISERROR(SEARCH(SP_ACQ_Lib[[#This Row],[ACQ Document Type]],SP_ACQ_Lib[[#This Row],[Name]]))),1,0)</f>
        <v>0</v>
      </c>
    </row>
    <row r="399" spans="1:25" ht="15" x14ac:dyDescent="0.2">
      <c r="A399" s="157" t="str">
        <f>CONCATENATE(SP_ACQ_Lib[[#This Row],[Acquisition Tract No.]],"_",SP_ACQ_Lib[[#This Row],[ACQ Document Type]])</f>
        <v>302_APPRAISAL Just Compensation Memo</v>
      </c>
      <c r="B399" s="14" t="s">
        <v>6319</v>
      </c>
      <c r="C399" s="45" t="s">
        <v>46</v>
      </c>
      <c r="D399" s="12" t="s">
        <v>643</v>
      </c>
      <c r="E399" s="8" t="s">
        <v>1131</v>
      </c>
      <c r="F399" s="8" t="s">
        <v>4757</v>
      </c>
      <c r="G399" s="8" t="s">
        <v>4756</v>
      </c>
      <c r="H399" s="7" t="s">
        <v>592</v>
      </c>
      <c r="I399" s="16">
        <v>44004</v>
      </c>
      <c r="J399" s="16">
        <v>44004</v>
      </c>
      <c r="K399" s="17">
        <v>7496</v>
      </c>
      <c r="L399" s="3"/>
      <c r="M399" s="8" t="s">
        <v>4206</v>
      </c>
      <c r="N399" s="11">
        <v>44006.40896990741</v>
      </c>
      <c r="O399" s="8" t="s">
        <v>4206</v>
      </c>
      <c r="P399" s="11">
        <v>44004.56858796296</v>
      </c>
      <c r="Q399" s="13">
        <v>22957</v>
      </c>
      <c r="R399" s="46" t="s">
        <v>594</v>
      </c>
      <c r="S399" s="14" t="s">
        <v>6388</v>
      </c>
      <c r="T399" s="163">
        <v>1253</v>
      </c>
      <c r="U399" s="164" t="str">
        <f>CONCATENATE(LEFT(SP_ACQ_Lib[[#This Row],[Tax Parcel ID]],7),"_",SP_ACQ_Lib[[#This Row],[ACQ Document Type]])</f>
        <v>R018586_APPRAISAL Just Compensation Memo</v>
      </c>
      <c r="V399" s="65" t="str">
        <f>INDEX(SP_AcqTract_DB[WCAD Tax Parcel ID],MATCH(SP_ACQ_Lib[[#This Row],[Acquisition Tract No.]],SP_AcqTract_DB[Acquisition Tract No.],0))</f>
        <v>R018586;#40</v>
      </c>
      <c r="W399" s="48" t="str">
        <f>INDEX(SP_TaxPar_DB[Acquisition Tract No.],MATCH(LEFT(SP_ACQ_Lib[[#This Row],[Tax Parcel ID]],7),SP_TaxPar_DB[Tax Parcel ID],0))</f>
        <v>302</v>
      </c>
      <c r="X399" s="238" t="str">
        <f>IF(OR(SP_ACQ_Lib[[#This Row],[Acquisition Tract No.]]="",SP_ACQ_Lib[[#This Row],[ACQ Document Type]]=""),0,CONCATENATE("COW-FRMP_TR-",SP_ACQ_Lib[[#This Row],[Acquisition Tract No.]]," ",SP_ACQ_Lib[[#This Row],[ACQ Document Type]]))</f>
        <v>COW-FRMP_TR-302 APPRAISAL Just Compensation Memo</v>
      </c>
      <c r="Y399" s="239">
        <f>IF(OR(SP_ACQ_Lib[[#This Row],[File Name Convention]]=0,LEFT(SP_ACQ_Lib[[#This Row],[Name]],LEN(SP_ACQ_Lib[[#This Row],[File Name Convention]]))&lt;&gt;SP_ACQ_Lib[[#This Row],[File Name Convention]],ISERROR(SEARCH(SP_ACQ_Lib[[#This Row],[ACQ Document Type]],SP_ACQ_Lib[[#This Row],[Name]]))),1,0)</f>
        <v>0</v>
      </c>
    </row>
    <row r="400" spans="1:25" ht="15" x14ac:dyDescent="0.2">
      <c r="A400" s="157" t="str">
        <f>CONCATENATE(SP_ACQ_Lib[[#This Row],[Acquisition Tract No.]],"_",SP_ACQ_Lib[[#This Row],[ACQ Document Type]])</f>
        <v>302_APPRAISAL USACOE Authorization to Proceed with Offer</v>
      </c>
      <c r="B400" s="14" t="s">
        <v>6320</v>
      </c>
      <c r="C400" s="45" t="s">
        <v>46</v>
      </c>
      <c r="D400" s="12" t="s">
        <v>643</v>
      </c>
      <c r="E400" s="8" t="s">
        <v>1131</v>
      </c>
      <c r="F400" s="8" t="s">
        <v>4959</v>
      </c>
      <c r="G400" s="8" t="s">
        <v>4958</v>
      </c>
      <c r="H400" s="7" t="s">
        <v>592</v>
      </c>
      <c r="I400" s="16">
        <v>44004</v>
      </c>
      <c r="J400" s="16">
        <v>44004</v>
      </c>
      <c r="K400" s="17">
        <v>7496</v>
      </c>
      <c r="L400" s="3"/>
      <c r="M400" s="8" t="s">
        <v>4206</v>
      </c>
      <c r="N400" s="11">
        <v>44006.409097222226</v>
      </c>
      <c r="O400" s="8" t="s">
        <v>4206</v>
      </c>
      <c r="P400" s="11">
        <v>44004.568599537037</v>
      </c>
      <c r="Q400" s="13">
        <v>417138</v>
      </c>
      <c r="R400" s="46" t="s">
        <v>594</v>
      </c>
      <c r="S400" s="14" t="s">
        <v>6389</v>
      </c>
      <c r="T400" s="163">
        <v>1254</v>
      </c>
      <c r="U400" s="164" t="str">
        <f>CONCATENATE(LEFT(SP_ACQ_Lib[[#This Row],[Tax Parcel ID]],7),"_",SP_ACQ_Lib[[#This Row],[ACQ Document Type]])</f>
        <v>R018586_APPRAISAL USACOE Authorization to Proceed with Offer</v>
      </c>
      <c r="V400" s="65" t="str">
        <f>INDEX(SP_AcqTract_DB[WCAD Tax Parcel ID],MATCH(SP_ACQ_Lib[[#This Row],[Acquisition Tract No.]],SP_AcqTract_DB[Acquisition Tract No.],0))</f>
        <v>R018586;#40</v>
      </c>
      <c r="W400" s="48" t="str">
        <f>INDEX(SP_TaxPar_DB[Acquisition Tract No.],MATCH(LEFT(SP_ACQ_Lib[[#This Row],[Tax Parcel ID]],7),SP_TaxPar_DB[Tax Parcel ID],0))</f>
        <v>302</v>
      </c>
      <c r="X400" s="238" t="str">
        <f>IF(OR(SP_ACQ_Lib[[#This Row],[Acquisition Tract No.]]="",SP_ACQ_Lib[[#This Row],[ACQ Document Type]]=""),0,CONCATENATE("COW-FRMP_TR-",SP_ACQ_Lib[[#This Row],[Acquisition Tract No.]]," ",SP_ACQ_Lib[[#This Row],[ACQ Document Type]]))</f>
        <v>COW-FRMP_TR-302 APPRAISAL USACOE Authorization to Proceed with Offer</v>
      </c>
      <c r="Y400" s="239">
        <f>IF(OR(SP_ACQ_Lib[[#This Row],[File Name Convention]]=0,LEFT(SP_ACQ_Lib[[#This Row],[Name]],LEN(SP_ACQ_Lib[[#This Row],[File Name Convention]]))&lt;&gt;SP_ACQ_Lib[[#This Row],[File Name Convention]],ISERROR(SEARCH(SP_ACQ_Lib[[#This Row],[ACQ Document Type]],SP_ACQ_Lib[[#This Row],[Name]]))),1,0)</f>
        <v>0</v>
      </c>
    </row>
    <row r="401" spans="1:25" ht="15" x14ac:dyDescent="0.2">
      <c r="A401" s="157" t="str">
        <f>CONCATENATE(SP_ACQ_Lib[[#This Row],[Acquisition Tract No.]],"_",SP_ACQ_Lib[[#This Row],[ACQ Document Type]])</f>
        <v>302_CONTACT Letter of Intent-HDR</v>
      </c>
      <c r="B401" s="14" t="s">
        <v>1520</v>
      </c>
      <c r="C401" s="45" t="s">
        <v>46</v>
      </c>
      <c r="D401" s="12" t="s">
        <v>643</v>
      </c>
      <c r="E401" s="8" t="s">
        <v>865</v>
      </c>
      <c r="F401" s="8" t="s">
        <v>1401</v>
      </c>
      <c r="G401" s="8" t="s">
        <v>1400</v>
      </c>
      <c r="H401" s="7" t="s">
        <v>592</v>
      </c>
      <c r="I401" s="16">
        <v>43765</v>
      </c>
      <c r="J401" s="16"/>
      <c r="K401" s="17"/>
      <c r="L401" s="3"/>
      <c r="M401" s="8" t="s">
        <v>23</v>
      </c>
      <c r="N401" s="11">
        <v>43770.449189814812</v>
      </c>
      <c r="O401" s="8" t="s">
        <v>1402</v>
      </c>
      <c r="P401" s="11">
        <v>43769.630555555559</v>
      </c>
      <c r="Q401" s="13">
        <v>344184</v>
      </c>
      <c r="R401" s="46" t="s">
        <v>594</v>
      </c>
      <c r="S401" s="14" t="s">
        <v>1642</v>
      </c>
      <c r="T401" s="163">
        <v>535</v>
      </c>
      <c r="U401" s="164" t="str">
        <f>CONCATENATE(LEFT(SP_ACQ_Lib[[#This Row],[Tax Parcel ID]],7),"_",SP_ACQ_Lib[[#This Row],[ACQ Document Type]])</f>
        <v>R018586_CONTACT Letter of Intent-HDR</v>
      </c>
      <c r="V401" s="65" t="str">
        <f>INDEX(SP_AcqTract_DB[WCAD Tax Parcel ID],MATCH(SP_ACQ_Lib[[#This Row],[Acquisition Tract No.]],SP_AcqTract_DB[Acquisition Tract No.],0))</f>
        <v>R018586;#40</v>
      </c>
      <c r="W401" s="48" t="str">
        <f>INDEX(SP_TaxPar_DB[Acquisition Tract No.],MATCH(LEFT(SP_ACQ_Lib[[#This Row],[Tax Parcel ID]],7),SP_TaxPar_DB[Tax Parcel ID],0))</f>
        <v>302</v>
      </c>
      <c r="X401" s="238" t="str">
        <f>IF(OR(SP_ACQ_Lib[[#This Row],[Acquisition Tract No.]]="",SP_ACQ_Lib[[#This Row],[ACQ Document Type]]=""),0,CONCATENATE("COW-FRMP_TR-",SP_ACQ_Lib[[#This Row],[Acquisition Tract No.]]," ",SP_ACQ_Lib[[#This Row],[ACQ Document Type]]))</f>
        <v>COW-FRMP_TR-302 CONTACT Letter of Intent-HDR</v>
      </c>
      <c r="Y401" s="239">
        <f>IF(OR(SP_ACQ_Lib[[#This Row],[File Name Convention]]=0,LEFT(SP_ACQ_Lib[[#This Row],[Name]],LEN(SP_ACQ_Lib[[#This Row],[File Name Convention]]))&lt;&gt;SP_ACQ_Lib[[#This Row],[File Name Convention]],ISERROR(SEARCH(SP_ACQ_Lib[[#This Row],[ACQ Document Type]],SP_ACQ_Lib[[#This Row],[Name]]))),1,0)</f>
        <v>0</v>
      </c>
    </row>
    <row r="402" spans="1:25" ht="15" x14ac:dyDescent="0.2">
      <c r="A402" s="157" t="str">
        <f>CONCATENATE(SP_ACQ_Lib[[#This Row],[Acquisition Tract No.]],"_",SP_ACQ_Lib[[#This Row],[ACQ Document Type]])</f>
        <v>302_CONTACT Negotiator Report</v>
      </c>
      <c r="B402" s="14" t="s">
        <v>3396</v>
      </c>
      <c r="C402" s="45" t="s">
        <v>46</v>
      </c>
      <c r="D402" s="12" t="s">
        <v>643</v>
      </c>
      <c r="E402" s="8" t="s">
        <v>865</v>
      </c>
      <c r="F402" s="8" t="s">
        <v>1068</v>
      </c>
      <c r="G402" s="8" t="s">
        <v>1067</v>
      </c>
      <c r="H402" s="7" t="s">
        <v>592</v>
      </c>
      <c r="I402" s="16"/>
      <c r="J402" s="16"/>
      <c r="K402" s="17"/>
      <c r="L402" s="3"/>
      <c r="M402" s="8" t="s">
        <v>1743</v>
      </c>
      <c r="N402" s="11">
        <v>43998.639201388891</v>
      </c>
      <c r="O402" s="8" t="s">
        <v>4207</v>
      </c>
      <c r="P402" s="11">
        <v>43738.427511574075</v>
      </c>
      <c r="Q402" s="13">
        <v>56303</v>
      </c>
      <c r="R402" s="46" t="s">
        <v>1069</v>
      </c>
      <c r="S402" s="14" t="s">
        <v>1098</v>
      </c>
      <c r="T402" s="163">
        <v>367</v>
      </c>
      <c r="U402" s="164" t="str">
        <f>CONCATENATE(LEFT(SP_ACQ_Lib[[#This Row],[Tax Parcel ID]],7),"_",SP_ACQ_Lib[[#This Row],[ACQ Document Type]])</f>
        <v>R018586_CONTACT Negotiator Report</v>
      </c>
      <c r="V402" s="65" t="str">
        <f>INDEX(SP_AcqTract_DB[WCAD Tax Parcel ID],MATCH(SP_ACQ_Lib[[#This Row],[Acquisition Tract No.]],SP_AcqTract_DB[Acquisition Tract No.],0))</f>
        <v>R018586;#40</v>
      </c>
      <c r="W402" s="48" t="str">
        <f>INDEX(SP_TaxPar_DB[Acquisition Tract No.],MATCH(LEFT(SP_ACQ_Lib[[#This Row],[Tax Parcel ID]],7),SP_TaxPar_DB[Tax Parcel ID],0))</f>
        <v>302</v>
      </c>
      <c r="X402" s="238" t="str">
        <f>IF(OR(SP_ACQ_Lib[[#This Row],[Acquisition Tract No.]]="",SP_ACQ_Lib[[#This Row],[ACQ Document Type]]=""),0,CONCATENATE("COW-FRMP_TR-",SP_ACQ_Lib[[#This Row],[Acquisition Tract No.]]," ",SP_ACQ_Lib[[#This Row],[ACQ Document Type]]))</f>
        <v>COW-FRMP_TR-302 CONTACT Negotiator Report</v>
      </c>
      <c r="Y402" s="239">
        <f>IF(OR(SP_ACQ_Lib[[#This Row],[File Name Convention]]=0,LEFT(SP_ACQ_Lib[[#This Row],[Name]],LEN(SP_ACQ_Lib[[#This Row],[File Name Convention]]))&lt;&gt;SP_ACQ_Lib[[#This Row],[File Name Convention]],ISERROR(SEARCH(SP_ACQ_Lib[[#This Row],[ACQ Document Type]],SP_ACQ_Lib[[#This Row],[Name]]))),1,0)</f>
        <v>0</v>
      </c>
    </row>
    <row r="403" spans="1:25" ht="15" x14ac:dyDescent="0.2">
      <c r="A403" s="157" t="str">
        <f>CONCATENATE(SP_ACQ_Lib[[#This Row],[Acquisition Tract No.]],"_",SP_ACQ_Lib[[#This Row],[ACQ Document Type]])</f>
        <v>302_NEGOTIATION Landowner Bill of Rights Letter</v>
      </c>
      <c r="B403" s="14" t="s">
        <v>3461</v>
      </c>
      <c r="C403" s="45" t="s">
        <v>46</v>
      </c>
      <c r="D403" s="12" t="s">
        <v>643</v>
      </c>
      <c r="E403" s="8" t="s">
        <v>1142</v>
      </c>
      <c r="F403" s="8" t="s">
        <v>1746</v>
      </c>
      <c r="G403" s="8" t="s">
        <v>1745</v>
      </c>
      <c r="H403" s="7" t="s">
        <v>592</v>
      </c>
      <c r="I403" s="16">
        <v>43748</v>
      </c>
      <c r="J403" s="16"/>
      <c r="K403" s="17"/>
      <c r="L403" s="3"/>
      <c r="M403" s="8" t="s">
        <v>4206</v>
      </c>
      <c r="N403" s="11">
        <v>43872.562673611108</v>
      </c>
      <c r="O403" s="8" t="s">
        <v>4325</v>
      </c>
      <c r="P403" s="11">
        <v>43752.50209490741</v>
      </c>
      <c r="Q403" s="13">
        <v>350876</v>
      </c>
      <c r="R403" s="46" t="s">
        <v>594</v>
      </c>
      <c r="S403" s="14" t="s">
        <v>1221</v>
      </c>
      <c r="T403" s="163">
        <v>441</v>
      </c>
      <c r="U403" s="164" t="str">
        <f>CONCATENATE(LEFT(SP_ACQ_Lib[[#This Row],[Tax Parcel ID]],7),"_",SP_ACQ_Lib[[#This Row],[ACQ Document Type]])</f>
        <v>R018586_NEGOTIATION Landowner Bill of Rights Letter</v>
      </c>
      <c r="V403" s="65" t="str">
        <f>INDEX(SP_AcqTract_DB[WCAD Tax Parcel ID],MATCH(SP_ACQ_Lib[[#This Row],[Acquisition Tract No.]],SP_AcqTract_DB[Acquisition Tract No.],0))</f>
        <v>R018586;#40</v>
      </c>
      <c r="W403" s="48" t="str">
        <f>INDEX(SP_TaxPar_DB[Acquisition Tract No.],MATCH(LEFT(SP_ACQ_Lib[[#This Row],[Tax Parcel ID]],7),SP_TaxPar_DB[Tax Parcel ID],0))</f>
        <v>302</v>
      </c>
      <c r="X403" s="238" t="str">
        <f>IF(OR(SP_ACQ_Lib[[#This Row],[Acquisition Tract No.]]="",SP_ACQ_Lib[[#This Row],[ACQ Document Type]]=""),0,CONCATENATE("COW-FRMP_TR-",SP_ACQ_Lib[[#This Row],[Acquisition Tract No.]]," ",SP_ACQ_Lib[[#This Row],[ACQ Document Type]]))</f>
        <v>COW-FRMP_TR-302 NEGOTIATION Landowner Bill of Rights Letter</v>
      </c>
      <c r="Y403" s="239">
        <f>IF(OR(SP_ACQ_Lib[[#This Row],[File Name Convention]]=0,LEFT(SP_ACQ_Lib[[#This Row],[Name]],LEN(SP_ACQ_Lib[[#This Row],[File Name Convention]]))&lt;&gt;SP_ACQ_Lib[[#This Row],[File Name Convention]],ISERROR(SEARCH(SP_ACQ_Lib[[#This Row],[ACQ Document Type]],SP_ACQ_Lib[[#This Row],[Name]]))),1,0)</f>
        <v>0</v>
      </c>
    </row>
    <row r="404" spans="1:25" ht="15" x14ac:dyDescent="0.2">
      <c r="A404" s="157" t="str">
        <f>CONCATENATE(SP_ACQ_Lib[[#This Row],[Acquisition Tract No.]],"_",SP_ACQ_Lib[[#This Row],[ACQ Document Type]])</f>
        <v>302_SURVEY Description-Plat_CITY</v>
      </c>
      <c r="B404" s="14" t="s">
        <v>4588</v>
      </c>
      <c r="C404" s="45" t="s">
        <v>46</v>
      </c>
      <c r="D404" s="12" t="s">
        <v>643</v>
      </c>
      <c r="E404" s="8" t="s">
        <v>858</v>
      </c>
      <c r="F404" s="8" t="s">
        <v>3503</v>
      </c>
      <c r="G404" s="8" t="s">
        <v>3502</v>
      </c>
      <c r="H404" s="7" t="s">
        <v>1749</v>
      </c>
      <c r="I404" s="16">
        <v>43859</v>
      </c>
      <c r="J404" s="16">
        <v>43913</v>
      </c>
      <c r="K404" s="17"/>
      <c r="L404" s="3"/>
      <c r="M404" s="8" t="s">
        <v>4206</v>
      </c>
      <c r="N404" s="11">
        <v>43937.589004629626</v>
      </c>
      <c r="O404" s="8" t="s">
        <v>4205</v>
      </c>
      <c r="P404" s="11">
        <v>43913.53701388889</v>
      </c>
      <c r="Q404" s="13">
        <v>250020</v>
      </c>
      <c r="R404" s="46" t="s">
        <v>594</v>
      </c>
      <c r="S404" s="14" t="s">
        <v>4622</v>
      </c>
      <c r="T404" s="163">
        <v>787</v>
      </c>
      <c r="U404" s="164" t="str">
        <f>CONCATENATE(LEFT(SP_ACQ_Lib[[#This Row],[Tax Parcel ID]],7),"_",SP_ACQ_Lib[[#This Row],[ACQ Document Type]])</f>
        <v>R018586_SURVEY Description-Plat_CITY</v>
      </c>
      <c r="V404" s="65" t="str">
        <f>INDEX(SP_AcqTract_DB[WCAD Tax Parcel ID],MATCH(SP_ACQ_Lib[[#This Row],[Acquisition Tract No.]],SP_AcqTract_DB[Acquisition Tract No.],0))</f>
        <v>R018586;#40</v>
      </c>
      <c r="W404" s="48" t="str">
        <f>INDEX(SP_TaxPar_DB[Acquisition Tract No.],MATCH(LEFT(SP_ACQ_Lib[[#This Row],[Tax Parcel ID]],7),SP_TaxPar_DB[Tax Parcel ID],0))</f>
        <v>302</v>
      </c>
      <c r="X404" s="238" t="str">
        <f>IF(OR(SP_ACQ_Lib[[#This Row],[Acquisition Tract No.]]="",SP_ACQ_Lib[[#This Row],[ACQ Document Type]]=""),0,CONCATENATE("COW-FRMP_TR-",SP_ACQ_Lib[[#This Row],[Acquisition Tract No.]]," ",SP_ACQ_Lib[[#This Row],[ACQ Document Type]]))</f>
        <v>COW-FRMP_TR-302 SURVEY Description-Plat_CITY</v>
      </c>
      <c r="Y404" s="239">
        <f>IF(OR(SP_ACQ_Lib[[#This Row],[File Name Convention]]=0,LEFT(SP_ACQ_Lib[[#This Row],[Name]],LEN(SP_ACQ_Lib[[#This Row],[File Name Convention]]))&lt;&gt;SP_ACQ_Lib[[#This Row],[File Name Convention]],ISERROR(SEARCH(SP_ACQ_Lib[[#This Row],[ACQ Document Type]],SP_ACQ_Lib[[#This Row],[Name]]))),1,0)</f>
        <v>0</v>
      </c>
    </row>
    <row r="405" spans="1:25" ht="15" x14ac:dyDescent="0.2">
      <c r="A405" s="157" t="str">
        <f>CONCATENATE(SP_ACQ_Lib[[#This Row],[Acquisition Tract No.]],"_",SP_ACQ_Lib[[#This Row],[ACQ Document Type]])</f>
        <v>302_SURVEY Description-Plat_USACOE</v>
      </c>
      <c r="B405" s="14" t="s">
        <v>4985</v>
      </c>
      <c r="C405" s="45" t="s">
        <v>46</v>
      </c>
      <c r="D405" s="12" t="s">
        <v>643</v>
      </c>
      <c r="E405" s="8" t="s">
        <v>858</v>
      </c>
      <c r="F405" s="8" t="s">
        <v>3510</v>
      </c>
      <c r="G405" s="8" t="s">
        <v>3509</v>
      </c>
      <c r="H405" s="7" t="s">
        <v>592</v>
      </c>
      <c r="I405" s="16">
        <v>43859</v>
      </c>
      <c r="J405" s="16">
        <v>43948</v>
      </c>
      <c r="K405" s="17"/>
      <c r="L405" s="3"/>
      <c r="M405" s="8" t="s">
        <v>4206</v>
      </c>
      <c r="N405" s="11">
        <v>43949.807962962965</v>
      </c>
      <c r="O405" s="8" t="s">
        <v>4206</v>
      </c>
      <c r="P405" s="11">
        <v>43949.790567129632</v>
      </c>
      <c r="Q405" s="13">
        <v>253292</v>
      </c>
      <c r="R405" s="46" t="s">
        <v>594</v>
      </c>
      <c r="S405" s="14" t="s">
        <v>5004</v>
      </c>
      <c r="T405" s="163">
        <v>844</v>
      </c>
      <c r="U405" s="164" t="str">
        <f>CONCATENATE(LEFT(SP_ACQ_Lib[[#This Row],[Tax Parcel ID]],7),"_",SP_ACQ_Lib[[#This Row],[ACQ Document Type]])</f>
        <v>R018586_SURVEY Description-Plat_USACOE</v>
      </c>
      <c r="V405" s="65" t="str">
        <f>INDEX(SP_AcqTract_DB[WCAD Tax Parcel ID],MATCH(SP_ACQ_Lib[[#This Row],[Acquisition Tract No.]],SP_AcqTract_DB[Acquisition Tract No.],0))</f>
        <v>R018586;#40</v>
      </c>
      <c r="W405" s="48" t="str">
        <f>INDEX(SP_TaxPar_DB[Acquisition Tract No.],MATCH(LEFT(SP_ACQ_Lib[[#This Row],[Tax Parcel ID]],7),SP_TaxPar_DB[Tax Parcel ID],0))</f>
        <v>302</v>
      </c>
      <c r="X405" s="238" t="str">
        <f>IF(OR(SP_ACQ_Lib[[#This Row],[Acquisition Tract No.]]="",SP_ACQ_Lib[[#This Row],[ACQ Document Type]]=""),0,CONCATENATE("COW-FRMP_TR-",SP_ACQ_Lib[[#This Row],[Acquisition Tract No.]]," ",SP_ACQ_Lib[[#This Row],[ACQ Document Type]]))</f>
        <v>COW-FRMP_TR-302 SURVEY Description-Plat_USACOE</v>
      </c>
      <c r="Y405" s="239">
        <f>IF(OR(SP_ACQ_Lib[[#This Row],[File Name Convention]]=0,LEFT(SP_ACQ_Lib[[#This Row],[Name]],LEN(SP_ACQ_Lib[[#This Row],[File Name Convention]]))&lt;&gt;SP_ACQ_Lib[[#This Row],[File Name Convention]],ISERROR(SEARCH(SP_ACQ_Lib[[#This Row],[ACQ Document Type]],SP_ACQ_Lib[[#This Row],[Name]]))),1,0)</f>
        <v>0</v>
      </c>
    </row>
    <row r="406" spans="1:25" ht="15" x14ac:dyDescent="0.2">
      <c r="A406" s="157" t="str">
        <f>CONCATENATE(SP_ACQ_Lib[[#This Row],[Acquisition Tract No.]],"_",SP_ACQ_Lib[[#This Row],[ACQ Document Type]])</f>
        <v>302_SURVEY Right-of-Entry</v>
      </c>
      <c r="B406" s="14" t="s">
        <v>4589</v>
      </c>
      <c r="C406" s="45" t="s">
        <v>46</v>
      </c>
      <c r="D406" s="12" t="s">
        <v>643</v>
      </c>
      <c r="E406" s="8" t="s">
        <v>858</v>
      </c>
      <c r="F406" s="8" t="s">
        <v>859</v>
      </c>
      <c r="G406" s="8" t="s">
        <v>591</v>
      </c>
      <c r="H406" s="7" t="s">
        <v>592</v>
      </c>
      <c r="I406" s="16">
        <v>43700</v>
      </c>
      <c r="J406" s="16"/>
      <c r="K406" s="17"/>
      <c r="L406" s="3"/>
      <c r="M406" s="8" t="s">
        <v>4206</v>
      </c>
      <c r="N406" s="11">
        <v>43922.376851851855</v>
      </c>
      <c r="O406" s="8" t="s">
        <v>4325</v>
      </c>
      <c r="P406" s="11">
        <v>43704.695798611108</v>
      </c>
      <c r="Q406" s="13">
        <v>1001355</v>
      </c>
      <c r="R406" s="46" t="s">
        <v>594</v>
      </c>
      <c r="S406" s="14" t="s">
        <v>779</v>
      </c>
      <c r="T406" s="163">
        <v>160</v>
      </c>
      <c r="U406" s="164" t="str">
        <f>CONCATENATE(LEFT(SP_ACQ_Lib[[#This Row],[Tax Parcel ID]],7),"_",SP_ACQ_Lib[[#This Row],[ACQ Document Type]])</f>
        <v>R018586_SURVEY Right-of-Entry</v>
      </c>
      <c r="V406" s="65" t="str">
        <f>INDEX(SP_AcqTract_DB[WCAD Tax Parcel ID],MATCH(SP_ACQ_Lib[[#This Row],[Acquisition Tract No.]],SP_AcqTract_DB[Acquisition Tract No.],0))</f>
        <v>R018586;#40</v>
      </c>
      <c r="W406" s="48" t="str">
        <f>INDEX(SP_TaxPar_DB[Acquisition Tract No.],MATCH(LEFT(SP_ACQ_Lib[[#This Row],[Tax Parcel ID]],7),SP_TaxPar_DB[Tax Parcel ID],0))</f>
        <v>302</v>
      </c>
      <c r="X406" s="238" t="str">
        <f>IF(OR(SP_ACQ_Lib[[#This Row],[Acquisition Tract No.]]="",SP_ACQ_Lib[[#This Row],[ACQ Document Type]]=""),0,CONCATENATE("COW-FRMP_TR-",SP_ACQ_Lib[[#This Row],[Acquisition Tract No.]]," ",SP_ACQ_Lib[[#This Row],[ACQ Document Type]]))</f>
        <v>COW-FRMP_TR-302 SURVEY Right-of-Entry</v>
      </c>
      <c r="Y406" s="239">
        <f>IF(OR(SP_ACQ_Lib[[#This Row],[File Name Convention]]=0,LEFT(SP_ACQ_Lib[[#This Row],[Name]],LEN(SP_ACQ_Lib[[#This Row],[File Name Convention]]))&lt;&gt;SP_ACQ_Lib[[#This Row],[File Name Convention]],ISERROR(SEARCH(SP_ACQ_Lib[[#This Row],[ACQ Document Type]],SP_ACQ_Lib[[#This Row],[Name]]))),1,0)</f>
        <v>0</v>
      </c>
    </row>
    <row r="407" spans="1:25" ht="15" x14ac:dyDescent="0.2">
      <c r="A407" s="157" t="str">
        <f>CONCATENATE(SP_ACQ_Lib[[#This Row],[Acquisition Tract No.]],"_",SP_ACQ_Lib[[#This Row],[ACQ Document Type]])</f>
        <v>302_SURVEY Right-of-Entry CMRR</v>
      </c>
      <c r="B407" s="14" t="s">
        <v>4590</v>
      </c>
      <c r="C407" s="45" t="s">
        <v>46</v>
      </c>
      <c r="D407" s="12" t="s">
        <v>643</v>
      </c>
      <c r="E407" s="8" t="s">
        <v>858</v>
      </c>
      <c r="F407" s="8" t="s">
        <v>860</v>
      </c>
      <c r="G407" s="8" t="s">
        <v>598</v>
      </c>
      <c r="H407" s="7" t="s">
        <v>608</v>
      </c>
      <c r="I407" s="16">
        <v>43691</v>
      </c>
      <c r="J407" s="16"/>
      <c r="K407" s="17"/>
      <c r="L407" s="3" t="s">
        <v>4560</v>
      </c>
      <c r="M407" s="8" t="s">
        <v>4206</v>
      </c>
      <c r="N407" s="11">
        <v>43923.478333333333</v>
      </c>
      <c r="O407" s="8" t="s">
        <v>4325</v>
      </c>
      <c r="P407" s="11">
        <v>43699.454143518517</v>
      </c>
      <c r="Q407" s="13">
        <v>429457</v>
      </c>
      <c r="R407" s="46" t="s">
        <v>594</v>
      </c>
      <c r="S407" s="14" t="s">
        <v>780</v>
      </c>
      <c r="T407" s="163">
        <v>122</v>
      </c>
      <c r="U407" s="164" t="str">
        <f>CONCATENATE(LEFT(SP_ACQ_Lib[[#This Row],[Tax Parcel ID]],7),"_",SP_ACQ_Lib[[#This Row],[ACQ Document Type]])</f>
        <v>R018586_SURVEY Right-of-Entry CMRR</v>
      </c>
      <c r="V407" s="65" t="str">
        <f>INDEX(SP_AcqTract_DB[WCAD Tax Parcel ID],MATCH(SP_ACQ_Lib[[#This Row],[Acquisition Tract No.]],SP_AcqTract_DB[Acquisition Tract No.],0))</f>
        <v>R018586;#40</v>
      </c>
      <c r="W407" s="48" t="str">
        <f>INDEX(SP_TaxPar_DB[Acquisition Tract No.],MATCH(LEFT(SP_ACQ_Lib[[#This Row],[Tax Parcel ID]],7),SP_TaxPar_DB[Tax Parcel ID],0))</f>
        <v>302</v>
      </c>
      <c r="X407" s="238" t="str">
        <f>IF(OR(SP_ACQ_Lib[[#This Row],[Acquisition Tract No.]]="",SP_ACQ_Lib[[#This Row],[ACQ Document Type]]=""),0,CONCATENATE("COW-FRMP_TR-",SP_ACQ_Lib[[#This Row],[Acquisition Tract No.]]," ",SP_ACQ_Lib[[#This Row],[ACQ Document Type]]))</f>
        <v>COW-FRMP_TR-302 SURVEY Right-of-Entry CMRR</v>
      </c>
      <c r="Y407" s="239">
        <f>IF(OR(SP_ACQ_Lib[[#This Row],[File Name Convention]]=0,LEFT(SP_ACQ_Lib[[#This Row],[Name]],LEN(SP_ACQ_Lib[[#This Row],[File Name Convention]]))&lt;&gt;SP_ACQ_Lib[[#This Row],[File Name Convention]],ISERROR(SEARCH(SP_ACQ_Lib[[#This Row],[ACQ Document Type]],SP_ACQ_Lib[[#This Row],[Name]]))),1,0)</f>
        <v>0</v>
      </c>
    </row>
    <row r="408" spans="1:25" ht="15" x14ac:dyDescent="0.2">
      <c r="A408" s="157" t="str">
        <f>CONCATENATE(SP_ACQ_Lib[[#This Row],[Acquisition Tract No.]],"_",SP_ACQ_Lib[[#This Row],[ACQ Document Type]])</f>
        <v>302_TITLE Commitment</v>
      </c>
      <c r="B408" s="14" t="s">
        <v>1521</v>
      </c>
      <c r="C408" s="45" t="s">
        <v>46</v>
      </c>
      <c r="D408" s="12" t="s">
        <v>643</v>
      </c>
      <c r="E408" s="8" t="s">
        <v>861</v>
      </c>
      <c r="F408" s="8" t="s">
        <v>862</v>
      </c>
      <c r="G408" s="8" t="s">
        <v>614</v>
      </c>
      <c r="H408" s="7" t="s">
        <v>592</v>
      </c>
      <c r="I408" s="16">
        <v>43952</v>
      </c>
      <c r="J408" s="16">
        <v>43963</v>
      </c>
      <c r="K408" s="17">
        <v>2025</v>
      </c>
      <c r="L408" s="3" t="s">
        <v>4709</v>
      </c>
      <c r="M408" s="8" t="s">
        <v>4325</v>
      </c>
      <c r="N408" s="11">
        <v>43963.603854166664</v>
      </c>
      <c r="O408" s="8" t="s">
        <v>4326</v>
      </c>
      <c r="P408" s="11">
        <v>43718.464745370373</v>
      </c>
      <c r="Q408" s="13">
        <v>2010310</v>
      </c>
      <c r="R408" s="46" t="s">
        <v>594</v>
      </c>
      <c r="S408" s="14" t="s">
        <v>781</v>
      </c>
      <c r="T408" s="163">
        <v>230</v>
      </c>
      <c r="U408" s="164" t="str">
        <f>CONCATENATE(LEFT(SP_ACQ_Lib[[#This Row],[Tax Parcel ID]],7),"_",SP_ACQ_Lib[[#This Row],[ACQ Document Type]])</f>
        <v>R018586_TITLE Commitment</v>
      </c>
      <c r="V408" s="65" t="str">
        <f>INDEX(SP_AcqTract_DB[WCAD Tax Parcel ID],MATCH(SP_ACQ_Lib[[#This Row],[Acquisition Tract No.]],SP_AcqTract_DB[Acquisition Tract No.],0))</f>
        <v>R018586;#40</v>
      </c>
      <c r="W408" s="48" t="str">
        <f>INDEX(SP_TaxPar_DB[Acquisition Tract No.],MATCH(LEFT(SP_ACQ_Lib[[#This Row],[Tax Parcel ID]],7),SP_TaxPar_DB[Tax Parcel ID],0))</f>
        <v>302</v>
      </c>
      <c r="X408" s="238" t="str">
        <f>IF(OR(SP_ACQ_Lib[[#This Row],[Acquisition Tract No.]]="",SP_ACQ_Lib[[#This Row],[ACQ Document Type]]=""),0,CONCATENATE("COW-FRMP_TR-",SP_ACQ_Lib[[#This Row],[Acquisition Tract No.]]," ",SP_ACQ_Lib[[#This Row],[ACQ Document Type]]))</f>
        <v>COW-FRMP_TR-302 TITLE Commitment</v>
      </c>
      <c r="Y408" s="239">
        <f>IF(OR(SP_ACQ_Lib[[#This Row],[File Name Convention]]=0,LEFT(SP_ACQ_Lib[[#This Row],[Name]],LEN(SP_ACQ_Lib[[#This Row],[File Name Convention]]))&lt;&gt;SP_ACQ_Lib[[#This Row],[File Name Convention]],ISERROR(SEARCH(SP_ACQ_Lib[[#This Row],[ACQ Document Type]],SP_ACQ_Lib[[#This Row],[Name]]))),1,0)</f>
        <v>0</v>
      </c>
    </row>
    <row r="409" spans="1:25" ht="15" x14ac:dyDescent="0.2">
      <c r="A409" s="157" t="str">
        <f>CONCATENATE(SP_ACQ_Lib[[#This Row],[Acquisition Tract No.]],"_",SP_ACQ_Lib[[#This Row],[ACQ Document Type]])</f>
        <v>302_TITLE Commitment Backup Docs</v>
      </c>
      <c r="B409" s="14" t="s">
        <v>1522</v>
      </c>
      <c r="C409" s="45" t="s">
        <v>46</v>
      </c>
      <c r="D409" s="12" t="s">
        <v>643</v>
      </c>
      <c r="E409" s="8" t="s">
        <v>861</v>
      </c>
      <c r="F409" s="8" t="s">
        <v>863</v>
      </c>
      <c r="G409" s="8" t="s">
        <v>616</v>
      </c>
      <c r="H409" s="7" t="s">
        <v>592</v>
      </c>
      <c r="I409" s="16"/>
      <c r="J409" s="16"/>
      <c r="K409" s="17"/>
      <c r="L409" s="3" t="s">
        <v>877</v>
      </c>
      <c r="M409" s="8" t="s">
        <v>4205</v>
      </c>
      <c r="N409" s="11">
        <v>43899.890729166669</v>
      </c>
      <c r="O409" s="8" t="s">
        <v>4326</v>
      </c>
      <c r="P409" s="11">
        <v>43718.465405092589</v>
      </c>
      <c r="Q409" s="13">
        <v>196661</v>
      </c>
      <c r="R409" s="46" t="s">
        <v>594</v>
      </c>
      <c r="S409" s="14" t="s">
        <v>782</v>
      </c>
      <c r="T409" s="163">
        <v>231</v>
      </c>
      <c r="U409" s="164" t="str">
        <f>CONCATENATE(LEFT(SP_ACQ_Lib[[#This Row],[Tax Parcel ID]],7),"_",SP_ACQ_Lib[[#This Row],[ACQ Document Type]])</f>
        <v>R018586_TITLE Commitment Backup Docs</v>
      </c>
      <c r="V409" s="65" t="str">
        <f>INDEX(SP_AcqTract_DB[WCAD Tax Parcel ID],MATCH(SP_ACQ_Lib[[#This Row],[Acquisition Tract No.]],SP_AcqTract_DB[Acquisition Tract No.],0))</f>
        <v>R018586;#40</v>
      </c>
      <c r="W409" s="48" t="str">
        <f>INDEX(SP_TaxPar_DB[Acquisition Tract No.],MATCH(LEFT(SP_ACQ_Lib[[#This Row],[Tax Parcel ID]],7),SP_TaxPar_DB[Tax Parcel ID],0))</f>
        <v>302</v>
      </c>
      <c r="X409" s="238" t="str">
        <f>IF(OR(SP_ACQ_Lib[[#This Row],[Acquisition Tract No.]]="",SP_ACQ_Lib[[#This Row],[ACQ Document Type]]=""),0,CONCATENATE("COW-FRMP_TR-",SP_ACQ_Lib[[#This Row],[Acquisition Tract No.]]," ",SP_ACQ_Lib[[#This Row],[ACQ Document Type]]))</f>
        <v>COW-FRMP_TR-302 TITLE Commitment Backup Docs</v>
      </c>
      <c r="Y409" s="239">
        <f>IF(OR(SP_ACQ_Lib[[#This Row],[File Name Convention]]=0,LEFT(SP_ACQ_Lib[[#This Row],[Name]],LEN(SP_ACQ_Lib[[#This Row],[File Name Convention]]))&lt;&gt;SP_ACQ_Lib[[#This Row],[File Name Convention]],ISERROR(SEARCH(SP_ACQ_Lib[[#This Row],[ACQ Document Type]],SP_ACQ_Lib[[#This Row],[Name]]))),1,0)</f>
        <v>0</v>
      </c>
    </row>
    <row r="410" spans="1:25" ht="15" x14ac:dyDescent="0.2">
      <c r="A410" s="157" t="str">
        <f>CONCATENATE(SP_ACQ_Lib[[#This Row],[Acquisition Tract No.]],"_",SP_ACQ_Lib[[#This Row],[ACQ Document Type]])</f>
        <v>302_TITLE Curative Plan</v>
      </c>
      <c r="B410" s="14" t="s">
        <v>1523</v>
      </c>
      <c r="C410" s="45" t="s">
        <v>46</v>
      </c>
      <c r="D410" s="12" t="s">
        <v>643</v>
      </c>
      <c r="E410" s="8" t="s">
        <v>861</v>
      </c>
      <c r="F410" s="8" t="s">
        <v>864</v>
      </c>
      <c r="G410" s="8" t="s">
        <v>617</v>
      </c>
      <c r="H410" s="7" t="s">
        <v>592</v>
      </c>
      <c r="I410" s="16">
        <v>43812</v>
      </c>
      <c r="J410" s="16"/>
      <c r="K410" s="17"/>
      <c r="L410" s="3"/>
      <c r="M410" s="8" t="s">
        <v>4325</v>
      </c>
      <c r="N410" s="11">
        <v>43963.60328703704</v>
      </c>
      <c r="O410" s="8" t="s">
        <v>4326</v>
      </c>
      <c r="P410" s="11">
        <v>43745.55096064815</v>
      </c>
      <c r="Q410" s="13">
        <v>36265</v>
      </c>
      <c r="R410" s="46" t="s">
        <v>594</v>
      </c>
      <c r="S410" s="14" t="s">
        <v>1222</v>
      </c>
      <c r="T410" s="163">
        <v>404</v>
      </c>
      <c r="U410" s="164" t="str">
        <f>CONCATENATE(LEFT(SP_ACQ_Lib[[#This Row],[Tax Parcel ID]],7),"_",SP_ACQ_Lib[[#This Row],[ACQ Document Type]])</f>
        <v>R018586_TITLE Curative Plan</v>
      </c>
      <c r="V410" s="65" t="str">
        <f>INDEX(SP_AcqTract_DB[WCAD Tax Parcel ID],MATCH(SP_ACQ_Lib[[#This Row],[Acquisition Tract No.]],SP_AcqTract_DB[Acquisition Tract No.],0))</f>
        <v>R018586;#40</v>
      </c>
      <c r="W410" s="48" t="str">
        <f>INDEX(SP_TaxPar_DB[Acquisition Tract No.],MATCH(LEFT(SP_ACQ_Lib[[#This Row],[Tax Parcel ID]],7),SP_TaxPar_DB[Tax Parcel ID],0))</f>
        <v>302</v>
      </c>
      <c r="X410" s="238" t="str">
        <f>IF(OR(SP_ACQ_Lib[[#This Row],[Acquisition Tract No.]]="",SP_ACQ_Lib[[#This Row],[ACQ Document Type]]=""),0,CONCATENATE("COW-FRMP_TR-",SP_ACQ_Lib[[#This Row],[Acquisition Tract No.]]," ",SP_ACQ_Lib[[#This Row],[ACQ Document Type]]))</f>
        <v>COW-FRMP_TR-302 TITLE Curative Plan</v>
      </c>
      <c r="Y410" s="239">
        <f>IF(OR(SP_ACQ_Lib[[#This Row],[File Name Convention]]=0,LEFT(SP_ACQ_Lib[[#This Row],[Name]],LEN(SP_ACQ_Lib[[#This Row],[File Name Convention]]))&lt;&gt;SP_ACQ_Lib[[#This Row],[File Name Convention]],ISERROR(SEARCH(SP_ACQ_Lib[[#This Row],[ACQ Document Type]],SP_ACQ_Lib[[#This Row],[Name]]))),1,0)</f>
        <v>0</v>
      </c>
    </row>
    <row r="411" spans="1:25" ht="15" x14ac:dyDescent="0.2">
      <c r="A411" s="157" t="str">
        <f>CONCATENATE(SP_ACQ_Lib[[#This Row],[Acquisition Tract No.]],"_",SP_ACQ_Lib[[#This Row],[ACQ Document Type]])</f>
        <v>302_TITLE Tax Card</v>
      </c>
      <c r="B411" s="14" t="s">
        <v>3462</v>
      </c>
      <c r="C411" s="45" t="s">
        <v>46</v>
      </c>
      <c r="D411" s="12" t="s">
        <v>643</v>
      </c>
      <c r="E411" s="8" t="s">
        <v>861</v>
      </c>
      <c r="F411" s="8" t="s">
        <v>1150</v>
      </c>
      <c r="G411" s="8" t="s">
        <v>1149</v>
      </c>
      <c r="H411" s="7" t="s">
        <v>592</v>
      </c>
      <c r="I411" s="16"/>
      <c r="J411" s="16"/>
      <c r="K411" s="17"/>
      <c r="L411" s="3"/>
      <c r="M411" s="8" t="s">
        <v>4206</v>
      </c>
      <c r="N411" s="11">
        <v>43874.593124999999</v>
      </c>
      <c r="O411" s="8" t="s">
        <v>1272</v>
      </c>
      <c r="P411" s="11">
        <v>43817.479814814818</v>
      </c>
      <c r="Q411" s="13">
        <v>469922</v>
      </c>
      <c r="R411" s="46" t="s">
        <v>594</v>
      </c>
      <c r="S411" s="14" t="s">
        <v>1787</v>
      </c>
      <c r="T411" s="163">
        <v>641</v>
      </c>
      <c r="U411" s="164" t="str">
        <f>CONCATENATE(LEFT(SP_ACQ_Lib[[#This Row],[Tax Parcel ID]],7),"_",SP_ACQ_Lib[[#This Row],[ACQ Document Type]])</f>
        <v>R018586_TITLE Tax Card</v>
      </c>
      <c r="V411" s="65" t="str">
        <f>INDEX(SP_AcqTract_DB[WCAD Tax Parcel ID],MATCH(SP_ACQ_Lib[[#This Row],[Acquisition Tract No.]],SP_AcqTract_DB[Acquisition Tract No.],0))</f>
        <v>R018586;#40</v>
      </c>
      <c r="W411" s="48" t="str">
        <f>INDEX(SP_TaxPar_DB[Acquisition Tract No.],MATCH(LEFT(SP_ACQ_Lib[[#This Row],[Tax Parcel ID]],7),SP_TaxPar_DB[Tax Parcel ID],0))</f>
        <v>302</v>
      </c>
      <c r="X411" s="238" t="str">
        <f>IF(OR(SP_ACQ_Lib[[#This Row],[Acquisition Tract No.]]="",SP_ACQ_Lib[[#This Row],[ACQ Document Type]]=""),0,CONCATENATE("COW-FRMP_TR-",SP_ACQ_Lib[[#This Row],[Acquisition Tract No.]]," ",SP_ACQ_Lib[[#This Row],[ACQ Document Type]]))</f>
        <v>COW-FRMP_TR-302 TITLE Tax Card</v>
      </c>
      <c r="Y411" s="239">
        <f>IF(OR(SP_ACQ_Lib[[#This Row],[File Name Convention]]=0,LEFT(SP_ACQ_Lib[[#This Row],[Name]],LEN(SP_ACQ_Lib[[#This Row],[File Name Convention]]))&lt;&gt;SP_ACQ_Lib[[#This Row],[File Name Convention]],ISERROR(SEARCH(SP_ACQ_Lib[[#This Row],[ACQ Document Type]],SP_ACQ_Lib[[#This Row],[Name]]))),1,0)</f>
        <v>0</v>
      </c>
    </row>
    <row r="412" spans="1:25" ht="15" x14ac:dyDescent="0.2">
      <c r="A412" s="157" t="str">
        <f>CONCATENATE(SP_ACQ_Lib[[#This Row],[Acquisition Tract No.]],"_",SP_ACQ_Lib[[#This Row],[ACQ Document Type]])</f>
        <v>303_APPRAISAL Final Appraisal</v>
      </c>
      <c r="B412" s="14" t="s">
        <v>6321</v>
      </c>
      <c r="C412" s="45" t="s">
        <v>47</v>
      </c>
      <c r="D412" s="12" t="s">
        <v>644</v>
      </c>
      <c r="E412" s="8" t="s">
        <v>1131</v>
      </c>
      <c r="F412" s="8" t="s">
        <v>4755</v>
      </c>
      <c r="G412" s="8" t="s">
        <v>4754</v>
      </c>
      <c r="H412" s="7" t="s">
        <v>592</v>
      </c>
      <c r="I412" s="16">
        <v>43960</v>
      </c>
      <c r="J412" s="16"/>
      <c r="K412" s="17">
        <v>8384</v>
      </c>
      <c r="L412" s="3"/>
      <c r="M412" s="8" t="s">
        <v>4206</v>
      </c>
      <c r="N412" s="11">
        <v>44004.578773148147</v>
      </c>
      <c r="O412" s="8" t="s">
        <v>4206</v>
      </c>
      <c r="P412" s="11">
        <v>44004.577118055553</v>
      </c>
      <c r="Q412" s="13">
        <v>5457185</v>
      </c>
      <c r="R412" s="46" t="s">
        <v>594</v>
      </c>
      <c r="S412" s="14" t="s">
        <v>6390</v>
      </c>
      <c r="T412" s="163">
        <v>1255</v>
      </c>
      <c r="U412" s="164" t="str">
        <f>CONCATENATE(LEFT(SP_ACQ_Lib[[#This Row],[Tax Parcel ID]],7),"_",SP_ACQ_Lib[[#This Row],[ACQ Document Type]])</f>
        <v>R018587_APPRAISAL Final Appraisal</v>
      </c>
      <c r="V412" s="65" t="str">
        <f>INDEX(SP_AcqTract_DB[WCAD Tax Parcel ID],MATCH(SP_ACQ_Lib[[#This Row],[Acquisition Tract No.]],SP_AcqTract_DB[Acquisition Tract No.],0))</f>
        <v>R018587;#41</v>
      </c>
      <c r="W412" s="48" t="str">
        <f>INDEX(SP_TaxPar_DB[Acquisition Tract No.],MATCH(LEFT(SP_ACQ_Lib[[#This Row],[Tax Parcel ID]],7),SP_TaxPar_DB[Tax Parcel ID],0))</f>
        <v>303</v>
      </c>
      <c r="X412" s="238" t="str">
        <f>IF(OR(SP_ACQ_Lib[[#This Row],[Acquisition Tract No.]]="",SP_ACQ_Lib[[#This Row],[ACQ Document Type]]=""),0,CONCATENATE("COW-FRMP_TR-",SP_ACQ_Lib[[#This Row],[Acquisition Tract No.]]," ",SP_ACQ_Lib[[#This Row],[ACQ Document Type]]))</f>
        <v>COW-FRMP_TR-303 APPRAISAL Final Appraisal</v>
      </c>
      <c r="Y412" s="239">
        <f>IF(OR(SP_ACQ_Lib[[#This Row],[File Name Convention]]=0,LEFT(SP_ACQ_Lib[[#This Row],[Name]],LEN(SP_ACQ_Lib[[#This Row],[File Name Convention]]))&lt;&gt;SP_ACQ_Lib[[#This Row],[File Name Convention]],ISERROR(SEARCH(SP_ACQ_Lib[[#This Row],[ACQ Document Type]],SP_ACQ_Lib[[#This Row],[Name]]))),1,0)</f>
        <v>0</v>
      </c>
    </row>
    <row r="413" spans="1:25" ht="15" x14ac:dyDescent="0.2">
      <c r="A413" s="157" t="str">
        <f>CONCATENATE(SP_ACQ_Lib[[#This Row],[Acquisition Tract No.]],"_",SP_ACQ_Lib[[#This Row],[ACQ Document Type]])</f>
        <v>303_APPRAISAL Just Compensation Memo</v>
      </c>
      <c r="B413" s="14" t="s">
        <v>6322</v>
      </c>
      <c r="C413" s="45" t="s">
        <v>47</v>
      </c>
      <c r="D413" s="12" t="s">
        <v>644</v>
      </c>
      <c r="E413" s="8" t="s">
        <v>1131</v>
      </c>
      <c r="F413" s="8" t="s">
        <v>4757</v>
      </c>
      <c r="G413" s="8" t="s">
        <v>4756</v>
      </c>
      <c r="H413" s="7" t="s">
        <v>592</v>
      </c>
      <c r="I413" s="16">
        <v>44004</v>
      </c>
      <c r="J413" s="16">
        <v>44004</v>
      </c>
      <c r="K413" s="17">
        <v>8384</v>
      </c>
      <c r="L413" s="3"/>
      <c r="M413" s="8" t="s">
        <v>4206</v>
      </c>
      <c r="N413" s="11">
        <v>44006.409305555557</v>
      </c>
      <c r="O413" s="8" t="s">
        <v>4206</v>
      </c>
      <c r="P413" s="11">
        <v>44004.577118055553</v>
      </c>
      <c r="Q413" s="13">
        <v>22825</v>
      </c>
      <c r="R413" s="46" t="s">
        <v>594</v>
      </c>
      <c r="S413" s="14" t="s">
        <v>6391</v>
      </c>
      <c r="T413" s="163">
        <v>1256</v>
      </c>
      <c r="U413" s="164" t="str">
        <f>CONCATENATE(LEFT(SP_ACQ_Lib[[#This Row],[Tax Parcel ID]],7),"_",SP_ACQ_Lib[[#This Row],[ACQ Document Type]])</f>
        <v>R018587_APPRAISAL Just Compensation Memo</v>
      </c>
      <c r="V413" s="65" t="str">
        <f>INDEX(SP_AcqTract_DB[WCAD Tax Parcel ID],MATCH(SP_ACQ_Lib[[#This Row],[Acquisition Tract No.]],SP_AcqTract_DB[Acquisition Tract No.],0))</f>
        <v>R018587;#41</v>
      </c>
      <c r="W413" s="48" t="str">
        <f>INDEX(SP_TaxPar_DB[Acquisition Tract No.],MATCH(LEFT(SP_ACQ_Lib[[#This Row],[Tax Parcel ID]],7),SP_TaxPar_DB[Tax Parcel ID],0))</f>
        <v>303</v>
      </c>
      <c r="X413" s="238" t="str">
        <f>IF(OR(SP_ACQ_Lib[[#This Row],[Acquisition Tract No.]]="",SP_ACQ_Lib[[#This Row],[ACQ Document Type]]=""),0,CONCATENATE("COW-FRMP_TR-",SP_ACQ_Lib[[#This Row],[Acquisition Tract No.]]," ",SP_ACQ_Lib[[#This Row],[ACQ Document Type]]))</f>
        <v>COW-FRMP_TR-303 APPRAISAL Just Compensation Memo</v>
      </c>
      <c r="Y413" s="239">
        <f>IF(OR(SP_ACQ_Lib[[#This Row],[File Name Convention]]=0,LEFT(SP_ACQ_Lib[[#This Row],[Name]],LEN(SP_ACQ_Lib[[#This Row],[File Name Convention]]))&lt;&gt;SP_ACQ_Lib[[#This Row],[File Name Convention]],ISERROR(SEARCH(SP_ACQ_Lib[[#This Row],[ACQ Document Type]],SP_ACQ_Lib[[#This Row],[Name]]))),1,0)</f>
        <v>0</v>
      </c>
    </row>
    <row r="414" spans="1:25" ht="15" x14ac:dyDescent="0.2">
      <c r="A414" s="157" t="str">
        <f>CONCATENATE(SP_ACQ_Lib[[#This Row],[Acquisition Tract No.]],"_",SP_ACQ_Lib[[#This Row],[ACQ Document Type]])</f>
        <v>303_APPRAISAL USACOE Authorization to Proceed with Offer</v>
      </c>
      <c r="B414" s="14" t="s">
        <v>6323</v>
      </c>
      <c r="C414" s="45" t="s">
        <v>47</v>
      </c>
      <c r="D414" s="12" t="s">
        <v>644</v>
      </c>
      <c r="E414" s="8" t="s">
        <v>1131</v>
      </c>
      <c r="F414" s="8" t="s">
        <v>4959</v>
      </c>
      <c r="G414" s="8" t="s">
        <v>4958</v>
      </c>
      <c r="H414" s="7" t="s">
        <v>592</v>
      </c>
      <c r="I414" s="16">
        <v>44004</v>
      </c>
      <c r="J414" s="16">
        <v>44004</v>
      </c>
      <c r="K414" s="17">
        <v>8384</v>
      </c>
      <c r="L414" s="3"/>
      <c r="M414" s="8" t="s">
        <v>4206</v>
      </c>
      <c r="N414" s="11">
        <v>44006.409456018519</v>
      </c>
      <c r="O414" s="8" t="s">
        <v>4206</v>
      </c>
      <c r="P414" s="11">
        <v>44004.577118055553</v>
      </c>
      <c r="Q414" s="13">
        <v>418774</v>
      </c>
      <c r="R414" s="46" t="s">
        <v>594</v>
      </c>
      <c r="S414" s="14" t="s">
        <v>6392</v>
      </c>
      <c r="T414" s="163">
        <v>1257</v>
      </c>
      <c r="U414" s="164" t="str">
        <f>CONCATENATE(LEFT(SP_ACQ_Lib[[#This Row],[Tax Parcel ID]],7),"_",SP_ACQ_Lib[[#This Row],[ACQ Document Type]])</f>
        <v>R018587_APPRAISAL USACOE Authorization to Proceed with Offer</v>
      </c>
      <c r="V414" s="65" t="str">
        <f>INDEX(SP_AcqTract_DB[WCAD Tax Parcel ID],MATCH(SP_ACQ_Lib[[#This Row],[Acquisition Tract No.]],SP_AcqTract_DB[Acquisition Tract No.],0))</f>
        <v>R018587;#41</v>
      </c>
      <c r="W414" s="48" t="str">
        <f>INDEX(SP_TaxPar_DB[Acquisition Tract No.],MATCH(LEFT(SP_ACQ_Lib[[#This Row],[Tax Parcel ID]],7),SP_TaxPar_DB[Tax Parcel ID],0))</f>
        <v>303</v>
      </c>
      <c r="X414" s="238" t="str">
        <f>IF(OR(SP_ACQ_Lib[[#This Row],[Acquisition Tract No.]]="",SP_ACQ_Lib[[#This Row],[ACQ Document Type]]=""),0,CONCATENATE("COW-FRMP_TR-",SP_ACQ_Lib[[#This Row],[Acquisition Tract No.]]," ",SP_ACQ_Lib[[#This Row],[ACQ Document Type]]))</f>
        <v>COW-FRMP_TR-303 APPRAISAL USACOE Authorization to Proceed with Offer</v>
      </c>
      <c r="Y414" s="239">
        <f>IF(OR(SP_ACQ_Lib[[#This Row],[File Name Convention]]=0,LEFT(SP_ACQ_Lib[[#This Row],[Name]],LEN(SP_ACQ_Lib[[#This Row],[File Name Convention]]))&lt;&gt;SP_ACQ_Lib[[#This Row],[File Name Convention]],ISERROR(SEARCH(SP_ACQ_Lib[[#This Row],[ACQ Document Type]],SP_ACQ_Lib[[#This Row],[Name]]))),1,0)</f>
        <v>0</v>
      </c>
    </row>
    <row r="415" spans="1:25" ht="15" x14ac:dyDescent="0.2">
      <c r="A415" s="157" t="str">
        <f>CONCATENATE(SP_ACQ_Lib[[#This Row],[Acquisition Tract No.]],"_",SP_ACQ_Lib[[#This Row],[ACQ Document Type]])</f>
        <v>303_CONTACT Letter of Intent-HDR</v>
      </c>
      <c r="B415" s="14" t="s">
        <v>1524</v>
      </c>
      <c r="C415" s="45" t="s">
        <v>47</v>
      </c>
      <c r="D415" s="12" t="s">
        <v>644</v>
      </c>
      <c r="E415" s="8" t="s">
        <v>865</v>
      </c>
      <c r="F415" s="8" t="s">
        <v>1401</v>
      </c>
      <c r="G415" s="8" t="s">
        <v>1400</v>
      </c>
      <c r="H415" s="7" t="s">
        <v>592</v>
      </c>
      <c r="I415" s="16">
        <v>43765</v>
      </c>
      <c r="J415" s="16"/>
      <c r="K415" s="17"/>
      <c r="L415" s="3"/>
      <c r="M415" s="8" t="s">
        <v>23</v>
      </c>
      <c r="N415" s="11">
        <v>43770.449201388888</v>
      </c>
      <c r="O415" s="8" t="s">
        <v>1402</v>
      </c>
      <c r="P415" s="11">
        <v>43769.631932870368</v>
      </c>
      <c r="Q415" s="13">
        <v>347401</v>
      </c>
      <c r="R415" s="46" t="s">
        <v>594</v>
      </c>
      <c r="S415" s="14" t="s">
        <v>1643</v>
      </c>
      <c r="T415" s="163">
        <v>536</v>
      </c>
      <c r="U415" s="164" t="str">
        <f>CONCATENATE(LEFT(SP_ACQ_Lib[[#This Row],[Tax Parcel ID]],7),"_",SP_ACQ_Lib[[#This Row],[ACQ Document Type]])</f>
        <v>R018587_CONTACT Letter of Intent-HDR</v>
      </c>
      <c r="V415" s="65" t="str">
        <f>INDEX(SP_AcqTract_DB[WCAD Tax Parcel ID],MATCH(SP_ACQ_Lib[[#This Row],[Acquisition Tract No.]],SP_AcqTract_DB[Acquisition Tract No.],0))</f>
        <v>R018587;#41</v>
      </c>
      <c r="W415" s="48" t="str">
        <f>INDEX(SP_TaxPar_DB[Acquisition Tract No.],MATCH(LEFT(SP_ACQ_Lib[[#This Row],[Tax Parcel ID]],7),SP_TaxPar_DB[Tax Parcel ID],0))</f>
        <v>303</v>
      </c>
      <c r="X415" s="238" t="str">
        <f>IF(OR(SP_ACQ_Lib[[#This Row],[Acquisition Tract No.]]="",SP_ACQ_Lib[[#This Row],[ACQ Document Type]]=""),0,CONCATENATE("COW-FRMP_TR-",SP_ACQ_Lib[[#This Row],[Acquisition Tract No.]]," ",SP_ACQ_Lib[[#This Row],[ACQ Document Type]]))</f>
        <v>COW-FRMP_TR-303 CONTACT Letter of Intent-HDR</v>
      </c>
      <c r="Y415" s="239">
        <f>IF(OR(SP_ACQ_Lib[[#This Row],[File Name Convention]]=0,LEFT(SP_ACQ_Lib[[#This Row],[Name]],LEN(SP_ACQ_Lib[[#This Row],[File Name Convention]]))&lt;&gt;SP_ACQ_Lib[[#This Row],[File Name Convention]],ISERROR(SEARCH(SP_ACQ_Lib[[#This Row],[ACQ Document Type]],SP_ACQ_Lib[[#This Row],[Name]]))),1,0)</f>
        <v>0</v>
      </c>
    </row>
    <row r="416" spans="1:25" ht="15" x14ac:dyDescent="0.2">
      <c r="A416" s="157" t="str">
        <f>CONCATENATE(SP_ACQ_Lib[[#This Row],[Acquisition Tract No.]],"_",SP_ACQ_Lib[[#This Row],[ACQ Document Type]])</f>
        <v>303_CONTACT Negotiator Report</v>
      </c>
      <c r="B416" s="14" t="s">
        <v>3397</v>
      </c>
      <c r="C416" s="45" t="s">
        <v>47</v>
      </c>
      <c r="D416" s="12" t="s">
        <v>644</v>
      </c>
      <c r="E416" s="8" t="s">
        <v>865</v>
      </c>
      <c r="F416" s="8" t="s">
        <v>1068</v>
      </c>
      <c r="G416" s="8" t="s">
        <v>1067</v>
      </c>
      <c r="H416" s="7" t="s">
        <v>592</v>
      </c>
      <c r="I416" s="16"/>
      <c r="J416" s="16"/>
      <c r="K416" s="17"/>
      <c r="L416" s="3"/>
      <c r="M416" s="8" t="s">
        <v>1743</v>
      </c>
      <c r="N416" s="11">
        <v>43998.642060185186</v>
      </c>
      <c r="O416" s="8" t="s">
        <v>4207</v>
      </c>
      <c r="P416" s="11">
        <v>43728.565081018518</v>
      </c>
      <c r="Q416" s="13">
        <v>67984</v>
      </c>
      <c r="R416" s="46" t="s">
        <v>1069</v>
      </c>
      <c r="S416" s="14" t="s">
        <v>1099</v>
      </c>
      <c r="T416" s="163">
        <v>313</v>
      </c>
      <c r="U416" s="164" t="str">
        <f>CONCATENATE(LEFT(SP_ACQ_Lib[[#This Row],[Tax Parcel ID]],7),"_",SP_ACQ_Lib[[#This Row],[ACQ Document Type]])</f>
        <v>R018587_CONTACT Negotiator Report</v>
      </c>
      <c r="V416" s="65" t="str">
        <f>INDEX(SP_AcqTract_DB[WCAD Tax Parcel ID],MATCH(SP_ACQ_Lib[[#This Row],[Acquisition Tract No.]],SP_AcqTract_DB[Acquisition Tract No.],0))</f>
        <v>R018587;#41</v>
      </c>
      <c r="W416" s="48" t="str">
        <f>INDEX(SP_TaxPar_DB[Acquisition Tract No.],MATCH(LEFT(SP_ACQ_Lib[[#This Row],[Tax Parcel ID]],7),SP_TaxPar_DB[Tax Parcel ID],0))</f>
        <v>303</v>
      </c>
      <c r="X416" s="238" t="str">
        <f>IF(OR(SP_ACQ_Lib[[#This Row],[Acquisition Tract No.]]="",SP_ACQ_Lib[[#This Row],[ACQ Document Type]]=""),0,CONCATENATE("COW-FRMP_TR-",SP_ACQ_Lib[[#This Row],[Acquisition Tract No.]]," ",SP_ACQ_Lib[[#This Row],[ACQ Document Type]]))</f>
        <v>COW-FRMP_TR-303 CONTACT Negotiator Report</v>
      </c>
      <c r="Y416" s="239">
        <f>IF(OR(SP_ACQ_Lib[[#This Row],[File Name Convention]]=0,LEFT(SP_ACQ_Lib[[#This Row],[Name]],LEN(SP_ACQ_Lib[[#This Row],[File Name Convention]]))&lt;&gt;SP_ACQ_Lib[[#This Row],[File Name Convention]],ISERROR(SEARCH(SP_ACQ_Lib[[#This Row],[ACQ Document Type]],SP_ACQ_Lib[[#This Row],[Name]]))),1,0)</f>
        <v>0</v>
      </c>
    </row>
    <row r="417" spans="1:25" ht="15" x14ac:dyDescent="0.2">
      <c r="A417" s="157" t="str">
        <f>CONCATENATE(SP_ACQ_Lib[[#This Row],[Acquisition Tract No.]],"_",SP_ACQ_Lib[[#This Row],[ACQ Document Type]])</f>
        <v>303_NEGOTIATION Landowner Bill of Rights Letter</v>
      </c>
      <c r="B417" s="14" t="s">
        <v>3463</v>
      </c>
      <c r="C417" s="45" t="s">
        <v>47</v>
      </c>
      <c r="D417" s="12" t="s">
        <v>644</v>
      </c>
      <c r="E417" s="8" t="s">
        <v>1142</v>
      </c>
      <c r="F417" s="8" t="s">
        <v>1746</v>
      </c>
      <c r="G417" s="8" t="s">
        <v>1745</v>
      </c>
      <c r="H417" s="7" t="s">
        <v>592</v>
      </c>
      <c r="I417" s="16">
        <v>43748</v>
      </c>
      <c r="J417" s="16"/>
      <c r="K417" s="17"/>
      <c r="L417" s="3"/>
      <c r="M417" s="8" t="s">
        <v>4206</v>
      </c>
      <c r="N417" s="11">
        <v>43872.562835648147</v>
      </c>
      <c r="O417" s="8" t="s">
        <v>4325</v>
      </c>
      <c r="P417" s="11">
        <v>43752.503437500003</v>
      </c>
      <c r="Q417" s="13">
        <v>383349</v>
      </c>
      <c r="R417" s="46" t="s">
        <v>594</v>
      </c>
      <c r="S417" s="14" t="s">
        <v>1223</v>
      </c>
      <c r="T417" s="163">
        <v>442</v>
      </c>
      <c r="U417" s="164" t="str">
        <f>CONCATENATE(LEFT(SP_ACQ_Lib[[#This Row],[Tax Parcel ID]],7),"_",SP_ACQ_Lib[[#This Row],[ACQ Document Type]])</f>
        <v>R018587_NEGOTIATION Landowner Bill of Rights Letter</v>
      </c>
      <c r="V417" s="65" t="str">
        <f>INDEX(SP_AcqTract_DB[WCAD Tax Parcel ID],MATCH(SP_ACQ_Lib[[#This Row],[Acquisition Tract No.]],SP_AcqTract_DB[Acquisition Tract No.],0))</f>
        <v>R018587;#41</v>
      </c>
      <c r="W417" s="48" t="str">
        <f>INDEX(SP_TaxPar_DB[Acquisition Tract No.],MATCH(LEFT(SP_ACQ_Lib[[#This Row],[Tax Parcel ID]],7),SP_TaxPar_DB[Tax Parcel ID],0))</f>
        <v>303</v>
      </c>
      <c r="X417" s="238" t="str">
        <f>IF(OR(SP_ACQ_Lib[[#This Row],[Acquisition Tract No.]]="",SP_ACQ_Lib[[#This Row],[ACQ Document Type]]=""),0,CONCATENATE("COW-FRMP_TR-",SP_ACQ_Lib[[#This Row],[Acquisition Tract No.]]," ",SP_ACQ_Lib[[#This Row],[ACQ Document Type]]))</f>
        <v>COW-FRMP_TR-303 NEGOTIATION Landowner Bill of Rights Letter</v>
      </c>
      <c r="Y417" s="239">
        <f>IF(OR(SP_ACQ_Lib[[#This Row],[File Name Convention]]=0,LEFT(SP_ACQ_Lib[[#This Row],[Name]],LEN(SP_ACQ_Lib[[#This Row],[File Name Convention]]))&lt;&gt;SP_ACQ_Lib[[#This Row],[File Name Convention]],ISERROR(SEARCH(SP_ACQ_Lib[[#This Row],[ACQ Document Type]],SP_ACQ_Lib[[#This Row],[Name]]))),1,0)</f>
        <v>0</v>
      </c>
    </row>
    <row r="418" spans="1:25" ht="15" x14ac:dyDescent="0.2">
      <c r="A418" s="157" t="str">
        <f>CONCATENATE(SP_ACQ_Lib[[#This Row],[Acquisition Tract No.]],"_",SP_ACQ_Lib[[#This Row],[ACQ Document Type]])</f>
        <v>303_SURVEY Description-Plat_CITY</v>
      </c>
      <c r="B418" s="14" t="s">
        <v>4591</v>
      </c>
      <c r="C418" s="45" t="s">
        <v>47</v>
      </c>
      <c r="D418" s="12" t="s">
        <v>644</v>
      </c>
      <c r="E418" s="8" t="s">
        <v>858</v>
      </c>
      <c r="F418" s="8" t="s">
        <v>3503</v>
      </c>
      <c r="G418" s="8" t="s">
        <v>3502</v>
      </c>
      <c r="H418" s="7" t="s">
        <v>1749</v>
      </c>
      <c r="I418" s="16">
        <v>43859</v>
      </c>
      <c r="J418" s="16">
        <v>43913</v>
      </c>
      <c r="K418" s="17"/>
      <c r="L418" s="3"/>
      <c r="M418" s="8" t="s">
        <v>4206</v>
      </c>
      <c r="N418" s="11">
        <v>43937.589097222219</v>
      </c>
      <c r="O418" s="8" t="s">
        <v>4205</v>
      </c>
      <c r="P418" s="11">
        <v>43913.53702546296</v>
      </c>
      <c r="Q418" s="13">
        <v>255898</v>
      </c>
      <c r="R418" s="46" t="s">
        <v>594</v>
      </c>
      <c r="S418" s="14" t="s">
        <v>4623</v>
      </c>
      <c r="T418" s="163">
        <v>788</v>
      </c>
      <c r="U418" s="164" t="str">
        <f>CONCATENATE(LEFT(SP_ACQ_Lib[[#This Row],[Tax Parcel ID]],7),"_",SP_ACQ_Lib[[#This Row],[ACQ Document Type]])</f>
        <v>R018587_SURVEY Description-Plat_CITY</v>
      </c>
      <c r="V418" s="65" t="str">
        <f>INDEX(SP_AcqTract_DB[WCAD Tax Parcel ID],MATCH(SP_ACQ_Lib[[#This Row],[Acquisition Tract No.]],SP_AcqTract_DB[Acquisition Tract No.],0))</f>
        <v>R018587;#41</v>
      </c>
      <c r="W418" s="48" t="str">
        <f>INDEX(SP_TaxPar_DB[Acquisition Tract No.],MATCH(LEFT(SP_ACQ_Lib[[#This Row],[Tax Parcel ID]],7),SP_TaxPar_DB[Tax Parcel ID],0))</f>
        <v>303</v>
      </c>
      <c r="X418" s="238" t="str">
        <f>IF(OR(SP_ACQ_Lib[[#This Row],[Acquisition Tract No.]]="",SP_ACQ_Lib[[#This Row],[ACQ Document Type]]=""),0,CONCATENATE("COW-FRMP_TR-",SP_ACQ_Lib[[#This Row],[Acquisition Tract No.]]," ",SP_ACQ_Lib[[#This Row],[ACQ Document Type]]))</f>
        <v>COW-FRMP_TR-303 SURVEY Description-Plat_CITY</v>
      </c>
      <c r="Y418" s="239">
        <f>IF(OR(SP_ACQ_Lib[[#This Row],[File Name Convention]]=0,LEFT(SP_ACQ_Lib[[#This Row],[Name]],LEN(SP_ACQ_Lib[[#This Row],[File Name Convention]]))&lt;&gt;SP_ACQ_Lib[[#This Row],[File Name Convention]],ISERROR(SEARCH(SP_ACQ_Lib[[#This Row],[ACQ Document Type]],SP_ACQ_Lib[[#This Row],[Name]]))),1,0)</f>
        <v>0</v>
      </c>
    </row>
    <row r="419" spans="1:25" ht="15" x14ac:dyDescent="0.2">
      <c r="A419" s="157" t="str">
        <f>CONCATENATE(SP_ACQ_Lib[[#This Row],[Acquisition Tract No.]],"_",SP_ACQ_Lib[[#This Row],[ACQ Document Type]])</f>
        <v>303_SURVEY Description-Plat_USACOE</v>
      </c>
      <c r="B419" s="14" t="s">
        <v>4986</v>
      </c>
      <c r="C419" s="45" t="s">
        <v>47</v>
      </c>
      <c r="D419" s="12" t="s">
        <v>644</v>
      </c>
      <c r="E419" s="8" t="s">
        <v>858</v>
      </c>
      <c r="F419" s="8" t="s">
        <v>3510</v>
      </c>
      <c r="G419" s="8" t="s">
        <v>3509</v>
      </c>
      <c r="H419" s="7" t="s">
        <v>592</v>
      </c>
      <c r="I419" s="16">
        <v>43859</v>
      </c>
      <c r="J419" s="16">
        <v>43948</v>
      </c>
      <c r="K419" s="17"/>
      <c r="L419" s="3"/>
      <c r="M419" s="8" t="s">
        <v>4206</v>
      </c>
      <c r="N419" s="11">
        <v>43949.808761574073</v>
      </c>
      <c r="O419" s="8" t="s">
        <v>4206</v>
      </c>
      <c r="P419" s="11">
        <v>43949.791030092594</v>
      </c>
      <c r="Q419" s="13">
        <v>251655</v>
      </c>
      <c r="R419" s="46" t="s">
        <v>594</v>
      </c>
      <c r="S419" s="14" t="s">
        <v>5005</v>
      </c>
      <c r="T419" s="163">
        <v>845</v>
      </c>
      <c r="U419" s="164" t="str">
        <f>CONCATENATE(LEFT(SP_ACQ_Lib[[#This Row],[Tax Parcel ID]],7),"_",SP_ACQ_Lib[[#This Row],[ACQ Document Type]])</f>
        <v>R018587_SURVEY Description-Plat_USACOE</v>
      </c>
      <c r="V419" s="65" t="str">
        <f>INDEX(SP_AcqTract_DB[WCAD Tax Parcel ID],MATCH(SP_ACQ_Lib[[#This Row],[Acquisition Tract No.]],SP_AcqTract_DB[Acquisition Tract No.],0))</f>
        <v>R018587;#41</v>
      </c>
      <c r="W419" s="48" t="str">
        <f>INDEX(SP_TaxPar_DB[Acquisition Tract No.],MATCH(LEFT(SP_ACQ_Lib[[#This Row],[Tax Parcel ID]],7),SP_TaxPar_DB[Tax Parcel ID],0))</f>
        <v>303</v>
      </c>
      <c r="X419" s="238" t="str">
        <f>IF(OR(SP_ACQ_Lib[[#This Row],[Acquisition Tract No.]]="",SP_ACQ_Lib[[#This Row],[ACQ Document Type]]=""),0,CONCATENATE("COW-FRMP_TR-",SP_ACQ_Lib[[#This Row],[Acquisition Tract No.]]," ",SP_ACQ_Lib[[#This Row],[ACQ Document Type]]))</f>
        <v>COW-FRMP_TR-303 SURVEY Description-Plat_USACOE</v>
      </c>
      <c r="Y419" s="239">
        <f>IF(OR(SP_ACQ_Lib[[#This Row],[File Name Convention]]=0,LEFT(SP_ACQ_Lib[[#This Row],[Name]],LEN(SP_ACQ_Lib[[#This Row],[File Name Convention]]))&lt;&gt;SP_ACQ_Lib[[#This Row],[File Name Convention]],ISERROR(SEARCH(SP_ACQ_Lib[[#This Row],[ACQ Document Type]],SP_ACQ_Lib[[#This Row],[Name]]))),1,0)</f>
        <v>0</v>
      </c>
    </row>
    <row r="420" spans="1:25" ht="15" x14ac:dyDescent="0.2">
      <c r="A420" s="157" t="str">
        <f>CONCATENATE(SP_ACQ_Lib[[#This Row],[Acquisition Tract No.]],"_",SP_ACQ_Lib[[#This Row],[ACQ Document Type]])</f>
        <v>303_SURVEY Right-of-Entry CMRR</v>
      </c>
      <c r="B420" s="14" t="s">
        <v>4592</v>
      </c>
      <c r="C420" s="45" t="s">
        <v>47</v>
      </c>
      <c r="D420" s="12" t="s">
        <v>644</v>
      </c>
      <c r="E420" s="8" t="s">
        <v>858</v>
      </c>
      <c r="F420" s="8" t="s">
        <v>860</v>
      </c>
      <c r="G420" s="8" t="s">
        <v>598</v>
      </c>
      <c r="H420" s="7" t="s">
        <v>608</v>
      </c>
      <c r="I420" s="16">
        <v>43691</v>
      </c>
      <c r="J420" s="16">
        <v>43713</v>
      </c>
      <c r="K420" s="17"/>
      <c r="L420" s="3" t="s">
        <v>4560</v>
      </c>
      <c r="M420" s="8" t="s">
        <v>4206</v>
      </c>
      <c r="N420" s="11">
        <v>43923.477997685186</v>
      </c>
      <c r="O420" s="8" t="s">
        <v>4325</v>
      </c>
      <c r="P420" s="11">
        <v>43728.399236111109</v>
      </c>
      <c r="Q420" s="13">
        <v>414811</v>
      </c>
      <c r="R420" s="46" t="s">
        <v>594</v>
      </c>
      <c r="S420" s="14" t="s">
        <v>880</v>
      </c>
      <c r="T420" s="163">
        <v>250</v>
      </c>
      <c r="U420" s="164" t="str">
        <f>CONCATENATE(LEFT(SP_ACQ_Lib[[#This Row],[Tax Parcel ID]],7),"_",SP_ACQ_Lib[[#This Row],[ACQ Document Type]])</f>
        <v>R018587_SURVEY Right-of-Entry CMRR</v>
      </c>
      <c r="V420" s="65" t="str">
        <f>INDEX(SP_AcqTract_DB[WCAD Tax Parcel ID],MATCH(SP_ACQ_Lib[[#This Row],[Acquisition Tract No.]],SP_AcqTract_DB[Acquisition Tract No.],0))</f>
        <v>R018587;#41</v>
      </c>
      <c r="W420" s="48" t="str">
        <f>INDEX(SP_TaxPar_DB[Acquisition Tract No.],MATCH(LEFT(SP_ACQ_Lib[[#This Row],[Tax Parcel ID]],7),SP_TaxPar_DB[Tax Parcel ID],0))</f>
        <v>303</v>
      </c>
      <c r="X420" s="238" t="str">
        <f>IF(OR(SP_ACQ_Lib[[#This Row],[Acquisition Tract No.]]="",SP_ACQ_Lib[[#This Row],[ACQ Document Type]]=""),0,CONCATENATE("COW-FRMP_TR-",SP_ACQ_Lib[[#This Row],[Acquisition Tract No.]]," ",SP_ACQ_Lib[[#This Row],[ACQ Document Type]]))</f>
        <v>COW-FRMP_TR-303 SURVEY Right-of-Entry CMRR</v>
      </c>
      <c r="Y420" s="239">
        <f>IF(OR(SP_ACQ_Lib[[#This Row],[File Name Convention]]=0,LEFT(SP_ACQ_Lib[[#This Row],[Name]],LEN(SP_ACQ_Lib[[#This Row],[File Name Convention]]))&lt;&gt;SP_ACQ_Lib[[#This Row],[File Name Convention]],ISERROR(SEARCH(SP_ACQ_Lib[[#This Row],[ACQ Document Type]],SP_ACQ_Lib[[#This Row],[Name]]))),1,0)</f>
        <v>0</v>
      </c>
    </row>
    <row r="421" spans="1:25" ht="15" x14ac:dyDescent="0.2">
      <c r="A421" s="157" t="str">
        <f>CONCATENATE(SP_ACQ_Lib[[#This Row],[Acquisition Tract No.]],"_",SP_ACQ_Lib[[#This Row],[ACQ Document Type]])</f>
        <v>303_TITLE Commitment</v>
      </c>
      <c r="B421" s="14" t="s">
        <v>1525</v>
      </c>
      <c r="C421" s="45" t="s">
        <v>47</v>
      </c>
      <c r="D421" s="12" t="s">
        <v>644</v>
      </c>
      <c r="E421" s="8" t="s">
        <v>861</v>
      </c>
      <c r="F421" s="8" t="s">
        <v>862</v>
      </c>
      <c r="G421" s="8" t="s">
        <v>614</v>
      </c>
      <c r="H421" s="7" t="s">
        <v>592</v>
      </c>
      <c r="I421" s="16">
        <v>43952</v>
      </c>
      <c r="J421" s="16">
        <v>43963</v>
      </c>
      <c r="K421" s="17">
        <v>2313</v>
      </c>
      <c r="L421" s="3" t="s">
        <v>4564</v>
      </c>
      <c r="M421" s="8" t="s">
        <v>4325</v>
      </c>
      <c r="N421" s="11">
        <v>43963.615763888891</v>
      </c>
      <c r="O421" s="8" t="s">
        <v>4326</v>
      </c>
      <c r="P421" s="11">
        <v>43691.420266203706</v>
      </c>
      <c r="Q421" s="13">
        <v>2023300</v>
      </c>
      <c r="R421" s="46" t="s">
        <v>594</v>
      </c>
      <c r="S421" s="14" t="s">
        <v>783</v>
      </c>
      <c r="T421" s="163">
        <v>40</v>
      </c>
      <c r="U421" s="164" t="str">
        <f>CONCATENATE(LEFT(SP_ACQ_Lib[[#This Row],[Tax Parcel ID]],7),"_",SP_ACQ_Lib[[#This Row],[ACQ Document Type]])</f>
        <v>R018587_TITLE Commitment</v>
      </c>
      <c r="V421" s="65" t="str">
        <f>INDEX(SP_AcqTract_DB[WCAD Tax Parcel ID],MATCH(SP_ACQ_Lib[[#This Row],[Acquisition Tract No.]],SP_AcqTract_DB[Acquisition Tract No.],0))</f>
        <v>R018587;#41</v>
      </c>
      <c r="W421" s="48" t="str">
        <f>INDEX(SP_TaxPar_DB[Acquisition Tract No.],MATCH(LEFT(SP_ACQ_Lib[[#This Row],[Tax Parcel ID]],7),SP_TaxPar_DB[Tax Parcel ID],0))</f>
        <v>303</v>
      </c>
      <c r="X421" s="238" t="str">
        <f>IF(OR(SP_ACQ_Lib[[#This Row],[Acquisition Tract No.]]="",SP_ACQ_Lib[[#This Row],[ACQ Document Type]]=""),0,CONCATENATE("COW-FRMP_TR-",SP_ACQ_Lib[[#This Row],[Acquisition Tract No.]]," ",SP_ACQ_Lib[[#This Row],[ACQ Document Type]]))</f>
        <v>COW-FRMP_TR-303 TITLE Commitment</v>
      </c>
      <c r="Y421" s="239">
        <f>IF(OR(SP_ACQ_Lib[[#This Row],[File Name Convention]]=0,LEFT(SP_ACQ_Lib[[#This Row],[Name]],LEN(SP_ACQ_Lib[[#This Row],[File Name Convention]]))&lt;&gt;SP_ACQ_Lib[[#This Row],[File Name Convention]],ISERROR(SEARCH(SP_ACQ_Lib[[#This Row],[ACQ Document Type]],SP_ACQ_Lib[[#This Row],[Name]]))),1,0)</f>
        <v>0</v>
      </c>
    </row>
    <row r="422" spans="1:25" ht="15" x14ac:dyDescent="0.2">
      <c r="A422" s="157" t="str">
        <f>CONCATENATE(SP_ACQ_Lib[[#This Row],[Acquisition Tract No.]],"_",SP_ACQ_Lib[[#This Row],[ACQ Document Type]])</f>
        <v>303_TITLE Commitment Backup Docs</v>
      </c>
      <c r="B422" s="14" t="s">
        <v>1526</v>
      </c>
      <c r="C422" s="45" t="s">
        <v>47</v>
      </c>
      <c r="D422" s="12" t="s">
        <v>644</v>
      </c>
      <c r="E422" s="8" t="s">
        <v>861</v>
      </c>
      <c r="F422" s="8" t="s">
        <v>863</v>
      </c>
      <c r="G422" s="8" t="s">
        <v>616</v>
      </c>
      <c r="H422" s="7" t="s">
        <v>592</v>
      </c>
      <c r="I422" s="16"/>
      <c r="J422" s="16"/>
      <c r="K422" s="17"/>
      <c r="L422" s="3"/>
      <c r="M422" s="8" t="s">
        <v>4325</v>
      </c>
      <c r="N422" s="11">
        <v>43812.627835648149</v>
      </c>
      <c r="O422" s="8" t="s">
        <v>4326</v>
      </c>
      <c r="P422" s="11">
        <v>43691.420775462961</v>
      </c>
      <c r="Q422" s="13">
        <v>73103</v>
      </c>
      <c r="R422" s="46" t="s">
        <v>594</v>
      </c>
      <c r="S422" s="14" t="s">
        <v>784</v>
      </c>
      <c r="T422" s="163">
        <v>41</v>
      </c>
      <c r="U422" s="164" t="str">
        <f>CONCATENATE(LEFT(SP_ACQ_Lib[[#This Row],[Tax Parcel ID]],7),"_",SP_ACQ_Lib[[#This Row],[ACQ Document Type]])</f>
        <v>R018587_TITLE Commitment Backup Docs</v>
      </c>
      <c r="V422" s="65" t="str">
        <f>INDEX(SP_AcqTract_DB[WCAD Tax Parcel ID],MATCH(SP_ACQ_Lib[[#This Row],[Acquisition Tract No.]],SP_AcqTract_DB[Acquisition Tract No.],0))</f>
        <v>R018587;#41</v>
      </c>
      <c r="W422" s="48" t="str">
        <f>INDEX(SP_TaxPar_DB[Acquisition Tract No.],MATCH(LEFT(SP_ACQ_Lib[[#This Row],[Tax Parcel ID]],7),SP_TaxPar_DB[Tax Parcel ID],0))</f>
        <v>303</v>
      </c>
      <c r="X422" s="238" t="str">
        <f>IF(OR(SP_ACQ_Lib[[#This Row],[Acquisition Tract No.]]="",SP_ACQ_Lib[[#This Row],[ACQ Document Type]]=""),0,CONCATENATE("COW-FRMP_TR-",SP_ACQ_Lib[[#This Row],[Acquisition Tract No.]]," ",SP_ACQ_Lib[[#This Row],[ACQ Document Type]]))</f>
        <v>COW-FRMP_TR-303 TITLE Commitment Backup Docs</v>
      </c>
      <c r="Y422" s="239">
        <f>IF(OR(SP_ACQ_Lib[[#This Row],[File Name Convention]]=0,LEFT(SP_ACQ_Lib[[#This Row],[Name]],LEN(SP_ACQ_Lib[[#This Row],[File Name Convention]]))&lt;&gt;SP_ACQ_Lib[[#This Row],[File Name Convention]],ISERROR(SEARCH(SP_ACQ_Lib[[#This Row],[ACQ Document Type]],SP_ACQ_Lib[[#This Row],[Name]]))),1,0)</f>
        <v>0</v>
      </c>
    </row>
    <row r="423" spans="1:25" ht="15" x14ac:dyDescent="0.2">
      <c r="A423" s="157" t="str">
        <f>CONCATENATE(SP_ACQ_Lib[[#This Row],[Acquisition Tract No.]],"_",SP_ACQ_Lib[[#This Row],[ACQ Document Type]])</f>
        <v>303_TITLE Curative Plan</v>
      </c>
      <c r="B423" s="14" t="s">
        <v>1527</v>
      </c>
      <c r="C423" s="45" t="s">
        <v>47</v>
      </c>
      <c r="D423" s="12" t="s">
        <v>644</v>
      </c>
      <c r="E423" s="8" t="s">
        <v>861</v>
      </c>
      <c r="F423" s="8" t="s">
        <v>864</v>
      </c>
      <c r="G423" s="8" t="s">
        <v>617</v>
      </c>
      <c r="H423" s="7" t="s">
        <v>592</v>
      </c>
      <c r="I423" s="16">
        <v>43812</v>
      </c>
      <c r="J423" s="16"/>
      <c r="K423" s="17"/>
      <c r="L423" s="3"/>
      <c r="M423" s="8" t="s">
        <v>4325</v>
      </c>
      <c r="N423" s="11">
        <v>43963.61513888889</v>
      </c>
      <c r="O423" s="8" t="s">
        <v>4326</v>
      </c>
      <c r="P423" s="11">
        <v>43745.565740740742</v>
      </c>
      <c r="Q423" s="13">
        <v>36611</v>
      </c>
      <c r="R423" s="46" t="s">
        <v>594</v>
      </c>
      <c r="S423" s="14" t="s">
        <v>1224</v>
      </c>
      <c r="T423" s="163">
        <v>405</v>
      </c>
      <c r="U423" s="164" t="str">
        <f>CONCATENATE(LEFT(SP_ACQ_Lib[[#This Row],[Tax Parcel ID]],7),"_",SP_ACQ_Lib[[#This Row],[ACQ Document Type]])</f>
        <v>R018587_TITLE Curative Plan</v>
      </c>
      <c r="V423" s="65" t="str">
        <f>INDEX(SP_AcqTract_DB[WCAD Tax Parcel ID],MATCH(SP_ACQ_Lib[[#This Row],[Acquisition Tract No.]],SP_AcqTract_DB[Acquisition Tract No.],0))</f>
        <v>R018587;#41</v>
      </c>
      <c r="W423" s="48" t="str">
        <f>INDEX(SP_TaxPar_DB[Acquisition Tract No.],MATCH(LEFT(SP_ACQ_Lib[[#This Row],[Tax Parcel ID]],7),SP_TaxPar_DB[Tax Parcel ID],0))</f>
        <v>303</v>
      </c>
      <c r="X423" s="238" t="str">
        <f>IF(OR(SP_ACQ_Lib[[#This Row],[Acquisition Tract No.]]="",SP_ACQ_Lib[[#This Row],[ACQ Document Type]]=""),0,CONCATENATE("COW-FRMP_TR-",SP_ACQ_Lib[[#This Row],[Acquisition Tract No.]]," ",SP_ACQ_Lib[[#This Row],[ACQ Document Type]]))</f>
        <v>COW-FRMP_TR-303 TITLE Curative Plan</v>
      </c>
      <c r="Y423" s="239">
        <f>IF(OR(SP_ACQ_Lib[[#This Row],[File Name Convention]]=0,LEFT(SP_ACQ_Lib[[#This Row],[Name]],LEN(SP_ACQ_Lib[[#This Row],[File Name Convention]]))&lt;&gt;SP_ACQ_Lib[[#This Row],[File Name Convention]],ISERROR(SEARCH(SP_ACQ_Lib[[#This Row],[ACQ Document Type]],SP_ACQ_Lib[[#This Row],[Name]]))),1,0)</f>
        <v>0</v>
      </c>
    </row>
    <row r="424" spans="1:25" ht="15" x14ac:dyDescent="0.2">
      <c r="A424" s="157" t="str">
        <f>CONCATENATE(SP_ACQ_Lib[[#This Row],[Acquisition Tract No.]],"_",SP_ACQ_Lib[[#This Row],[ACQ Document Type]])</f>
        <v>303_TITLE Tax Card</v>
      </c>
      <c r="B424" s="14" t="s">
        <v>3464</v>
      </c>
      <c r="C424" s="45" t="s">
        <v>47</v>
      </c>
      <c r="D424" s="12" t="s">
        <v>644</v>
      </c>
      <c r="E424" s="8" t="s">
        <v>861</v>
      </c>
      <c r="F424" s="8" t="s">
        <v>1150</v>
      </c>
      <c r="G424" s="8" t="s">
        <v>1149</v>
      </c>
      <c r="H424" s="7" t="s">
        <v>592</v>
      </c>
      <c r="I424" s="16"/>
      <c r="J424" s="16"/>
      <c r="K424" s="17"/>
      <c r="L424" s="3"/>
      <c r="M424" s="8" t="s">
        <v>4206</v>
      </c>
      <c r="N424" s="11">
        <v>43874.593217592592</v>
      </c>
      <c r="O424" s="8" t="s">
        <v>1272</v>
      </c>
      <c r="P424" s="11">
        <v>43817.479826388888</v>
      </c>
      <c r="Q424" s="13">
        <v>442518</v>
      </c>
      <c r="R424" s="46" t="s">
        <v>594</v>
      </c>
      <c r="S424" s="14" t="s">
        <v>1788</v>
      </c>
      <c r="T424" s="163">
        <v>642</v>
      </c>
      <c r="U424" s="164" t="str">
        <f>CONCATENATE(LEFT(SP_ACQ_Lib[[#This Row],[Tax Parcel ID]],7),"_",SP_ACQ_Lib[[#This Row],[ACQ Document Type]])</f>
        <v>R018587_TITLE Tax Card</v>
      </c>
      <c r="V424" s="65" t="str">
        <f>INDEX(SP_AcqTract_DB[WCAD Tax Parcel ID],MATCH(SP_ACQ_Lib[[#This Row],[Acquisition Tract No.]],SP_AcqTract_DB[Acquisition Tract No.],0))</f>
        <v>R018587;#41</v>
      </c>
      <c r="W424" s="48" t="str">
        <f>INDEX(SP_TaxPar_DB[Acquisition Tract No.],MATCH(LEFT(SP_ACQ_Lib[[#This Row],[Tax Parcel ID]],7),SP_TaxPar_DB[Tax Parcel ID],0))</f>
        <v>303</v>
      </c>
      <c r="X424" s="238" t="str">
        <f>IF(OR(SP_ACQ_Lib[[#This Row],[Acquisition Tract No.]]="",SP_ACQ_Lib[[#This Row],[ACQ Document Type]]=""),0,CONCATENATE("COW-FRMP_TR-",SP_ACQ_Lib[[#This Row],[Acquisition Tract No.]]," ",SP_ACQ_Lib[[#This Row],[ACQ Document Type]]))</f>
        <v>COW-FRMP_TR-303 TITLE Tax Card</v>
      </c>
      <c r="Y424" s="239">
        <f>IF(OR(SP_ACQ_Lib[[#This Row],[File Name Convention]]=0,LEFT(SP_ACQ_Lib[[#This Row],[Name]],LEN(SP_ACQ_Lib[[#This Row],[File Name Convention]]))&lt;&gt;SP_ACQ_Lib[[#This Row],[File Name Convention]],ISERROR(SEARCH(SP_ACQ_Lib[[#This Row],[ACQ Document Type]],SP_ACQ_Lib[[#This Row],[Name]]))),1,0)</f>
        <v>0</v>
      </c>
    </row>
    <row r="425" spans="1:25" ht="15" x14ac:dyDescent="0.2">
      <c r="A425" s="157" t="str">
        <f>CONCATENATE(SP_ACQ_Lib[[#This Row],[Acquisition Tract No.]],"_",SP_ACQ_Lib[[#This Row],[ACQ Document Type]])</f>
        <v>304_APPRAISAL Final Appraisal</v>
      </c>
      <c r="B425" s="14" t="s">
        <v>6683</v>
      </c>
      <c r="C425" s="45" t="s">
        <v>48</v>
      </c>
      <c r="D425" s="12" t="s">
        <v>646</v>
      </c>
      <c r="E425" s="8" t="s">
        <v>1131</v>
      </c>
      <c r="F425" s="8" t="s">
        <v>4755</v>
      </c>
      <c r="G425" s="8" t="s">
        <v>4754</v>
      </c>
      <c r="H425" s="7" t="s">
        <v>592</v>
      </c>
      <c r="I425" s="16">
        <v>43960</v>
      </c>
      <c r="J425" s="16"/>
      <c r="K425" s="17">
        <v>331917</v>
      </c>
      <c r="L425" s="3"/>
      <c r="M425" s="8" t="s">
        <v>4206</v>
      </c>
      <c r="N425" s="11">
        <v>44021.645648148151</v>
      </c>
      <c r="O425" s="8" t="s">
        <v>4206</v>
      </c>
      <c r="P425" s="11">
        <v>44021.642511574071</v>
      </c>
      <c r="Q425" s="13">
        <v>5195168</v>
      </c>
      <c r="R425" s="46" t="s">
        <v>594</v>
      </c>
      <c r="S425" s="14" t="s">
        <v>6693</v>
      </c>
      <c r="T425" s="163">
        <v>1372</v>
      </c>
      <c r="U425" s="164" t="str">
        <f>CONCATENATE(LEFT(SP_ACQ_Lib[[#This Row],[Tax Parcel ID]],7),"_",SP_ACQ_Lib[[#This Row],[ACQ Document Type]])</f>
        <v>R018588_APPRAISAL Final Appraisal</v>
      </c>
      <c r="V425" s="65" t="str">
        <f>INDEX(SP_AcqTract_DB[WCAD Tax Parcel ID],MATCH(SP_ACQ_Lib[[#This Row],[Acquisition Tract No.]],SP_AcqTract_DB[Acquisition Tract No.],0))</f>
        <v>R018588;#42;#R018589;#43</v>
      </c>
      <c r="W425" s="48" t="str">
        <f>INDEX(SP_TaxPar_DB[Acquisition Tract No.],MATCH(LEFT(SP_ACQ_Lib[[#This Row],[Tax Parcel ID]],7),SP_TaxPar_DB[Tax Parcel ID],0))</f>
        <v>304</v>
      </c>
      <c r="X425" s="238" t="str">
        <f>IF(OR(SP_ACQ_Lib[[#This Row],[Acquisition Tract No.]]="",SP_ACQ_Lib[[#This Row],[ACQ Document Type]]=""),0,CONCATENATE("COW-FRMP_TR-",SP_ACQ_Lib[[#This Row],[Acquisition Tract No.]]," ",SP_ACQ_Lib[[#This Row],[ACQ Document Type]]))</f>
        <v>COW-FRMP_TR-304 APPRAISAL Final Appraisal</v>
      </c>
      <c r="Y425" s="239">
        <f>IF(OR(SP_ACQ_Lib[[#This Row],[File Name Convention]]=0,LEFT(SP_ACQ_Lib[[#This Row],[Name]],LEN(SP_ACQ_Lib[[#This Row],[File Name Convention]]))&lt;&gt;SP_ACQ_Lib[[#This Row],[File Name Convention]],ISERROR(SEARCH(SP_ACQ_Lib[[#This Row],[ACQ Document Type]],SP_ACQ_Lib[[#This Row],[Name]]))),1,0)</f>
        <v>0</v>
      </c>
    </row>
    <row r="426" spans="1:25" ht="15" x14ac:dyDescent="0.2">
      <c r="A426" s="157" t="str">
        <f>CONCATENATE(SP_ACQ_Lib[[#This Row],[Acquisition Tract No.]],"_",SP_ACQ_Lib[[#This Row],[ACQ Document Type]])</f>
        <v>304_APPRAISAL Just Compensation Memo</v>
      </c>
      <c r="B426" s="14" t="s">
        <v>6684</v>
      </c>
      <c r="C426" s="45" t="s">
        <v>48</v>
      </c>
      <c r="D426" s="12" t="s">
        <v>646</v>
      </c>
      <c r="E426" s="8" t="s">
        <v>1131</v>
      </c>
      <c r="F426" s="8" t="s">
        <v>4757</v>
      </c>
      <c r="G426" s="8" t="s">
        <v>4756</v>
      </c>
      <c r="H426" s="7" t="s">
        <v>592</v>
      </c>
      <c r="I426" s="16">
        <v>44021</v>
      </c>
      <c r="J426" s="16">
        <v>44025</v>
      </c>
      <c r="K426" s="17">
        <v>331917</v>
      </c>
      <c r="L426" s="3"/>
      <c r="M426" s="8" t="s">
        <v>4206</v>
      </c>
      <c r="N426" s="11">
        <v>44025.403090277781</v>
      </c>
      <c r="O426" s="8" t="s">
        <v>4206</v>
      </c>
      <c r="P426" s="11">
        <v>44021.642511574071</v>
      </c>
      <c r="Q426" s="13">
        <v>26305</v>
      </c>
      <c r="R426" s="46" t="s">
        <v>594</v>
      </c>
      <c r="S426" s="14" t="s">
        <v>6694</v>
      </c>
      <c r="T426" s="163">
        <v>1373</v>
      </c>
      <c r="U426" s="164" t="str">
        <f>CONCATENATE(LEFT(SP_ACQ_Lib[[#This Row],[Tax Parcel ID]],7),"_",SP_ACQ_Lib[[#This Row],[ACQ Document Type]])</f>
        <v>R018588_APPRAISAL Just Compensation Memo</v>
      </c>
      <c r="V426" s="65" t="str">
        <f>INDEX(SP_AcqTract_DB[WCAD Tax Parcel ID],MATCH(SP_ACQ_Lib[[#This Row],[Acquisition Tract No.]],SP_AcqTract_DB[Acquisition Tract No.],0))</f>
        <v>R018588;#42;#R018589;#43</v>
      </c>
      <c r="W426" s="48" t="str">
        <f>INDEX(SP_TaxPar_DB[Acquisition Tract No.],MATCH(LEFT(SP_ACQ_Lib[[#This Row],[Tax Parcel ID]],7),SP_TaxPar_DB[Tax Parcel ID],0))</f>
        <v>304</v>
      </c>
      <c r="X426" s="238" t="str">
        <f>IF(OR(SP_ACQ_Lib[[#This Row],[Acquisition Tract No.]]="",SP_ACQ_Lib[[#This Row],[ACQ Document Type]]=""),0,CONCATENATE("COW-FRMP_TR-",SP_ACQ_Lib[[#This Row],[Acquisition Tract No.]]," ",SP_ACQ_Lib[[#This Row],[ACQ Document Type]]))</f>
        <v>COW-FRMP_TR-304 APPRAISAL Just Compensation Memo</v>
      </c>
      <c r="Y426" s="239">
        <f>IF(OR(SP_ACQ_Lib[[#This Row],[File Name Convention]]=0,LEFT(SP_ACQ_Lib[[#This Row],[Name]],LEN(SP_ACQ_Lib[[#This Row],[File Name Convention]]))&lt;&gt;SP_ACQ_Lib[[#This Row],[File Name Convention]],ISERROR(SEARCH(SP_ACQ_Lib[[#This Row],[ACQ Document Type]],SP_ACQ_Lib[[#This Row],[Name]]))),1,0)</f>
        <v>0</v>
      </c>
    </row>
    <row r="427" spans="1:25" ht="15" x14ac:dyDescent="0.2">
      <c r="A427" s="157" t="str">
        <f>CONCATENATE(SP_ACQ_Lib[[#This Row],[Acquisition Tract No.]],"_",SP_ACQ_Lib[[#This Row],[ACQ Document Type]])</f>
        <v>304_APPRAISAL USACOE Authorization to Proceed with Offer</v>
      </c>
      <c r="B427" s="14" t="s">
        <v>6685</v>
      </c>
      <c r="C427" s="45" t="s">
        <v>48</v>
      </c>
      <c r="D427" s="12" t="s">
        <v>646</v>
      </c>
      <c r="E427" s="8" t="s">
        <v>1131</v>
      </c>
      <c r="F427" s="8" t="s">
        <v>4959</v>
      </c>
      <c r="G427" s="8" t="s">
        <v>4958</v>
      </c>
      <c r="H427" s="7" t="s">
        <v>592</v>
      </c>
      <c r="I427" s="16">
        <v>44021</v>
      </c>
      <c r="J427" s="16">
        <v>44025</v>
      </c>
      <c r="K427" s="17">
        <v>331917</v>
      </c>
      <c r="L427" s="3"/>
      <c r="M427" s="8" t="s">
        <v>4206</v>
      </c>
      <c r="N427" s="11">
        <v>44025.403252314813</v>
      </c>
      <c r="O427" s="8" t="s">
        <v>4206</v>
      </c>
      <c r="P427" s="11">
        <v>44021.642511574071</v>
      </c>
      <c r="Q427" s="13">
        <v>420613</v>
      </c>
      <c r="R427" s="46" t="s">
        <v>594</v>
      </c>
      <c r="S427" s="14" t="s">
        <v>6695</v>
      </c>
      <c r="T427" s="163">
        <v>1374</v>
      </c>
      <c r="U427" s="164" t="str">
        <f>CONCATENATE(LEFT(SP_ACQ_Lib[[#This Row],[Tax Parcel ID]],7),"_",SP_ACQ_Lib[[#This Row],[ACQ Document Type]])</f>
        <v>R018588_APPRAISAL USACOE Authorization to Proceed with Offer</v>
      </c>
      <c r="V427" s="65" t="str">
        <f>INDEX(SP_AcqTract_DB[WCAD Tax Parcel ID],MATCH(SP_ACQ_Lib[[#This Row],[Acquisition Tract No.]],SP_AcqTract_DB[Acquisition Tract No.],0))</f>
        <v>R018588;#42;#R018589;#43</v>
      </c>
      <c r="W427" s="48" t="str">
        <f>INDEX(SP_TaxPar_DB[Acquisition Tract No.],MATCH(LEFT(SP_ACQ_Lib[[#This Row],[Tax Parcel ID]],7),SP_TaxPar_DB[Tax Parcel ID],0))</f>
        <v>304</v>
      </c>
      <c r="X427" s="238" t="str">
        <f>IF(OR(SP_ACQ_Lib[[#This Row],[Acquisition Tract No.]]="",SP_ACQ_Lib[[#This Row],[ACQ Document Type]]=""),0,CONCATENATE("COW-FRMP_TR-",SP_ACQ_Lib[[#This Row],[Acquisition Tract No.]]," ",SP_ACQ_Lib[[#This Row],[ACQ Document Type]]))</f>
        <v>COW-FRMP_TR-304 APPRAISAL USACOE Authorization to Proceed with Offer</v>
      </c>
      <c r="Y427" s="239">
        <f>IF(OR(SP_ACQ_Lib[[#This Row],[File Name Convention]]=0,LEFT(SP_ACQ_Lib[[#This Row],[Name]],LEN(SP_ACQ_Lib[[#This Row],[File Name Convention]]))&lt;&gt;SP_ACQ_Lib[[#This Row],[File Name Convention]],ISERROR(SEARCH(SP_ACQ_Lib[[#This Row],[ACQ Document Type]],SP_ACQ_Lib[[#This Row],[Name]]))),1,0)</f>
        <v>0</v>
      </c>
    </row>
    <row r="428" spans="1:25" ht="15" x14ac:dyDescent="0.2">
      <c r="A428" s="157" t="str">
        <f>CONCATENATE(SP_ACQ_Lib[[#This Row],[Acquisition Tract No.]],"_",SP_ACQ_Lib[[#This Row],[ACQ Document Type]])</f>
        <v>304_CONTACT Initial Interview - Residential</v>
      </c>
      <c r="B428" s="14" t="s">
        <v>1528</v>
      </c>
      <c r="C428" s="45" t="s">
        <v>48</v>
      </c>
      <c r="D428" s="12" t="s">
        <v>646</v>
      </c>
      <c r="E428" s="8" t="s">
        <v>865</v>
      </c>
      <c r="F428" s="8" t="s">
        <v>866</v>
      </c>
      <c r="G428" s="8" t="s">
        <v>618</v>
      </c>
      <c r="H428" s="7" t="s">
        <v>592</v>
      </c>
      <c r="I428" s="16">
        <v>43685</v>
      </c>
      <c r="J428" s="16"/>
      <c r="K428" s="17"/>
      <c r="L428" s="3" t="s">
        <v>645</v>
      </c>
      <c r="M428" s="8" t="s">
        <v>23</v>
      </c>
      <c r="N428" s="11">
        <v>43770.458287037036</v>
      </c>
      <c r="O428" s="8" t="s">
        <v>4325</v>
      </c>
      <c r="P428" s="11">
        <v>43696.384120370371</v>
      </c>
      <c r="Q428" s="13">
        <v>177501</v>
      </c>
      <c r="R428" s="46" t="s">
        <v>594</v>
      </c>
      <c r="S428" s="14" t="s">
        <v>785</v>
      </c>
      <c r="T428" s="163">
        <v>92</v>
      </c>
      <c r="U428" s="164" t="str">
        <f>CONCATENATE(LEFT(SP_ACQ_Lib[[#This Row],[Tax Parcel ID]],7),"_",SP_ACQ_Lib[[#This Row],[ACQ Document Type]])</f>
        <v>R018588_CONTACT Initial Interview - Residential</v>
      </c>
      <c r="V428" s="65" t="str">
        <f>INDEX(SP_AcqTract_DB[WCAD Tax Parcel ID],MATCH(SP_ACQ_Lib[[#This Row],[Acquisition Tract No.]],SP_AcqTract_DB[Acquisition Tract No.],0))</f>
        <v>R018588;#42;#R018589;#43</v>
      </c>
      <c r="W428" s="48" t="str">
        <f>INDEX(SP_TaxPar_DB[Acquisition Tract No.],MATCH(LEFT(SP_ACQ_Lib[[#This Row],[Tax Parcel ID]],7),SP_TaxPar_DB[Tax Parcel ID],0))</f>
        <v>304</v>
      </c>
      <c r="X428" s="238" t="str">
        <f>IF(OR(SP_ACQ_Lib[[#This Row],[Acquisition Tract No.]]="",SP_ACQ_Lib[[#This Row],[ACQ Document Type]]=""),0,CONCATENATE("COW-FRMP_TR-",SP_ACQ_Lib[[#This Row],[Acquisition Tract No.]]," ",SP_ACQ_Lib[[#This Row],[ACQ Document Type]]))</f>
        <v>COW-FRMP_TR-304 CONTACT Initial Interview - Residential</v>
      </c>
      <c r="Y428" s="239">
        <f>IF(OR(SP_ACQ_Lib[[#This Row],[File Name Convention]]=0,LEFT(SP_ACQ_Lib[[#This Row],[Name]],LEN(SP_ACQ_Lib[[#This Row],[File Name Convention]]))&lt;&gt;SP_ACQ_Lib[[#This Row],[File Name Convention]],ISERROR(SEARCH(SP_ACQ_Lib[[#This Row],[ACQ Document Type]],SP_ACQ_Lib[[#This Row],[Name]]))),1,0)</f>
        <v>0</v>
      </c>
    </row>
    <row r="429" spans="1:25" ht="15" x14ac:dyDescent="0.2">
      <c r="A429" s="157" t="str">
        <f>CONCATENATE(SP_ACQ_Lib[[#This Row],[Acquisition Tract No.]],"_",SP_ACQ_Lib[[#This Row],[ACQ Document Type]])</f>
        <v>304_CONTACT Initial Interview - Residential</v>
      </c>
      <c r="B429" s="14" t="s">
        <v>1529</v>
      </c>
      <c r="C429" s="45" t="s">
        <v>48</v>
      </c>
      <c r="D429" s="12" t="s">
        <v>646</v>
      </c>
      <c r="E429" s="8" t="s">
        <v>865</v>
      </c>
      <c r="F429" s="8" t="s">
        <v>866</v>
      </c>
      <c r="G429" s="8" t="s">
        <v>618</v>
      </c>
      <c r="H429" s="7" t="s">
        <v>592</v>
      </c>
      <c r="I429" s="16">
        <v>43685</v>
      </c>
      <c r="J429" s="16"/>
      <c r="K429" s="17"/>
      <c r="L429" s="3" t="s">
        <v>647</v>
      </c>
      <c r="M429" s="8" t="s">
        <v>23</v>
      </c>
      <c r="N429" s="11">
        <v>43770.449201388888</v>
      </c>
      <c r="O429" s="8" t="s">
        <v>4325</v>
      </c>
      <c r="P429" s="11">
        <v>43696.398599537039</v>
      </c>
      <c r="Q429" s="13">
        <v>175671</v>
      </c>
      <c r="R429" s="46" t="s">
        <v>594</v>
      </c>
      <c r="S429" s="14" t="s">
        <v>786</v>
      </c>
      <c r="T429" s="163">
        <v>102</v>
      </c>
      <c r="U429" s="164" t="str">
        <f>CONCATENATE(LEFT(SP_ACQ_Lib[[#This Row],[Tax Parcel ID]],7),"_",SP_ACQ_Lib[[#This Row],[ACQ Document Type]])</f>
        <v>R018588_CONTACT Initial Interview - Residential</v>
      </c>
      <c r="V429" s="65" t="str">
        <f>INDEX(SP_AcqTract_DB[WCAD Tax Parcel ID],MATCH(SP_ACQ_Lib[[#This Row],[Acquisition Tract No.]],SP_AcqTract_DB[Acquisition Tract No.],0))</f>
        <v>R018588;#42;#R018589;#43</v>
      </c>
      <c r="W429" s="48" t="str">
        <f>INDEX(SP_TaxPar_DB[Acquisition Tract No.],MATCH(LEFT(SP_ACQ_Lib[[#This Row],[Tax Parcel ID]],7),SP_TaxPar_DB[Tax Parcel ID],0))</f>
        <v>304</v>
      </c>
      <c r="X429" s="238" t="str">
        <f>IF(OR(SP_ACQ_Lib[[#This Row],[Acquisition Tract No.]]="",SP_ACQ_Lib[[#This Row],[ACQ Document Type]]=""),0,CONCATENATE("COW-FRMP_TR-",SP_ACQ_Lib[[#This Row],[Acquisition Tract No.]]," ",SP_ACQ_Lib[[#This Row],[ACQ Document Type]]))</f>
        <v>COW-FRMP_TR-304 CONTACT Initial Interview - Residential</v>
      </c>
      <c r="Y429" s="239">
        <f>IF(OR(SP_ACQ_Lib[[#This Row],[File Name Convention]]=0,LEFT(SP_ACQ_Lib[[#This Row],[Name]],LEN(SP_ACQ_Lib[[#This Row],[File Name Convention]]))&lt;&gt;SP_ACQ_Lib[[#This Row],[File Name Convention]],ISERROR(SEARCH(SP_ACQ_Lib[[#This Row],[ACQ Document Type]],SP_ACQ_Lib[[#This Row],[Name]]))),1,0)</f>
        <v>0</v>
      </c>
    </row>
    <row r="430" spans="1:25" ht="15" x14ac:dyDescent="0.2">
      <c r="A430" s="157" t="str">
        <f>CONCATENATE(SP_ACQ_Lib[[#This Row],[Acquisition Tract No.]],"_",SP_ACQ_Lib[[#This Row],[ACQ Document Type]])</f>
        <v>304_CONTACT Letter of Intent-HDR</v>
      </c>
      <c r="B430" s="14" t="s">
        <v>1530</v>
      </c>
      <c r="C430" s="45" t="s">
        <v>48</v>
      </c>
      <c r="D430" s="12" t="s">
        <v>646</v>
      </c>
      <c r="E430" s="8" t="s">
        <v>865</v>
      </c>
      <c r="F430" s="8" t="s">
        <v>1401</v>
      </c>
      <c r="G430" s="8" t="s">
        <v>1400</v>
      </c>
      <c r="H430" s="7" t="s">
        <v>592</v>
      </c>
      <c r="I430" s="16">
        <v>43765</v>
      </c>
      <c r="J430" s="16"/>
      <c r="K430" s="17"/>
      <c r="L430" s="3"/>
      <c r="M430" s="8" t="s">
        <v>23</v>
      </c>
      <c r="N430" s="11">
        <v>43770.449201388888</v>
      </c>
      <c r="O430" s="8" t="s">
        <v>1402</v>
      </c>
      <c r="P430" s="11">
        <v>43769.636597222219</v>
      </c>
      <c r="Q430" s="13">
        <v>348834</v>
      </c>
      <c r="R430" s="46" t="s">
        <v>594</v>
      </c>
      <c r="S430" s="14" t="s">
        <v>1644</v>
      </c>
      <c r="T430" s="163">
        <v>541</v>
      </c>
      <c r="U430" s="164" t="str">
        <f>CONCATENATE(LEFT(SP_ACQ_Lib[[#This Row],[Tax Parcel ID]],7),"_",SP_ACQ_Lib[[#This Row],[ACQ Document Type]])</f>
        <v>R018588_CONTACT Letter of Intent-HDR</v>
      </c>
      <c r="V430" s="65" t="str">
        <f>INDEX(SP_AcqTract_DB[WCAD Tax Parcel ID],MATCH(SP_ACQ_Lib[[#This Row],[Acquisition Tract No.]],SP_AcqTract_DB[Acquisition Tract No.],0))</f>
        <v>R018588;#42;#R018589;#43</v>
      </c>
      <c r="W430" s="48" t="str">
        <f>INDEX(SP_TaxPar_DB[Acquisition Tract No.],MATCH(LEFT(SP_ACQ_Lib[[#This Row],[Tax Parcel ID]],7),SP_TaxPar_DB[Tax Parcel ID],0))</f>
        <v>304</v>
      </c>
      <c r="X430" s="238" t="str">
        <f>IF(OR(SP_ACQ_Lib[[#This Row],[Acquisition Tract No.]]="",SP_ACQ_Lib[[#This Row],[ACQ Document Type]]=""),0,CONCATENATE("COW-FRMP_TR-",SP_ACQ_Lib[[#This Row],[Acquisition Tract No.]]," ",SP_ACQ_Lib[[#This Row],[ACQ Document Type]]))</f>
        <v>COW-FRMP_TR-304 CONTACT Letter of Intent-HDR</v>
      </c>
      <c r="Y430" s="239">
        <f>IF(OR(SP_ACQ_Lib[[#This Row],[File Name Convention]]=0,LEFT(SP_ACQ_Lib[[#This Row],[Name]],LEN(SP_ACQ_Lib[[#This Row],[File Name Convention]]))&lt;&gt;SP_ACQ_Lib[[#This Row],[File Name Convention]],ISERROR(SEARCH(SP_ACQ_Lib[[#This Row],[ACQ Document Type]],SP_ACQ_Lib[[#This Row],[Name]]))),1,0)</f>
        <v>0</v>
      </c>
    </row>
    <row r="431" spans="1:25" ht="15" x14ac:dyDescent="0.2">
      <c r="A431" s="157" t="str">
        <f>CONCATENATE(SP_ACQ_Lib[[#This Row],[Acquisition Tract No.]],"_",SP_ACQ_Lib[[#This Row],[ACQ Document Type]])</f>
        <v>304_CONTACT Letter of Intent-HDR</v>
      </c>
      <c r="B431" s="14" t="s">
        <v>1531</v>
      </c>
      <c r="C431" s="45" t="s">
        <v>48</v>
      </c>
      <c r="D431" s="12" t="s">
        <v>646</v>
      </c>
      <c r="E431" s="8" t="s">
        <v>865</v>
      </c>
      <c r="F431" s="8" t="s">
        <v>1401</v>
      </c>
      <c r="G431" s="8" t="s">
        <v>1400</v>
      </c>
      <c r="H431" s="7" t="s">
        <v>592</v>
      </c>
      <c r="I431" s="16">
        <v>43765</v>
      </c>
      <c r="J431" s="16"/>
      <c r="K431" s="17"/>
      <c r="L431" s="3"/>
      <c r="M431" s="8" t="s">
        <v>23</v>
      </c>
      <c r="N431" s="11">
        <v>43770.449212962965</v>
      </c>
      <c r="O431" s="8" t="s">
        <v>1402</v>
      </c>
      <c r="P431" s="11">
        <v>43769.636597222219</v>
      </c>
      <c r="Q431" s="13">
        <v>349115</v>
      </c>
      <c r="R431" s="46" t="s">
        <v>594</v>
      </c>
      <c r="S431" s="14" t="s">
        <v>1645</v>
      </c>
      <c r="T431" s="163">
        <v>542</v>
      </c>
      <c r="U431" s="164" t="str">
        <f>CONCATENATE(LEFT(SP_ACQ_Lib[[#This Row],[Tax Parcel ID]],7),"_",SP_ACQ_Lib[[#This Row],[ACQ Document Type]])</f>
        <v>R018588_CONTACT Letter of Intent-HDR</v>
      </c>
      <c r="V431" s="65" t="str">
        <f>INDEX(SP_AcqTract_DB[WCAD Tax Parcel ID],MATCH(SP_ACQ_Lib[[#This Row],[Acquisition Tract No.]],SP_AcqTract_DB[Acquisition Tract No.],0))</f>
        <v>R018588;#42;#R018589;#43</v>
      </c>
      <c r="W431" s="48" t="str">
        <f>INDEX(SP_TaxPar_DB[Acquisition Tract No.],MATCH(LEFT(SP_ACQ_Lib[[#This Row],[Tax Parcel ID]],7),SP_TaxPar_DB[Tax Parcel ID],0))</f>
        <v>304</v>
      </c>
      <c r="X431" s="238" t="str">
        <f>IF(OR(SP_ACQ_Lib[[#This Row],[Acquisition Tract No.]]="",SP_ACQ_Lib[[#This Row],[ACQ Document Type]]=""),0,CONCATENATE("COW-FRMP_TR-",SP_ACQ_Lib[[#This Row],[Acquisition Tract No.]]," ",SP_ACQ_Lib[[#This Row],[ACQ Document Type]]))</f>
        <v>COW-FRMP_TR-304 CONTACT Letter of Intent-HDR</v>
      </c>
      <c r="Y431" s="239">
        <f>IF(OR(SP_ACQ_Lib[[#This Row],[File Name Convention]]=0,LEFT(SP_ACQ_Lib[[#This Row],[Name]],LEN(SP_ACQ_Lib[[#This Row],[File Name Convention]]))&lt;&gt;SP_ACQ_Lib[[#This Row],[File Name Convention]],ISERROR(SEARCH(SP_ACQ_Lib[[#This Row],[ACQ Document Type]],SP_ACQ_Lib[[#This Row],[Name]]))),1,0)</f>
        <v>0</v>
      </c>
    </row>
    <row r="432" spans="1:25" ht="15" x14ac:dyDescent="0.2">
      <c r="A432" s="157" t="str">
        <f>CONCATENATE(SP_ACQ_Lib[[#This Row],[Acquisition Tract No.]],"_",SP_ACQ_Lib[[#This Row],[ACQ Document Type]])</f>
        <v>304_CONTACT Letter of Intent-HDR</v>
      </c>
      <c r="B432" s="14" t="s">
        <v>1532</v>
      </c>
      <c r="C432" s="45" t="s">
        <v>48</v>
      </c>
      <c r="D432" s="12" t="s">
        <v>646</v>
      </c>
      <c r="E432" s="8" t="s">
        <v>865</v>
      </c>
      <c r="F432" s="8" t="s">
        <v>1401</v>
      </c>
      <c r="G432" s="8" t="s">
        <v>1400</v>
      </c>
      <c r="H432" s="7" t="s">
        <v>592</v>
      </c>
      <c r="I432" s="16">
        <v>43765</v>
      </c>
      <c r="J432" s="16"/>
      <c r="K432" s="17"/>
      <c r="L432" s="3"/>
      <c r="M432" s="8" t="s">
        <v>23</v>
      </c>
      <c r="N432" s="11">
        <v>43770.449212962965</v>
      </c>
      <c r="O432" s="8" t="s">
        <v>1402</v>
      </c>
      <c r="P432" s="11">
        <v>43769.636608796296</v>
      </c>
      <c r="Q432" s="13">
        <v>350371</v>
      </c>
      <c r="R432" s="46" t="s">
        <v>594</v>
      </c>
      <c r="S432" s="14" t="s">
        <v>1646</v>
      </c>
      <c r="T432" s="163">
        <v>543</v>
      </c>
      <c r="U432" s="164" t="str">
        <f>CONCATENATE(LEFT(SP_ACQ_Lib[[#This Row],[Tax Parcel ID]],7),"_",SP_ACQ_Lib[[#This Row],[ACQ Document Type]])</f>
        <v>R018588_CONTACT Letter of Intent-HDR</v>
      </c>
      <c r="V432" s="65" t="str">
        <f>INDEX(SP_AcqTract_DB[WCAD Tax Parcel ID],MATCH(SP_ACQ_Lib[[#This Row],[Acquisition Tract No.]],SP_AcqTract_DB[Acquisition Tract No.],0))</f>
        <v>R018588;#42;#R018589;#43</v>
      </c>
      <c r="W432" s="48" t="str">
        <f>INDEX(SP_TaxPar_DB[Acquisition Tract No.],MATCH(LEFT(SP_ACQ_Lib[[#This Row],[Tax Parcel ID]],7),SP_TaxPar_DB[Tax Parcel ID],0))</f>
        <v>304</v>
      </c>
      <c r="X432" s="238" t="str">
        <f>IF(OR(SP_ACQ_Lib[[#This Row],[Acquisition Tract No.]]="",SP_ACQ_Lib[[#This Row],[ACQ Document Type]]=""),0,CONCATENATE("COW-FRMP_TR-",SP_ACQ_Lib[[#This Row],[Acquisition Tract No.]]," ",SP_ACQ_Lib[[#This Row],[ACQ Document Type]]))</f>
        <v>COW-FRMP_TR-304 CONTACT Letter of Intent-HDR</v>
      </c>
      <c r="Y432" s="239">
        <f>IF(OR(SP_ACQ_Lib[[#This Row],[File Name Convention]]=0,LEFT(SP_ACQ_Lib[[#This Row],[Name]],LEN(SP_ACQ_Lib[[#This Row],[File Name Convention]]))&lt;&gt;SP_ACQ_Lib[[#This Row],[File Name Convention]],ISERROR(SEARCH(SP_ACQ_Lib[[#This Row],[ACQ Document Type]],SP_ACQ_Lib[[#This Row],[Name]]))),1,0)</f>
        <v>0</v>
      </c>
    </row>
    <row r="433" spans="1:25" ht="15" x14ac:dyDescent="0.2">
      <c r="A433" s="157" t="str">
        <f>CONCATENATE(SP_ACQ_Lib[[#This Row],[Acquisition Tract No.]],"_",SP_ACQ_Lib[[#This Row],[ACQ Document Type]])</f>
        <v>304_CONTACT Letter of Intent-HDR</v>
      </c>
      <c r="B433" s="14" t="s">
        <v>1533</v>
      </c>
      <c r="C433" s="45" t="s">
        <v>48</v>
      </c>
      <c r="D433" s="12" t="s">
        <v>646</v>
      </c>
      <c r="E433" s="8" t="s">
        <v>865</v>
      </c>
      <c r="F433" s="8" t="s">
        <v>1401</v>
      </c>
      <c r="G433" s="8" t="s">
        <v>1400</v>
      </c>
      <c r="H433" s="7" t="s">
        <v>592</v>
      </c>
      <c r="I433" s="16">
        <v>43765</v>
      </c>
      <c r="J433" s="16"/>
      <c r="K433" s="17"/>
      <c r="L433" s="3"/>
      <c r="M433" s="8" t="s">
        <v>23</v>
      </c>
      <c r="N433" s="11">
        <v>43770.449212962965</v>
      </c>
      <c r="O433" s="8" t="s">
        <v>1402</v>
      </c>
      <c r="P433" s="11">
        <v>43769.636608796296</v>
      </c>
      <c r="Q433" s="13">
        <v>351813</v>
      </c>
      <c r="R433" s="46" t="s">
        <v>594</v>
      </c>
      <c r="S433" s="14" t="s">
        <v>1647</v>
      </c>
      <c r="T433" s="163">
        <v>544</v>
      </c>
      <c r="U433" s="164" t="str">
        <f>CONCATENATE(LEFT(SP_ACQ_Lib[[#This Row],[Tax Parcel ID]],7),"_",SP_ACQ_Lib[[#This Row],[ACQ Document Type]])</f>
        <v>R018588_CONTACT Letter of Intent-HDR</v>
      </c>
      <c r="V433" s="65" t="str">
        <f>INDEX(SP_AcqTract_DB[WCAD Tax Parcel ID],MATCH(SP_ACQ_Lib[[#This Row],[Acquisition Tract No.]],SP_AcqTract_DB[Acquisition Tract No.],0))</f>
        <v>R018588;#42;#R018589;#43</v>
      </c>
      <c r="W433" s="48" t="str">
        <f>INDEX(SP_TaxPar_DB[Acquisition Tract No.],MATCH(LEFT(SP_ACQ_Lib[[#This Row],[Tax Parcel ID]],7),SP_TaxPar_DB[Tax Parcel ID],0))</f>
        <v>304</v>
      </c>
      <c r="X433" s="238" t="str">
        <f>IF(OR(SP_ACQ_Lib[[#This Row],[Acquisition Tract No.]]="",SP_ACQ_Lib[[#This Row],[ACQ Document Type]]=""),0,CONCATENATE("COW-FRMP_TR-",SP_ACQ_Lib[[#This Row],[Acquisition Tract No.]]," ",SP_ACQ_Lib[[#This Row],[ACQ Document Type]]))</f>
        <v>COW-FRMP_TR-304 CONTACT Letter of Intent-HDR</v>
      </c>
      <c r="Y433" s="239">
        <f>IF(OR(SP_ACQ_Lib[[#This Row],[File Name Convention]]=0,LEFT(SP_ACQ_Lib[[#This Row],[Name]],LEN(SP_ACQ_Lib[[#This Row],[File Name Convention]]))&lt;&gt;SP_ACQ_Lib[[#This Row],[File Name Convention]],ISERROR(SEARCH(SP_ACQ_Lib[[#This Row],[ACQ Document Type]],SP_ACQ_Lib[[#This Row],[Name]]))),1,0)</f>
        <v>0</v>
      </c>
    </row>
    <row r="434" spans="1:25" ht="15" x14ac:dyDescent="0.2">
      <c r="A434" s="157" t="str">
        <f>CONCATENATE(SP_ACQ_Lib[[#This Row],[Acquisition Tract No.]],"_",SP_ACQ_Lib[[#This Row],[ACQ Document Type]])</f>
        <v>304_CONTACT Negotiator Report</v>
      </c>
      <c r="B434" s="14" t="s">
        <v>3398</v>
      </c>
      <c r="C434" s="45" t="s">
        <v>48</v>
      </c>
      <c r="D434" s="12" t="s">
        <v>646</v>
      </c>
      <c r="E434" s="8" t="s">
        <v>865</v>
      </c>
      <c r="F434" s="8" t="s">
        <v>1068</v>
      </c>
      <c r="G434" s="8" t="s">
        <v>1067</v>
      </c>
      <c r="H434" s="7" t="s">
        <v>592</v>
      </c>
      <c r="I434" s="16"/>
      <c r="J434" s="16"/>
      <c r="K434" s="17"/>
      <c r="L434" s="3"/>
      <c r="M434" s="8" t="s">
        <v>1743</v>
      </c>
      <c r="N434" s="11">
        <v>44007.664409722223</v>
      </c>
      <c r="O434" s="8" t="s">
        <v>4325</v>
      </c>
      <c r="P434" s="11">
        <v>43732.593240740738</v>
      </c>
      <c r="Q434" s="13">
        <v>56702</v>
      </c>
      <c r="R434" s="46" t="s">
        <v>1069</v>
      </c>
      <c r="S434" s="14" t="s">
        <v>1100</v>
      </c>
      <c r="T434" s="163">
        <v>315</v>
      </c>
      <c r="U434" s="164" t="str">
        <f>CONCATENATE(LEFT(SP_ACQ_Lib[[#This Row],[Tax Parcel ID]],7),"_",SP_ACQ_Lib[[#This Row],[ACQ Document Type]])</f>
        <v>R018588_CONTACT Negotiator Report</v>
      </c>
      <c r="V434" s="65" t="str">
        <f>INDEX(SP_AcqTract_DB[WCAD Tax Parcel ID],MATCH(SP_ACQ_Lib[[#This Row],[Acquisition Tract No.]],SP_AcqTract_DB[Acquisition Tract No.],0))</f>
        <v>R018588;#42;#R018589;#43</v>
      </c>
      <c r="W434" s="48" t="str">
        <f>INDEX(SP_TaxPar_DB[Acquisition Tract No.],MATCH(LEFT(SP_ACQ_Lib[[#This Row],[Tax Parcel ID]],7),SP_TaxPar_DB[Tax Parcel ID],0))</f>
        <v>304</v>
      </c>
      <c r="X434" s="238" t="str">
        <f>IF(OR(SP_ACQ_Lib[[#This Row],[Acquisition Tract No.]]="",SP_ACQ_Lib[[#This Row],[ACQ Document Type]]=""),0,CONCATENATE("COW-FRMP_TR-",SP_ACQ_Lib[[#This Row],[Acquisition Tract No.]]," ",SP_ACQ_Lib[[#This Row],[ACQ Document Type]]))</f>
        <v>COW-FRMP_TR-304 CONTACT Negotiator Report</v>
      </c>
      <c r="Y434" s="239">
        <f>IF(OR(SP_ACQ_Lib[[#This Row],[File Name Convention]]=0,LEFT(SP_ACQ_Lib[[#This Row],[Name]],LEN(SP_ACQ_Lib[[#This Row],[File Name Convention]]))&lt;&gt;SP_ACQ_Lib[[#This Row],[File Name Convention]],ISERROR(SEARCH(SP_ACQ_Lib[[#This Row],[ACQ Document Type]],SP_ACQ_Lib[[#This Row],[Name]]))),1,0)</f>
        <v>0</v>
      </c>
    </row>
    <row r="435" spans="1:25" ht="15" x14ac:dyDescent="0.2">
      <c r="A435" s="157" t="str">
        <f>CONCATENATE(SP_ACQ_Lib[[#This Row],[Acquisition Tract No.]],"_",SP_ACQ_Lib[[#This Row],[ACQ Document Type]])</f>
        <v>304_NEGOTIATION Landowner Bill of Rights Letter</v>
      </c>
      <c r="B435" s="14" t="s">
        <v>3465</v>
      </c>
      <c r="C435" s="45" t="s">
        <v>48</v>
      </c>
      <c r="D435" s="12" t="s">
        <v>646</v>
      </c>
      <c r="E435" s="8" t="s">
        <v>1142</v>
      </c>
      <c r="F435" s="8" t="s">
        <v>1746</v>
      </c>
      <c r="G435" s="8" t="s">
        <v>1745</v>
      </c>
      <c r="H435" s="7" t="s">
        <v>592</v>
      </c>
      <c r="I435" s="16">
        <v>43748</v>
      </c>
      <c r="J435" s="16"/>
      <c r="K435" s="17"/>
      <c r="L435" s="3"/>
      <c r="M435" s="8" t="s">
        <v>4206</v>
      </c>
      <c r="N435" s="11">
        <v>43872.563009259262</v>
      </c>
      <c r="O435" s="8" t="s">
        <v>4325</v>
      </c>
      <c r="P435" s="11">
        <v>43752.505023148151</v>
      </c>
      <c r="Q435" s="13">
        <v>350600</v>
      </c>
      <c r="R435" s="46" t="s">
        <v>594</v>
      </c>
      <c r="S435" s="14" t="s">
        <v>1225</v>
      </c>
      <c r="T435" s="163">
        <v>443</v>
      </c>
      <c r="U435" s="164" t="str">
        <f>CONCATENATE(LEFT(SP_ACQ_Lib[[#This Row],[Tax Parcel ID]],7),"_",SP_ACQ_Lib[[#This Row],[ACQ Document Type]])</f>
        <v>R018588_NEGOTIATION Landowner Bill of Rights Letter</v>
      </c>
      <c r="V435" s="65" t="str">
        <f>INDEX(SP_AcqTract_DB[WCAD Tax Parcel ID],MATCH(SP_ACQ_Lib[[#This Row],[Acquisition Tract No.]],SP_AcqTract_DB[Acquisition Tract No.],0))</f>
        <v>R018588;#42;#R018589;#43</v>
      </c>
      <c r="W435" s="48" t="str">
        <f>INDEX(SP_TaxPar_DB[Acquisition Tract No.],MATCH(LEFT(SP_ACQ_Lib[[#This Row],[Tax Parcel ID]],7),SP_TaxPar_DB[Tax Parcel ID],0))</f>
        <v>304</v>
      </c>
      <c r="X435" s="238" t="str">
        <f>IF(OR(SP_ACQ_Lib[[#This Row],[Acquisition Tract No.]]="",SP_ACQ_Lib[[#This Row],[ACQ Document Type]]=""),0,CONCATENATE("COW-FRMP_TR-",SP_ACQ_Lib[[#This Row],[Acquisition Tract No.]]," ",SP_ACQ_Lib[[#This Row],[ACQ Document Type]]))</f>
        <v>COW-FRMP_TR-304 NEGOTIATION Landowner Bill of Rights Letter</v>
      </c>
      <c r="Y435" s="239">
        <f>IF(OR(SP_ACQ_Lib[[#This Row],[File Name Convention]]=0,LEFT(SP_ACQ_Lib[[#This Row],[Name]],LEN(SP_ACQ_Lib[[#This Row],[File Name Convention]]))&lt;&gt;SP_ACQ_Lib[[#This Row],[File Name Convention]],ISERROR(SEARCH(SP_ACQ_Lib[[#This Row],[ACQ Document Type]],SP_ACQ_Lib[[#This Row],[Name]]))),1,0)</f>
        <v>0</v>
      </c>
    </row>
    <row r="436" spans="1:25" ht="15" x14ac:dyDescent="0.2">
      <c r="A436" s="157" t="str">
        <f>CONCATENATE(SP_ACQ_Lib[[#This Row],[Acquisition Tract No.]],"_",SP_ACQ_Lib[[#This Row],[ACQ Document Type]])</f>
        <v>304_SURVEY Description-Plat_CITY</v>
      </c>
      <c r="B436" s="14" t="s">
        <v>5053</v>
      </c>
      <c r="C436" s="45" t="s">
        <v>48</v>
      </c>
      <c r="D436" s="12" t="s">
        <v>646</v>
      </c>
      <c r="E436" s="8" t="s">
        <v>858</v>
      </c>
      <c r="F436" s="8" t="s">
        <v>3503</v>
      </c>
      <c r="G436" s="8" t="s">
        <v>3502</v>
      </c>
      <c r="H436" s="7" t="s">
        <v>592</v>
      </c>
      <c r="I436" s="16">
        <v>43937</v>
      </c>
      <c r="J436" s="16">
        <v>43958</v>
      </c>
      <c r="K436" s="17"/>
      <c r="L436" s="3"/>
      <c r="M436" s="8" t="s">
        <v>4206</v>
      </c>
      <c r="N436" s="11">
        <v>43958.447222222225</v>
      </c>
      <c r="O436" s="8" t="s">
        <v>4206</v>
      </c>
      <c r="P436" s="11">
        <v>43958.446053240739</v>
      </c>
      <c r="Q436" s="13">
        <v>347047</v>
      </c>
      <c r="R436" s="46" t="s">
        <v>594</v>
      </c>
      <c r="S436" s="14" t="s">
        <v>5059</v>
      </c>
      <c r="T436" s="163">
        <v>867</v>
      </c>
      <c r="U436" s="164" t="str">
        <f>CONCATENATE(LEFT(SP_ACQ_Lib[[#This Row],[Tax Parcel ID]],7),"_",SP_ACQ_Lib[[#This Row],[ACQ Document Type]])</f>
        <v>R018588_SURVEY Description-Plat_CITY</v>
      </c>
      <c r="V436" s="65" t="str">
        <f>INDEX(SP_AcqTract_DB[WCAD Tax Parcel ID],MATCH(SP_ACQ_Lib[[#This Row],[Acquisition Tract No.]],SP_AcqTract_DB[Acquisition Tract No.],0))</f>
        <v>R018588;#42;#R018589;#43</v>
      </c>
      <c r="W436" s="48" t="str">
        <f>INDEX(SP_TaxPar_DB[Acquisition Tract No.],MATCH(LEFT(SP_ACQ_Lib[[#This Row],[Tax Parcel ID]],7),SP_TaxPar_DB[Tax Parcel ID],0))</f>
        <v>304</v>
      </c>
      <c r="X436" s="238" t="str">
        <f>IF(OR(SP_ACQ_Lib[[#This Row],[Acquisition Tract No.]]="",SP_ACQ_Lib[[#This Row],[ACQ Document Type]]=""),0,CONCATENATE("COW-FRMP_TR-",SP_ACQ_Lib[[#This Row],[Acquisition Tract No.]]," ",SP_ACQ_Lib[[#This Row],[ACQ Document Type]]))</f>
        <v>COW-FRMP_TR-304 SURVEY Description-Plat_CITY</v>
      </c>
      <c r="Y436" s="239">
        <f>IF(OR(SP_ACQ_Lib[[#This Row],[File Name Convention]]=0,LEFT(SP_ACQ_Lib[[#This Row],[Name]],LEN(SP_ACQ_Lib[[#This Row],[File Name Convention]]))&lt;&gt;SP_ACQ_Lib[[#This Row],[File Name Convention]],ISERROR(SEARCH(SP_ACQ_Lib[[#This Row],[ACQ Document Type]],SP_ACQ_Lib[[#This Row],[Name]]))),1,0)</f>
        <v>0</v>
      </c>
    </row>
    <row r="437" spans="1:25" ht="15" x14ac:dyDescent="0.2">
      <c r="A437" s="157" t="str">
        <f>CONCATENATE(SP_ACQ_Lib[[#This Row],[Acquisition Tract No.]],"_",SP_ACQ_Lib[[#This Row],[ACQ Document Type]])</f>
        <v>304_SURVEY Description-Plat_USACOE</v>
      </c>
      <c r="B437" s="14" t="s">
        <v>5900</v>
      </c>
      <c r="C437" s="45" t="s">
        <v>48</v>
      </c>
      <c r="D437" s="12" t="s">
        <v>646</v>
      </c>
      <c r="E437" s="8" t="s">
        <v>858</v>
      </c>
      <c r="F437" s="8" t="s">
        <v>3510</v>
      </c>
      <c r="G437" s="8" t="s">
        <v>3509</v>
      </c>
      <c r="H437" s="7" t="s">
        <v>592</v>
      </c>
      <c r="I437" s="16">
        <v>43937</v>
      </c>
      <c r="J437" s="16">
        <v>43990</v>
      </c>
      <c r="K437" s="17"/>
      <c r="L437" s="3"/>
      <c r="M437" s="8" t="s">
        <v>4206</v>
      </c>
      <c r="N437" s="11">
        <v>43991.435486111113</v>
      </c>
      <c r="O437" s="8" t="s">
        <v>4206</v>
      </c>
      <c r="P437" s="11">
        <v>43991.433912037035</v>
      </c>
      <c r="Q437" s="13">
        <v>825480</v>
      </c>
      <c r="R437" s="46" t="s">
        <v>594</v>
      </c>
      <c r="S437" s="14" t="s">
        <v>5906</v>
      </c>
      <c r="T437" s="163">
        <v>1172</v>
      </c>
      <c r="U437" s="164" t="str">
        <f>CONCATENATE(LEFT(SP_ACQ_Lib[[#This Row],[Tax Parcel ID]],7),"_",SP_ACQ_Lib[[#This Row],[ACQ Document Type]])</f>
        <v>R018588_SURVEY Description-Plat_USACOE</v>
      </c>
      <c r="V437" s="65" t="str">
        <f>INDEX(SP_AcqTract_DB[WCAD Tax Parcel ID],MATCH(SP_ACQ_Lib[[#This Row],[Acquisition Tract No.]],SP_AcqTract_DB[Acquisition Tract No.],0))</f>
        <v>R018588;#42;#R018589;#43</v>
      </c>
      <c r="W437" s="48" t="str">
        <f>INDEX(SP_TaxPar_DB[Acquisition Tract No.],MATCH(LEFT(SP_ACQ_Lib[[#This Row],[Tax Parcel ID]],7),SP_TaxPar_DB[Tax Parcel ID],0))</f>
        <v>304</v>
      </c>
      <c r="X437" s="238" t="str">
        <f>IF(OR(SP_ACQ_Lib[[#This Row],[Acquisition Tract No.]]="",SP_ACQ_Lib[[#This Row],[ACQ Document Type]]=""),0,CONCATENATE("COW-FRMP_TR-",SP_ACQ_Lib[[#This Row],[Acquisition Tract No.]]," ",SP_ACQ_Lib[[#This Row],[ACQ Document Type]]))</f>
        <v>COW-FRMP_TR-304 SURVEY Description-Plat_USACOE</v>
      </c>
      <c r="Y437" s="239">
        <f>IF(OR(SP_ACQ_Lib[[#This Row],[File Name Convention]]=0,LEFT(SP_ACQ_Lib[[#This Row],[Name]],LEN(SP_ACQ_Lib[[#This Row],[File Name Convention]]))&lt;&gt;SP_ACQ_Lib[[#This Row],[File Name Convention]],ISERROR(SEARCH(SP_ACQ_Lib[[#This Row],[ACQ Document Type]],SP_ACQ_Lib[[#This Row],[Name]]))),1,0)</f>
        <v>0</v>
      </c>
    </row>
    <row r="438" spans="1:25" ht="15" x14ac:dyDescent="0.2">
      <c r="A438" s="157" t="str">
        <f>CONCATENATE(SP_ACQ_Lib[[#This Row],[Acquisition Tract No.]],"_",SP_ACQ_Lib[[#This Row],[ACQ Document Type]])</f>
        <v>304_SURVEY Right-of-Entry</v>
      </c>
      <c r="B438" s="14" t="s">
        <v>4471</v>
      </c>
      <c r="C438" s="45" t="s">
        <v>48</v>
      </c>
      <c r="D438" s="12" t="s">
        <v>646</v>
      </c>
      <c r="E438" s="8" t="s">
        <v>858</v>
      </c>
      <c r="F438" s="8" t="s">
        <v>859</v>
      </c>
      <c r="G438" s="8" t="s">
        <v>591</v>
      </c>
      <c r="H438" s="7" t="s">
        <v>592</v>
      </c>
      <c r="I438" s="16">
        <v>43689</v>
      </c>
      <c r="J438" s="16"/>
      <c r="K438" s="17"/>
      <c r="L438" s="3" t="s">
        <v>4444</v>
      </c>
      <c r="M438" s="8" t="s">
        <v>4206</v>
      </c>
      <c r="N438" s="11">
        <v>43893.648611111108</v>
      </c>
      <c r="O438" s="8" t="s">
        <v>4206</v>
      </c>
      <c r="P438" s="11">
        <v>43893.647997685184</v>
      </c>
      <c r="Q438" s="13">
        <v>1846388</v>
      </c>
      <c r="R438" s="46" t="s">
        <v>594</v>
      </c>
      <c r="S438" s="14" t="s">
        <v>4503</v>
      </c>
      <c r="T438" s="163">
        <v>768</v>
      </c>
      <c r="U438" s="164" t="str">
        <f>CONCATENATE(LEFT(SP_ACQ_Lib[[#This Row],[Tax Parcel ID]],7),"_",SP_ACQ_Lib[[#This Row],[ACQ Document Type]])</f>
        <v>R018588_SURVEY Right-of-Entry</v>
      </c>
      <c r="V438" s="65" t="str">
        <f>INDEX(SP_AcqTract_DB[WCAD Tax Parcel ID],MATCH(SP_ACQ_Lib[[#This Row],[Acquisition Tract No.]],SP_AcqTract_DB[Acquisition Tract No.],0))</f>
        <v>R018588;#42;#R018589;#43</v>
      </c>
      <c r="W438" s="48" t="str">
        <f>INDEX(SP_TaxPar_DB[Acquisition Tract No.],MATCH(LEFT(SP_ACQ_Lib[[#This Row],[Tax Parcel ID]],7),SP_TaxPar_DB[Tax Parcel ID],0))</f>
        <v>304</v>
      </c>
      <c r="X438" s="238" t="str">
        <f>IF(OR(SP_ACQ_Lib[[#This Row],[Acquisition Tract No.]]="",SP_ACQ_Lib[[#This Row],[ACQ Document Type]]=""),0,CONCATENATE("COW-FRMP_TR-",SP_ACQ_Lib[[#This Row],[Acquisition Tract No.]]," ",SP_ACQ_Lib[[#This Row],[ACQ Document Type]]))</f>
        <v>COW-FRMP_TR-304 SURVEY Right-of-Entry</v>
      </c>
      <c r="Y438" s="239">
        <f>IF(OR(SP_ACQ_Lib[[#This Row],[File Name Convention]]=0,LEFT(SP_ACQ_Lib[[#This Row],[Name]],LEN(SP_ACQ_Lib[[#This Row],[File Name Convention]]))&lt;&gt;SP_ACQ_Lib[[#This Row],[File Name Convention]],ISERROR(SEARCH(SP_ACQ_Lib[[#This Row],[ACQ Document Type]],SP_ACQ_Lib[[#This Row],[Name]]))),1,0)</f>
        <v>0</v>
      </c>
    </row>
    <row r="439" spans="1:25" ht="15" x14ac:dyDescent="0.2">
      <c r="A439" s="157" t="str">
        <f>CONCATENATE(SP_ACQ_Lib[[#This Row],[Acquisition Tract No.]],"_",SP_ACQ_Lib[[#This Row],[ACQ Document Type]])</f>
        <v>304_SURVEY Right-of-Entry CMRR</v>
      </c>
      <c r="B439" s="14" t="s">
        <v>1534</v>
      </c>
      <c r="C439" s="45" t="s">
        <v>48</v>
      </c>
      <c r="D439" s="12" t="s">
        <v>646</v>
      </c>
      <c r="E439" s="8" t="s">
        <v>858</v>
      </c>
      <c r="F439" s="8" t="s">
        <v>860</v>
      </c>
      <c r="G439" s="8" t="s">
        <v>598</v>
      </c>
      <c r="H439" s="7" t="s">
        <v>592</v>
      </c>
      <c r="I439" s="16">
        <v>43684</v>
      </c>
      <c r="J439" s="16"/>
      <c r="K439" s="17"/>
      <c r="L439" s="3" t="s">
        <v>3516</v>
      </c>
      <c r="M439" s="8" t="s">
        <v>4206</v>
      </c>
      <c r="N439" s="11">
        <v>43893.652268518519</v>
      </c>
      <c r="O439" s="8" t="s">
        <v>4207</v>
      </c>
      <c r="P439" s="11">
        <v>43693.3590625</v>
      </c>
      <c r="Q439" s="13">
        <v>138161</v>
      </c>
      <c r="R439" s="46" t="s">
        <v>594</v>
      </c>
      <c r="S439" s="14" t="s">
        <v>787</v>
      </c>
      <c r="T439" s="163">
        <v>83</v>
      </c>
      <c r="U439" s="164" t="str">
        <f>CONCATENATE(LEFT(SP_ACQ_Lib[[#This Row],[Tax Parcel ID]],7),"_",SP_ACQ_Lib[[#This Row],[ACQ Document Type]])</f>
        <v>R018588_SURVEY Right-of-Entry CMRR</v>
      </c>
      <c r="V439" s="65" t="str">
        <f>INDEX(SP_AcqTract_DB[WCAD Tax Parcel ID],MATCH(SP_ACQ_Lib[[#This Row],[Acquisition Tract No.]],SP_AcqTract_DB[Acquisition Tract No.],0))</f>
        <v>R018588;#42;#R018589;#43</v>
      </c>
      <c r="W439" s="48" t="str">
        <f>INDEX(SP_TaxPar_DB[Acquisition Tract No.],MATCH(LEFT(SP_ACQ_Lib[[#This Row],[Tax Parcel ID]],7),SP_TaxPar_DB[Tax Parcel ID],0))</f>
        <v>304</v>
      </c>
      <c r="X439" s="238" t="str">
        <f>IF(OR(SP_ACQ_Lib[[#This Row],[Acquisition Tract No.]]="",SP_ACQ_Lib[[#This Row],[ACQ Document Type]]=""),0,CONCATENATE("COW-FRMP_TR-",SP_ACQ_Lib[[#This Row],[Acquisition Tract No.]]," ",SP_ACQ_Lib[[#This Row],[ACQ Document Type]]))</f>
        <v>COW-FRMP_TR-304 SURVEY Right-of-Entry CMRR</v>
      </c>
      <c r="Y439" s="239">
        <f>IF(OR(SP_ACQ_Lib[[#This Row],[File Name Convention]]=0,LEFT(SP_ACQ_Lib[[#This Row],[Name]],LEN(SP_ACQ_Lib[[#This Row],[File Name Convention]]))&lt;&gt;SP_ACQ_Lib[[#This Row],[File Name Convention]],ISERROR(SEARCH(SP_ACQ_Lib[[#This Row],[ACQ Document Type]],SP_ACQ_Lib[[#This Row],[Name]]))),1,0)</f>
        <v>0</v>
      </c>
    </row>
    <row r="440" spans="1:25" ht="15" x14ac:dyDescent="0.2">
      <c r="A440" s="157" t="str">
        <f>CONCATENATE(SP_ACQ_Lib[[#This Row],[Acquisition Tract No.]],"_",SP_ACQ_Lib[[#This Row],[ACQ Document Type]])</f>
        <v>304_TITLE Commitment</v>
      </c>
      <c r="B440" s="14" t="s">
        <v>1535</v>
      </c>
      <c r="C440" s="45" t="s">
        <v>48</v>
      </c>
      <c r="D440" s="12" t="s">
        <v>646</v>
      </c>
      <c r="E440" s="8" t="s">
        <v>861</v>
      </c>
      <c r="F440" s="8" t="s">
        <v>862</v>
      </c>
      <c r="G440" s="8" t="s">
        <v>614</v>
      </c>
      <c r="H440" s="7" t="s">
        <v>592</v>
      </c>
      <c r="I440" s="16">
        <v>43684</v>
      </c>
      <c r="J440" s="16">
        <v>43692</v>
      </c>
      <c r="K440" s="17"/>
      <c r="L440" s="3" t="s">
        <v>4938</v>
      </c>
      <c r="M440" s="8" t="s">
        <v>4325</v>
      </c>
      <c r="N440" s="11">
        <v>43941.354768518519</v>
      </c>
      <c r="O440" s="8" t="s">
        <v>4326</v>
      </c>
      <c r="P440" s="11">
        <v>43693.566435185188</v>
      </c>
      <c r="Q440" s="13">
        <v>374740</v>
      </c>
      <c r="R440" s="46" t="s">
        <v>594</v>
      </c>
      <c r="S440" s="14" t="s">
        <v>788</v>
      </c>
      <c r="T440" s="163">
        <v>87</v>
      </c>
      <c r="U440" s="164" t="str">
        <f>CONCATENATE(LEFT(SP_ACQ_Lib[[#This Row],[Tax Parcel ID]],7),"_",SP_ACQ_Lib[[#This Row],[ACQ Document Type]])</f>
        <v>R018588_TITLE Commitment</v>
      </c>
      <c r="V440" s="65" t="str">
        <f>INDEX(SP_AcqTract_DB[WCAD Tax Parcel ID],MATCH(SP_ACQ_Lib[[#This Row],[Acquisition Tract No.]],SP_AcqTract_DB[Acquisition Tract No.],0))</f>
        <v>R018588;#42;#R018589;#43</v>
      </c>
      <c r="W440" s="48" t="str">
        <f>INDEX(SP_TaxPar_DB[Acquisition Tract No.],MATCH(LEFT(SP_ACQ_Lib[[#This Row],[Tax Parcel ID]],7),SP_TaxPar_DB[Tax Parcel ID],0))</f>
        <v>304</v>
      </c>
      <c r="X440" s="238" t="str">
        <f>IF(OR(SP_ACQ_Lib[[#This Row],[Acquisition Tract No.]]="",SP_ACQ_Lib[[#This Row],[ACQ Document Type]]=""),0,CONCATENATE("COW-FRMP_TR-",SP_ACQ_Lib[[#This Row],[Acquisition Tract No.]]," ",SP_ACQ_Lib[[#This Row],[ACQ Document Type]]))</f>
        <v>COW-FRMP_TR-304 TITLE Commitment</v>
      </c>
      <c r="Y440" s="239">
        <f>IF(OR(SP_ACQ_Lib[[#This Row],[File Name Convention]]=0,LEFT(SP_ACQ_Lib[[#This Row],[Name]],LEN(SP_ACQ_Lib[[#This Row],[File Name Convention]]))&lt;&gt;SP_ACQ_Lib[[#This Row],[File Name Convention]],ISERROR(SEARCH(SP_ACQ_Lib[[#This Row],[ACQ Document Type]],SP_ACQ_Lib[[#This Row],[Name]]))),1,0)</f>
        <v>0</v>
      </c>
    </row>
    <row r="441" spans="1:25" ht="15" x14ac:dyDescent="0.2">
      <c r="A441" s="157" t="str">
        <f>CONCATENATE(SP_ACQ_Lib[[#This Row],[Acquisition Tract No.]],"_",SP_ACQ_Lib[[#This Row],[ACQ Document Type]])</f>
        <v>304_TITLE Commitment Backup Docs</v>
      </c>
      <c r="B441" s="14" t="s">
        <v>1536</v>
      </c>
      <c r="C441" s="45" t="s">
        <v>48</v>
      </c>
      <c r="D441" s="12" t="s">
        <v>646</v>
      </c>
      <c r="E441" s="8" t="s">
        <v>861</v>
      </c>
      <c r="F441" s="8" t="s">
        <v>863</v>
      </c>
      <c r="G441" s="8" t="s">
        <v>616</v>
      </c>
      <c r="H441" s="7" t="s">
        <v>592</v>
      </c>
      <c r="I441" s="16"/>
      <c r="J441" s="16"/>
      <c r="K441" s="17"/>
      <c r="L441" s="3"/>
      <c r="M441" s="8" t="s">
        <v>4325</v>
      </c>
      <c r="N441" s="11">
        <v>43802.493888888886</v>
      </c>
      <c r="O441" s="8" t="s">
        <v>4326</v>
      </c>
      <c r="P441" s="11">
        <v>43693.566805555558</v>
      </c>
      <c r="Q441" s="13">
        <v>1271791</v>
      </c>
      <c r="R441" s="46" t="s">
        <v>594</v>
      </c>
      <c r="S441" s="14" t="s">
        <v>789</v>
      </c>
      <c r="T441" s="163">
        <v>88</v>
      </c>
      <c r="U441" s="164" t="str">
        <f>CONCATENATE(LEFT(SP_ACQ_Lib[[#This Row],[Tax Parcel ID]],7),"_",SP_ACQ_Lib[[#This Row],[ACQ Document Type]])</f>
        <v>R018588_TITLE Commitment Backup Docs</v>
      </c>
      <c r="V441" s="65" t="str">
        <f>INDEX(SP_AcqTract_DB[WCAD Tax Parcel ID],MATCH(SP_ACQ_Lib[[#This Row],[Acquisition Tract No.]],SP_AcqTract_DB[Acquisition Tract No.],0))</f>
        <v>R018588;#42;#R018589;#43</v>
      </c>
      <c r="W441" s="48" t="str">
        <f>INDEX(SP_TaxPar_DB[Acquisition Tract No.],MATCH(LEFT(SP_ACQ_Lib[[#This Row],[Tax Parcel ID]],7),SP_TaxPar_DB[Tax Parcel ID],0))</f>
        <v>304</v>
      </c>
      <c r="X441" s="238" t="str">
        <f>IF(OR(SP_ACQ_Lib[[#This Row],[Acquisition Tract No.]]="",SP_ACQ_Lib[[#This Row],[ACQ Document Type]]=""),0,CONCATENATE("COW-FRMP_TR-",SP_ACQ_Lib[[#This Row],[Acquisition Tract No.]]," ",SP_ACQ_Lib[[#This Row],[ACQ Document Type]]))</f>
        <v>COW-FRMP_TR-304 TITLE Commitment Backup Docs</v>
      </c>
      <c r="Y441" s="239">
        <f>IF(OR(SP_ACQ_Lib[[#This Row],[File Name Convention]]=0,LEFT(SP_ACQ_Lib[[#This Row],[Name]],LEN(SP_ACQ_Lib[[#This Row],[File Name Convention]]))&lt;&gt;SP_ACQ_Lib[[#This Row],[File Name Convention]],ISERROR(SEARCH(SP_ACQ_Lib[[#This Row],[ACQ Document Type]],SP_ACQ_Lib[[#This Row],[Name]]))),1,0)</f>
        <v>0</v>
      </c>
    </row>
    <row r="442" spans="1:25" ht="15" x14ac:dyDescent="0.2">
      <c r="A442" s="157" t="str">
        <f>CONCATENATE(SP_ACQ_Lib[[#This Row],[Acquisition Tract No.]],"_",SP_ACQ_Lib[[#This Row],[ACQ Document Type]])</f>
        <v>304_TITLE Curative Plan</v>
      </c>
      <c r="B442" s="14" t="s">
        <v>1537</v>
      </c>
      <c r="C442" s="45" t="s">
        <v>48</v>
      </c>
      <c r="D442" s="12" t="s">
        <v>646</v>
      </c>
      <c r="E442" s="8" t="s">
        <v>861</v>
      </c>
      <c r="F442" s="8" t="s">
        <v>864</v>
      </c>
      <c r="G442" s="8" t="s">
        <v>617</v>
      </c>
      <c r="H442" s="7" t="s">
        <v>592</v>
      </c>
      <c r="I442" s="16">
        <v>43812</v>
      </c>
      <c r="J442" s="16"/>
      <c r="K442" s="17"/>
      <c r="L442" s="3"/>
      <c r="M442" s="8" t="s">
        <v>4325</v>
      </c>
      <c r="N442" s="11">
        <v>43812.644733796296</v>
      </c>
      <c r="O442" s="8" t="s">
        <v>4326</v>
      </c>
      <c r="P442" s="11">
        <v>43745.572708333333</v>
      </c>
      <c r="Q442" s="13">
        <v>41448</v>
      </c>
      <c r="R442" s="46" t="s">
        <v>594</v>
      </c>
      <c r="S442" s="14" t="s">
        <v>1226</v>
      </c>
      <c r="T442" s="163">
        <v>406</v>
      </c>
      <c r="U442" s="164" t="str">
        <f>CONCATENATE(LEFT(SP_ACQ_Lib[[#This Row],[Tax Parcel ID]],7),"_",SP_ACQ_Lib[[#This Row],[ACQ Document Type]])</f>
        <v>R018588_TITLE Curative Plan</v>
      </c>
      <c r="V442" s="65" t="str">
        <f>INDEX(SP_AcqTract_DB[WCAD Tax Parcel ID],MATCH(SP_ACQ_Lib[[#This Row],[Acquisition Tract No.]],SP_AcqTract_DB[Acquisition Tract No.],0))</f>
        <v>R018588;#42;#R018589;#43</v>
      </c>
      <c r="W442" s="48" t="str">
        <f>INDEX(SP_TaxPar_DB[Acquisition Tract No.],MATCH(LEFT(SP_ACQ_Lib[[#This Row],[Tax Parcel ID]],7),SP_TaxPar_DB[Tax Parcel ID],0))</f>
        <v>304</v>
      </c>
      <c r="X442" s="238" t="str">
        <f>IF(OR(SP_ACQ_Lib[[#This Row],[Acquisition Tract No.]]="",SP_ACQ_Lib[[#This Row],[ACQ Document Type]]=""),0,CONCATENATE("COW-FRMP_TR-",SP_ACQ_Lib[[#This Row],[Acquisition Tract No.]]," ",SP_ACQ_Lib[[#This Row],[ACQ Document Type]]))</f>
        <v>COW-FRMP_TR-304 TITLE Curative Plan</v>
      </c>
      <c r="Y442" s="239">
        <f>IF(OR(SP_ACQ_Lib[[#This Row],[File Name Convention]]=0,LEFT(SP_ACQ_Lib[[#This Row],[Name]],LEN(SP_ACQ_Lib[[#This Row],[File Name Convention]]))&lt;&gt;SP_ACQ_Lib[[#This Row],[File Name Convention]],ISERROR(SEARCH(SP_ACQ_Lib[[#This Row],[ACQ Document Type]],SP_ACQ_Lib[[#This Row],[Name]]))),1,0)</f>
        <v>0</v>
      </c>
    </row>
    <row r="443" spans="1:25" ht="15" x14ac:dyDescent="0.2">
      <c r="A443" s="157" t="str">
        <f>CONCATENATE(SP_ACQ_Lib[[#This Row],[Acquisition Tract No.]],"_",SP_ACQ_Lib[[#This Row],[ACQ Document Type]])</f>
        <v>304_TITLE Tax Card</v>
      </c>
      <c r="B443" s="14" t="s">
        <v>4472</v>
      </c>
      <c r="C443" s="45" t="s">
        <v>48</v>
      </c>
      <c r="D443" s="12" t="s">
        <v>646</v>
      </c>
      <c r="E443" s="8" t="s">
        <v>861</v>
      </c>
      <c r="F443" s="8" t="s">
        <v>1150</v>
      </c>
      <c r="G443" s="8" t="s">
        <v>1149</v>
      </c>
      <c r="H443" s="7" t="s">
        <v>592</v>
      </c>
      <c r="I443" s="16"/>
      <c r="J443" s="16"/>
      <c r="K443" s="17"/>
      <c r="L443" s="3" t="s">
        <v>4444</v>
      </c>
      <c r="M443" s="8" t="s">
        <v>4206</v>
      </c>
      <c r="N443" s="11">
        <v>43893.651284722226</v>
      </c>
      <c r="O443" s="8" t="s">
        <v>4206</v>
      </c>
      <c r="P443" s="11">
        <v>43893.650682870371</v>
      </c>
      <c r="Q443" s="13">
        <v>597055</v>
      </c>
      <c r="R443" s="46" t="s">
        <v>594</v>
      </c>
      <c r="S443" s="14" t="s">
        <v>4504</v>
      </c>
      <c r="T443" s="163">
        <v>769</v>
      </c>
      <c r="U443" s="164" t="str">
        <f>CONCATENATE(LEFT(SP_ACQ_Lib[[#This Row],[Tax Parcel ID]],7),"_",SP_ACQ_Lib[[#This Row],[ACQ Document Type]])</f>
        <v>R018588_TITLE Tax Card</v>
      </c>
      <c r="V443" s="65" t="str">
        <f>INDEX(SP_AcqTract_DB[WCAD Tax Parcel ID],MATCH(SP_ACQ_Lib[[#This Row],[Acquisition Tract No.]],SP_AcqTract_DB[Acquisition Tract No.],0))</f>
        <v>R018588;#42;#R018589;#43</v>
      </c>
      <c r="W443" s="48" t="str">
        <f>INDEX(SP_TaxPar_DB[Acquisition Tract No.],MATCH(LEFT(SP_ACQ_Lib[[#This Row],[Tax Parcel ID]],7),SP_TaxPar_DB[Tax Parcel ID],0))</f>
        <v>304</v>
      </c>
      <c r="X443" s="238" t="str">
        <f>IF(OR(SP_ACQ_Lib[[#This Row],[Acquisition Tract No.]]="",SP_ACQ_Lib[[#This Row],[ACQ Document Type]]=""),0,CONCATENATE("COW-FRMP_TR-",SP_ACQ_Lib[[#This Row],[Acquisition Tract No.]]," ",SP_ACQ_Lib[[#This Row],[ACQ Document Type]]))</f>
        <v>COW-FRMP_TR-304 TITLE Tax Card</v>
      </c>
      <c r="Y443" s="239">
        <f>IF(OR(SP_ACQ_Lib[[#This Row],[File Name Convention]]=0,LEFT(SP_ACQ_Lib[[#This Row],[Name]],LEN(SP_ACQ_Lib[[#This Row],[File Name Convention]]))&lt;&gt;SP_ACQ_Lib[[#This Row],[File Name Convention]],ISERROR(SEARCH(SP_ACQ_Lib[[#This Row],[ACQ Document Type]],SP_ACQ_Lib[[#This Row],[Name]]))),1,0)</f>
        <v>0</v>
      </c>
    </row>
    <row r="444" spans="1:25" ht="15" x14ac:dyDescent="0.2">
      <c r="A444" s="157" t="str">
        <f>CONCATENATE(SP_ACQ_Lib[[#This Row],[Acquisition Tract No.]],"_",SP_ACQ_Lib[[#This Row],[ACQ Document Type]])</f>
        <v>305_APPRAISAL Final Appraisal</v>
      </c>
      <c r="B444" s="14" t="s">
        <v>6324</v>
      </c>
      <c r="C444" s="45" t="s">
        <v>49</v>
      </c>
      <c r="D444" s="12" t="s">
        <v>648</v>
      </c>
      <c r="E444" s="8" t="s">
        <v>1131</v>
      </c>
      <c r="F444" s="8" t="s">
        <v>4755</v>
      </c>
      <c r="G444" s="8" t="s">
        <v>4754</v>
      </c>
      <c r="H444" s="7" t="s">
        <v>592</v>
      </c>
      <c r="I444" s="16">
        <v>43965</v>
      </c>
      <c r="J444" s="16"/>
      <c r="K444" s="17">
        <v>65550</v>
      </c>
      <c r="L444" s="3"/>
      <c r="M444" s="8" t="s">
        <v>4206</v>
      </c>
      <c r="N444" s="11">
        <v>44000.536909722221</v>
      </c>
      <c r="O444" s="8" t="s">
        <v>4206</v>
      </c>
      <c r="P444" s="11">
        <v>44000.529363425929</v>
      </c>
      <c r="Q444" s="13">
        <v>12402655</v>
      </c>
      <c r="R444" s="46" t="s">
        <v>594</v>
      </c>
      <c r="S444" s="14" t="s">
        <v>6393</v>
      </c>
      <c r="T444" s="163">
        <v>1227</v>
      </c>
      <c r="U444" s="164" t="str">
        <f>CONCATENATE(LEFT(SP_ACQ_Lib[[#This Row],[Tax Parcel ID]],7),"_",SP_ACQ_Lib[[#This Row],[ACQ Document Type]])</f>
        <v>R018590_APPRAISAL Final Appraisal</v>
      </c>
      <c r="V444" s="65" t="str">
        <f>INDEX(SP_AcqTract_DB[WCAD Tax Parcel ID],MATCH(SP_ACQ_Lib[[#This Row],[Acquisition Tract No.]],SP_AcqTract_DB[Acquisition Tract No.],0))</f>
        <v>R018590;#44;#R018591;#45;#R018592;#46</v>
      </c>
      <c r="W444" s="48" t="str">
        <f>INDEX(SP_TaxPar_DB[Acquisition Tract No.],MATCH(LEFT(SP_ACQ_Lib[[#This Row],[Tax Parcel ID]],7),SP_TaxPar_DB[Tax Parcel ID],0))</f>
        <v>305</v>
      </c>
      <c r="X444" s="238" t="str">
        <f>IF(OR(SP_ACQ_Lib[[#This Row],[Acquisition Tract No.]]="",SP_ACQ_Lib[[#This Row],[ACQ Document Type]]=""),0,CONCATENATE("COW-FRMP_TR-",SP_ACQ_Lib[[#This Row],[Acquisition Tract No.]]," ",SP_ACQ_Lib[[#This Row],[ACQ Document Type]]))</f>
        <v>COW-FRMP_TR-305 APPRAISAL Final Appraisal</v>
      </c>
      <c r="Y444" s="239">
        <f>IF(OR(SP_ACQ_Lib[[#This Row],[File Name Convention]]=0,LEFT(SP_ACQ_Lib[[#This Row],[Name]],LEN(SP_ACQ_Lib[[#This Row],[File Name Convention]]))&lt;&gt;SP_ACQ_Lib[[#This Row],[File Name Convention]],ISERROR(SEARCH(SP_ACQ_Lib[[#This Row],[ACQ Document Type]],SP_ACQ_Lib[[#This Row],[Name]]))),1,0)</f>
        <v>0</v>
      </c>
    </row>
    <row r="445" spans="1:25" ht="15" x14ac:dyDescent="0.2">
      <c r="A445" s="157" t="str">
        <f>CONCATENATE(SP_ACQ_Lib[[#This Row],[Acquisition Tract No.]],"_",SP_ACQ_Lib[[#This Row],[ACQ Document Type]])</f>
        <v>305_APPRAISAL Just Compensation Memo</v>
      </c>
      <c r="B445" s="14" t="s">
        <v>6325</v>
      </c>
      <c r="C445" s="45" t="s">
        <v>49</v>
      </c>
      <c r="D445" s="12" t="s">
        <v>648</v>
      </c>
      <c r="E445" s="8" t="s">
        <v>1131</v>
      </c>
      <c r="F445" s="8" t="s">
        <v>4757</v>
      </c>
      <c r="G445" s="8" t="s">
        <v>4756</v>
      </c>
      <c r="H445" s="7" t="s">
        <v>592</v>
      </c>
      <c r="I445" s="16">
        <v>44000</v>
      </c>
      <c r="J445" s="16">
        <v>44000</v>
      </c>
      <c r="K445" s="17">
        <v>65550</v>
      </c>
      <c r="L445" s="3"/>
      <c r="M445" s="8" t="s">
        <v>4206</v>
      </c>
      <c r="N445" s="11">
        <v>44000.574861111112</v>
      </c>
      <c r="O445" s="8" t="s">
        <v>4206</v>
      </c>
      <c r="P445" s="11">
        <v>44000.529386574075</v>
      </c>
      <c r="Q445" s="13">
        <v>23033</v>
      </c>
      <c r="R445" s="46" t="s">
        <v>594</v>
      </c>
      <c r="S445" s="14" t="s">
        <v>6394</v>
      </c>
      <c r="T445" s="163">
        <v>1228</v>
      </c>
      <c r="U445" s="164" t="str">
        <f>CONCATENATE(LEFT(SP_ACQ_Lib[[#This Row],[Tax Parcel ID]],7),"_",SP_ACQ_Lib[[#This Row],[ACQ Document Type]])</f>
        <v>R018590_APPRAISAL Just Compensation Memo</v>
      </c>
      <c r="V445" s="65" t="str">
        <f>INDEX(SP_AcqTract_DB[WCAD Tax Parcel ID],MATCH(SP_ACQ_Lib[[#This Row],[Acquisition Tract No.]],SP_AcqTract_DB[Acquisition Tract No.],0))</f>
        <v>R018590;#44;#R018591;#45;#R018592;#46</v>
      </c>
      <c r="W445" s="48" t="str">
        <f>INDEX(SP_TaxPar_DB[Acquisition Tract No.],MATCH(LEFT(SP_ACQ_Lib[[#This Row],[Tax Parcel ID]],7),SP_TaxPar_DB[Tax Parcel ID],0))</f>
        <v>305</v>
      </c>
      <c r="X445" s="238" t="str">
        <f>IF(OR(SP_ACQ_Lib[[#This Row],[Acquisition Tract No.]]="",SP_ACQ_Lib[[#This Row],[ACQ Document Type]]=""),0,CONCATENATE("COW-FRMP_TR-",SP_ACQ_Lib[[#This Row],[Acquisition Tract No.]]," ",SP_ACQ_Lib[[#This Row],[ACQ Document Type]]))</f>
        <v>COW-FRMP_TR-305 APPRAISAL Just Compensation Memo</v>
      </c>
      <c r="Y445" s="239">
        <f>IF(OR(SP_ACQ_Lib[[#This Row],[File Name Convention]]=0,LEFT(SP_ACQ_Lib[[#This Row],[Name]],LEN(SP_ACQ_Lib[[#This Row],[File Name Convention]]))&lt;&gt;SP_ACQ_Lib[[#This Row],[File Name Convention]],ISERROR(SEARCH(SP_ACQ_Lib[[#This Row],[ACQ Document Type]],SP_ACQ_Lib[[#This Row],[Name]]))),1,0)</f>
        <v>0</v>
      </c>
    </row>
    <row r="446" spans="1:25" ht="15" x14ac:dyDescent="0.2">
      <c r="A446" s="157" t="str">
        <f>CONCATENATE(SP_ACQ_Lib[[#This Row],[Acquisition Tract No.]],"_",SP_ACQ_Lib[[#This Row],[ACQ Document Type]])</f>
        <v>305_APPRAISAL USACOE Authorization to Proceed with Offer</v>
      </c>
      <c r="B446" s="14" t="s">
        <v>6326</v>
      </c>
      <c r="C446" s="45" t="s">
        <v>49</v>
      </c>
      <c r="D446" s="12" t="s">
        <v>648</v>
      </c>
      <c r="E446" s="8" t="s">
        <v>1131</v>
      </c>
      <c r="F446" s="8" t="s">
        <v>4959</v>
      </c>
      <c r="G446" s="8" t="s">
        <v>4958</v>
      </c>
      <c r="H446" s="7" t="s">
        <v>592</v>
      </c>
      <c r="I446" s="16">
        <v>44000</v>
      </c>
      <c r="J446" s="16">
        <v>44000</v>
      </c>
      <c r="K446" s="17">
        <v>65550</v>
      </c>
      <c r="L446" s="3"/>
      <c r="M446" s="8" t="s">
        <v>4206</v>
      </c>
      <c r="N446" s="11">
        <v>44000.574953703705</v>
      </c>
      <c r="O446" s="8" t="s">
        <v>4206</v>
      </c>
      <c r="P446" s="11">
        <v>44000.529386574075</v>
      </c>
      <c r="Q446" s="13">
        <v>419931</v>
      </c>
      <c r="R446" s="46" t="s">
        <v>594</v>
      </c>
      <c r="S446" s="14" t="s">
        <v>6395</v>
      </c>
      <c r="T446" s="163">
        <v>1229</v>
      </c>
      <c r="U446" s="164" t="str">
        <f>CONCATENATE(LEFT(SP_ACQ_Lib[[#This Row],[Tax Parcel ID]],7),"_",SP_ACQ_Lib[[#This Row],[ACQ Document Type]])</f>
        <v>R018590_APPRAISAL USACOE Authorization to Proceed with Offer</v>
      </c>
      <c r="V446" s="65" t="str">
        <f>INDEX(SP_AcqTract_DB[WCAD Tax Parcel ID],MATCH(SP_ACQ_Lib[[#This Row],[Acquisition Tract No.]],SP_AcqTract_DB[Acquisition Tract No.],0))</f>
        <v>R018590;#44;#R018591;#45;#R018592;#46</v>
      </c>
      <c r="W446" s="48" t="str">
        <f>INDEX(SP_TaxPar_DB[Acquisition Tract No.],MATCH(LEFT(SP_ACQ_Lib[[#This Row],[Tax Parcel ID]],7),SP_TaxPar_DB[Tax Parcel ID],0))</f>
        <v>305</v>
      </c>
      <c r="X446" s="238" t="str">
        <f>IF(OR(SP_ACQ_Lib[[#This Row],[Acquisition Tract No.]]="",SP_ACQ_Lib[[#This Row],[ACQ Document Type]]=""),0,CONCATENATE("COW-FRMP_TR-",SP_ACQ_Lib[[#This Row],[Acquisition Tract No.]]," ",SP_ACQ_Lib[[#This Row],[ACQ Document Type]]))</f>
        <v>COW-FRMP_TR-305 APPRAISAL USACOE Authorization to Proceed with Offer</v>
      </c>
      <c r="Y446" s="239">
        <f>IF(OR(SP_ACQ_Lib[[#This Row],[File Name Convention]]=0,LEFT(SP_ACQ_Lib[[#This Row],[Name]],LEN(SP_ACQ_Lib[[#This Row],[File Name Convention]]))&lt;&gt;SP_ACQ_Lib[[#This Row],[File Name Convention]],ISERROR(SEARCH(SP_ACQ_Lib[[#This Row],[ACQ Document Type]],SP_ACQ_Lib[[#This Row],[Name]]))),1,0)</f>
        <v>0</v>
      </c>
    </row>
    <row r="447" spans="1:25" ht="15" x14ac:dyDescent="0.2">
      <c r="A447" s="157" t="str">
        <f>CONCATENATE(SP_ACQ_Lib[[#This Row],[Acquisition Tract No.]],"_",SP_ACQ_Lib[[#This Row],[ACQ Document Type]])</f>
        <v>305_CONTACT Initial Interview - Residential</v>
      </c>
      <c r="B447" s="14" t="s">
        <v>1538</v>
      </c>
      <c r="C447" s="45" t="s">
        <v>49</v>
      </c>
      <c r="D447" s="12" t="s">
        <v>648</v>
      </c>
      <c r="E447" s="8" t="s">
        <v>865</v>
      </c>
      <c r="F447" s="8" t="s">
        <v>866</v>
      </c>
      <c r="G447" s="8" t="s">
        <v>618</v>
      </c>
      <c r="H447" s="7" t="s">
        <v>592</v>
      </c>
      <c r="I447" s="16">
        <v>43686</v>
      </c>
      <c r="J447" s="16"/>
      <c r="K447" s="17"/>
      <c r="L447" s="3"/>
      <c r="M447" s="8" t="s">
        <v>4206</v>
      </c>
      <c r="N447" s="11">
        <v>43894.458726851852</v>
      </c>
      <c r="O447" s="8" t="s">
        <v>4325</v>
      </c>
      <c r="P447" s="11">
        <v>43696.382037037038</v>
      </c>
      <c r="Q447" s="13">
        <v>179021</v>
      </c>
      <c r="R447" s="46" t="s">
        <v>594</v>
      </c>
      <c r="S447" s="14" t="s">
        <v>790</v>
      </c>
      <c r="T447" s="163">
        <v>91</v>
      </c>
      <c r="U447" s="164" t="str">
        <f>CONCATENATE(LEFT(SP_ACQ_Lib[[#This Row],[Tax Parcel ID]],7),"_",SP_ACQ_Lib[[#This Row],[ACQ Document Type]])</f>
        <v>R018590_CONTACT Initial Interview - Residential</v>
      </c>
      <c r="V447" s="65" t="str">
        <f>INDEX(SP_AcqTract_DB[WCAD Tax Parcel ID],MATCH(SP_ACQ_Lib[[#This Row],[Acquisition Tract No.]],SP_AcqTract_DB[Acquisition Tract No.],0))</f>
        <v>R018590;#44;#R018591;#45;#R018592;#46</v>
      </c>
      <c r="W447" s="48" t="str">
        <f>INDEX(SP_TaxPar_DB[Acquisition Tract No.],MATCH(LEFT(SP_ACQ_Lib[[#This Row],[Tax Parcel ID]],7),SP_TaxPar_DB[Tax Parcel ID],0))</f>
        <v>305</v>
      </c>
      <c r="X447" s="238" t="str">
        <f>IF(OR(SP_ACQ_Lib[[#This Row],[Acquisition Tract No.]]="",SP_ACQ_Lib[[#This Row],[ACQ Document Type]]=""),0,CONCATENATE("COW-FRMP_TR-",SP_ACQ_Lib[[#This Row],[Acquisition Tract No.]]," ",SP_ACQ_Lib[[#This Row],[ACQ Document Type]]))</f>
        <v>COW-FRMP_TR-305 CONTACT Initial Interview - Residential</v>
      </c>
      <c r="Y447" s="239">
        <f>IF(OR(SP_ACQ_Lib[[#This Row],[File Name Convention]]=0,LEFT(SP_ACQ_Lib[[#This Row],[Name]],LEN(SP_ACQ_Lib[[#This Row],[File Name Convention]]))&lt;&gt;SP_ACQ_Lib[[#This Row],[File Name Convention]],ISERROR(SEARCH(SP_ACQ_Lib[[#This Row],[ACQ Document Type]],SP_ACQ_Lib[[#This Row],[Name]]))),1,0)</f>
        <v>0</v>
      </c>
    </row>
    <row r="448" spans="1:25" ht="15" x14ac:dyDescent="0.2">
      <c r="A448" s="157" t="str">
        <f>CONCATENATE(SP_ACQ_Lib[[#This Row],[Acquisition Tract No.]],"_",SP_ACQ_Lib[[#This Row],[ACQ Document Type]])</f>
        <v>305_CONTACT Letter of Intent-HDR</v>
      </c>
      <c r="B448" s="14" t="s">
        <v>4473</v>
      </c>
      <c r="C448" s="45" t="s">
        <v>49</v>
      </c>
      <c r="D448" s="12" t="s">
        <v>648</v>
      </c>
      <c r="E448" s="8" t="s">
        <v>865</v>
      </c>
      <c r="F448" s="8" t="s">
        <v>1401</v>
      </c>
      <c r="G448" s="8" t="s">
        <v>1400</v>
      </c>
      <c r="H448" s="7" t="s">
        <v>592</v>
      </c>
      <c r="I448" s="16">
        <v>43765</v>
      </c>
      <c r="J448" s="16"/>
      <c r="K448" s="17"/>
      <c r="L448" s="3" t="s">
        <v>4448</v>
      </c>
      <c r="M448" s="8" t="s">
        <v>4206</v>
      </c>
      <c r="N448" s="11">
        <v>43893.656030092592</v>
      </c>
      <c r="O448" s="8" t="s">
        <v>4206</v>
      </c>
      <c r="P448" s="11">
        <v>43893.655486111114</v>
      </c>
      <c r="Q448" s="13">
        <v>819303</v>
      </c>
      <c r="R448" s="46" t="s">
        <v>594</v>
      </c>
      <c r="S448" s="14" t="s">
        <v>4505</v>
      </c>
      <c r="T448" s="163">
        <v>770</v>
      </c>
      <c r="U448" s="164" t="str">
        <f>CONCATENATE(LEFT(SP_ACQ_Lib[[#This Row],[Tax Parcel ID]],7),"_",SP_ACQ_Lib[[#This Row],[ACQ Document Type]])</f>
        <v>R018590_CONTACT Letter of Intent-HDR</v>
      </c>
      <c r="V448" s="65" t="str">
        <f>INDEX(SP_AcqTract_DB[WCAD Tax Parcel ID],MATCH(SP_ACQ_Lib[[#This Row],[Acquisition Tract No.]],SP_AcqTract_DB[Acquisition Tract No.],0))</f>
        <v>R018590;#44;#R018591;#45;#R018592;#46</v>
      </c>
      <c r="W448" s="48" t="str">
        <f>INDEX(SP_TaxPar_DB[Acquisition Tract No.],MATCH(LEFT(SP_ACQ_Lib[[#This Row],[Tax Parcel ID]],7),SP_TaxPar_DB[Tax Parcel ID],0))</f>
        <v>305</v>
      </c>
      <c r="X448" s="238" t="str">
        <f>IF(OR(SP_ACQ_Lib[[#This Row],[Acquisition Tract No.]]="",SP_ACQ_Lib[[#This Row],[ACQ Document Type]]=""),0,CONCATENATE("COW-FRMP_TR-",SP_ACQ_Lib[[#This Row],[Acquisition Tract No.]]," ",SP_ACQ_Lib[[#This Row],[ACQ Document Type]]))</f>
        <v>COW-FRMP_TR-305 CONTACT Letter of Intent-HDR</v>
      </c>
      <c r="Y448" s="239">
        <f>IF(OR(SP_ACQ_Lib[[#This Row],[File Name Convention]]=0,LEFT(SP_ACQ_Lib[[#This Row],[Name]],LEN(SP_ACQ_Lib[[#This Row],[File Name Convention]]))&lt;&gt;SP_ACQ_Lib[[#This Row],[File Name Convention]],ISERROR(SEARCH(SP_ACQ_Lib[[#This Row],[ACQ Document Type]],SP_ACQ_Lib[[#This Row],[Name]]))),1,0)</f>
        <v>0</v>
      </c>
    </row>
    <row r="449" spans="1:25" ht="15" x14ac:dyDescent="0.2">
      <c r="A449" s="157" t="str">
        <f>CONCATENATE(SP_ACQ_Lib[[#This Row],[Acquisition Tract No.]],"_",SP_ACQ_Lib[[#This Row],[ACQ Document Type]])</f>
        <v>305_CONTACT Negotiator Report</v>
      </c>
      <c r="B449" s="14" t="s">
        <v>3399</v>
      </c>
      <c r="C449" s="45" t="s">
        <v>49</v>
      </c>
      <c r="D449" s="12" t="s">
        <v>648</v>
      </c>
      <c r="E449" s="8" t="s">
        <v>865</v>
      </c>
      <c r="F449" s="8" t="s">
        <v>1068</v>
      </c>
      <c r="G449" s="8" t="s">
        <v>1067</v>
      </c>
      <c r="H449" s="7" t="s">
        <v>592</v>
      </c>
      <c r="I449" s="16"/>
      <c r="J449" s="16"/>
      <c r="K449" s="17"/>
      <c r="L449" s="3"/>
      <c r="M449" s="8" t="s">
        <v>1743</v>
      </c>
      <c r="N449" s="11">
        <v>43998.649907407409</v>
      </c>
      <c r="O449" s="8" t="s">
        <v>4325</v>
      </c>
      <c r="P449" s="11">
        <v>43732.597071759257</v>
      </c>
      <c r="Q449" s="13">
        <v>65540</v>
      </c>
      <c r="R449" s="46" t="s">
        <v>1069</v>
      </c>
      <c r="S449" s="14" t="s">
        <v>1101</v>
      </c>
      <c r="T449" s="163">
        <v>317</v>
      </c>
      <c r="U449" s="164" t="str">
        <f>CONCATENATE(LEFT(SP_ACQ_Lib[[#This Row],[Tax Parcel ID]],7),"_",SP_ACQ_Lib[[#This Row],[ACQ Document Type]])</f>
        <v>R018590_CONTACT Negotiator Report</v>
      </c>
      <c r="V449" s="65" t="str">
        <f>INDEX(SP_AcqTract_DB[WCAD Tax Parcel ID],MATCH(SP_ACQ_Lib[[#This Row],[Acquisition Tract No.]],SP_AcqTract_DB[Acquisition Tract No.],0))</f>
        <v>R018590;#44;#R018591;#45;#R018592;#46</v>
      </c>
      <c r="W449" s="48" t="str">
        <f>INDEX(SP_TaxPar_DB[Acquisition Tract No.],MATCH(LEFT(SP_ACQ_Lib[[#This Row],[Tax Parcel ID]],7),SP_TaxPar_DB[Tax Parcel ID],0))</f>
        <v>305</v>
      </c>
      <c r="X449" s="238" t="str">
        <f>IF(OR(SP_ACQ_Lib[[#This Row],[Acquisition Tract No.]]="",SP_ACQ_Lib[[#This Row],[ACQ Document Type]]=""),0,CONCATENATE("COW-FRMP_TR-",SP_ACQ_Lib[[#This Row],[Acquisition Tract No.]]," ",SP_ACQ_Lib[[#This Row],[ACQ Document Type]]))</f>
        <v>COW-FRMP_TR-305 CONTACT Negotiator Report</v>
      </c>
      <c r="Y449" s="239">
        <f>IF(OR(SP_ACQ_Lib[[#This Row],[File Name Convention]]=0,LEFT(SP_ACQ_Lib[[#This Row],[Name]],LEN(SP_ACQ_Lib[[#This Row],[File Name Convention]]))&lt;&gt;SP_ACQ_Lib[[#This Row],[File Name Convention]],ISERROR(SEARCH(SP_ACQ_Lib[[#This Row],[ACQ Document Type]],SP_ACQ_Lib[[#This Row],[Name]]))),1,0)</f>
        <v>0</v>
      </c>
    </row>
    <row r="450" spans="1:25" ht="15" x14ac:dyDescent="0.2">
      <c r="A450" s="157" t="str">
        <f>CONCATENATE(SP_ACQ_Lib[[#This Row],[Acquisition Tract No.]],"_",SP_ACQ_Lib[[#This Row],[ACQ Document Type]])</f>
        <v>305_CONTACT Pre-Appraisal Contact with Owner</v>
      </c>
      <c r="B450" s="14" t="s">
        <v>3400</v>
      </c>
      <c r="C450" s="45" t="s">
        <v>49</v>
      </c>
      <c r="D450" s="12" t="s">
        <v>648</v>
      </c>
      <c r="E450" s="8" t="s">
        <v>865</v>
      </c>
      <c r="F450" s="8" t="s">
        <v>1748</v>
      </c>
      <c r="G450" s="8" t="s">
        <v>1747</v>
      </c>
      <c r="H450" s="7" t="s">
        <v>592</v>
      </c>
      <c r="I450" s="16">
        <v>43796</v>
      </c>
      <c r="J450" s="16"/>
      <c r="K450" s="17"/>
      <c r="L450" s="3"/>
      <c r="M450" s="8" t="s">
        <v>4206</v>
      </c>
      <c r="N450" s="11">
        <v>43872.549618055556</v>
      </c>
      <c r="O450" s="8" t="s">
        <v>1272</v>
      </c>
      <c r="P450" s="11">
        <v>43823.622800925928</v>
      </c>
      <c r="Q450" s="13">
        <v>330441</v>
      </c>
      <c r="R450" s="46" t="s">
        <v>594</v>
      </c>
      <c r="S450" s="14" t="s">
        <v>1789</v>
      </c>
      <c r="T450" s="163">
        <v>702</v>
      </c>
      <c r="U450" s="164" t="str">
        <f>CONCATENATE(LEFT(SP_ACQ_Lib[[#This Row],[Tax Parcel ID]],7),"_",SP_ACQ_Lib[[#This Row],[ACQ Document Type]])</f>
        <v>R018590_CONTACT Pre-Appraisal Contact with Owner</v>
      </c>
      <c r="V450" s="65" t="str">
        <f>INDEX(SP_AcqTract_DB[WCAD Tax Parcel ID],MATCH(SP_ACQ_Lib[[#This Row],[Acquisition Tract No.]],SP_AcqTract_DB[Acquisition Tract No.],0))</f>
        <v>R018590;#44;#R018591;#45;#R018592;#46</v>
      </c>
      <c r="W450" s="48" t="str">
        <f>INDEX(SP_TaxPar_DB[Acquisition Tract No.],MATCH(LEFT(SP_ACQ_Lib[[#This Row],[Tax Parcel ID]],7),SP_TaxPar_DB[Tax Parcel ID],0))</f>
        <v>305</v>
      </c>
      <c r="X450" s="238" t="str">
        <f>IF(OR(SP_ACQ_Lib[[#This Row],[Acquisition Tract No.]]="",SP_ACQ_Lib[[#This Row],[ACQ Document Type]]=""),0,CONCATENATE("COW-FRMP_TR-",SP_ACQ_Lib[[#This Row],[Acquisition Tract No.]]," ",SP_ACQ_Lib[[#This Row],[ACQ Document Type]]))</f>
        <v>COW-FRMP_TR-305 CONTACT Pre-Appraisal Contact with Owner</v>
      </c>
      <c r="Y450" s="239">
        <f>IF(OR(SP_ACQ_Lib[[#This Row],[File Name Convention]]=0,LEFT(SP_ACQ_Lib[[#This Row],[Name]],LEN(SP_ACQ_Lib[[#This Row],[File Name Convention]]))&lt;&gt;SP_ACQ_Lib[[#This Row],[File Name Convention]],ISERROR(SEARCH(SP_ACQ_Lib[[#This Row],[ACQ Document Type]],SP_ACQ_Lib[[#This Row],[Name]]))),1,0)</f>
        <v>0</v>
      </c>
    </row>
    <row r="451" spans="1:25" ht="15" x14ac:dyDescent="0.2">
      <c r="A451" s="157" t="str">
        <f>CONCATENATE(SP_ACQ_Lib[[#This Row],[Acquisition Tract No.]],"_",SP_ACQ_Lib[[#This Row],[ACQ Document Type]])</f>
        <v>305_NEGOTIATION Landowner Bill of Rights Letter</v>
      </c>
      <c r="B451" s="14" t="s">
        <v>3466</v>
      </c>
      <c r="C451" s="45" t="s">
        <v>49</v>
      </c>
      <c r="D451" s="12" t="s">
        <v>648</v>
      </c>
      <c r="E451" s="8" t="s">
        <v>1142</v>
      </c>
      <c r="F451" s="8" t="s">
        <v>1746</v>
      </c>
      <c r="G451" s="8" t="s">
        <v>1745</v>
      </c>
      <c r="H451" s="7" t="s">
        <v>592</v>
      </c>
      <c r="I451" s="16">
        <v>43748</v>
      </c>
      <c r="J451" s="16"/>
      <c r="K451" s="17"/>
      <c r="L451" s="3"/>
      <c r="M451" s="8" t="s">
        <v>4206</v>
      </c>
      <c r="N451" s="11">
        <v>43893.654293981483</v>
      </c>
      <c r="O451" s="8" t="s">
        <v>4325</v>
      </c>
      <c r="P451" s="11">
        <v>43752.506388888891</v>
      </c>
      <c r="Q451" s="13">
        <v>362650</v>
      </c>
      <c r="R451" s="46" t="s">
        <v>594</v>
      </c>
      <c r="S451" s="14" t="s">
        <v>1227</v>
      </c>
      <c r="T451" s="163">
        <v>444</v>
      </c>
      <c r="U451" s="164" t="str">
        <f>CONCATENATE(LEFT(SP_ACQ_Lib[[#This Row],[Tax Parcel ID]],7),"_",SP_ACQ_Lib[[#This Row],[ACQ Document Type]])</f>
        <v>R018590_NEGOTIATION Landowner Bill of Rights Letter</v>
      </c>
      <c r="V451" s="65" t="str">
        <f>INDEX(SP_AcqTract_DB[WCAD Tax Parcel ID],MATCH(SP_ACQ_Lib[[#This Row],[Acquisition Tract No.]],SP_AcqTract_DB[Acquisition Tract No.],0))</f>
        <v>R018590;#44;#R018591;#45;#R018592;#46</v>
      </c>
      <c r="W451" s="48" t="str">
        <f>INDEX(SP_TaxPar_DB[Acquisition Tract No.],MATCH(LEFT(SP_ACQ_Lib[[#This Row],[Tax Parcel ID]],7),SP_TaxPar_DB[Tax Parcel ID],0))</f>
        <v>305</v>
      </c>
      <c r="X451" s="238" t="str">
        <f>IF(OR(SP_ACQ_Lib[[#This Row],[Acquisition Tract No.]]="",SP_ACQ_Lib[[#This Row],[ACQ Document Type]]=""),0,CONCATENATE("COW-FRMP_TR-",SP_ACQ_Lib[[#This Row],[Acquisition Tract No.]]," ",SP_ACQ_Lib[[#This Row],[ACQ Document Type]]))</f>
        <v>COW-FRMP_TR-305 NEGOTIATION Landowner Bill of Rights Letter</v>
      </c>
      <c r="Y451" s="239">
        <f>IF(OR(SP_ACQ_Lib[[#This Row],[File Name Convention]]=0,LEFT(SP_ACQ_Lib[[#This Row],[Name]],LEN(SP_ACQ_Lib[[#This Row],[File Name Convention]]))&lt;&gt;SP_ACQ_Lib[[#This Row],[File Name Convention]],ISERROR(SEARCH(SP_ACQ_Lib[[#This Row],[ACQ Document Type]],SP_ACQ_Lib[[#This Row],[Name]]))),1,0)</f>
        <v>0</v>
      </c>
    </row>
    <row r="452" spans="1:25" ht="15" x14ac:dyDescent="0.2">
      <c r="A452" s="157" t="str">
        <f>CONCATENATE(SP_ACQ_Lib[[#This Row],[Acquisition Tract No.]],"_",SP_ACQ_Lib[[#This Row],[ACQ Document Type]])</f>
        <v>305_SURVEY Description-Plat_CITY</v>
      </c>
      <c r="B452" s="14" t="s">
        <v>5054</v>
      </c>
      <c r="C452" s="45" t="s">
        <v>49</v>
      </c>
      <c r="D452" s="12" t="s">
        <v>648</v>
      </c>
      <c r="E452" s="8" t="s">
        <v>858</v>
      </c>
      <c r="F452" s="8" t="s">
        <v>3503</v>
      </c>
      <c r="G452" s="8" t="s">
        <v>3502</v>
      </c>
      <c r="H452" s="7" t="s">
        <v>592</v>
      </c>
      <c r="I452" s="16">
        <v>43942</v>
      </c>
      <c r="J452" s="16">
        <v>43963</v>
      </c>
      <c r="K452" s="17"/>
      <c r="L452" s="3"/>
      <c r="M452" s="8" t="s">
        <v>4206</v>
      </c>
      <c r="N452" s="11">
        <v>43963.682291666664</v>
      </c>
      <c r="O452" s="8" t="s">
        <v>4206</v>
      </c>
      <c r="P452" s="11">
        <v>43963.680798611109</v>
      </c>
      <c r="Q452" s="13">
        <v>274246</v>
      </c>
      <c r="R452" s="46" t="s">
        <v>594</v>
      </c>
      <c r="S452" s="14" t="s">
        <v>5060</v>
      </c>
      <c r="T452" s="163">
        <v>875</v>
      </c>
      <c r="U452" s="164" t="str">
        <f>CONCATENATE(LEFT(SP_ACQ_Lib[[#This Row],[Tax Parcel ID]],7),"_",SP_ACQ_Lib[[#This Row],[ACQ Document Type]])</f>
        <v>R018590_SURVEY Description-Plat_CITY</v>
      </c>
      <c r="V452" s="65" t="str">
        <f>INDEX(SP_AcqTract_DB[WCAD Tax Parcel ID],MATCH(SP_ACQ_Lib[[#This Row],[Acquisition Tract No.]],SP_AcqTract_DB[Acquisition Tract No.],0))</f>
        <v>R018590;#44;#R018591;#45;#R018592;#46</v>
      </c>
      <c r="W452" s="48" t="str">
        <f>INDEX(SP_TaxPar_DB[Acquisition Tract No.],MATCH(LEFT(SP_ACQ_Lib[[#This Row],[Tax Parcel ID]],7),SP_TaxPar_DB[Tax Parcel ID],0))</f>
        <v>305</v>
      </c>
      <c r="X452" s="238" t="str">
        <f>IF(OR(SP_ACQ_Lib[[#This Row],[Acquisition Tract No.]]="",SP_ACQ_Lib[[#This Row],[ACQ Document Type]]=""),0,CONCATENATE("COW-FRMP_TR-",SP_ACQ_Lib[[#This Row],[Acquisition Tract No.]]," ",SP_ACQ_Lib[[#This Row],[ACQ Document Type]]))</f>
        <v>COW-FRMP_TR-305 SURVEY Description-Plat_CITY</v>
      </c>
      <c r="Y452" s="239">
        <f>IF(OR(SP_ACQ_Lib[[#This Row],[File Name Convention]]=0,LEFT(SP_ACQ_Lib[[#This Row],[Name]],LEN(SP_ACQ_Lib[[#This Row],[File Name Convention]]))&lt;&gt;SP_ACQ_Lib[[#This Row],[File Name Convention]],ISERROR(SEARCH(SP_ACQ_Lib[[#This Row],[ACQ Document Type]],SP_ACQ_Lib[[#This Row],[Name]]))),1,0)</f>
        <v>0</v>
      </c>
    </row>
    <row r="453" spans="1:25" ht="15" x14ac:dyDescent="0.2">
      <c r="A453" s="157" t="str">
        <f>CONCATENATE(SP_ACQ_Lib[[#This Row],[Acquisition Tract No.]],"_",SP_ACQ_Lib[[#This Row],[ACQ Document Type]])</f>
        <v>305_SURVEY Description-Plat_USACOE</v>
      </c>
      <c r="B453" s="14" t="s">
        <v>5055</v>
      </c>
      <c r="C453" s="45" t="s">
        <v>49</v>
      </c>
      <c r="D453" s="12" t="s">
        <v>648</v>
      </c>
      <c r="E453" s="8" t="s">
        <v>858</v>
      </c>
      <c r="F453" s="8" t="s">
        <v>3510</v>
      </c>
      <c r="G453" s="8" t="s">
        <v>3509</v>
      </c>
      <c r="H453" s="7" t="s">
        <v>592</v>
      </c>
      <c r="I453" s="16">
        <v>43942</v>
      </c>
      <c r="J453" s="16">
        <v>43963</v>
      </c>
      <c r="K453" s="17"/>
      <c r="L453" s="3"/>
      <c r="M453" s="8" t="s">
        <v>4206</v>
      </c>
      <c r="N453" s="11">
        <v>43963.682500000003</v>
      </c>
      <c r="O453" s="8" t="s">
        <v>4206</v>
      </c>
      <c r="P453" s="11">
        <v>43963.680810185186</v>
      </c>
      <c r="Q453" s="13">
        <v>274625</v>
      </c>
      <c r="R453" s="46" t="s">
        <v>594</v>
      </c>
      <c r="S453" s="14" t="s">
        <v>5061</v>
      </c>
      <c r="T453" s="163">
        <v>876</v>
      </c>
      <c r="U453" s="164" t="str">
        <f>CONCATENATE(LEFT(SP_ACQ_Lib[[#This Row],[Tax Parcel ID]],7),"_",SP_ACQ_Lib[[#This Row],[ACQ Document Type]])</f>
        <v>R018590_SURVEY Description-Plat_USACOE</v>
      </c>
      <c r="V453" s="65" t="str">
        <f>INDEX(SP_AcqTract_DB[WCAD Tax Parcel ID],MATCH(SP_ACQ_Lib[[#This Row],[Acquisition Tract No.]],SP_AcqTract_DB[Acquisition Tract No.],0))</f>
        <v>R018590;#44;#R018591;#45;#R018592;#46</v>
      </c>
      <c r="W453" s="48" t="str">
        <f>INDEX(SP_TaxPar_DB[Acquisition Tract No.],MATCH(LEFT(SP_ACQ_Lib[[#This Row],[Tax Parcel ID]],7),SP_TaxPar_DB[Tax Parcel ID],0))</f>
        <v>305</v>
      </c>
      <c r="X453" s="238" t="str">
        <f>IF(OR(SP_ACQ_Lib[[#This Row],[Acquisition Tract No.]]="",SP_ACQ_Lib[[#This Row],[ACQ Document Type]]=""),0,CONCATENATE("COW-FRMP_TR-",SP_ACQ_Lib[[#This Row],[Acquisition Tract No.]]," ",SP_ACQ_Lib[[#This Row],[ACQ Document Type]]))</f>
        <v>COW-FRMP_TR-305 SURVEY Description-Plat_USACOE</v>
      </c>
      <c r="Y453" s="239">
        <f>IF(OR(SP_ACQ_Lib[[#This Row],[File Name Convention]]=0,LEFT(SP_ACQ_Lib[[#This Row],[Name]],LEN(SP_ACQ_Lib[[#This Row],[File Name Convention]]))&lt;&gt;SP_ACQ_Lib[[#This Row],[File Name Convention]],ISERROR(SEARCH(SP_ACQ_Lib[[#This Row],[ACQ Document Type]],SP_ACQ_Lib[[#This Row],[Name]]))),1,0)</f>
        <v>0</v>
      </c>
    </row>
    <row r="454" spans="1:25" ht="15" x14ac:dyDescent="0.2">
      <c r="A454" s="157" t="str">
        <f>CONCATENATE(SP_ACQ_Lib[[#This Row],[Acquisition Tract No.]],"_",SP_ACQ_Lib[[#This Row],[ACQ Document Type]])</f>
        <v>305_SURVEY Right-of-Entry</v>
      </c>
      <c r="B454" s="14" t="s">
        <v>4474</v>
      </c>
      <c r="C454" s="45" t="s">
        <v>49</v>
      </c>
      <c r="D454" s="12" t="s">
        <v>648</v>
      </c>
      <c r="E454" s="8" t="s">
        <v>858</v>
      </c>
      <c r="F454" s="8" t="s">
        <v>859</v>
      </c>
      <c r="G454" s="8" t="s">
        <v>591</v>
      </c>
      <c r="H454" s="7" t="s">
        <v>592</v>
      </c>
      <c r="I454" s="16">
        <v>43689</v>
      </c>
      <c r="J454" s="16"/>
      <c r="K454" s="17"/>
      <c r="L454" s="3"/>
      <c r="M454" s="8" t="s">
        <v>4206</v>
      </c>
      <c r="N454" s="11">
        <v>43893.661215277774</v>
      </c>
      <c r="O454" s="8" t="s">
        <v>4206</v>
      </c>
      <c r="P454" s="11">
        <v>43893.660219907404</v>
      </c>
      <c r="Q454" s="13">
        <v>2530337</v>
      </c>
      <c r="R454" s="46" t="s">
        <v>594</v>
      </c>
      <c r="S454" s="14" t="s">
        <v>4506</v>
      </c>
      <c r="T454" s="163">
        <v>771</v>
      </c>
      <c r="U454" s="164" t="str">
        <f>CONCATENATE(LEFT(SP_ACQ_Lib[[#This Row],[Tax Parcel ID]],7),"_",SP_ACQ_Lib[[#This Row],[ACQ Document Type]])</f>
        <v>R018590_SURVEY Right-of-Entry</v>
      </c>
      <c r="V454" s="65" t="str">
        <f>INDEX(SP_AcqTract_DB[WCAD Tax Parcel ID],MATCH(SP_ACQ_Lib[[#This Row],[Acquisition Tract No.]],SP_AcqTract_DB[Acquisition Tract No.],0))</f>
        <v>R018590;#44;#R018591;#45;#R018592;#46</v>
      </c>
      <c r="W454" s="48" t="str">
        <f>INDEX(SP_TaxPar_DB[Acquisition Tract No.],MATCH(LEFT(SP_ACQ_Lib[[#This Row],[Tax Parcel ID]],7),SP_TaxPar_DB[Tax Parcel ID],0))</f>
        <v>305</v>
      </c>
      <c r="X454" s="238" t="str">
        <f>IF(OR(SP_ACQ_Lib[[#This Row],[Acquisition Tract No.]]="",SP_ACQ_Lib[[#This Row],[ACQ Document Type]]=""),0,CONCATENATE("COW-FRMP_TR-",SP_ACQ_Lib[[#This Row],[Acquisition Tract No.]]," ",SP_ACQ_Lib[[#This Row],[ACQ Document Type]]))</f>
        <v>COW-FRMP_TR-305 SURVEY Right-of-Entry</v>
      </c>
      <c r="Y454" s="239">
        <f>IF(OR(SP_ACQ_Lib[[#This Row],[File Name Convention]]=0,LEFT(SP_ACQ_Lib[[#This Row],[Name]],LEN(SP_ACQ_Lib[[#This Row],[File Name Convention]]))&lt;&gt;SP_ACQ_Lib[[#This Row],[File Name Convention]],ISERROR(SEARCH(SP_ACQ_Lib[[#This Row],[ACQ Document Type]],SP_ACQ_Lib[[#This Row],[Name]]))),1,0)</f>
        <v>0</v>
      </c>
    </row>
    <row r="455" spans="1:25" ht="15" x14ac:dyDescent="0.2">
      <c r="A455" s="157" t="str">
        <f>CONCATENATE(SP_ACQ_Lib[[#This Row],[Acquisition Tract No.]],"_",SP_ACQ_Lib[[#This Row],[ACQ Document Type]])</f>
        <v>305_TITLE Commitment</v>
      </c>
      <c r="B455" s="14" t="s">
        <v>1539</v>
      </c>
      <c r="C455" s="45" t="s">
        <v>49</v>
      </c>
      <c r="D455" s="12" t="s">
        <v>648</v>
      </c>
      <c r="E455" s="8" t="s">
        <v>861</v>
      </c>
      <c r="F455" s="8" t="s">
        <v>862</v>
      </c>
      <c r="G455" s="8" t="s">
        <v>614</v>
      </c>
      <c r="H455" s="7" t="s">
        <v>592</v>
      </c>
      <c r="I455" s="16">
        <v>43980</v>
      </c>
      <c r="J455" s="16">
        <v>43991</v>
      </c>
      <c r="K455" s="17"/>
      <c r="L455" s="3" t="s">
        <v>5909</v>
      </c>
      <c r="M455" s="8" t="s">
        <v>4325</v>
      </c>
      <c r="N455" s="11">
        <v>43991.675810185188</v>
      </c>
      <c r="O455" s="8" t="s">
        <v>4326</v>
      </c>
      <c r="P455" s="11">
        <v>43689.367534722223</v>
      </c>
      <c r="Q455" s="13">
        <v>2017451</v>
      </c>
      <c r="R455" s="46" t="s">
        <v>594</v>
      </c>
      <c r="S455" s="14" t="s">
        <v>791</v>
      </c>
      <c r="T455" s="163">
        <v>13</v>
      </c>
      <c r="U455" s="164" t="str">
        <f>CONCATENATE(LEFT(SP_ACQ_Lib[[#This Row],[Tax Parcel ID]],7),"_",SP_ACQ_Lib[[#This Row],[ACQ Document Type]])</f>
        <v>R018590_TITLE Commitment</v>
      </c>
      <c r="V455" s="65" t="str">
        <f>INDEX(SP_AcqTract_DB[WCAD Tax Parcel ID],MATCH(SP_ACQ_Lib[[#This Row],[Acquisition Tract No.]],SP_AcqTract_DB[Acquisition Tract No.],0))</f>
        <v>R018590;#44;#R018591;#45;#R018592;#46</v>
      </c>
      <c r="W455" s="48" t="str">
        <f>INDEX(SP_TaxPar_DB[Acquisition Tract No.],MATCH(LEFT(SP_ACQ_Lib[[#This Row],[Tax Parcel ID]],7),SP_TaxPar_DB[Tax Parcel ID],0))</f>
        <v>305</v>
      </c>
      <c r="X455" s="238" t="str">
        <f>IF(OR(SP_ACQ_Lib[[#This Row],[Acquisition Tract No.]]="",SP_ACQ_Lib[[#This Row],[ACQ Document Type]]=""),0,CONCATENATE("COW-FRMP_TR-",SP_ACQ_Lib[[#This Row],[Acquisition Tract No.]]," ",SP_ACQ_Lib[[#This Row],[ACQ Document Type]]))</f>
        <v>COW-FRMP_TR-305 TITLE Commitment</v>
      </c>
      <c r="Y455" s="239">
        <f>IF(OR(SP_ACQ_Lib[[#This Row],[File Name Convention]]=0,LEFT(SP_ACQ_Lib[[#This Row],[Name]],LEN(SP_ACQ_Lib[[#This Row],[File Name Convention]]))&lt;&gt;SP_ACQ_Lib[[#This Row],[File Name Convention]],ISERROR(SEARCH(SP_ACQ_Lib[[#This Row],[ACQ Document Type]],SP_ACQ_Lib[[#This Row],[Name]]))),1,0)</f>
        <v>0</v>
      </c>
    </row>
    <row r="456" spans="1:25" ht="15" x14ac:dyDescent="0.2">
      <c r="A456" s="157" t="str">
        <f>CONCATENATE(SP_ACQ_Lib[[#This Row],[Acquisition Tract No.]],"_",SP_ACQ_Lib[[#This Row],[ACQ Document Type]])</f>
        <v>305_TITLE Commitment Backup Docs</v>
      </c>
      <c r="B456" s="14" t="s">
        <v>1540</v>
      </c>
      <c r="C456" s="45" t="s">
        <v>49</v>
      </c>
      <c r="D456" s="12" t="s">
        <v>648</v>
      </c>
      <c r="E456" s="8" t="s">
        <v>861</v>
      </c>
      <c r="F456" s="8" t="s">
        <v>863</v>
      </c>
      <c r="G456" s="8" t="s">
        <v>616</v>
      </c>
      <c r="H456" s="7" t="s">
        <v>592</v>
      </c>
      <c r="I456" s="16"/>
      <c r="J456" s="16"/>
      <c r="K456" s="17"/>
      <c r="L456" s="3"/>
      <c r="M456" s="8" t="s">
        <v>4325</v>
      </c>
      <c r="N456" s="11">
        <v>43854.492083333331</v>
      </c>
      <c r="O456" s="8" t="s">
        <v>4326</v>
      </c>
      <c r="P456" s="11">
        <v>43689.36822916667</v>
      </c>
      <c r="Q456" s="13">
        <v>2909771</v>
      </c>
      <c r="R456" s="46" t="s">
        <v>594</v>
      </c>
      <c r="S456" s="14" t="s">
        <v>792</v>
      </c>
      <c r="T456" s="163">
        <v>14</v>
      </c>
      <c r="U456" s="164" t="str">
        <f>CONCATENATE(LEFT(SP_ACQ_Lib[[#This Row],[Tax Parcel ID]],7),"_",SP_ACQ_Lib[[#This Row],[ACQ Document Type]])</f>
        <v>R018590_TITLE Commitment Backup Docs</v>
      </c>
      <c r="V456" s="65" t="str">
        <f>INDEX(SP_AcqTract_DB[WCAD Tax Parcel ID],MATCH(SP_ACQ_Lib[[#This Row],[Acquisition Tract No.]],SP_AcqTract_DB[Acquisition Tract No.],0))</f>
        <v>R018590;#44;#R018591;#45;#R018592;#46</v>
      </c>
      <c r="W456" s="48" t="str">
        <f>INDEX(SP_TaxPar_DB[Acquisition Tract No.],MATCH(LEFT(SP_ACQ_Lib[[#This Row],[Tax Parcel ID]],7),SP_TaxPar_DB[Tax Parcel ID],0))</f>
        <v>305</v>
      </c>
      <c r="X456" s="238" t="str">
        <f>IF(OR(SP_ACQ_Lib[[#This Row],[Acquisition Tract No.]]="",SP_ACQ_Lib[[#This Row],[ACQ Document Type]]=""),0,CONCATENATE("COW-FRMP_TR-",SP_ACQ_Lib[[#This Row],[Acquisition Tract No.]]," ",SP_ACQ_Lib[[#This Row],[ACQ Document Type]]))</f>
        <v>COW-FRMP_TR-305 TITLE Commitment Backup Docs</v>
      </c>
      <c r="Y456" s="239">
        <f>IF(OR(SP_ACQ_Lib[[#This Row],[File Name Convention]]=0,LEFT(SP_ACQ_Lib[[#This Row],[Name]],LEN(SP_ACQ_Lib[[#This Row],[File Name Convention]]))&lt;&gt;SP_ACQ_Lib[[#This Row],[File Name Convention]],ISERROR(SEARCH(SP_ACQ_Lib[[#This Row],[ACQ Document Type]],SP_ACQ_Lib[[#This Row],[Name]]))),1,0)</f>
        <v>0</v>
      </c>
    </row>
    <row r="457" spans="1:25" ht="15" x14ac:dyDescent="0.2">
      <c r="A457" s="157" t="str">
        <f>CONCATENATE(SP_ACQ_Lib[[#This Row],[Acquisition Tract No.]],"_",SP_ACQ_Lib[[#This Row],[ACQ Document Type]])</f>
        <v>305_TITLE Curative Plan</v>
      </c>
      <c r="B457" s="14" t="s">
        <v>1541</v>
      </c>
      <c r="C457" s="45" t="s">
        <v>49</v>
      </c>
      <c r="D457" s="12" t="s">
        <v>648</v>
      </c>
      <c r="E457" s="8" t="s">
        <v>861</v>
      </c>
      <c r="F457" s="8" t="s">
        <v>864</v>
      </c>
      <c r="G457" s="8" t="s">
        <v>617</v>
      </c>
      <c r="H457" s="7" t="s">
        <v>592</v>
      </c>
      <c r="I457" s="16">
        <v>43812</v>
      </c>
      <c r="J457" s="16"/>
      <c r="K457" s="17"/>
      <c r="L457" s="3"/>
      <c r="M457" s="8" t="s">
        <v>4325</v>
      </c>
      <c r="N457" s="11">
        <v>43991.675115740742</v>
      </c>
      <c r="O457" s="8" t="s">
        <v>4326</v>
      </c>
      <c r="P457" s="11">
        <v>43745.574513888889</v>
      </c>
      <c r="Q457" s="13">
        <v>36542</v>
      </c>
      <c r="R457" s="46" t="s">
        <v>594</v>
      </c>
      <c r="S457" s="14" t="s">
        <v>1228</v>
      </c>
      <c r="T457" s="163">
        <v>407</v>
      </c>
      <c r="U457" s="164" t="str">
        <f>CONCATENATE(LEFT(SP_ACQ_Lib[[#This Row],[Tax Parcel ID]],7),"_",SP_ACQ_Lib[[#This Row],[ACQ Document Type]])</f>
        <v>R018590_TITLE Curative Plan</v>
      </c>
      <c r="V457" s="65" t="str">
        <f>INDEX(SP_AcqTract_DB[WCAD Tax Parcel ID],MATCH(SP_ACQ_Lib[[#This Row],[Acquisition Tract No.]],SP_AcqTract_DB[Acquisition Tract No.],0))</f>
        <v>R018590;#44;#R018591;#45;#R018592;#46</v>
      </c>
      <c r="W457" s="48" t="str">
        <f>INDEX(SP_TaxPar_DB[Acquisition Tract No.],MATCH(LEFT(SP_ACQ_Lib[[#This Row],[Tax Parcel ID]],7),SP_TaxPar_DB[Tax Parcel ID],0))</f>
        <v>305</v>
      </c>
      <c r="X457" s="238" t="str">
        <f>IF(OR(SP_ACQ_Lib[[#This Row],[Acquisition Tract No.]]="",SP_ACQ_Lib[[#This Row],[ACQ Document Type]]=""),0,CONCATENATE("COW-FRMP_TR-",SP_ACQ_Lib[[#This Row],[Acquisition Tract No.]]," ",SP_ACQ_Lib[[#This Row],[ACQ Document Type]]))</f>
        <v>COW-FRMP_TR-305 TITLE Curative Plan</v>
      </c>
      <c r="Y457" s="239">
        <f>IF(OR(SP_ACQ_Lib[[#This Row],[File Name Convention]]=0,LEFT(SP_ACQ_Lib[[#This Row],[Name]],LEN(SP_ACQ_Lib[[#This Row],[File Name Convention]]))&lt;&gt;SP_ACQ_Lib[[#This Row],[File Name Convention]],ISERROR(SEARCH(SP_ACQ_Lib[[#This Row],[ACQ Document Type]],SP_ACQ_Lib[[#This Row],[Name]]))),1,0)</f>
        <v>0</v>
      </c>
    </row>
    <row r="458" spans="1:25" ht="15" x14ac:dyDescent="0.2">
      <c r="A458" s="157" t="str">
        <f>CONCATENATE(SP_ACQ_Lib[[#This Row],[Acquisition Tract No.]],"_",SP_ACQ_Lib[[#This Row],[ACQ Document Type]])</f>
        <v>305_TITLE Tax Card</v>
      </c>
      <c r="B458" s="14" t="s">
        <v>4475</v>
      </c>
      <c r="C458" s="45" t="s">
        <v>49</v>
      </c>
      <c r="D458" s="12" t="s">
        <v>648</v>
      </c>
      <c r="E458" s="8" t="s">
        <v>861</v>
      </c>
      <c r="F458" s="8" t="s">
        <v>1150</v>
      </c>
      <c r="G458" s="8" t="s">
        <v>1149</v>
      </c>
      <c r="H458" s="7" t="s">
        <v>592</v>
      </c>
      <c r="I458" s="16"/>
      <c r="J458" s="16"/>
      <c r="K458" s="17"/>
      <c r="L458" s="3" t="s">
        <v>4448</v>
      </c>
      <c r="M458" s="8" t="s">
        <v>4206</v>
      </c>
      <c r="N458" s="11">
        <v>43893.664247685185</v>
      </c>
      <c r="O458" s="8" t="s">
        <v>4206</v>
      </c>
      <c r="P458" s="11">
        <v>43893.663541666669</v>
      </c>
      <c r="Q458" s="13">
        <v>756158</v>
      </c>
      <c r="R458" s="46" t="s">
        <v>594</v>
      </c>
      <c r="S458" s="14" t="s">
        <v>4507</v>
      </c>
      <c r="T458" s="163">
        <v>772</v>
      </c>
      <c r="U458" s="164" t="str">
        <f>CONCATENATE(LEFT(SP_ACQ_Lib[[#This Row],[Tax Parcel ID]],7),"_",SP_ACQ_Lib[[#This Row],[ACQ Document Type]])</f>
        <v>R018590_TITLE Tax Card</v>
      </c>
      <c r="V458" s="65" t="str">
        <f>INDEX(SP_AcqTract_DB[WCAD Tax Parcel ID],MATCH(SP_ACQ_Lib[[#This Row],[Acquisition Tract No.]],SP_AcqTract_DB[Acquisition Tract No.],0))</f>
        <v>R018590;#44;#R018591;#45;#R018592;#46</v>
      </c>
      <c r="W458" s="48" t="str">
        <f>INDEX(SP_TaxPar_DB[Acquisition Tract No.],MATCH(LEFT(SP_ACQ_Lib[[#This Row],[Tax Parcel ID]],7),SP_TaxPar_DB[Tax Parcel ID],0))</f>
        <v>305</v>
      </c>
      <c r="X458" s="238" t="str">
        <f>IF(OR(SP_ACQ_Lib[[#This Row],[Acquisition Tract No.]]="",SP_ACQ_Lib[[#This Row],[ACQ Document Type]]=""),0,CONCATENATE("COW-FRMP_TR-",SP_ACQ_Lib[[#This Row],[Acquisition Tract No.]]," ",SP_ACQ_Lib[[#This Row],[ACQ Document Type]]))</f>
        <v>COW-FRMP_TR-305 TITLE Tax Card</v>
      </c>
      <c r="Y458" s="239">
        <f>IF(OR(SP_ACQ_Lib[[#This Row],[File Name Convention]]=0,LEFT(SP_ACQ_Lib[[#This Row],[Name]],LEN(SP_ACQ_Lib[[#This Row],[File Name Convention]]))&lt;&gt;SP_ACQ_Lib[[#This Row],[File Name Convention]],ISERROR(SEARCH(SP_ACQ_Lib[[#This Row],[ACQ Document Type]],SP_ACQ_Lib[[#This Row],[Name]]))),1,0)</f>
        <v>0</v>
      </c>
    </row>
    <row r="459" spans="1:25" ht="15" x14ac:dyDescent="0.2">
      <c r="A459" s="157" t="str">
        <f>CONCATENATE(SP_ACQ_Lib[[#This Row],[Acquisition Tract No.]],"_",SP_ACQ_Lib[[#This Row],[ACQ Document Type]])</f>
        <v>305MH_CONTACT Letter of Intent-HDR</v>
      </c>
      <c r="B459" s="14" t="s">
        <v>1542</v>
      </c>
      <c r="C459" s="45" t="s">
        <v>878</v>
      </c>
      <c r="D459" s="12" t="s">
        <v>879</v>
      </c>
      <c r="E459" s="8" t="s">
        <v>865</v>
      </c>
      <c r="F459" s="8" t="s">
        <v>1401</v>
      </c>
      <c r="G459" s="8" t="s">
        <v>1400</v>
      </c>
      <c r="H459" s="7" t="s">
        <v>592</v>
      </c>
      <c r="I459" s="16">
        <v>43765</v>
      </c>
      <c r="J459" s="16"/>
      <c r="K459" s="17"/>
      <c r="L459" s="3"/>
      <c r="M459" s="8" t="s">
        <v>23</v>
      </c>
      <c r="N459" s="11">
        <v>43770.449224537035</v>
      </c>
      <c r="O459" s="8" t="s">
        <v>1272</v>
      </c>
      <c r="P459" s="11">
        <v>43769.635891203703</v>
      </c>
      <c r="Q459" s="13">
        <v>352682</v>
      </c>
      <c r="R459" s="46" t="s">
        <v>594</v>
      </c>
      <c r="S459" s="14" t="s">
        <v>1648</v>
      </c>
      <c r="T459" s="163">
        <v>540</v>
      </c>
      <c r="U459" s="164" t="str">
        <f>CONCATENATE(LEFT(SP_ACQ_Lib[[#This Row],[Tax Parcel ID]],7),"_",SP_ACQ_Lib[[#This Row],[ACQ Document Type]])</f>
        <v>R056768_CONTACT Letter of Intent-HDR</v>
      </c>
      <c r="V459" s="65" t="str">
        <f>INDEX(SP_AcqTract_DB[WCAD Tax Parcel ID],MATCH(SP_ACQ_Lib[[#This Row],[Acquisition Tract No.]],SP_AcqTract_DB[Acquisition Tract No.],0))</f>
        <v>R056768;#88</v>
      </c>
      <c r="W459" s="48" t="str">
        <f>INDEX(SP_TaxPar_DB[Acquisition Tract No.],MATCH(LEFT(SP_ACQ_Lib[[#This Row],[Tax Parcel ID]],7),SP_TaxPar_DB[Tax Parcel ID],0))</f>
        <v>305MH</v>
      </c>
      <c r="X459" s="238" t="str">
        <f>IF(OR(SP_ACQ_Lib[[#This Row],[Acquisition Tract No.]]="",SP_ACQ_Lib[[#This Row],[ACQ Document Type]]=""),0,CONCATENATE("COW-FRMP_TR-",SP_ACQ_Lib[[#This Row],[Acquisition Tract No.]]," ",SP_ACQ_Lib[[#This Row],[ACQ Document Type]]))</f>
        <v>COW-FRMP_TR-305MH CONTACT Letter of Intent-HDR</v>
      </c>
      <c r="Y459" s="239">
        <f>IF(OR(SP_ACQ_Lib[[#This Row],[File Name Convention]]=0,LEFT(SP_ACQ_Lib[[#This Row],[Name]],LEN(SP_ACQ_Lib[[#This Row],[File Name Convention]]))&lt;&gt;SP_ACQ_Lib[[#This Row],[File Name Convention]],ISERROR(SEARCH(SP_ACQ_Lib[[#This Row],[ACQ Document Type]],SP_ACQ_Lib[[#This Row],[Name]]))),1,0)</f>
        <v>0</v>
      </c>
    </row>
    <row r="460" spans="1:25" ht="15" x14ac:dyDescent="0.2">
      <c r="A460" s="157" t="str">
        <f>CONCATENATE(SP_ACQ_Lib[[#This Row],[Acquisition Tract No.]],"_",SP_ACQ_Lib[[#This Row],[ACQ Document Type]])</f>
        <v>305MH_CONTACT Negotiator Report</v>
      </c>
      <c r="B460" s="14" t="s">
        <v>3401</v>
      </c>
      <c r="C460" s="45" t="s">
        <v>878</v>
      </c>
      <c r="D460" s="12" t="s">
        <v>879</v>
      </c>
      <c r="E460" s="8" t="s">
        <v>865</v>
      </c>
      <c r="F460" s="8" t="s">
        <v>1068</v>
      </c>
      <c r="G460" s="8" t="s">
        <v>1067</v>
      </c>
      <c r="H460" s="7" t="s">
        <v>592</v>
      </c>
      <c r="I460" s="16"/>
      <c r="J460" s="16"/>
      <c r="K460" s="17"/>
      <c r="L460" s="3"/>
      <c r="M460" s="8" t="s">
        <v>1743</v>
      </c>
      <c r="N460" s="11">
        <v>43998.651412037034</v>
      </c>
      <c r="O460" s="8" t="s">
        <v>4325</v>
      </c>
      <c r="P460" s="11">
        <v>43728.655798611115</v>
      </c>
      <c r="Q460" s="13">
        <v>274799</v>
      </c>
      <c r="R460" s="46" t="s">
        <v>1069</v>
      </c>
      <c r="S460" s="14" t="s">
        <v>1102</v>
      </c>
      <c r="T460" s="163">
        <v>319</v>
      </c>
      <c r="U460" s="164" t="str">
        <f>CONCATENATE(LEFT(SP_ACQ_Lib[[#This Row],[Tax Parcel ID]],7),"_",SP_ACQ_Lib[[#This Row],[ACQ Document Type]])</f>
        <v>R056768_CONTACT Negotiator Report</v>
      </c>
      <c r="V460" s="65" t="str">
        <f>INDEX(SP_AcqTract_DB[WCAD Tax Parcel ID],MATCH(SP_ACQ_Lib[[#This Row],[Acquisition Tract No.]],SP_AcqTract_DB[Acquisition Tract No.],0))</f>
        <v>R056768;#88</v>
      </c>
      <c r="W460" s="48" t="str">
        <f>INDEX(SP_TaxPar_DB[Acquisition Tract No.],MATCH(LEFT(SP_ACQ_Lib[[#This Row],[Tax Parcel ID]],7),SP_TaxPar_DB[Tax Parcel ID],0))</f>
        <v>305MH</v>
      </c>
      <c r="X460" s="238" t="str">
        <f>IF(OR(SP_ACQ_Lib[[#This Row],[Acquisition Tract No.]]="",SP_ACQ_Lib[[#This Row],[ACQ Document Type]]=""),0,CONCATENATE("COW-FRMP_TR-",SP_ACQ_Lib[[#This Row],[Acquisition Tract No.]]," ",SP_ACQ_Lib[[#This Row],[ACQ Document Type]]))</f>
        <v>COW-FRMP_TR-305MH CONTACT Negotiator Report</v>
      </c>
      <c r="Y460" s="239">
        <f>IF(OR(SP_ACQ_Lib[[#This Row],[File Name Convention]]=0,LEFT(SP_ACQ_Lib[[#This Row],[Name]],LEN(SP_ACQ_Lib[[#This Row],[File Name Convention]]))&lt;&gt;SP_ACQ_Lib[[#This Row],[File Name Convention]],ISERROR(SEARCH(SP_ACQ_Lib[[#This Row],[ACQ Document Type]],SP_ACQ_Lib[[#This Row],[Name]]))),1,0)</f>
        <v>0</v>
      </c>
    </row>
    <row r="461" spans="1:25" ht="15" x14ac:dyDescent="0.2">
      <c r="A461" s="157" t="str">
        <f>CONCATENATE(SP_ACQ_Lib[[#This Row],[Acquisition Tract No.]],"_",SP_ACQ_Lib[[#This Row],[ACQ Document Type]])</f>
        <v>305MH_SURVEY Right-of-Entry CMRR</v>
      </c>
      <c r="B461" s="14" t="s">
        <v>4593</v>
      </c>
      <c r="C461" s="45" t="s">
        <v>878</v>
      </c>
      <c r="D461" s="12" t="s">
        <v>879</v>
      </c>
      <c r="E461" s="8" t="s">
        <v>858</v>
      </c>
      <c r="F461" s="8" t="s">
        <v>860</v>
      </c>
      <c r="G461" s="8" t="s">
        <v>598</v>
      </c>
      <c r="H461" s="7" t="s">
        <v>608</v>
      </c>
      <c r="I461" s="16">
        <v>43727</v>
      </c>
      <c r="J461" s="16">
        <v>43754</v>
      </c>
      <c r="K461" s="17"/>
      <c r="L461" s="3" t="s">
        <v>4560</v>
      </c>
      <c r="M461" s="8" t="s">
        <v>4206</v>
      </c>
      <c r="N461" s="11">
        <v>43923.478449074071</v>
      </c>
      <c r="O461" s="8" t="s">
        <v>4325</v>
      </c>
      <c r="P461" s="11">
        <v>43728.396087962959</v>
      </c>
      <c r="Q461" s="13">
        <v>527225</v>
      </c>
      <c r="R461" s="46" t="s">
        <v>594</v>
      </c>
      <c r="S461" s="14" t="s">
        <v>881</v>
      </c>
      <c r="T461" s="163">
        <v>249</v>
      </c>
      <c r="U461" s="164" t="str">
        <f>CONCATENATE(LEFT(SP_ACQ_Lib[[#This Row],[Tax Parcel ID]],7),"_",SP_ACQ_Lib[[#This Row],[ACQ Document Type]])</f>
        <v>R056768_SURVEY Right-of-Entry CMRR</v>
      </c>
      <c r="V461" s="65" t="str">
        <f>INDEX(SP_AcqTract_DB[WCAD Tax Parcel ID],MATCH(SP_ACQ_Lib[[#This Row],[Acquisition Tract No.]],SP_AcqTract_DB[Acquisition Tract No.],0))</f>
        <v>R056768;#88</v>
      </c>
      <c r="W461" s="48" t="str">
        <f>INDEX(SP_TaxPar_DB[Acquisition Tract No.],MATCH(LEFT(SP_ACQ_Lib[[#This Row],[Tax Parcel ID]],7),SP_TaxPar_DB[Tax Parcel ID],0))</f>
        <v>305MH</v>
      </c>
      <c r="X461" s="238" t="str">
        <f>IF(OR(SP_ACQ_Lib[[#This Row],[Acquisition Tract No.]]="",SP_ACQ_Lib[[#This Row],[ACQ Document Type]]=""),0,CONCATENATE("COW-FRMP_TR-",SP_ACQ_Lib[[#This Row],[Acquisition Tract No.]]," ",SP_ACQ_Lib[[#This Row],[ACQ Document Type]]))</f>
        <v>COW-FRMP_TR-305MH SURVEY Right-of-Entry CMRR</v>
      </c>
      <c r="Y461" s="239">
        <f>IF(OR(SP_ACQ_Lib[[#This Row],[File Name Convention]]=0,LEFT(SP_ACQ_Lib[[#This Row],[Name]],LEN(SP_ACQ_Lib[[#This Row],[File Name Convention]]))&lt;&gt;SP_ACQ_Lib[[#This Row],[File Name Convention]],ISERROR(SEARCH(SP_ACQ_Lib[[#This Row],[ACQ Document Type]],SP_ACQ_Lib[[#This Row],[Name]]))),1,0)</f>
        <v>0</v>
      </c>
    </row>
    <row r="462" spans="1:25" ht="15" x14ac:dyDescent="0.2">
      <c r="A462" s="157" t="str">
        <f>CONCATENATE(SP_ACQ_Lib[[#This Row],[Acquisition Tract No.]],"_",SP_ACQ_Lib[[#This Row],[ACQ Document Type]])</f>
        <v>305MH_TITLE Tax Card</v>
      </c>
      <c r="B462" s="14" t="s">
        <v>3467</v>
      </c>
      <c r="C462" s="45" t="s">
        <v>878</v>
      </c>
      <c r="D462" s="12" t="s">
        <v>879</v>
      </c>
      <c r="E462" s="8" t="s">
        <v>861</v>
      </c>
      <c r="F462" s="8" t="s">
        <v>1150</v>
      </c>
      <c r="G462" s="8" t="s">
        <v>1149</v>
      </c>
      <c r="H462" s="7" t="s">
        <v>592</v>
      </c>
      <c r="I462" s="16"/>
      <c r="J462" s="16"/>
      <c r="K462" s="17"/>
      <c r="L462" s="3"/>
      <c r="M462" s="8" t="s">
        <v>4206</v>
      </c>
      <c r="N462" s="11">
        <v>43874.593923611108</v>
      </c>
      <c r="O462" s="8" t="s">
        <v>1272</v>
      </c>
      <c r="P462" s="11">
        <v>43817.479884259257</v>
      </c>
      <c r="Q462" s="13">
        <v>177864</v>
      </c>
      <c r="R462" s="46" t="s">
        <v>594</v>
      </c>
      <c r="S462" s="14" t="s">
        <v>1790</v>
      </c>
      <c r="T462" s="163">
        <v>648</v>
      </c>
      <c r="U462" s="164" t="str">
        <f>CONCATENATE(LEFT(SP_ACQ_Lib[[#This Row],[Tax Parcel ID]],7),"_",SP_ACQ_Lib[[#This Row],[ACQ Document Type]])</f>
        <v>R056768_TITLE Tax Card</v>
      </c>
      <c r="V462" s="65" t="str">
        <f>INDEX(SP_AcqTract_DB[WCAD Tax Parcel ID],MATCH(SP_ACQ_Lib[[#This Row],[Acquisition Tract No.]],SP_AcqTract_DB[Acquisition Tract No.],0))</f>
        <v>R056768;#88</v>
      </c>
      <c r="W462" s="48" t="str">
        <f>INDEX(SP_TaxPar_DB[Acquisition Tract No.],MATCH(LEFT(SP_ACQ_Lib[[#This Row],[Tax Parcel ID]],7),SP_TaxPar_DB[Tax Parcel ID],0))</f>
        <v>305MH</v>
      </c>
      <c r="X462" s="238" t="str">
        <f>IF(OR(SP_ACQ_Lib[[#This Row],[Acquisition Tract No.]]="",SP_ACQ_Lib[[#This Row],[ACQ Document Type]]=""),0,CONCATENATE("COW-FRMP_TR-",SP_ACQ_Lib[[#This Row],[Acquisition Tract No.]]," ",SP_ACQ_Lib[[#This Row],[ACQ Document Type]]))</f>
        <v>COW-FRMP_TR-305MH TITLE Tax Card</v>
      </c>
      <c r="Y462" s="239">
        <f>IF(OR(SP_ACQ_Lib[[#This Row],[File Name Convention]]=0,LEFT(SP_ACQ_Lib[[#This Row],[Name]],LEN(SP_ACQ_Lib[[#This Row],[File Name Convention]]))&lt;&gt;SP_ACQ_Lib[[#This Row],[File Name Convention]],ISERROR(SEARCH(SP_ACQ_Lib[[#This Row],[ACQ Document Type]],SP_ACQ_Lib[[#This Row],[Name]]))),1,0)</f>
        <v>0</v>
      </c>
    </row>
    <row r="463" spans="1:25" ht="15" x14ac:dyDescent="0.2">
      <c r="A463" s="157" t="str">
        <f>CONCATENATE(SP_ACQ_Lib[[#This Row],[Acquisition Tract No.]],"_",SP_ACQ_Lib[[#This Row],[ACQ Document Type]])</f>
        <v>306_CONTACT Negotiator Report</v>
      </c>
      <c r="B463" s="14" t="s">
        <v>3402</v>
      </c>
      <c r="C463" s="45" t="s">
        <v>1174</v>
      </c>
      <c r="D463" s="12" t="s">
        <v>1685</v>
      </c>
      <c r="E463" s="8" t="s">
        <v>865</v>
      </c>
      <c r="F463" s="8" t="s">
        <v>1068</v>
      </c>
      <c r="G463" s="8" t="s">
        <v>1067</v>
      </c>
      <c r="H463" s="7" t="s">
        <v>592</v>
      </c>
      <c r="I463" s="16"/>
      <c r="J463" s="16"/>
      <c r="K463" s="17"/>
      <c r="L463" s="3"/>
      <c r="M463" s="8" t="s">
        <v>4206</v>
      </c>
      <c r="N463" s="11">
        <v>43874.600983796299</v>
      </c>
      <c r="O463" s="8" t="s">
        <v>4325</v>
      </c>
      <c r="P463" s="11">
        <v>43753.655474537038</v>
      </c>
      <c r="Q463" s="13">
        <v>59461</v>
      </c>
      <c r="R463" s="46" t="s">
        <v>1069</v>
      </c>
      <c r="S463" s="14" t="s">
        <v>1229</v>
      </c>
      <c r="T463" s="163">
        <v>488</v>
      </c>
      <c r="U463" s="164" t="str">
        <f>CONCATENATE(LEFT(SP_ACQ_Lib[[#This Row],[Tax Parcel ID]],7),"_",SP_ACQ_Lib[[#This Row],[ACQ Document Type]])</f>
        <v>UNKN004_CONTACT Negotiator Report</v>
      </c>
      <c r="V463" s="65" t="str">
        <f>INDEX(SP_AcqTract_DB[WCAD Tax Parcel ID],MATCH(SP_ACQ_Lib[[#This Row],[Acquisition Tract No.]],SP_AcqTract_DB[Acquisition Tract No.],0))</f>
        <v>UNKN004;#92</v>
      </c>
      <c r="W463" s="48" t="str">
        <f>INDEX(SP_TaxPar_DB[Acquisition Tract No.],MATCH(LEFT(SP_ACQ_Lib[[#This Row],[Tax Parcel ID]],7),SP_TaxPar_DB[Tax Parcel ID],0))</f>
        <v>306</v>
      </c>
      <c r="X463" s="238" t="str">
        <f>IF(OR(SP_ACQ_Lib[[#This Row],[Acquisition Tract No.]]="",SP_ACQ_Lib[[#This Row],[ACQ Document Type]]=""),0,CONCATENATE("COW-FRMP_TR-",SP_ACQ_Lib[[#This Row],[Acquisition Tract No.]]," ",SP_ACQ_Lib[[#This Row],[ACQ Document Type]]))</f>
        <v>COW-FRMP_TR-306 CONTACT Negotiator Report</v>
      </c>
      <c r="Y463" s="239">
        <f>IF(OR(SP_ACQ_Lib[[#This Row],[File Name Convention]]=0,LEFT(SP_ACQ_Lib[[#This Row],[Name]],LEN(SP_ACQ_Lib[[#This Row],[File Name Convention]]))&lt;&gt;SP_ACQ_Lib[[#This Row],[File Name Convention]],ISERROR(SEARCH(SP_ACQ_Lib[[#This Row],[ACQ Document Type]],SP_ACQ_Lib[[#This Row],[Name]]))),1,0)</f>
        <v>0</v>
      </c>
    </row>
    <row r="464" spans="1:25" ht="15" x14ac:dyDescent="0.2">
      <c r="A464" s="157" t="str">
        <f>CONCATENATE(SP_ACQ_Lib[[#This Row],[Acquisition Tract No.]],"_",SP_ACQ_Lib[[#This Row],[ACQ Document Type]])</f>
        <v>306_NEGOTIATION Landowner Bill of Rights Letter</v>
      </c>
      <c r="B464" s="14" t="s">
        <v>3468</v>
      </c>
      <c r="C464" s="45" t="s">
        <v>1174</v>
      </c>
      <c r="D464" s="12" t="s">
        <v>1685</v>
      </c>
      <c r="E464" s="8" t="s">
        <v>1142</v>
      </c>
      <c r="F464" s="8" t="s">
        <v>1746</v>
      </c>
      <c r="G464" s="8" t="s">
        <v>1745</v>
      </c>
      <c r="H464" s="7" t="s">
        <v>592</v>
      </c>
      <c r="I464" s="16">
        <v>43748</v>
      </c>
      <c r="J464" s="16"/>
      <c r="K464" s="17"/>
      <c r="L464" s="3"/>
      <c r="M464" s="8" t="s">
        <v>4206</v>
      </c>
      <c r="N464" s="11">
        <v>43893.66547453704</v>
      </c>
      <c r="O464" s="8" t="s">
        <v>4325</v>
      </c>
      <c r="P464" s="11">
        <v>43752.513344907406</v>
      </c>
      <c r="Q464" s="13">
        <v>352177</v>
      </c>
      <c r="R464" s="46" t="s">
        <v>594</v>
      </c>
      <c r="S464" s="14" t="s">
        <v>1230</v>
      </c>
      <c r="T464" s="163">
        <v>445</v>
      </c>
      <c r="U464" s="164" t="str">
        <f>CONCATENATE(LEFT(SP_ACQ_Lib[[#This Row],[Tax Parcel ID]],7),"_",SP_ACQ_Lib[[#This Row],[ACQ Document Type]])</f>
        <v>UNKN004_NEGOTIATION Landowner Bill of Rights Letter</v>
      </c>
      <c r="V464" s="65" t="str">
        <f>INDEX(SP_AcqTract_DB[WCAD Tax Parcel ID],MATCH(SP_ACQ_Lib[[#This Row],[Acquisition Tract No.]],SP_AcqTract_DB[Acquisition Tract No.],0))</f>
        <v>UNKN004;#92</v>
      </c>
      <c r="W464" s="48" t="str">
        <f>INDEX(SP_TaxPar_DB[Acquisition Tract No.],MATCH(LEFT(SP_ACQ_Lib[[#This Row],[Tax Parcel ID]],7),SP_TaxPar_DB[Tax Parcel ID],0))</f>
        <v>306</v>
      </c>
      <c r="X464" s="238" t="str">
        <f>IF(OR(SP_ACQ_Lib[[#This Row],[Acquisition Tract No.]]="",SP_ACQ_Lib[[#This Row],[ACQ Document Type]]=""),0,CONCATENATE("COW-FRMP_TR-",SP_ACQ_Lib[[#This Row],[Acquisition Tract No.]]," ",SP_ACQ_Lib[[#This Row],[ACQ Document Type]]))</f>
        <v>COW-FRMP_TR-306 NEGOTIATION Landowner Bill of Rights Letter</v>
      </c>
      <c r="Y464" s="239">
        <f>IF(OR(SP_ACQ_Lib[[#This Row],[File Name Convention]]=0,LEFT(SP_ACQ_Lib[[#This Row],[Name]],LEN(SP_ACQ_Lib[[#This Row],[File Name Convention]]))&lt;&gt;SP_ACQ_Lib[[#This Row],[File Name Convention]],ISERROR(SEARCH(SP_ACQ_Lib[[#This Row],[ACQ Document Type]],SP_ACQ_Lib[[#This Row],[Name]]))),1,0)</f>
        <v>0</v>
      </c>
    </row>
    <row r="465" spans="1:25" ht="15" x14ac:dyDescent="0.2">
      <c r="A465" s="157" t="str">
        <f>CONCATENATE(SP_ACQ_Lib[[#This Row],[Acquisition Tract No.]],"_",SP_ACQ_Lib[[#This Row],[ACQ Document Type]])</f>
        <v>306_SURVEY Description-Plat_USACOE</v>
      </c>
      <c r="B465" s="14" t="s">
        <v>6031</v>
      </c>
      <c r="C465" s="45" t="s">
        <v>1174</v>
      </c>
      <c r="D465" s="12" t="s">
        <v>1685</v>
      </c>
      <c r="E465" s="8" t="s">
        <v>858</v>
      </c>
      <c r="F465" s="8" t="s">
        <v>3510</v>
      </c>
      <c r="G465" s="8" t="s">
        <v>3509</v>
      </c>
      <c r="H465" s="7" t="s">
        <v>592</v>
      </c>
      <c r="I465" s="16">
        <v>43991</v>
      </c>
      <c r="J465" s="16">
        <v>43993</v>
      </c>
      <c r="K465" s="17"/>
      <c r="L465" s="3"/>
      <c r="M465" s="8" t="s">
        <v>4206</v>
      </c>
      <c r="N465" s="11">
        <v>43994.374652777777</v>
      </c>
      <c r="O465" s="8" t="s">
        <v>4206</v>
      </c>
      <c r="P465" s="11">
        <v>43994.366689814815</v>
      </c>
      <c r="Q465" s="13">
        <v>851253</v>
      </c>
      <c r="R465" s="46" t="s">
        <v>594</v>
      </c>
      <c r="S465" s="14" t="s">
        <v>6052</v>
      </c>
      <c r="T465" s="163">
        <v>1193</v>
      </c>
      <c r="U465" s="164" t="str">
        <f>CONCATENATE(LEFT(SP_ACQ_Lib[[#This Row],[Tax Parcel ID]],7),"_",SP_ACQ_Lib[[#This Row],[ACQ Document Type]])</f>
        <v>UNKN004_SURVEY Description-Plat_USACOE</v>
      </c>
      <c r="V465" s="65" t="str">
        <f>INDEX(SP_AcqTract_DB[WCAD Tax Parcel ID],MATCH(SP_ACQ_Lib[[#This Row],[Acquisition Tract No.]],SP_AcqTract_DB[Acquisition Tract No.],0))</f>
        <v>UNKN004;#92</v>
      </c>
      <c r="W465" s="48" t="str">
        <f>INDEX(SP_TaxPar_DB[Acquisition Tract No.],MATCH(LEFT(SP_ACQ_Lib[[#This Row],[Tax Parcel ID]],7),SP_TaxPar_DB[Tax Parcel ID],0))</f>
        <v>306</v>
      </c>
      <c r="X465" s="238" t="str">
        <f>IF(OR(SP_ACQ_Lib[[#This Row],[Acquisition Tract No.]]="",SP_ACQ_Lib[[#This Row],[ACQ Document Type]]=""),0,CONCATENATE("COW-FRMP_TR-",SP_ACQ_Lib[[#This Row],[Acquisition Tract No.]]," ",SP_ACQ_Lib[[#This Row],[ACQ Document Type]]))</f>
        <v>COW-FRMP_TR-306 SURVEY Description-Plat_USACOE</v>
      </c>
      <c r="Y465" s="239">
        <f>IF(OR(SP_ACQ_Lib[[#This Row],[File Name Convention]]=0,LEFT(SP_ACQ_Lib[[#This Row],[Name]],LEN(SP_ACQ_Lib[[#This Row],[File Name Convention]]))&lt;&gt;SP_ACQ_Lib[[#This Row],[File Name Convention]],ISERROR(SEARCH(SP_ACQ_Lib[[#This Row],[ACQ Document Type]],SP_ACQ_Lib[[#This Row],[Name]]))),1,0)</f>
        <v>0</v>
      </c>
    </row>
    <row r="466" spans="1:25" ht="15" x14ac:dyDescent="0.2">
      <c r="A466" s="157" t="str">
        <f>CONCATENATE(SP_ACQ_Lib[[#This Row],[Acquisition Tract No.]],"_",SP_ACQ_Lib[[#This Row],[ACQ Document Type]])</f>
        <v>307_CONTACT Letter of Intent-HDR</v>
      </c>
      <c r="B466" s="14" t="s">
        <v>1543</v>
      </c>
      <c r="C466" s="45" t="s">
        <v>50</v>
      </c>
      <c r="D466" s="12" t="s">
        <v>649</v>
      </c>
      <c r="E466" s="8" t="s">
        <v>865</v>
      </c>
      <c r="F466" s="8" t="s">
        <v>1401</v>
      </c>
      <c r="G466" s="8" t="s">
        <v>1400</v>
      </c>
      <c r="H466" s="7" t="s">
        <v>592</v>
      </c>
      <c r="I466" s="16">
        <v>43765</v>
      </c>
      <c r="J466" s="16"/>
      <c r="K466" s="17"/>
      <c r="L466" s="3"/>
      <c r="M466" s="8" t="s">
        <v>23</v>
      </c>
      <c r="N466" s="11">
        <v>43770.449224537035</v>
      </c>
      <c r="O466" s="8" t="s">
        <v>1272</v>
      </c>
      <c r="P466" s="11">
        <v>43769.630358796298</v>
      </c>
      <c r="Q466" s="13">
        <v>350350</v>
      </c>
      <c r="R466" s="46" t="s">
        <v>594</v>
      </c>
      <c r="S466" s="14" t="s">
        <v>1649</v>
      </c>
      <c r="T466" s="163">
        <v>533</v>
      </c>
      <c r="U466" s="164" t="str">
        <f>CONCATENATE(LEFT(SP_ACQ_Lib[[#This Row],[Tax Parcel ID]],7),"_",SP_ACQ_Lib[[#This Row],[ACQ Document Type]])</f>
        <v>R022999_CONTACT Letter of Intent-HDR</v>
      </c>
      <c r="V466" s="65" t="str">
        <f>INDEX(SP_AcqTract_DB[WCAD Tax Parcel ID],MATCH(SP_ACQ_Lib[[#This Row],[Acquisition Tract No.]],SP_AcqTract_DB[Acquisition Tract No.],0))</f>
        <v>R022999;#47</v>
      </c>
      <c r="W466" s="48" t="str">
        <f>INDEX(SP_TaxPar_DB[Acquisition Tract No.],MATCH(LEFT(SP_ACQ_Lib[[#This Row],[Tax Parcel ID]],7),SP_TaxPar_DB[Tax Parcel ID],0))</f>
        <v>307</v>
      </c>
      <c r="X466" s="238" t="str">
        <f>IF(OR(SP_ACQ_Lib[[#This Row],[Acquisition Tract No.]]="",SP_ACQ_Lib[[#This Row],[ACQ Document Type]]=""),0,CONCATENATE("COW-FRMP_TR-",SP_ACQ_Lib[[#This Row],[Acquisition Tract No.]]," ",SP_ACQ_Lib[[#This Row],[ACQ Document Type]]))</f>
        <v>COW-FRMP_TR-307 CONTACT Letter of Intent-HDR</v>
      </c>
      <c r="Y466" s="239">
        <f>IF(OR(SP_ACQ_Lib[[#This Row],[File Name Convention]]=0,LEFT(SP_ACQ_Lib[[#This Row],[Name]],LEN(SP_ACQ_Lib[[#This Row],[File Name Convention]]))&lt;&gt;SP_ACQ_Lib[[#This Row],[File Name Convention]],ISERROR(SEARCH(SP_ACQ_Lib[[#This Row],[ACQ Document Type]],SP_ACQ_Lib[[#This Row],[Name]]))),1,0)</f>
        <v>0</v>
      </c>
    </row>
    <row r="467" spans="1:25" ht="15" x14ac:dyDescent="0.2">
      <c r="A467" s="157" t="str">
        <f>CONCATENATE(SP_ACQ_Lib[[#This Row],[Acquisition Tract No.]],"_",SP_ACQ_Lib[[#This Row],[ACQ Document Type]])</f>
        <v>307_CONTACT Negotiator Report</v>
      </c>
      <c r="B467" s="14" t="s">
        <v>3403</v>
      </c>
      <c r="C467" s="45" t="s">
        <v>50</v>
      </c>
      <c r="D467" s="12" t="s">
        <v>649</v>
      </c>
      <c r="E467" s="8" t="s">
        <v>865</v>
      </c>
      <c r="F467" s="8" t="s">
        <v>1068</v>
      </c>
      <c r="G467" s="8" t="s">
        <v>1067</v>
      </c>
      <c r="H467" s="7" t="s">
        <v>592</v>
      </c>
      <c r="I467" s="16">
        <v>43728</v>
      </c>
      <c r="J467" s="16"/>
      <c r="K467" s="17"/>
      <c r="L467" s="3"/>
      <c r="M467" s="8" t="s">
        <v>4206</v>
      </c>
      <c r="N467" s="11">
        <v>43872.546481481484</v>
      </c>
      <c r="O467" s="8" t="s">
        <v>4325</v>
      </c>
      <c r="P467" s="11">
        <v>43728.656817129631</v>
      </c>
      <c r="Q467" s="13">
        <v>72745</v>
      </c>
      <c r="R467" s="46" t="s">
        <v>1069</v>
      </c>
      <c r="S467" s="14" t="s">
        <v>1103</v>
      </c>
      <c r="T467" s="163">
        <v>321</v>
      </c>
      <c r="U467" s="164" t="str">
        <f>CONCATENATE(LEFT(SP_ACQ_Lib[[#This Row],[Tax Parcel ID]],7),"_",SP_ACQ_Lib[[#This Row],[ACQ Document Type]])</f>
        <v>R022999_CONTACT Negotiator Report</v>
      </c>
      <c r="V467" s="65" t="str">
        <f>INDEX(SP_AcqTract_DB[WCAD Tax Parcel ID],MATCH(SP_ACQ_Lib[[#This Row],[Acquisition Tract No.]],SP_AcqTract_DB[Acquisition Tract No.],0))</f>
        <v>R022999;#47</v>
      </c>
      <c r="W467" s="48" t="str">
        <f>INDEX(SP_TaxPar_DB[Acquisition Tract No.],MATCH(LEFT(SP_ACQ_Lib[[#This Row],[Tax Parcel ID]],7),SP_TaxPar_DB[Tax Parcel ID],0))</f>
        <v>307</v>
      </c>
      <c r="X467" s="238" t="str">
        <f>IF(OR(SP_ACQ_Lib[[#This Row],[Acquisition Tract No.]]="",SP_ACQ_Lib[[#This Row],[ACQ Document Type]]=""),0,CONCATENATE("COW-FRMP_TR-",SP_ACQ_Lib[[#This Row],[Acquisition Tract No.]]," ",SP_ACQ_Lib[[#This Row],[ACQ Document Type]]))</f>
        <v>COW-FRMP_TR-307 CONTACT Negotiator Report</v>
      </c>
      <c r="Y467" s="239">
        <f>IF(OR(SP_ACQ_Lib[[#This Row],[File Name Convention]]=0,LEFT(SP_ACQ_Lib[[#This Row],[Name]],LEN(SP_ACQ_Lib[[#This Row],[File Name Convention]]))&lt;&gt;SP_ACQ_Lib[[#This Row],[File Name Convention]],ISERROR(SEARCH(SP_ACQ_Lib[[#This Row],[ACQ Document Type]],SP_ACQ_Lib[[#This Row],[Name]]))),1,0)</f>
        <v>0</v>
      </c>
    </row>
    <row r="468" spans="1:25" ht="15" x14ac:dyDescent="0.2">
      <c r="A468" s="157" t="str">
        <f>CONCATENATE(SP_ACQ_Lib[[#This Row],[Acquisition Tract No.]],"_",SP_ACQ_Lib[[#This Row],[ACQ Document Type]])</f>
        <v>307_NEGOTIATION Landowner Bill of Rights Letter</v>
      </c>
      <c r="B468" s="14" t="s">
        <v>3469</v>
      </c>
      <c r="C468" s="45" t="s">
        <v>50</v>
      </c>
      <c r="D468" s="12" t="s">
        <v>649</v>
      </c>
      <c r="E468" s="8" t="s">
        <v>1142</v>
      </c>
      <c r="F468" s="8" t="s">
        <v>1746</v>
      </c>
      <c r="G468" s="8" t="s">
        <v>1745</v>
      </c>
      <c r="H468" s="7" t="s">
        <v>592</v>
      </c>
      <c r="I468" s="16">
        <v>43748</v>
      </c>
      <c r="J468" s="16"/>
      <c r="K468" s="17"/>
      <c r="L468" s="3"/>
      <c r="M468" s="8" t="s">
        <v>4206</v>
      </c>
      <c r="N468" s="11">
        <v>43872.564432870371</v>
      </c>
      <c r="O468" s="8" t="s">
        <v>4325</v>
      </c>
      <c r="P468" s="11">
        <v>43752.51903935185</v>
      </c>
      <c r="Q468" s="13">
        <v>354213</v>
      </c>
      <c r="R468" s="46" t="s">
        <v>594</v>
      </c>
      <c r="S468" s="14" t="s">
        <v>1231</v>
      </c>
      <c r="T468" s="163">
        <v>446</v>
      </c>
      <c r="U468" s="164" t="str">
        <f>CONCATENATE(LEFT(SP_ACQ_Lib[[#This Row],[Tax Parcel ID]],7),"_",SP_ACQ_Lib[[#This Row],[ACQ Document Type]])</f>
        <v>R022999_NEGOTIATION Landowner Bill of Rights Letter</v>
      </c>
      <c r="V468" s="65" t="str">
        <f>INDEX(SP_AcqTract_DB[WCAD Tax Parcel ID],MATCH(SP_ACQ_Lib[[#This Row],[Acquisition Tract No.]],SP_AcqTract_DB[Acquisition Tract No.],0))</f>
        <v>R022999;#47</v>
      </c>
      <c r="W468" s="48" t="str">
        <f>INDEX(SP_TaxPar_DB[Acquisition Tract No.],MATCH(LEFT(SP_ACQ_Lib[[#This Row],[Tax Parcel ID]],7),SP_TaxPar_DB[Tax Parcel ID],0))</f>
        <v>307</v>
      </c>
      <c r="X468" s="238" t="str">
        <f>IF(OR(SP_ACQ_Lib[[#This Row],[Acquisition Tract No.]]="",SP_ACQ_Lib[[#This Row],[ACQ Document Type]]=""),0,CONCATENATE("COW-FRMP_TR-",SP_ACQ_Lib[[#This Row],[Acquisition Tract No.]]," ",SP_ACQ_Lib[[#This Row],[ACQ Document Type]]))</f>
        <v>COW-FRMP_TR-307 NEGOTIATION Landowner Bill of Rights Letter</v>
      </c>
      <c r="Y468" s="239">
        <f>IF(OR(SP_ACQ_Lib[[#This Row],[File Name Convention]]=0,LEFT(SP_ACQ_Lib[[#This Row],[Name]],LEN(SP_ACQ_Lib[[#This Row],[File Name Convention]]))&lt;&gt;SP_ACQ_Lib[[#This Row],[File Name Convention]],ISERROR(SEARCH(SP_ACQ_Lib[[#This Row],[ACQ Document Type]],SP_ACQ_Lib[[#This Row],[Name]]))),1,0)</f>
        <v>0</v>
      </c>
    </row>
    <row r="469" spans="1:25" ht="15" x14ac:dyDescent="0.2">
      <c r="A469" s="157" t="str">
        <f>CONCATENATE(SP_ACQ_Lib[[#This Row],[Acquisition Tract No.]],"_",SP_ACQ_Lib[[#This Row],[ACQ Document Type]])</f>
        <v>307_SURVEY Right-of-Entry</v>
      </c>
      <c r="B469" s="14" t="s">
        <v>4594</v>
      </c>
      <c r="C469" s="45" t="s">
        <v>50</v>
      </c>
      <c r="D469" s="12" t="s">
        <v>649</v>
      </c>
      <c r="E469" s="8" t="s">
        <v>858</v>
      </c>
      <c r="F469" s="8" t="s">
        <v>859</v>
      </c>
      <c r="G469" s="8" t="s">
        <v>591</v>
      </c>
      <c r="H469" s="7" t="s">
        <v>592</v>
      </c>
      <c r="I469" s="16">
        <v>43740</v>
      </c>
      <c r="J469" s="16"/>
      <c r="K469" s="17"/>
      <c r="L469" s="3"/>
      <c r="M469" s="8" t="s">
        <v>4206</v>
      </c>
      <c r="N469" s="11">
        <v>43922.385879629626</v>
      </c>
      <c r="O469" s="8" t="s">
        <v>4325</v>
      </c>
      <c r="P469" s="11">
        <v>43745.502893518518</v>
      </c>
      <c r="Q469" s="13">
        <v>1332045</v>
      </c>
      <c r="R469" s="46" t="s">
        <v>594</v>
      </c>
      <c r="S469" s="14" t="s">
        <v>1178</v>
      </c>
      <c r="T469" s="163">
        <v>397</v>
      </c>
      <c r="U469" s="164" t="str">
        <f>CONCATENATE(LEFT(SP_ACQ_Lib[[#This Row],[Tax Parcel ID]],7),"_",SP_ACQ_Lib[[#This Row],[ACQ Document Type]])</f>
        <v>R022999_SURVEY Right-of-Entry</v>
      </c>
      <c r="V469" s="65" t="str">
        <f>INDEX(SP_AcqTract_DB[WCAD Tax Parcel ID],MATCH(SP_ACQ_Lib[[#This Row],[Acquisition Tract No.]],SP_AcqTract_DB[Acquisition Tract No.],0))</f>
        <v>R022999;#47</v>
      </c>
      <c r="W469" s="48" t="str">
        <f>INDEX(SP_TaxPar_DB[Acquisition Tract No.],MATCH(LEFT(SP_ACQ_Lib[[#This Row],[Tax Parcel ID]],7),SP_TaxPar_DB[Tax Parcel ID],0))</f>
        <v>307</v>
      </c>
      <c r="X469" s="238" t="str">
        <f>IF(OR(SP_ACQ_Lib[[#This Row],[Acquisition Tract No.]]="",SP_ACQ_Lib[[#This Row],[ACQ Document Type]]=""),0,CONCATENATE("COW-FRMP_TR-",SP_ACQ_Lib[[#This Row],[Acquisition Tract No.]]," ",SP_ACQ_Lib[[#This Row],[ACQ Document Type]]))</f>
        <v>COW-FRMP_TR-307 SURVEY Right-of-Entry</v>
      </c>
      <c r="Y469" s="239">
        <f>IF(OR(SP_ACQ_Lib[[#This Row],[File Name Convention]]=0,LEFT(SP_ACQ_Lib[[#This Row],[Name]],LEN(SP_ACQ_Lib[[#This Row],[File Name Convention]]))&lt;&gt;SP_ACQ_Lib[[#This Row],[File Name Convention]],ISERROR(SEARCH(SP_ACQ_Lib[[#This Row],[ACQ Document Type]],SP_ACQ_Lib[[#This Row],[Name]]))),1,0)</f>
        <v>0</v>
      </c>
    </row>
    <row r="470" spans="1:25" ht="15" x14ac:dyDescent="0.2">
      <c r="A470" s="157" t="str">
        <f>CONCATENATE(SP_ACQ_Lib[[#This Row],[Acquisition Tract No.]],"_",SP_ACQ_Lib[[#This Row],[ACQ Document Type]])</f>
        <v>307_TITLE Commitment</v>
      </c>
      <c r="B470" s="14" t="s">
        <v>1544</v>
      </c>
      <c r="C470" s="45" t="s">
        <v>50</v>
      </c>
      <c r="D470" s="12" t="s">
        <v>649</v>
      </c>
      <c r="E470" s="8" t="s">
        <v>861</v>
      </c>
      <c r="F470" s="8" t="s">
        <v>862</v>
      </c>
      <c r="G470" s="8" t="s">
        <v>614</v>
      </c>
      <c r="H470" s="7" t="s">
        <v>592</v>
      </c>
      <c r="I470" s="16">
        <v>43854</v>
      </c>
      <c r="J470" s="16">
        <v>43867</v>
      </c>
      <c r="K470" s="17"/>
      <c r="L470" s="3" t="s">
        <v>3359</v>
      </c>
      <c r="M470" s="8" t="s">
        <v>4206</v>
      </c>
      <c r="N470" s="11">
        <v>43915.399953703702</v>
      </c>
      <c r="O470" s="8" t="s">
        <v>4326</v>
      </c>
      <c r="P470" s="11">
        <v>43691.418981481482</v>
      </c>
      <c r="Q470" s="13">
        <v>302527</v>
      </c>
      <c r="R470" s="46" t="s">
        <v>594</v>
      </c>
      <c r="S470" s="14" t="s">
        <v>793</v>
      </c>
      <c r="T470" s="163">
        <v>39</v>
      </c>
      <c r="U470" s="164" t="str">
        <f>CONCATENATE(LEFT(SP_ACQ_Lib[[#This Row],[Tax Parcel ID]],7),"_",SP_ACQ_Lib[[#This Row],[ACQ Document Type]])</f>
        <v>R022999_TITLE Commitment</v>
      </c>
      <c r="V470" s="65" t="str">
        <f>INDEX(SP_AcqTract_DB[WCAD Tax Parcel ID],MATCH(SP_ACQ_Lib[[#This Row],[Acquisition Tract No.]],SP_AcqTract_DB[Acquisition Tract No.],0))</f>
        <v>R022999;#47</v>
      </c>
      <c r="W470" s="48" t="str">
        <f>INDEX(SP_TaxPar_DB[Acquisition Tract No.],MATCH(LEFT(SP_ACQ_Lib[[#This Row],[Tax Parcel ID]],7),SP_TaxPar_DB[Tax Parcel ID],0))</f>
        <v>307</v>
      </c>
      <c r="X470" s="238" t="str">
        <f>IF(OR(SP_ACQ_Lib[[#This Row],[Acquisition Tract No.]]="",SP_ACQ_Lib[[#This Row],[ACQ Document Type]]=""),0,CONCATENATE("COW-FRMP_TR-",SP_ACQ_Lib[[#This Row],[Acquisition Tract No.]]," ",SP_ACQ_Lib[[#This Row],[ACQ Document Type]]))</f>
        <v>COW-FRMP_TR-307 TITLE Commitment</v>
      </c>
      <c r="Y470" s="239">
        <f>IF(OR(SP_ACQ_Lib[[#This Row],[File Name Convention]]=0,LEFT(SP_ACQ_Lib[[#This Row],[Name]],LEN(SP_ACQ_Lib[[#This Row],[File Name Convention]]))&lt;&gt;SP_ACQ_Lib[[#This Row],[File Name Convention]],ISERROR(SEARCH(SP_ACQ_Lib[[#This Row],[ACQ Document Type]],SP_ACQ_Lib[[#This Row],[Name]]))),1,0)</f>
        <v>0</v>
      </c>
    </row>
    <row r="471" spans="1:25" ht="15" x14ac:dyDescent="0.2">
      <c r="A471" s="157" t="str">
        <f>CONCATENATE(SP_ACQ_Lib[[#This Row],[Acquisition Tract No.]],"_",SP_ACQ_Lib[[#This Row],[ACQ Document Type]])</f>
        <v>307_TITLE Commitment Backup Docs</v>
      </c>
      <c r="B471" s="14" t="s">
        <v>1545</v>
      </c>
      <c r="C471" s="45" t="s">
        <v>50</v>
      </c>
      <c r="D471" s="12" t="s">
        <v>649</v>
      </c>
      <c r="E471" s="8" t="s">
        <v>861</v>
      </c>
      <c r="F471" s="8" t="s">
        <v>863</v>
      </c>
      <c r="G471" s="8" t="s">
        <v>616</v>
      </c>
      <c r="H471" s="7" t="s">
        <v>592</v>
      </c>
      <c r="I471" s="16"/>
      <c r="J471" s="16"/>
      <c r="K471" s="17"/>
      <c r="L471" s="3"/>
      <c r="M471" s="8" t="s">
        <v>4325</v>
      </c>
      <c r="N471" s="11">
        <v>43812.670752314814</v>
      </c>
      <c r="O471" s="8" t="s">
        <v>4326</v>
      </c>
      <c r="P471" s="11">
        <v>43691.442974537036</v>
      </c>
      <c r="Q471" s="13">
        <v>600459</v>
      </c>
      <c r="R471" s="46" t="s">
        <v>594</v>
      </c>
      <c r="S471" s="14" t="s">
        <v>794</v>
      </c>
      <c r="T471" s="163">
        <v>44</v>
      </c>
      <c r="U471" s="164" t="str">
        <f>CONCATENATE(LEFT(SP_ACQ_Lib[[#This Row],[Tax Parcel ID]],7),"_",SP_ACQ_Lib[[#This Row],[ACQ Document Type]])</f>
        <v>R022999_TITLE Commitment Backup Docs</v>
      </c>
      <c r="V471" s="65" t="str">
        <f>INDEX(SP_AcqTract_DB[WCAD Tax Parcel ID],MATCH(SP_ACQ_Lib[[#This Row],[Acquisition Tract No.]],SP_AcqTract_DB[Acquisition Tract No.],0))</f>
        <v>R022999;#47</v>
      </c>
      <c r="W471" s="48" t="str">
        <f>INDEX(SP_TaxPar_DB[Acquisition Tract No.],MATCH(LEFT(SP_ACQ_Lib[[#This Row],[Tax Parcel ID]],7),SP_TaxPar_DB[Tax Parcel ID],0))</f>
        <v>307</v>
      </c>
      <c r="X471" s="238" t="str">
        <f>IF(OR(SP_ACQ_Lib[[#This Row],[Acquisition Tract No.]]="",SP_ACQ_Lib[[#This Row],[ACQ Document Type]]=""),0,CONCATENATE("COW-FRMP_TR-",SP_ACQ_Lib[[#This Row],[Acquisition Tract No.]]," ",SP_ACQ_Lib[[#This Row],[ACQ Document Type]]))</f>
        <v>COW-FRMP_TR-307 TITLE Commitment Backup Docs</v>
      </c>
      <c r="Y471" s="239">
        <f>IF(OR(SP_ACQ_Lib[[#This Row],[File Name Convention]]=0,LEFT(SP_ACQ_Lib[[#This Row],[Name]],LEN(SP_ACQ_Lib[[#This Row],[File Name Convention]]))&lt;&gt;SP_ACQ_Lib[[#This Row],[File Name Convention]],ISERROR(SEARCH(SP_ACQ_Lib[[#This Row],[ACQ Document Type]],SP_ACQ_Lib[[#This Row],[Name]]))),1,0)</f>
        <v>0</v>
      </c>
    </row>
    <row r="472" spans="1:25" ht="15" x14ac:dyDescent="0.2">
      <c r="A472" s="157" t="str">
        <f>CONCATENATE(SP_ACQ_Lib[[#This Row],[Acquisition Tract No.]],"_",SP_ACQ_Lib[[#This Row],[ACQ Document Type]])</f>
        <v>307_TITLE Curative Plan</v>
      </c>
      <c r="B472" s="14" t="s">
        <v>1546</v>
      </c>
      <c r="C472" s="45" t="s">
        <v>50</v>
      </c>
      <c r="D472" s="12" t="s">
        <v>649</v>
      </c>
      <c r="E472" s="8" t="s">
        <v>861</v>
      </c>
      <c r="F472" s="8" t="s">
        <v>864</v>
      </c>
      <c r="G472" s="8" t="s">
        <v>617</v>
      </c>
      <c r="H472" s="7" t="s">
        <v>592</v>
      </c>
      <c r="I472" s="16">
        <v>43812</v>
      </c>
      <c r="J472" s="16"/>
      <c r="K472" s="17"/>
      <c r="L472" s="3"/>
      <c r="M472" s="8" t="s">
        <v>4325</v>
      </c>
      <c r="N472" s="11">
        <v>43868.344837962963</v>
      </c>
      <c r="O472" s="8" t="s">
        <v>4326</v>
      </c>
      <c r="P472" s="11">
        <v>43717.558171296296</v>
      </c>
      <c r="Q472" s="13">
        <v>38221</v>
      </c>
      <c r="R472" s="46" t="s">
        <v>594</v>
      </c>
      <c r="S472" s="14" t="s">
        <v>795</v>
      </c>
      <c r="T472" s="163">
        <v>219</v>
      </c>
      <c r="U472" s="164" t="str">
        <f>CONCATENATE(LEFT(SP_ACQ_Lib[[#This Row],[Tax Parcel ID]],7),"_",SP_ACQ_Lib[[#This Row],[ACQ Document Type]])</f>
        <v>R022999_TITLE Curative Plan</v>
      </c>
      <c r="V472" s="65" t="str">
        <f>INDEX(SP_AcqTract_DB[WCAD Tax Parcel ID],MATCH(SP_ACQ_Lib[[#This Row],[Acquisition Tract No.]],SP_AcqTract_DB[Acquisition Tract No.],0))</f>
        <v>R022999;#47</v>
      </c>
      <c r="W472" s="48" t="str">
        <f>INDEX(SP_TaxPar_DB[Acquisition Tract No.],MATCH(LEFT(SP_ACQ_Lib[[#This Row],[Tax Parcel ID]],7),SP_TaxPar_DB[Tax Parcel ID],0))</f>
        <v>307</v>
      </c>
      <c r="X472" s="238" t="str">
        <f>IF(OR(SP_ACQ_Lib[[#This Row],[Acquisition Tract No.]]="",SP_ACQ_Lib[[#This Row],[ACQ Document Type]]=""),0,CONCATENATE("COW-FRMP_TR-",SP_ACQ_Lib[[#This Row],[Acquisition Tract No.]]," ",SP_ACQ_Lib[[#This Row],[ACQ Document Type]]))</f>
        <v>COW-FRMP_TR-307 TITLE Curative Plan</v>
      </c>
      <c r="Y472" s="239">
        <f>IF(OR(SP_ACQ_Lib[[#This Row],[File Name Convention]]=0,LEFT(SP_ACQ_Lib[[#This Row],[Name]],LEN(SP_ACQ_Lib[[#This Row],[File Name Convention]]))&lt;&gt;SP_ACQ_Lib[[#This Row],[File Name Convention]],ISERROR(SEARCH(SP_ACQ_Lib[[#This Row],[ACQ Document Type]],SP_ACQ_Lib[[#This Row],[Name]]))),1,0)</f>
        <v>0</v>
      </c>
    </row>
    <row r="473" spans="1:25" ht="15" x14ac:dyDescent="0.2">
      <c r="A473" s="157" t="str">
        <f>CONCATENATE(SP_ACQ_Lib[[#This Row],[Acquisition Tract No.]],"_",SP_ACQ_Lib[[#This Row],[ACQ Document Type]])</f>
        <v>307_TITLE SOS Business Organization Inquiry</v>
      </c>
      <c r="B473" s="14" t="s">
        <v>5545</v>
      </c>
      <c r="C473" s="45" t="s">
        <v>50</v>
      </c>
      <c r="D473" s="12" t="s">
        <v>649</v>
      </c>
      <c r="E473" s="8" t="s">
        <v>861</v>
      </c>
      <c r="F473" s="8" t="s">
        <v>1148</v>
      </c>
      <c r="G473" s="8" t="s">
        <v>1147</v>
      </c>
      <c r="H473" s="7" t="s">
        <v>592</v>
      </c>
      <c r="I473" s="16">
        <v>43922</v>
      </c>
      <c r="J473" s="16"/>
      <c r="K473" s="17"/>
      <c r="L473" s="3"/>
      <c r="M473" s="8" t="s">
        <v>4206</v>
      </c>
      <c r="N473" s="11">
        <v>43983.525381944448</v>
      </c>
      <c r="O473" s="8" t="s">
        <v>4325</v>
      </c>
      <c r="P473" s="11">
        <v>43922.551759259259</v>
      </c>
      <c r="Q473" s="13">
        <v>353912</v>
      </c>
      <c r="R473" s="46" t="s">
        <v>594</v>
      </c>
      <c r="S473" s="14" t="s">
        <v>4624</v>
      </c>
      <c r="T473" s="163">
        <v>802</v>
      </c>
      <c r="U473" s="164" t="str">
        <f>CONCATENATE(LEFT(SP_ACQ_Lib[[#This Row],[Tax Parcel ID]],7),"_",SP_ACQ_Lib[[#This Row],[ACQ Document Type]])</f>
        <v>R022999_TITLE SOS Business Organization Inquiry</v>
      </c>
      <c r="V473" s="65" t="str">
        <f>INDEX(SP_AcqTract_DB[WCAD Tax Parcel ID],MATCH(SP_ACQ_Lib[[#This Row],[Acquisition Tract No.]],SP_AcqTract_DB[Acquisition Tract No.],0))</f>
        <v>R022999;#47</v>
      </c>
      <c r="W473" s="48" t="str">
        <f>INDEX(SP_TaxPar_DB[Acquisition Tract No.],MATCH(LEFT(SP_ACQ_Lib[[#This Row],[Tax Parcel ID]],7),SP_TaxPar_DB[Tax Parcel ID],0))</f>
        <v>307</v>
      </c>
      <c r="X473" s="238" t="str">
        <f>IF(OR(SP_ACQ_Lib[[#This Row],[Acquisition Tract No.]]="",SP_ACQ_Lib[[#This Row],[ACQ Document Type]]=""),0,CONCATENATE("COW-FRMP_TR-",SP_ACQ_Lib[[#This Row],[Acquisition Tract No.]]," ",SP_ACQ_Lib[[#This Row],[ACQ Document Type]]))</f>
        <v>COW-FRMP_TR-307 TITLE SOS Business Organization Inquiry</v>
      </c>
      <c r="Y473" s="239">
        <f>IF(OR(SP_ACQ_Lib[[#This Row],[File Name Convention]]=0,LEFT(SP_ACQ_Lib[[#This Row],[Name]],LEN(SP_ACQ_Lib[[#This Row],[File Name Convention]]))&lt;&gt;SP_ACQ_Lib[[#This Row],[File Name Convention]],ISERROR(SEARCH(SP_ACQ_Lib[[#This Row],[ACQ Document Type]],SP_ACQ_Lib[[#This Row],[Name]]))),1,0)</f>
        <v>0</v>
      </c>
    </row>
    <row r="474" spans="1:25" ht="15" x14ac:dyDescent="0.2">
      <c r="A474" s="157" t="str">
        <f>CONCATENATE(SP_ACQ_Lib[[#This Row],[Acquisition Tract No.]],"_",SP_ACQ_Lib[[#This Row],[ACQ Document Type]])</f>
        <v>307_TITLE Tax Card</v>
      </c>
      <c r="B474" s="14" t="s">
        <v>3470</v>
      </c>
      <c r="C474" s="45" t="s">
        <v>50</v>
      </c>
      <c r="D474" s="12" t="s">
        <v>649</v>
      </c>
      <c r="E474" s="8" t="s">
        <v>861</v>
      </c>
      <c r="F474" s="8" t="s">
        <v>1150</v>
      </c>
      <c r="G474" s="8" t="s">
        <v>1149</v>
      </c>
      <c r="H474" s="7" t="s">
        <v>592</v>
      </c>
      <c r="I474" s="16"/>
      <c r="J474" s="16"/>
      <c r="K474" s="17"/>
      <c r="L474" s="3"/>
      <c r="M474" s="8" t="s">
        <v>4206</v>
      </c>
      <c r="N474" s="11">
        <v>43874.594027777777</v>
      </c>
      <c r="O474" s="8" t="s">
        <v>1272</v>
      </c>
      <c r="P474" s="11">
        <v>43817.479895833334</v>
      </c>
      <c r="Q474" s="13">
        <v>511601</v>
      </c>
      <c r="R474" s="46" t="s">
        <v>594</v>
      </c>
      <c r="S474" s="14" t="s">
        <v>1791</v>
      </c>
      <c r="T474" s="163">
        <v>649</v>
      </c>
      <c r="U474" s="164" t="str">
        <f>CONCATENATE(LEFT(SP_ACQ_Lib[[#This Row],[Tax Parcel ID]],7),"_",SP_ACQ_Lib[[#This Row],[ACQ Document Type]])</f>
        <v>R022999_TITLE Tax Card</v>
      </c>
      <c r="V474" s="65" t="str">
        <f>INDEX(SP_AcqTract_DB[WCAD Tax Parcel ID],MATCH(SP_ACQ_Lib[[#This Row],[Acquisition Tract No.]],SP_AcqTract_DB[Acquisition Tract No.],0))</f>
        <v>R022999;#47</v>
      </c>
      <c r="W474" s="48" t="str">
        <f>INDEX(SP_TaxPar_DB[Acquisition Tract No.],MATCH(LEFT(SP_ACQ_Lib[[#This Row],[Tax Parcel ID]],7),SP_TaxPar_DB[Tax Parcel ID],0))</f>
        <v>307</v>
      </c>
      <c r="X474" s="238" t="str">
        <f>IF(OR(SP_ACQ_Lib[[#This Row],[Acquisition Tract No.]]="",SP_ACQ_Lib[[#This Row],[ACQ Document Type]]=""),0,CONCATENATE("COW-FRMP_TR-",SP_ACQ_Lib[[#This Row],[Acquisition Tract No.]]," ",SP_ACQ_Lib[[#This Row],[ACQ Document Type]]))</f>
        <v>COW-FRMP_TR-307 TITLE Tax Card</v>
      </c>
      <c r="Y474" s="239">
        <f>IF(OR(SP_ACQ_Lib[[#This Row],[File Name Convention]]=0,LEFT(SP_ACQ_Lib[[#This Row],[Name]],LEN(SP_ACQ_Lib[[#This Row],[File Name Convention]]))&lt;&gt;SP_ACQ_Lib[[#This Row],[File Name Convention]],ISERROR(SEARCH(SP_ACQ_Lib[[#This Row],[ACQ Document Type]],SP_ACQ_Lib[[#This Row],[Name]]))),1,0)</f>
        <v>0</v>
      </c>
    </row>
    <row r="475" spans="1:25" ht="15" x14ac:dyDescent="0.2">
      <c r="A475" s="157" t="str">
        <f>CONCATENATE(SP_ACQ_Lib[[#This Row],[Acquisition Tract No.]],"_",SP_ACQ_Lib[[#This Row],[ACQ Document Type]])</f>
        <v>308_APPRAISAL Final Appraisal</v>
      </c>
      <c r="B475" s="14" t="s">
        <v>6686</v>
      </c>
      <c r="C475" s="45" t="s">
        <v>51</v>
      </c>
      <c r="D475" s="12" t="s">
        <v>650</v>
      </c>
      <c r="E475" s="8" t="s">
        <v>1131</v>
      </c>
      <c r="F475" s="8" t="s">
        <v>4755</v>
      </c>
      <c r="G475" s="8" t="s">
        <v>4754</v>
      </c>
      <c r="H475" s="7" t="s">
        <v>592</v>
      </c>
      <c r="I475" s="16">
        <v>43912</v>
      </c>
      <c r="J475" s="16"/>
      <c r="K475" s="17">
        <v>403</v>
      </c>
      <c r="L475" s="3"/>
      <c r="M475" s="8" t="s">
        <v>4206</v>
      </c>
      <c r="N475" s="11">
        <v>44022.385578703703</v>
      </c>
      <c r="O475" s="8" t="s">
        <v>4206</v>
      </c>
      <c r="P475" s="11">
        <v>44022.384282407409</v>
      </c>
      <c r="Q475" s="13">
        <v>9743981</v>
      </c>
      <c r="R475" s="46" t="s">
        <v>594</v>
      </c>
      <c r="S475" s="14" t="s">
        <v>6696</v>
      </c>
      <c r="T475" s="163">
        <v>1375</v>
      </c>
      <c r="U475" s="164" t="str">
        <f>CONCATENATE(LEFT(SP_ACQ_Lib[[#This Row],[Tax Parcel ID]],7),"_",SP_ACQ_Lib[[#This Row],[ACQ Document Type]])</f>
        <v>R023000_APPRAISAL Final Appraisal</v>
      </c>
      <c r="V475" s="65" t="str">
        <f>INDEX(SP_AcqTract_DB[WCAD Tax Parcel ID],MATCH(SP_ACQ_Lib[[#This Row],[Acquisition Tract No.]],SP_AcqTract_DB[Acquisition Tract No.],0))</f>
        <v>R023000;#48</v>
      </c>
      <c r="W475" s="48" t="str">
        <f>INDEX(SP_TaxPar_DB[Acquisition Tract No.],MATCH(LEFT(SP_ACQ_Lib[[#This Row],[Tax Parcel ID]],7),SP_TaxPar_DB[Tax Parcel ID],0))</f>
        <v>308</v>
      </c>
      <c r="X475" s="238" t="str">
        <f>IF(OR(SP_ACQ_Lib[[#This Row],[Acquisition Tract No.]]="",SP_ACQ_Lib[[#This Row],[ACQ Document Type]]=""),0,CONCATENATE("COW-FRMP_TR-",SP_ACQ_Lib[[#This Row],[Acquisition Tract No.]]," ",SP_ACQ_Lib[[#This Row],[ACQ Document Type]]))</f>
        <v>COW-FRMP_TR-308 APPRAISAL Final Appraisal</v>
      </c>
      <c r="Y475" s="239">
        <f>IF(OR(SP_ACQ_Lib[[#This Row],[File Name Convention]]=0,LEFT(SP_ACQ_Lib[[#This Row],[Name]],LEN(SP_ACQ_Lib[[#This Row],[File Name Convention]]))&lt;&gt;SP_ACQ_Lib[[#This Row],[File Name Convention]],ISERROR(SEARCH(SP_ACQ_Lib[[#This Row],[ACQ Document Type]],SP_ACQ_Lib[[#This Row],[Name]]))),1,0)</f>
        <v>0</v>
      </c>
    </row>
    <row r="476" spans="1:25" ht="15" x14ac:dyDescent="0.2">
      <c r="A476" s="157" t="str">
        <f>CONCATENATE(SP_ACQ_Lib[[#This Row],[Acquisition Tract No.]],"_",SP_ACQ_Lib[[#This Row],[ACQ Document Type]])</f>
        <v>308_APPRAISAL Just Compensation Memo</v>
      </c>
      <c r="B476" s="14" t="s">
        <v>6687</v>
      </c>
      <c r="C476" s="45" t="s">
        <v>51</v>
      </c>
      <c r="D476" s="12" t="s">
        <v>650</v>
      </c>
      <c r="E476" s="8" t="s">
        <v>1131</v>
      </c>
      <c r="F476" s="8" t="s">
        <v>4757</v>
      </c>
      <c r="G476" s="8" t="s">
        <v>4756</v>
      </c>
      <c r="H476" s="7" t="s">
        <v>592</v>
      </c>
      <c r="I476" s="16">
        <v>44022</v>
      </c>
      <c r="J476" s="16">
        <v>44025</v>
      </c>
      <c r="K476" s="17">
        <v>403</v>
      </c>
      <c r="L476" s="3"/>
      <c r="M476" s="8" t="s">
        <v>4206</v>
      </c>
      <c r="N476" s="11">
        <v>44025.401562500003</v>
      </c>
      <c r="O476" s="8" t="s">
        <v>4206</v>
      </c>
      <c r="P476" s="11">
        <v>44022.384305555555</v>
      </c>
      <c r="Q476" s="13">
        <v>25927</v>
      </c>
      <c r="R476" s="46" t="s">
        <v>594</v>
      </c>
      <c r="S476" s="14" t="s">
        <v>6697</v>
      </c>
      <c r="T476" s="163">
        <v>1376</v>
      </c>
      <c r="U476" s="164" t="str">
        <f>CONCATENATE(LEFT(SP_ACQ_Lib[[#This Row],[Tax Parcel ID]],7),"_",SP_ACQ_Lib[[#This Row],[ACQ Document Type]])</f>
        <v>R023000_APPRAISAL Just Compensation Memo</v>
      </c>
      <c r="V476" s="65" t="str">
        <f>INDEX(SP_AcqTract_DB[WCAD Tax Parcel ID],MATCH(SP_ACQ_Lib[[#This Row],[Acquisition Tract No.]],SP_AcqTract_DB[Acquisition Tract No.],0))</f>
        <v>R023000;#48</v>
      </c>
      <c r="W476" s="48" t="str">
        <f>INDEX(SP_TaxPar_DB[Acquisition Tract No.],MATCH(LEFT(SP_ACQ_Lib[[#This Row],[Tax Parcel ID]],7),SP_TaxPar_DB[Tax Parcel ID],0))</f>
        <v>308</v>
      </c>
      <c r="X476" s="238" t="str">
        <f>IF(OR(SP_ACQ_Lib[[#This Row],[Acquisition Tract No.]]="",SP_ACQ_Lib[[#This Row],[ACQ Document Type]]=""),0,CONCATENATE("COW-FRMP_TR-",SP_ACQ_Lib[[#This Row],[Acquisition Tract No.]]," ",SP_ACQ_Lib[[#This Row],[ACQ Document Type]]))</f>
        <v>COW-FRMP_TR-308 APPRAISAL Just Compensation Memo</v>
      </c>
      <c r="Y476" s="239">
        <f>IF(OR(SP_ACQ_Lib[[#This Row],[File Name Convention]]=0,LEFT(SP_ACQ_Lib[[#This Row],[Name]],LEN(SP_ACQ_Lib[[#This Row],[File Name Convention]]))&lt;&gt;SP_ACQ_Lib[[#This Row],[File Name Convention]],ISERROR(SEARCH(SP_ACQ_Lib[[#This Row],[ACQ Document Type]],SP_ACQ_Lib[[#This Row],[Name]]))),1,0)</f>
        <v>0</v>
      </c>
    </row>
    <row r="477" spans="1:25" ht="15" x14ac:dyDescent="0.2">
      <c r="A477" s="157" t="str">
        <f>CONCATENATE(SP_ACQ_Lib[[#This Row],[Acquisition Tract No.]],"_",SP_ACQ_Lib[[#This Row],[ACQ Document Type]])</f>
        <v>308_APPRAISAL USACOE Authorization to Proceed with Offer</v>
      </c>
      <c r="B477" s="14" t="s">
        <v>6688</v>
      </c>
      <c r="C477" s="45" t="s">
        <v>51</v>
      </c>
      <c r="D477" s="12" t="s">
        <v>650</v>
      </c>
      <c r="E477" s="8" t="s">
        <v>1131</v>
      </c>
      <c r="F477" s="8" t="s">
        <v>4959</v>
      </c>
      <c r="G477" s="8" t="s">
        <v>4958</v>
      </c>
      <c r="H477" s="7" t="s">
        <v>592</v>
      </c>
      <c r="I477" s="16">
        <v>44022</v>
      </c>
      <c r="J477" s="16">
        <v>44025</v>
      </c>
      <c r="K477" s="17">
        <v>403</v>
      </c>
      <c r="L477" s="3"/>
      <c r="M477" s="8" t="s">
        <v>4206</v>
      </c>
      <c r="N477" s="11">
        <v>44025.401770833334</v>
      </c>
      <c r="O477" s="8" t="s">
        <v>4206</v>
      </c>
      <c r="P477" s="11">
        <v>44022.384317129632</v>
      </c>
      <c r="Q477" s="13">
        <v>421519</v>
      </c>
      <c r="R477" s="46" t="s">
        <v>594</v>
      </c>
      <c r="S477" s="14" t="s">
        <v>6698</v>
      </c>
      <c r="T477" s="163">
        <v>1377</v>
      </c>
      <c r="U477" s="164" t="str">
        <f>CONCATENATE(LEFT(SP_ACQ_Lib[[#This Row],[Tax Parcel ID]],7),"_",SP_ACQ_Lib[[#This Row],[ACQ Document Type]])</f>
        <v>R023000_APPRAISAL USACOE Authorization to Proceed with Offer</v>
      </c>
      <c r="V477" s="65" t="str">
        <f>INDEX(SP_AcqTract_DB[WCAD Tax Parcel ID],MATCH(SP_ACQ_Lib[[#This Row],[Acquisition Tract No.]],SP_AcqTract_DB[Acquisition Tract No.],0))</f>
        <v>R023000;#48</v>
      </c>
      <c r="W477" s="48" t="str">
        <f>INDEX(SP_TaxPar_DB[Acquisition Tract No.],MATCH(LEFT(SP_ACQ_Lib[[#This Row],[Tax Parcel ID]],7),SP_TaxPar_DB[Tax Parcel ID],0))</f>
        <v>308</v>
      </c>
      <c r="X477" s="238" t="str">
        <f>IF(OR(SP_ACQ_Lib[[#This Row],[Acquisition Tract No.]]="",SP_ACQ_Lib[[#This Row],[ACQ Document Type]]=""),0,CONCATENATE("COW-FRMP_TR-",SP_ACQ_Lib[[#This Row],[Acquisition Tract No.]]," ",SP_ACQ_Lib[[#This Row],[ACQ Document Type]]))</f>
        <v>COW-FRMP_TR-308 APPRAISAL USACOE Authorization to Proceed with Offer</v>
      </c>
      <c r="Y477" s="239">
        <f>IF(OR(SP_ACQ_Lib[[#This Row],[File Name Convention]]=0,LEFT(SP_ACQ_Lib[[#This Row],[Name]],LEN(SP_ACQ_Lib[[#This Row],[File Name Convention]]))&lt;&gt;SP_ACQ_Lib[[#This Row],[File Name Convention]],ISERROR(SEARCH(SP_ACQ_Lib[[#This Row],[ACQ Document Type]],SP_ACQ_Lib[[#This Row],[Name]]))),1,0)</f>
        <v>0</v>
      </c>
    </row>
    <row r="478" spans="1:25" ht="15" x14ac:dyDescent="0.2">
      <c r="A478" s="157" t="str">
        <f>CONCATENATE(SP_ACQ_Lib[[#This Row],[Acquisition Tract No.]],"_",SP_ACQ_Lib[[#This Row],[ACQ Document Type]])</f>
        <v>308_CONTACT Letter of Intent-HDR</v>
      </c>
      <c r="B478" s="14" t="s">
        <v>1547</v>
      </c>
      <c r="C478" s="45" t="s">
        <v>51</v>
      </c>
      <c r="D478" s="12" t="s">
        <v>650</v>
      </c>
      <c r="E478" s="8" t="s">
        <v>865</v>
      </c>
      <c r="F478" s="8" t="s">
        <v>1401</v>
      </c>
      <c r="G478" s="8" t="s">
        <v>1400</v>
      </c>
      <c r="H478" s="7" t="s">
        <v>592</v>
      </c>
      <c r="I478" s="16">
        <v>43765</v>
      </c>
      <c r="J478" s="16"/>
      <c r="K478" s="17"/>
      <c r="L478" s="3"/>
      <c r="M478" s="8" t="s">
        <v>23</v>
      </c>
      <c r="N478" s="11">
        <v>43770.449236111112</v>
      </c>
      <c r="O478" s="8" t="s">
        <v>1272</v>
      </c>
      <c r="P478" s="11">
        <v>43769.630358796298</v>
      </c>
      <c r="Q478" s="13">
        <v>350915</v>
      </c>
      <c r="R478" s="46" t="s">
        <v>594</v>
      </c>
      <c r="S478" s="14" t="s">
        <v>1650</v>
      </c>
      <c r="T478" s="163">
        <v>534</v>
      </c>
      <c r="U478" s="164" t="str">
        <f>CONCATENATE(LEFT(SP_ACQ_Lib[[#This Row],[Tax Parcel ID]],7),"_",SP_ACQ_Lib[[#This Row],[ACQ Document Type]])</f>
        <v>R023000_CONTACT Letter of Intent-HDR</v>
      </c>
      <c r="V478" s="65" t="str">
        <f>INDEX(SP_AcqTract_DB[WCAD Tax Parcel ID],MATCH(SP_ACQ_Lib[[#This Row],[Acquisition Tract No.]],SP_AcqTract_DB[Acquisition Tract No.],0))</f>
        <v>R023000;#48</v>
      </c>
      <c r="W478" s="48" t="str">
        <f>INDEX(SP_TaxPar_DB[Acquisition Tract No.],MATCH(LEFT(SP_ACQ_Lib[[#This Row],[Tax Parcel ID]],7),SP_TaxPar_DB[Tax Parcel ID],0))</f>
        <v>308</v>
      </c>
      <c r="X478" s="238" t="str">
        <f>IF(OR(SP_ACQ_Lib[[#This Row],[Acquisition Tract No.]]="",SP_ACQ_Lib[[#This Row],[ACQ Document Type]]=""),0,CONCATENATE("COW-FRMP_TR-",SP_ACQ_Lib[[#This Row],[Acquisition Tract No.]]," ",SP_ACQ_Lib[[#This Row],[ACQ Document Type]]))</f>
        <v>COW-FRMP_TR-308 CONTACT Letter of Intent-HDR</v>
      </c>
      <c r="Y478" s="239">
        <f>IF(OR(SP_ACQ_Lib[[#This Row],[File Name Convention]]=0,LEFT(SP_ACQ_Lib[[#This Row],[Name]],LEN(SP_ACQ_Lib[[#This Row],[File Name Convention]]))&lt;&gt;SP_ACQ_Lib[[#This Row],[File Name Convention]],ISERROR(SEARCH(SP_ACQ_Lib[[#This Row],[ACQ Document Type]],SP_ACQ_Lib[[#This Row],[Name]]))),1,0)</f>
        <v>0</v>
      </c>
    </row>
    <row r="479" spans="1:25" ht="15" x14ac:dyDescent="0.2">
      <c r="A479" s="157" t="str">
        <f>CONCATENATE(SP_ACQ_Lib[[#This Row],[Acquisition Tract No.]],"_",SP_ACQ_Lib[[#This Row],[ACQ Document Type]])</f>
        <v>308_CONTACT Negotiator Report</v>
      </c>
      <c r="B479" s="14" t="s">
        <v>3404</v>
      </c>
      <c r="C479" s="45" t="s">
        <v>51</v>
      </c>
      <c r="D479" s="12" t="s">
        <v>650</v>
      </c>
      <c r="E479" s="8" t="s">
        <v>865</v>
      </c>
      <c r="F479" s="8" t="s">
        <v>1068</v>
      </c>
      <c r="G479" s="8" t="s">
        <v>1067</v>
      </c>
      <c r="H479" s="7" t="s">
        <v>592</v>
      </c>
      <c r="I479" s="16"/>
      <c r="J479" s="16"/>
      <c r="K479" s="17"/>
      <c r="L479" s="3"/>
      <c r="M479" s="8" t="s">
        <v>4206</v>
      </c>
      <c r="N479" s="11">
        <v>44018.385358796295</v>
      </c>
      <c r="O479" s="8" t="s">
        <v>4207</v>
      </c>
      <c r="P479" s="11">
        <v>43738.428506944445</v>
      </c>
      <c r="Q479" s="13">
        <v>54928</v>
      </c>
      <c r="R479" s="46" t="s">
        <v>1069</v>
      </c>
      <c r="S479" s="14" t="s">
        <v>1104</v>
      </c>
      <c r="T479" s="163">
        <v>368</v>
      </c>
      <c r="U479" s="164" t="str">
        <f>CONCATENATE(LEFT(SP_ACQ_Lib[[#This Row],[Tax Parcel ID]],7),"_",SP_ACQ_Lib[[#This Row],[ACQ Document Type]])</f>
        <v>R023000_CONTACT Negotiator Report</v>
      </c>
      <c r="V479" s="65" t="str">
        <f>INDEX(SP_AcqTract_DB[WCAD Tax Parcel ID],MATCH(SP_ACQ_Lib[[#This Row],[Acquisition Tract No.]],SP_AcqTract_DB[Acquisition Tract No.],0))</f>
        <v>R023000;#48</v>
      </c>
      <c r="W479" s="48" t="str">
        <f>INDEX(SP_TaxPar_DB[Acquisition Tract No.],MATCH(LEFT(SP_ACQ_Lib[[#This Row],[Tax Parcel ID]],7),SP_TaxPar_DB[Tax Parcel ID],0))</f>
        <v>308</v>
      </c>
      <c r="X479" s="238" t="str">
        <f>IF(OR(SP_ACQ_Lib[[#This Row],[Acquisition Tract No.]]="",SP_ACQ_Lib[[#This Row],[ACQ Document Type]]=""),0,CONCATENATE("COW-FRMP_TR-",SP_ACQ_Lib[[#This Row],[Acquisition Tract No.]]," ",SP_ACQ_Lib[[#This Row],[ACQ Document Type]]))</f>
        <v>COW-FRMP_TR-308 CONTACT Negotiator Report</v>
      </c>
      <c r="Y479" s="239">
        <f>IF(OR(SP_ACQ_Lib[[#This Row],[File Name Convention]]=0,LEFT(SP_ACQ_Lib[[#This Row],[Name]],LEN(SP_ACQ_Lib[[#This Row],[File Name Convention]]))&lt;&gt;SP_ACQ_Lib[[#This Row],[File Name Convention]],ISERROR(SEARCH(SP_ACQ_Lib[[#This Row],[ACQ Document Type]],SP_ACQ_Lib[[#This Row],[Name]]))),1,0)</f>
        <v>0</v>
      </c>
    </row>
    <row r="480" spans="1:25" ht="15" x14ac:dyDescent="0.2">
      <c r="A480" s="157" t="str">
        <f>CONCATENATE(SP_ACQ_Lib[[#This Row],[Acquisition Tract No.]],"_",SP_ACQ_Lib[[#This Row],[ACQ Document Type]])</f>
        <v>308_NEGOTIATION Landowner Bill of Rights Letter</v>
      </c>
      <c r="B480" s="14" t="s">
        <v>3471</v>
      </c>
      <c r="C480" s="45" t="s">
        <v>51</v>
      </c>
      <c r="D480" s="12" t="s">
        <v>650</v>
      </c>
      <c r="E480" s="8" t="s">
        <v>1142</v>
      </c>
      <c r="F480" s="8" t="s">
        <v>1746</v>
      </c>
      <c r="G480" s="8" t="s">
        <v>1745</v>
      </c>
      <c r="H480" s="7" t="s">
        <v>592</v>
      </c>
      <c r="I480" s="16">
        <v>43748</v>
      </c>
      <c r="J480" s="16"/>
      <c r="K480" s="17"/>
      <c r="L480" s="3"/>
      <c r="M480" s="8" t="s">
        <v>4206</v>
      </c>
      <c r="N480" s="11">
        <v>43872.56459490741</v>
      </c>
      <c r="O480" s="8" t="s">
        <v>4325</v>
      </c>
      <c r="P480" s="11">
        <v>43752.520405092589</v>
      </c>
      <c r="Q480" s="13">
        <v>360448</v>
      </c>
      <c r="R480" s="46" t="s">
        <v>594</v>
      </c>
      <c r="S480" s="14" t="s">
        <v>1232</v>
      </c>
      <c r="T480" s="163">
        <v>447</v>
      </c>
      <c r="U480" s="164" t="str">
        <f>CONCATENATE(LEFT(SP_ACQ_Lib[[#This Row],[Tax Parcel ID]],7),"_",SP_ACQ_Lib[[#This Row],[ACQ Document Type]])</f>
        <v>R023000_NEGOTIATION Landowner Bill of Rights Letter</v>
      </c>
      <c r="V480" s="65" t="str">
        <f>INDEX(SP_AcqTract_DB[WCAD Tax Parcel ID],MATCH(SP_ACQ_Lib[[#This Row],[Acquisition Tract No.]],SP_AcqTract_DB[Acquisition Tract No.],0))</f>
        <v>R023000;#48</v>
      </c>
      <c r="W480" s="48" t="str">
        <f>INDEX(SP_TaxPar_DB[Acquisition Tract No.],MATCH(LEFT(SP_ACQ_Lib[[#This Row],[Tax Parcel ID]],7),SP_TaxPar_DB[Tax Parcel ID],0))</f>
        <v>308</v>
      </c>
      <c r="X480" s="238" t="str">
        <f>IF(OR(SP_ACQ_Lib[[#This Row],[Acquisition Tract No.]]="",SP_ACQ_Lib[[#This Row],[ACQ Document Type]]=""),0,CONCATENATE("COW-FRMP_TR-",SP_ACQ_Lib[[#This Row],[Acquisition Tract No.]]," ",SP_ACQ_Lib[[#This Row],[ACQ Document Type]]))</f>
        <v>COW-FRMP_TR-308 NEGOTIATION Landowner Bill of Rights Letter</v>
      </c>
      <c r="Y480" s="239">
        <f>IF(OR(SP_ACQ_Lib[[#This Row],[File Name Convention]]=0,LEFT(SP_ACQ_Lib[[#This Row],[Name]],LEN(SP_ACQ_Lib[[#This Row],[File Name Convention]]))&lt;&gt;SP_ACQ_Lib[[#This Row],[File Name Convention]],ISERROR(SEARCH(SP_ACQ_Lib[[#This Row],[ACQ Document Type]],SP_ACQ_Lib[[#This Row],[Name]]))),1,0)</f>
        <v>0</v>
      </c>
    </row>
    <row r="481" spans="1:25" ht="15" x14ac:dyDescent="0.2">
      <c r="A481" s="157" t="str">
        <f>CONCATENATE(SP_ACQ_Lib[[#This Row],[Acquisition Tract No.]],"_",SP_ACQ_Lib[[#This Row],[ACQ Document Type]])</f>
        <v>308_SURVEY Description-Plat_CITY</v>
      </c>
      <c r="B481" s="14" t="s">
        <v>3528</v>
      </c>
      <c r="C481" s="45" t="s">
        <v>51</v>
      </c>
      <c r="D481" s="12" t="s">
        <v>650</v>
      </c>
      <c r="E481" s="8" t="s">
        <v>858</v>
      </c>
      <c r="F481" s="8" t="s">
        <v>3503</v>
      </c>
      <c r="G481" s="8" t="s">
        <v>3502</v>
      </c>
      <c r="H481" s="7" t="s">
        <v>1749</v>
      </c>
      <c r="I481" s="16">
        <v>43867</v>
      </c>
      <c r="J481" s="16">
        <v>43886</v>
      </c>
      <c r="K481" s="17"/>
      <c r="L481" s="3"/>
      <c r="M481" s="8" t="s">
        <v>4206</v>
      </c>
      <c r="N481" s="11">
        <v>43937.589201388888</v>
      </c>
      <c r="O481" s="8" t="s">
        <v>4206</v>
      </c>
      <c r="P481" s="11">
        <v>43886.641886574071</v>
      </c>
      <c r="Q481" s="13">
        <v>261803</v>
      </c>
      <c r="R481" s="46" t="s">
        <v>594</v>
      </c>
      <c r="S481" s="14" t="s">
        <v>3551</v>
      </c>
      <c r="T481" s="163">
        <v>732</v>
      </c>
      <c r="U481" s="164" t="str">
        <f>CONCATENATE(LEFT(SP_ACQ_Lib[[#This Row],[Tax Parcel ID]],7),"_",SP_ACQ_Lib[[#This Row],[ACQ Document Type]])</f>
        <v>R023000_SURVEY Description-Plat_CITY</v>
      </c>
      <c r="V481" s="65" t="str">
        <f>INDEX(SP_AcqTract_DB[WCAD Tax Parcel ID],MATCH(SP_ACQ_Lib[[#This Row],[Acquisition Tract No.]],SP_AcqTract_DB[Acquisition Tract No.],0))</f>
        <v>R023000;#48</v>
      </c>
      <c r="W481" s="48" t="str">
        <f>INDEX(SP_TaxPar_DB[Acquisition Tract No.],MATCH(LEFT(SP_ACQ_Lib[[#This Row],[Tax Parcel ID]],7),SP_TaxPar_DB[Tax Parcel ID],0))</f>
        <v>308</v>
      </c>
      <c r="X481" s="238" t="str">
        <f>IF(OR(SP_ACQ_Lib[[#This Row],[Acquisition Tract No.]]="",SP_ACQ_Lib[[#This Row],[ACQ Document Type]]=""),0,CONCATENATE("COW-FRMP_TR-",SP_ACQ_Lib[[#This Row],[Acquisition Tract No.]]," ",SP_ACQ_Lib[[#This Row],[ACQ Document Type]]))</f>
        <v>COW-FRMP_TR-308 SURVEY Description-Plat_CITY</v>
      </c>
      <c r="Y481" s="239">
        <f>IF(OR(SP_ACQ_Lib[[#This Row],[File Name Convention]]=0,LEFT(SP_ACQ_Lib[[#This Row],[Name]],LEN(SP_ACQ_Lib[[#This Row],[File Name Convention]]))&lt;&gt;SP_ACQ_Lib[[#This Row],[File Name Convention]],ISERROR(SEARCH(SP_ACQ_Lib[[#This Row],[ACQ Document Type]],SP_ACQ_Lib[[#This Row],[Name]]))),1,0)</f>
        <v>0</v>
      </c>
    </row>
    <row r="482" spans="1:25" ht="15" x14ac:dyDescent="0.2">
      <c r="A482" s="157" t="str">
        <f>CONCATENATE(SP_ACQ_Lib[[#This Row],[Acquisition Tract No.]],"_",SP_ACQ_Lib[[#This Row],[ACQ Document Type]])</f>
        <v>308_SURVEY Description-Plat_USACOE</v>
      </c>
      <c r="B482" s="14" t="s">
        <v>6032</v>
      </c>
      <c r="C482" s="45" t="s">
        <v>51</v>
      </c>
      <c r="D482" s="12" t="s">
        <v>650</v>
      </c>
      <c r="E482" s="8" t="s">
        <v>858</v>
      </c>
      <c r="F482" s="8" t="s">
        <v>3510</v>
      </c>
      <c r="G482" s="8" t="s">
        <v>3509</v>
      </c>
      <c r="H482" s="7" t="s">
        <v>592</v>
      </c>
      <c r="I482" s="16">
        <v>43991</v>
      </c>
      <c r="J482" s="16">
        <v>43993</v>
      </c>
      <c r="K482" s="17"/>
      <c r="L482" s="3"/>
      <c r="M482" s="8" t="s">
        <v>4206</v>
      </c>
      <c r="N482" s="11">
        <v>43994.375138888892</v>
      </c>
      <c r="O482" s="8" t="s">
        <v>4206</v>
      </c>
      <c r="P482" s="11">
        <v>43994.366712962961</v>
      </c>
      <c r="Q482" s="13">
        <v>306555</v>
      </c>
      <c r="R482" s="46" t="s">
        <v>594</v>
      </c>
      <c r="S482" s="14" t="s">
        <v>6053</v>
      </c>
      <c r="T482" s="163">
        <v>1194</v>
      </c>
      <c r="U482" s="164" t="str">
        <f>CONCATENATE(LEFT(SP_ACQ_Lib[[#This Row],[Tax Parcel ID]],7),"_",SP_ACQ_Lib[[#This Row],[ACQ Document Type]])</f>
        <v>R023000_SURVEY Description-Plat_USACOE</v>
      </c>
      <c r="V482" s="65" t="str">
        <f>INDEX(SP_AcqTract_DB[WCAD Tax Parcel ID],MATCH(SP_ACQ_Lib[[#This Row],[Acquisition Tract No.]],SP_AcqTract_DB[Acquisition Tract No.],0))</f>
        <v>R023000;#48</v>
      </c>
      <c r="W482" s="48" t="str">
        <f>INDEX(SP_TaxPar_DB[Acquisition Tract No.],MATCH(LEFT(SP_ACQ_Lib[[#This Row],[Tax Parcel ID]],7),SP_TaxPar_DB[Tax Parcel ID],0))</f>
        <v>308</v>
      </c>
      <c r="X482" s="238" t="str">
        <f>IF(OR(SP_ACQ_Lib[[#This Row],[Acquisition Tract No.]]="",SP_ACQ_Lib[[#This Row],[ACQ Document Type]]=""),0,CONCATENATE("COW-FRMP_TR-",SP_ACQ_Lib[[#This Row],[Acquisition Tract No.]]," ",SP_ACQ_Lib[[#This Row],[ACQ Document Type]]))</f>
        <v>COW-FRMP_TR-308 SURVEY Description-Plat_USACOE</v>
      </c>
      <c r="Y482" s="239">
        <f>IF(OR(SP_ACQ_Lib[[#This Row],[File Name Convention]]=0,LEFT(SP_ACQ_Lib[[#This Row],[Name]],LEN(SP_ACQ_Lib[[#This Row],[File Name Convention]]))&lt;&gt;SP_ACQ_Lib[[#This Row],[File Name Convention]],ISERROR(SEARCH(SP_ACQ_Lib[[#This Row],[ACQ Document Type]],SP_ACQ_Lib[[#This Row],[Name]]))),1,0)</f>
        <v>0</v>
      </c>
    </row>
    <row r="483" spans="1:25" ht="15" x14ac:dyDescent="0.2">
      <c r="A483" s="157" t="str">
        <f>CONCATENATE(SP_ACQ_Lib[[#This Row],[Acquisition Tract No.]],"_",SP_ACQ_Lib[[#This Row],[ACQ Document Type]])</f>
        <v>308_SURVEY Right-of-Entry</v>
      </c>
      <c r="B483" s="14" t="s">
        <v>4595</v>
      </c>
      <c r="C483" s="45" t="s">
        <v>51</v>
      </c>
      <c r="D483" s="12" t="s">
        <v>650</v>
      </c>
      <c r="E483" s="8" t="s">
        <v>858</v>
      </c>
      <c r="F483" s="8" t="s">
        <v>859</v>
      </c>
      <c r="G483" s="8" t="s">
        <v>591</v>
      </c>
      <c r="H483" s="7" t="s">
        <v>592</v>
      </c>
      <c r="I483" s="16">
        <v>43732</v>
      </c>
      <c r="J483" s="16"/>
      <c r="K483" s="17"/>
      <c r="L483" s="3" t="s">
        <v>1070</v>
      </c>
      <c r="M483" s="8" t="s">
        <v>4206</v>
      </c>
      <c r="N483" s="11">
        <v>43922.383784722224</v>
      </c>
      <c r="O483" s="8" t="s">
        <v>4325</v>
      </c>
      <c r="P483" s="11">
        <v>43732.427141203705</v>
      </c>
      <c r="Q483" s="13">
        <v>1850440</v>
      </c>
      <c r="R483" s="46" t="s">
        <v>594</v>
      </c>
      <c r="S483" s="14" t="s">
        <v>1105</v>
      </c>
      <c r="T483" s="163">
        <v>264</v>
      </c>
      <c r="U483" s="164" t="str">
        <f>CONCATENATE(LEFT(SP_ACQ_Lib[[#This Row],[Tax Parcel ID]],7),"_",SP_ACQ_Lib[[#This Row],[ACQ Document Type]])</f>
        <v>R023000_SURVEY Right-of-Entry</v>
      </c>
      <c r="V483" s="65" t="str">
        <f>INDEX(SP_AcqTract_DB[WCAD Tax Parcel ID],MATCH(SP_ACQ_Lib[[#This Row],[Acquisition Tract No.]],SP_AcqTract_DB[Acquisition Tract No.],0))</f>
        <v>R023000;#48</v>
      </c>
      <c r="W483" s="48" t="str">
        <f>INDEX(SP_TaxPar_DB[Acquisition Tract No.],MATCH(LEFT(SP_ACQ_Lib[[#This Row],[Tax Parcel ID]],7),SP_TaxPar_DB[Tax Parcel ID],0))</f>
        <v>308</v>
      </c>
      <c r="X483" s="238" t="str">
        <f>IF(OR(SP_ACQ_Lib[[#This Row],[Acquisition Tract No.]]="",SP_ACQ_Lib[[#This Row],[ACQ Document Type]]=""),0,CONCATENATE("COW-FRMP_TR-",SP_ACQ_Lib[[#This Row],[Acquisition Tract No.]]," ",SP_ACQ_Lib[[#This Row],[ACQ Document Type]]))</f>
        <v>COW-FRMP_TR-308 SURVEY Right-of-Entry</v>
      </c>
      <c r="Y483" s="239">
        <f>IF(OR(SP_ACQ_Lib[[#This Row],[File Name Convention]]=0,LEFT(SP_ACQ_Lib[[#This Row],[Name]],LEN(SP_ACQ_Lib[[#This Row],[File Name Convention]]))&lt;&gt;SP_ACQ_Lib[[#This Row],[File Name Convention]],ISERROR(SEARCH(SP_ACQ_Lib[[#This Row],[ACQ Document Type]],SP_ACQ_Lib[[#This Row],[Name]]))),1,0)</f>
        <v>0</v>
      </c>
    </row>
    <row r="484" spans="1:25" ht="15" x14ac:dyDescent="0.2">
      <c r="A484" s="157" t="str">
        <f>CONCATENATE(SP_ACQ_Lib[[#This Row],[Acquisition Tract No.]],"_",SP_ACQ_Lib[[#This Row],[ACQ Document Type]])</f>
        <v>308_SURVEY Right-of-Entry CMRR</v>
      </c>
      <c r="B484" s="14" t="s">
        <v>4596</v>
      </c>
      <c r="C484" s="45" t="s">
        <v>51</v>
      </c>
      <c r="D484" s="12" t="s">
        <v>650</v>
      </c>
      <c r="E484" s="8" t="s">
        <v>858</v>
      </c>
      <c r="F484" s="8" t="s">
        <v>860</v>
      </c>
      <c r="G484" s="8" t="s">
        <v>598</v>
      </c>
      <c r="H484" s="7" t="s">
        <v>592</v>
      </c>
      <c r="I484" s="16">
        <v>43691</v>
      </c>
      <c r="J484" s="16">
        <v>43699</v>
      </c>
      <c r="K484" s="17"/>
      <c r="L484" s="3"/>
      <c r="M484" s="8" t="s">
        <v>4206</v>
      </c>
      <c r="N484" s="11">
        <v>43922.371574074074</v>
      </c>
      <c r="O484" s="8" t="s">
        <v>4325</v>
      </c>
      <c r="P484" s="11">
        <v>43699.454814814817</v>
      </c>
      <c r="Q484" s="13">
        <v>694427</v>
      </c>
      <c r="R484" s="46" t="s">
        <v>594</v>
      </c>
      <c r="S484" s="14" t="s">
        <v>796</v>
      </c>
      <c r="T484" s="163">
        <v>123</v>
      </c>
      <c r="U484" s="164" t="str">
        <f>CONCATENATE(LEFT(SP_ACQ_Lib[[#This Row],[Tax Parcel ID]],7),"_",SP_ACQ_Lib[[#This Row],[ACQ Document Type]])</f>
        <v>R023000_SURVEY Right-of-Entry CMRR</v>
      </c>
      <c r="V484" s="65" t="str">
        <f>INDEX(SP_AcqTract_DB[WCAD Tax Parcel ID],MATCH(SP_ACQ_Lib[[#This Row],[Acquisition Tract No.]],SP_AcqTract_DB[Acquisition Tract No.],0))</f>
        <v>R023000;#48</v>
      </c>
      <c r="W484" s="48" t="str">
        <f>INDEX(SP_TaxPar_DB[Acquisition Tract No.],MATCH(LEFT(SP_ACQ_Lib[[#This Row],[Tax Parcel ID]],7),SP_TaxPar_DB[Tax Parcel ID],0))</f>
        <v>308</v>
      </c>
      <c r="X484" s="238" t="str">
        <f>IF(OR(SP_ACQ_Lib[[#This Row],[Acquisition Tract No.]]="",SP_ACQ_Lib[[#This Row],[ACQ Document Type]]=""),0,CONCATENATE("COW-FRMP_TR-",SP_ACQ_Lib[[#This Row],[Acquisition Tract No.]]," ",SP_ACQ_Lib[[#This Row],[ACQ Document Type]]))</f>
        <v>COW-FRMP_TR-308 SURVEY Right-of-Entry CMRR</v>
      </c>
      <c r="Y484" s="239">
        <f>IF(OR(SP_ACQ_Lib[[#This Row],[File Name Convention]]=0,LEFT(SP_ACQ_Lib[[#This Row],[Name]],LEN(SP_ACQ_Lib[[#This Row],[File Name Convention]]))&lt;&gt;SP_ACQ_Lib[[#This Row],[File Name Convention]],ISERROR(SEARCH(SP_ACQ_Lib[[#This Row],[ACQ Document Type]],SP_ACQ_Lib[[#This Row],[Name]]))),1,0)</f>
        <v>0</v>
      </c>
    </row>
    <row r="485" spans="1:25" ht="15" x14ac:dyDescent="0.2">
      <c r="A485" s="157" t="str">
        <f>CONCATENATE(SP_ACQ_Lib[[#This Row],[Acquisition Tract No.]],"_",SP_ACQ_Lib[[#This Row],[ACQ Document Type]])</f>
        <v>308_TITLE Commitment</v>
      </c>
      <c r="B485" s="14" t="s">
        <v>1548</v>
      </c>
      <c r="C485" s="183" t="s">
        <v>51</v>
      </c>
      <c r="D485" s="12" t="s">
        <v>650</v>
      </c>
      <c r="E485" s="8" t="s">
        <v>861</v>
      </c>
      <c r="F485" s="8" t="s">
        <v>862</v>
      </c>
      <c r="G485" s="8" t="s">
        <v>614</v>
      </c>
      <c r="H485" s="7" t="s">
        <v>592</v>
      </c>
      <c r="I485" s="16">
        <v>43889</v>
      </c>
      <c r="J485" s="16">
        <v>43902</v>
      </c>
      <c r="K485" s="17"/>
      <c r="L485" s="3" t="s">
        <v>4449</v>
      </c>
      <c r="M485" s="8" t="s">
        <v>4325</v>
      </c>
      <c r="N485" s="11">
        <v>43902.69327546296</v>
      </c>
      <c r="O485" s="8" t="s">
        <v>4326</v>
      </c>
      <c r="P485" s="11">
        <v>43706.442789351851</v>
      </c>
      <c r="Q485" s="13">
        <v>1973192</v>
      </c>
      <c r="R485" s="184" t="s">
        <v>594</v>
      </c>
      <c r="S485" s="14" t="s">
        <v>797</v>
      </c>
      <c r="T485" s="163">
        <v>191</v>
      </c>
      <c r="U485" s="164" t="str">
        <f>CONCATENATE(LEFT(SP_ACQ_Lib[[#This Row],[Tax Parcel ID]],7),"_",SP_ACQ_Lib[[#This Row],[ACQ Document Type]])</f>
        <v>R023000_TITLE Commitment</v>
      </c>
      <c r="V485" s="65" t="str">
        <f>INDEX(SP_AcqTract_DB[WCAD Tax Parcel ID],MATCH(SP_ACQ_Lib[[#This Row],[Acquisition Tract No.]],SP_AcqTract_DB[Acquisition Tract No.],0))</f>
        <v>R023000;#48</v>
      </c>
      <c r="W485" s="48" t="str">
        <f>INDEX(SP_TaxPar_DB[Acquisition Tract No.],MATCH(LEFT(SP_ACQ_Lib[[#This Row],[Tax Parcel ID]],7),SP_TaxPar_DB[Tax Parcel ID],0))</f>
        <v>308</v>
      </c>
      <c r="X485" s="238" t="str">
        <f>IF(OR(SP_ACQ_Lib[[#This Row],[Acquisition Tract No.]]="",SP_ACQ_Lib[[#This Row],[ACQ Document Type]]=""),0,CONCATENATE("COW-FRMP_TR-",SP_ACQ_Lib[[#This Row],[Acquisition Tract No.]]," ",SP_ACQ_Lib[[#This Row],[ACQ Document Type]]))</f>
        <v>COW-FRMP_TR-308 TITLE Commitment</v>
      </c>
      <c r="Y485" s="239">
        <f>IF(OR(SP_ACQ_Lib[[#This Row],[File Name Convention]]=0,LEFT(SP_ACQ_Lib[[#This Row],[Name]],LEN(SP_ACQ_Lib[[#This Row],[File Name Convention]]))&lt;&gt;SP_ACQ_Lib[[#This Row],[File Name Convention]],ISERROR(SEARCH(SP_ACQ_Lib[[#This Row],[ACQ Document Type]],SP_ACQ_Lib[[#This Row],[Name]]))),1,0)</f>
        <v>0</v>
      </c>
    </row>
    <row r="486" spans="1:25" ht="15" x14ac:dyDescent="0.2">
      <c r="A486" s="157" t="str">
        <f>CONCATENATE(SP_ACQ_Lib[[#This Row],[Acquisition Tract No.]],"_",SP_ACQ_Lib[[#This Row],[ACQ Document Type]])</f>
        <v>308_TITLE Commitment Backup Docs</v>
      </c>
      <c r="B486" s="14" t="s">
        <v>1549</v>
      </c>
      <c r="C486" s="183" t="s">
        <v>51</v>
      </c>
      <c r="D486" s="12" t="s">
        <v>650</v>
      </c>
      <c r="E486" s="8" t="s">
        <v>861</v>
      </c>
      <c r="F486" s="8" t="s">
        <v>863</v>
      </c>
      <c r="G486" s="8" t="s">
        <v>616</v>
      </c>
      <c r="H486" s="7" t="s">
        <v>592</v>
      </c>
      <c r="I486" s="16"/>
      <c r="J486" s="16"/>
      <c r="K486" s="17"/>
      <c r="L486" s="3"/>
      <c r="M486" s="8" t="s">
        <v>4325</v>
      </c>
      <c r="N486" s="11">
        <v>43864.727696759262</v>
      </c>
      <c r="O486" s="8" t="s">
        <v>4326</v>
      </c>
      <c r="P486" s="11">
        <v>43706.443333333336</v>
      </c>
      <c r="Q486" s="13">
        <v>1577574</v>
      </c>
      <c r="R486" s="184" t="s">
        <v>594</v>
      </c>
      <c r="S486" s="14" t="s">
        <v>798</v>
      </c>
      <c r="T486" s="163">
        <v>192</v>
      </c>
      <c r="U486" s="164" t="str">
        <f>CONCATENATE(LEFT(SP_ACQ_Lib[[#This Row],[Tax Parcel ID]],7),"_",SP_ACQ_Lib[[#This Row],[ACQ Document Type]])</f>
        <v>R023000_TITLE Commitment Backup Docs</v>
      </c>
      <c r="V486" s="65" t="str">
        <f>INDEX(SP_AcqTract_DB[WCAD Tax Parcel ID],MATCH(SP_ACQ_Lib[[#This Row],[Acquisition Tract No.]],SP_AcqTract_DB[Acquisition Tract No.],0))</f>
        <v>R023000;#48</v>
      </c>
      <c r="W486" s="48" t="str">
        <f>INDEX(SP_TaxPar_DB[Acquisition Tract No.],MATCH(LEFT(SP_ACQ_Lib[[#This Row],[Tax Parcel ID]],7),SP_TaxPar_DB[Tax Parcel ID],0))</f>
        <v>308</v>
      </c>
      <c r="X486" s="238" t="str">
        <f>IF(OR(SP_ACQ_Lib[[#This Row],[Acquisition Tract No.]]="",SP_ACQ_Lib[[#This Row],[ACQ Document Type]]=""),0,CONCATENATE("COW-FRMP_TR-",SP_ACQ_Lib[[#This Row],[Acquisition Tract No.]]," ",SP_ACQ_Lib[[#This Row],[ACQ Document Type]]))</f>
        <v>COW-FRMP_TR-308 TITLE Commitment Backup Docs</v>
      </c>
      <c r="Y486" s="239">
        <f>IF(OR(SP_ACQ_Lib[[#This Row],[File Name Convention]]=0,LEFT(SP_ACQ_Lib[[#This Row],[Name]],LEN(SP_ACQ_Lib[[#This Row],[File Name Convention]]))&lt;&gt;SP_ACQ_Lib[[#This Row],[File Name Convention]],ISERROR(SEARCH(SP_ACQ_Lib[[#This Row],[ACQ Document Type]],SP_ACQ_Lib[[#This Row],[Name]]))),1,0)</f>
        <v>0</v>
      </c>
    </row>
    <row r="487" spans="1:25" ht="15" x14ac:dyDescent="0.2">
      <c r="A487" s="157" t="str">
        <f>CONCATENATE(SP_ACQ_Lib[[#This Row],[Acquisition Tract No.]],"_",SP_ACQ_Lib[[#This Row],[ACQ Document Type]])</f>
        <v>308_TITLE Curative Plan</v>
      </c>
      <c r="B487" s="14" t="s">
        <v>1550</v>
      </c>
      <c r="C487" s="183" t="s">
        <v>51</v>
      </c>
      <c r="D487" s="12" t="s">
        <v>650</v>
      </c>
      <c r="E487" s="8" t="s">
        <v>861</v>
      </c>
      <c r="F487" s="8" t="s">
        <v>864</v>
      </c>
      <c r="G487" s="8" t="s">
        <v>617</v>
      </c>
      <c r="H487" s="7" t="s">
        <v>592</v>
      </c>
      <c r="I487" s="16">
        <v>43812</v>
      </c>
      <c r="J487" s="16"/>
      <c r="K487" s="17"/>
      <c r="L487" s="3"/>
      <c r="M487" s="8" t="s">
        <v>4325</v>
      </c>
      <c r="N487" s="11">
        <v>43902.68959490741</v>
      </c>
      <c r="O487" s="8" t="s">
        <v>4326</v>
      </c>
      <c r="P487" s="11">
        <v>43717.561967592592</v>
      </c>
      <c r="Q487" s="13">
        <v>35387</v>
      </c>
      <c r="R487" s="184" t="s">
        <v>594</v>
      </c>
      <c r="S487" s="14" t="s">
        <v>799</v>
      </c>
      <c r="T487" s="163">
        <v>220</v>
      </c>
      <c r="U487" s="164" t="str">
        <f>CONCATENATE(LEFT(SP_ACQ_Lib[[#This Row],[Tax Parcel ID]],7),"_",SP_ACQ_Lib[[#This Row],[ACQ Document Type]])</f>
        <v>R023000_TITLE Curative Plan</v>
      </c>
      <c r="V487" s="65" t="str">
        <f>INDEX(SP_AcqTract_DB[WCAD Tax Parcel ID],MATCH(SP_ACQ_Lib[[#This Row],[Acquisition Tract No.]],SP_AcqTract_DB[Acquisition Tract No.],0))</f>
        <v>R023000;#48</v>
      </c>
      <c r="W487" s="48" t="str">
        <f>INDEX(SP_TaxPar_DB[Acquisition Tract No.],MATCH(LEFT(SP_ACQ_Lib[[#This Row],[Tax Parcel ID]],7),SP_TaxPar_DB[Tax Parcel ID],0))</f>
        <v>308</v>
      </c>
      <c r="X487" s="238" t="str">
        <f>IF(OR(SP_ACQ_Lib[[#This Row],[Acquisition Tract No.]]="",SP_ACQ_Lib[[#This Row],[ACQ Document Type]]=""),0,CONCATENATE("COW-FRMP_TR-",SP_ACQ_Lib[[#This Row],[Acquisition Tract No.]]," ",SP_ACQ_Lib[[#This Row],[ACQ Document Type]]))</f>
        <v>COW-FRMP_TR-308 TITLE Curative Plan</v>
      </c>
      <c r="Y487" s="239">
        <f>IF(OR(SP_ACQ_Lib[[#This Row],[File Name Convention]]=0,LEFT(SP_ACQ_Lib[[#This Row],[Name]],LEN(SP_ACQ_Lib[[#This Row],[File Name Convention]]))&lt;&gt;SP_ACQ_Lib[[#This Row],[File Name Convention]],ISERROR(SEARCH(SP_ACQ_Lib[[#This Row],[ACQ Document Type]],SP_ACQ_Lib[[#This Row],[Name]]))),1,0)</f>
        <v>0</v>
      </c>
    </row>
    <row r="488" spans="1:25" ht="15" x14ac:dyDescent="0.2">
      <c r="A488" s="157" t="str">
        <f>CONCATENATE(SP_ACQ_Lib[[#This Row],[Acquisition Tract No.]],"_",SP_ACQ_Lib[[#This Row],[ACQ Document Type]])</f>
        <v>308_TITLE Tax Card</v>
      </c>
      <c r="B488" s="14" t="s">
        <v>3472</v>
      </c>
      <c r="C488" s="183" t="s">
        <v>51</v>
      </c>
      <c r="D488" s="12" t="s">
        <v>650</v>
      </c>
      <c r="E488" s="8" t="s">
        <v>861</v>
      </c>
      <c r="F488" s="8" t="s">
        <v>1150</v>
      </c>
      <c r="G488" s="8" t="s">
        <v>1149</v>
      </c>
      <c r="H488" s="7" t="s">
        <v>592</v>
      </c>
      <c r="I488" s="16"/>
      <c r="J488" s="16"/>
      <c r="K488" s="17"/>
      <c r="L488" s="3"/>
      <c r="M488" s="8" t="s">
        <v>4206</v>
      </c>
      <c r="N488" s="11">
        <v>43874.594131944446</v>
      </c>
      <c r="O488" s="8" t="s">
        <v>1272</v>
      </c>
      <c r="P488" s="11">
        <v>43817.47991898148</v>
      </c>
      <c r="Q488" s="13">
        <v>532910</v>
      </c>
      <c r="R488" s="184" t="s">
        <v>594</v>
      </c>
      <c r="S488" s="14" t="s">
        <v>1792</v>
      </c>
      <c r="T488" s="163">
        <v>650</v>
      </c>
      <c r="U488" s="164" t="str">
        <f>CONCATENATE(LEFT(SP_ACQ_Lib[[#This Row],[Tax Parcel ID]],7),"_",SP_ACQ_Lib[[#This Row],[ACQ Document Type]])</f>
        <v>R023000_TITLE Tax Card</v>
      </c>
      <c r="V488" s="65" t="str">
        <f>INDEX(SP_AcqTract_DB[WCAD Tax Parcel ID],MATCH(SP_ACQ_Lib[[#This Row],[Acquisition Tract No.]],SP_AcqTract_DB[Acquisition Tract No.],0))</f>
        <v>R023000;#48</v>
      </c>
      <c r="W488" s="48" t="str">
        <f>INDEX(SP_TaxPar_DB[Acquisition Tract No.],MATCH(LEFT(SP_ACQ_Lib[[#This Row],[Tax Parcel ID]],7),SP_TaxPar_DB[Tax Parcel ID],0))</f>
        <v>308</v>
      </c>
      <c r="X488" s="238" t="str">
        <f>IF(OR(SP_ACQ_Lib[[#This Row],[Acquisition Tract No.]]="",SP_ACQ_Lib[[#This Row],[ACQ Document Type]]=""),0,CONCATENATE("COW-FRMP_TR-",SP_ACQ_Lib[[#This Row],[Acquisition Tract No.]]," ",SP_ACQ_Lib[[#This Row],[ACQ Document Type]]))</f>
        <v>COW-FRMP_TR-308 TITLE Tax Card</v>
      </c>
      <c r="Y488" s="239">
        <f>IF(OR(SP_ACQ_Lib[[#This Row],[File Name Convention]]=0,LEFT(SP_ACQ_Lib[[#This Row],[Name]],LEN(SP_ACQ_Lib[[#This Row],[File Name Convention]]))&lt;&gt;SP_ACQ_Lib[[#This Row],[File Name Convention]],ISERROR(SEARCH(SP_ACQ_Lib[[#This Row],[ACQ Document Type]],SP_ACQ_Lib[[#This Row],[Name]]))),1,0)</f>
        <v>0</v>
      </c>
    </row>
    <row r="489" spans="1:25" ht="15" x14ac:dyDescent="0.2">
      <c r="A489" s="157" t="str">
        <f>CONCATENATE(SP_ACQ_Lib[[#This Row],[Acquisition Tract No.]],"_",SP_ACQ_Lib[[#This Row],[ACQ Document Type]])</f>
        <v>309_APPRAISAL Appraisal Review</v>
      </c>
      <c r="B489" s="14" t="s">
        <v>6243</v>
      </c>
      <c r="C489" s="183" t="s">
        <v>52</v>
      </c>
      <c r="D489" s="12" t="s">
        <v>651</v>
      </c>
      <c r="E489" s="8" t="s">
        <v>1131</v>
      </c>
      <c r="F489" s="8" t="s">
        <v>4753</v>
      </c>
      <c r="G489" s="8" t="s">
        <v>4751</v>
      </c>
      <c r="H489" s="7" t="s">
        <v>592</v>
      </c>
      <c r="I489" s="16">
        <v>43992</v>
      </c>
      <c r="J489" s="16"/>
      <c r="K489" s="17">
        <v>70000</v>
      </c>
      <c r="L489" s="3"/>
      <c r="M489" s="8" t="s">
        <v>4206</v>
      </c>
      <c r="N489" s="11">
        <v>43997.558668981481</v>
      </c>
      <c r="O489" s="8" t="s">
        <v>4206</v>
      </c>
      <c r="P489" s="11">
        <v>43997.556423611109</v>
      </c>
      <c r="Q489" s="13">
        <v>567763</v>
      </c>
      <c r="R489" s="184" t="s">
        <v>594</v>
      </c>
      <c r="S489" s="14" t="s">
        <v>6255</v>
      </c>
      <c r="T489" s="163">
        <v>1206</v>
      </c>
      <c r="U489" s="164" t="str">
        <f>CONCATENATE(LEFT(SP_ACQ_Lib[[#This Row],[Tax Parcel ID]],7),"_",SP_ACQ_Lib[[#This Row],[ACQ Document Type]])</f>
        <v>R023001_APPRAISAL Appraisal Review</v>
      </c>
      <c r="V489" s="65" t="str">
        <f>INDEX(SP_AcqTract_DB[WCAD Tax Parcel ID],MATCH(SP_ACQ_Lib[[#This Row],[Acquisition Tract No.]],SP_AcqTract_DB[Acquisition Tract No.],0))</f>
        <v>R023001;#49</v>
      </c>
      <c r="W489" s="48" t="str">
        <f>INDEX(SP_TaxPar_DB[Acquisition Tract No.],MATCH(LEFT(SP_ACQ_Lib[[#This Row],[Tax Parcel ID]],7),SP_TaxPar_DB[Tax Parcel ID],0))</f>
        <v>309</v>
      </c>
      <c r="X489" s="238" t="str">
        <f>IF(OR(SP_ACQ_Lib[[#This Row],[Acquisition Tract No.]]="",SP_ACQ_Lib[[#This Row],[ACQ Document Type]]=""),0,CONCATENATE("COW-FRMP_TR-",SP_ACQ_Lib[[#This Row],[Acquisition Tract No.]]," ",SP_ACQ_Lib[[#This Row],[ACQ Document Type]]))</f>
        <v>COW-FRMP_TR-309 APPRAISAL Appraisal Review</v>
      </c>
      <c r="Y489" s="239">
        <f>IF(OR(SP_ACQ_Lib[[#This Row],[File Name Convention]]=0,LEFT(SP_ACQ_Lib[[#This Row],[Name]],LEN(SP_ACQ_Lib[[#This Row],[File Name Convention]]))&lt;&gt;SP_ACQ_Lib[[#This Row],[File Name Convention]],ISERROR(SEARCH(SP_ACQ_Lib[[#This Row],[ACQ Document Type]],SP_ACQ_Lib[[#This Row],[Name]]))),1,0)</f>
        <v>0</v>
      </c>
    </row>
    <row r="490" spans="1:25" ht="15" x14ac:dyDescent="0.2">
      <c r="A490" s="157" t="str">
        <f>CONCATENATE(SP_ACQ_Lib[[#This Row],[Acquisition Tract No.]],"_",SP_ACQ_Lib[[#This Row],[ACQ Document Type]])</f>
        <v>309_APPRAISAL Final Appraisal</v>
      </c>
      <c r="B490" s="14" t="s">
        <v>6244</v>
      </c>
      <c r="C490" s="183" t="s">
        <v>52</v>
      </c>
      <c r="D490" s="12" t="s">
        <v>651</v>
      </c>
      <c r="E490" s="8" t="s">
        <v>1131</v>
      </c>
      <c r="F490" s="8" t="s">
        <v>4755</v>
      </c>
      <c r="G490" s="8" t="s">
        <v>4754</v>
      </c>
      <c r="H490" s="7" t="s">
        <v>592</v>
      </c>
      <c r="I490" s="16">
        <v>43912</v>
      </c>
      <c r="J490" s="16">
        <v>43992</v>
      </c>
      <c r="K490" s="17">
        <v>70000</v>
      </c>
      <c r="L490" s="3"/>
      <c r="M490" s="8" t="s">
        <v>4206</v>
      </c>
      <c r="N490" s="11">
        <v>43997.559594907405</v>
      </c>
      <c r="O490" s="8" t="s">
        <v>4206</v>
      </c>
      <c r="P490" s="11">
        <v>43997.556550925925</v>
      </c>
      <c r="Q490" s="13">
        <v>7418741</v>
      </c>
      <c r="R490" s="184" t="s">
        <v>594</v>
      </c>
      <c r="S490" s="14" t="s">
        <v>6256</v>
      </c>
      <c r="T490" s="163">
        <v>1207</v>
      </c>
      <c r="U490" s="164" t="str">
        <f>CONCATENATE(LEFT(SP_ACQ_Lib[[#This Row],[Tax Parcel ID]],7),"_",SP_ACQ_Lib[[#This Row],[ACQ Document Type]])</f>
        <v>R023001_APPRAISAL Final Appraisal</v>
      </c>
      <c r="V490" s="65" t="str">
        <f>INDEX(SP_AcqTract_DB[WCAD Tax Parcel ID],MATCH(SP_ACQ_Lib[[#This Row],[Acquisition Tract No.]],SP_AcqTract_DB[Acquisition Tract No.],0))</f>
        <v>R023001;#49</v>
      </c>
      <c r="W490" s="48" t="str">
        <f>INDEX(SP_TaxPar_DB[Acquisition Tract No.],MATCH(LEFT(SP_ACQ_Lib[[#This Row],[Tax Parcel ID]],7),SP_TaxPar_DB[Tax Parcel ID],0))</f>
        <v>309</v>
      </c>
      <c r="X490" s="238" t="str">
        <f>IF(OR(SP_ACQ_Lib[[#This Row],[Acquisition Tract No.]]="",SP_ACQ_Lib[[#This Row],[ACQ Document Type]]=""),0,CONCATENATE("COW-FRMP_TR-",SP_ACQ_Lib[[#This Row],[Acquisition Tract No.]]," ",SP_ACQ_Lib[[#This Row],[ACQ Document Type]]))</f>
        <v>COW-FRMP_TR-309 APPRAISAL Final Appraisal</v>
      </c>
      <c r="Y490" s="239">
        <f>IF(OR(SP_ACQ_Lib[[#This Row],[File Name Convention]]=0,LEFT(SP_ACQ_Lib[[#This Row],[Name]],LEN(SP_ACQ_Lib[[#This Row],[File Name Convention]]))&lt;&gt;SP_ACQ_Lib[[#This Row],[File Name Convention]],ISERROR(SEARCH(SP_ACQ_Lib[[#This Row],[ACQ Document Type]],SP_ACQ_Lib[[#This Row],[Name]]))),1,0)</f>
        <v>0</v>
      </c>
    </row>
    <row r="491" spans="1:25" ht="15" x14ac:dyDescent="0.2">
      <c r="A491" s="157" t="str">
        <f>CONCATENATE(SP_ACQ_Lib[[#This Row],[Acquisition Tract No.]],"_",SP_ACQ_Lib[[#This Row],[ACQ Document Type]])</f>
        <v>309_APPRAISAL Just Compensation Approval</v>
      </c>
      <c r="B491" s="14" t="s">
        <v>6327</v>
      </c>
      <c r="C491" s="183" t="s">
        <v>52</v>
      </c>
      <c r="D491" s="12" t="s">
        <v>651</v>
      </c>
      <c r="E491" s="8" t="s">
        <v>1131</v>
      </c>
      <c r="F491" s="8" t="s">
        <v>4828</v>
      </c>
      <c r="G491" s="8" t="s">
        <v>4827</v>
      </c>
      <c r="H491" s="7" t="s">
        <v>1749</v>
      </c>
      <c r="I491" s="16">
        <v>44004</v>
      </c>
      <c r="J491" s="16"/>
      <c r="K491" s="17">
        <v>70000</v>
      </c>
      <c r="L491" s="3"/>
      <c r="M491" s="8" t="s">
        <v>4206</v>
      </c>
      <c r="N491" s="11">
        <v>44012.533877314818</v>
      </c>
      <c r="O491" s="8" t="s">
        <v>4206</v>
      </c>
      <c r="P491" s="11">
        <v>44005.489039351851</v>
      </c>
      <c r="Q491" s="13">
        <v>264409</v>
      </c>
      <c r="R491" s="184" t="s">
        <v>594</v>
      </c>
      <c r="S491" s="14" t="s">
        <v>6396</v>
      </c>
      <c r="T491" s="163">
        <v>1273</v>
      </c>
      <c r="U491" s="164" t="str">
        <f>CONCATENATE(LEFT(SP_ACQ_Lib[[#This Row],[Tax Parcel ID]],7),"_",SP_ACQ_Lib[[#This Row],[ACQ Document Type]])</f>
        <v>R023001_APPRAISAL Just Compensation Approval</v>
      </c>
      <c r="V491" s="65" t="str">
        <f>INDEX(SP_AcqTract_DB[WCAD Tax Parcel ID],MATCH(SP_ACQ_Lib[[#This Row],[Acquisition Tract No.]],SP_AcqTract_DB[Acquisition Tract No.],0))</f>
        <v>R023001;#49</v>
      </c>
      <c r="W491" s="48" t="str">
        <f>INDEX(SP_TaxPar_DB[Acquisition Tract No.],MATCH(LEFT(SP_ACQ_Lib[[#This Row],[Tax Parcel ID]],7),SP_TaxPar_DB[Tax Parcel ID],0))</f>
        <v>309</v>
      </c>
      <c r="X491" s="238" t="str">
        <f>IF(OR(SP_ACQ_Lib[[#This Row],[Acquisition Tract No.]]="",SP_ACQ_Lib[[#This Row],[ACQ Document Type]]=""),0,CONCATENATE("COW-FRMP_TR-",SP_ACQ_Lib[[#This Row],[Acquisition Tract No.]]," ",SP_ACQ_Lib[[#This Row],[ACQ Document Type]]))</f>
        <v>COW-FRMP_TR-309 APPRAISAL Just Compensation Approval</v>
      </c>
      <c r="Y491" s="239">
        <f>IF(OR(SP_ACQ_Lib[[#This Row],[File Name Convention]]=0,LEFT(SP_ACQ_Lib[[#This Row],[Name]],LEN(SP_ACQ_Lib[[#This Row],[File Name Convention]]))&lt;&gt;SP_ACQ_Lib[[#This Row],[File Name Convention]],ISERROR(SEARCH(SP_ACQ_Lib[[#This Row],[ACQ Document Type]],SP_ACQ_Lib[[#This Row],[Name]]))),1,0)</f>
        <v>0</v>
      </c>
    </row>
    <row r="492" spans="1:25" ht="15" x14ac:dyDescent="0.2">
      <c r="A492" s="157" t="str">
        <f>CONCATENATE(SP_ACQ_Lib[[#This Row],[Acquisition Tract No.]],"_",SP_ACQ_Lib[[#This Row],[ACQ Document Type]])</f>
        <v>309_APPRAISAL Just Compensation Memo</v>
      </c>
      <c r="B492" s="14" t="s">
        <v>6245</v>
      </c>
      <c r="C492" s="193" t="s">
        <v>52</v>
      </c>
      <c r="D492" s="12" t="s">
        <v>651</v>
      </c>
      <c r="E492" s="8" t="s">
        <v>1131</v>
      </c>
      <c r="F492" s="8" t="s">
        <v>4757</v>
      </c>
      <c r="G492" s="8" t="s">
        <v>4756</v>
      </c>
      <c r="H492" s="7" t="s">
        <v>592</v>
      </c>
      <c r="I492" s="16">
        <v>43997</v>
      </c>
      <c r="J492" s="16">
        <v>43997</v>
      </c>
      <c r="K492" s="17">
        <v>70000</v>
      </c>
      <c r="L492" s="3"/>
      <c r="M492" s="8" t="s">
        <v>4206</v>
      </c>
      <c r="N492" s="11">
        <v>44000.575370370374</v>
      </c>
      <c r="O492" s="8" t="s">
        <v>4206</v>
      </c>
      <c r="P492" s="11">
        <v>43997.556550925925</v>
      </c>
      <c r="Q492" s="13">
        <v>23072</v>
      </c>
      <c r="R492" s="194" t="s">
        <v>594</v>
      </c>
      <c r="S492" s="14" t="s">
        <v>6257</v>
      </c>
      <c r="T492" s="163">
        <v>1208</v>
      </c>
      <c r="U492" s="164" t="str">
        <f>CONCATENATE(LEFT(SP_ACQ_Lib[[#This Row],[Tax Parcel ID]],7),"_",SP_ACQ_Lib[[#This Row],[ACQ Document Type]])</f>
        <v>R023001_APPRAISAL Just Compensation Memo</v>
      </c>
      <c r="V492" s="65" t="str">
        <f>INDEX(SP_AcqTract_DB[WCAD Tax Parcel ID],MATCH(SP_ACQ_Lib[[#This Row],[Acquisition Tract No.]],SP_AcqTract_DB[Acquisition Tract No.],0))</f>
        <v>R023001;#49</v>
      </c>
      <c r="W492" s="48" t="str">
        <f>INDEX(SP_TaxPar_DB[Acquisition Tract No.],MATCH(LEFT(SP_ACQ_Lib[[#This Row],[Tax Parcel ID]],7),SP_TaxPar_DB[Tax Parcel ID],0))</f>
        <v>309</v>
      </c>
      <c r="X492" s="238" t="str">
        <f>IF(OR(SP_ACQ_Lib[[#This Row],[Acquisition Tract No.]]="",SP_ACQ_Lib[[#This Row],[ACQ Document Type]]=""),0,CONCATENATE("COW-FRMP_TR-",SP_ACQ_Lib[[#This Row],[Acquisition Tract No.]]," ",SP_ACQ_Lib[[#This Row],[ACQ Document Type]]))</f>
        <v>COW-FRMP_TR-309 APPRAISAL Just Compensation Memo</v>
      </c>
      <c r="Y492" s="239">
        <f>IF(OR(SP_ACQ_Lib[[#This Row],[File Name Convention]]=0,LEFT(SP_ACQ_Lib[[#This Row],[Name]],LEN(SP_ACQ_Lib[[#This Row],[File Name Convention]]))&lt;&gt;SP_ACQ_Lib[[#This Row],[File Name Convention]],ISERROR(SEARCH(SP_ACQ_Lib[[#This Row],[ACQ Document Type]],SP_ACQ_Lib[[#This Row],[Name]]))),1,0)</f>
        <v>0</v>
      </c>
    </row>
    <row r="493" spans="1:25" ht="15" x14ac:dyDescent="0.2">
      <c r="A493" s="157" t="str">
        <f>CONCATENATE(SP_ACQ_Lib[[#This Row],[Acquisition Tract No.]],"_",SP_ACQ_Lib[[#This Row],[ACQ Document Type]])</f>
        <v>309_APPRAISAL USACOE Authorization to Proceed with Offer</v>
      </c>
      <c r="B493" s="14" t="s">
        <v>6246</v>
      </c>
      <c r="C493" s="193" t="s">
        <v>52</v>
      </c>
      <c r="D493" s="12" t="s">
        <v>651</v>
      </c>
      <c r="E493" s="8" t="s">
        <v>1131</v>
      </c>
      <c r="F493" s="8" t="s">
        <v>4959</v>
      </c>
      <c r="G493" s="8" t="s">
        <v>4958</v>
      </c>
      <c r="H493" s="7" t="s">
        <v>592</v>
      </c>
      <c r="I493" s="16">
        <v>43997</v>
      </c>
      <c r="J493" s="16">
        <v>43997</v>
      </c>
      <c r="K493" s="17">
        <v>70000</v>
      </c>
      <c r="L493" s="3"/>
      <c r="M493" s="8" t="s">
        <v>4206</v>
      </c>
      <c r="N493" s="11">
        <v>44000.575509259259</v>
      </c>
      <c r="O493" s="8" t="s">
        <v>4206</v>
      </c>
      <c r="P493" s="11">
        <v>43997.556562500002</v>
      </c>
      <c r="Q493" s="13">
        <v>419504</v>
      </c>
      <c r="R493" s="194" t="s">
        <v>594</v>
      </c>
      <c r="S493" s="14" t="s">
        <v>6258</v>
      </c>
      <c r="T493" s="163">
        <v>1209</v>
      </c>
      <c r="U493" s="164" t="str">
        <f>CONCATENATE(LEFT(SP_ACQ_Lib[[#This Row],[Tax Parcel ID]],7),"_",SP_ACQ_Lib[[#This Row],[ACQ Document Type]])</f>
        <v>R023001_APPRAISAL USACOE Authorization to Proceed with Offer</v>
      </c>
      <c r="V493" s="65" t="str">
        <f>INDEX(SP_AcqTract_DB[WCAD Tax Parcel ID],MATCH(SP_ACQ_Lib[[#This Row],[Acquisition Tract No.]],SP_AcqTract_DB[Acquisition Tract No.],0))</f>
        <v>R023001;#49</v>
      </c>
      <c r="W493" s="48" t="str">
        <f>INDEX(SP_TaxPar_DB[Acquisition Tract No.],MATCH(LEFT(SP_ACQ_Lib[[#This Row],[Tax Parcel ID]],7),SP_TaxPar_DB[Tax Parcel ID],0))</f>
        <v>309</v>
      </c>
      <c r="X493" s="238" t="str">
        <f>IF(OR(SP_ACQ_Lib[[#This Row],[Acquisition Tract No.]]="",SP_ACQ_Lib[[#This Row],[ACQ Document Type]]=""),0,CONCATENATE("COW-FRMP_TR-",SP_ACQ_Lib[[#This Row],[Acquisition Tract No.]]," ",SP_ACQ_Lib[[#This Row],[ACQ Document Type]]))</f>
        <v>COW-FRMP_TR-309 APPRAISAL USACOE Authorization to Proceed with Offer</v>
      </c>
      <c r="Y493" s="239">
        <f>IF(OR(SP_ACQ_Lib[[#This Row],[File Name Convention]]=0,LEFT(SP_ACQ_Lib[[#This Row],[Name]],LEN(SP_ACQ_Lib[[#This Row],[File Name Convention]]))&lt;&gt;SP_ACQ_Lib[[#This Row],[File Name Convention]],ISERROR(SEARCH(SP_ACQ_Lib[[#This Row],[ACQ Document Type]],SP_ACQ_Lib[[#This Row],[Name]]))),1,0)</f>
        <v>0</v>
      </c>
    </row>
    <row r="494" spans="1:25" ht="15" x14ac:dyDescent="0.2">
      <c r="A494" s="157" t="str">
        <f>CONCATENATE(SP_ACQ_Lib[[#This Row],[Acquisition Tract No.]],"_",SP_ACQ_Lib[[#This Row],[ACQ Document Type]])</f>
        <v>309_APPRAISAL USACOE Authorization to Proceed with Offer Approval</v>
      </c>
      <c r="B494" s="14" t="s">
        <v>6328</v>
      </c>
      <c r="C494" s="193" t="s">
        <v>52</v>
      </c>
      <c r="D494" s="12" t="s">
        <v>651</v>
      </c>
      <c r="E494" s="8" t="s">
        <v>1131</v>
      </c>
      <c r="F494" s="8" t="s">
        <v>4973</v>
      </c>
      <c r="G494" s="8" t="s">
        <v>4972</v>
      </c>
      <c r="H494" s="7" t="s">
        <v>1749</v>
      </c>
      <c r="I494" s="16">
        <v>44001</v>
      </c>
      <c r="J494" s="16"/>
      <c r="K494" s="17">
        <v>70000</v>
      </c>
      <c r="L494" s="3"/>
      <c r="M494" s="8" t="s">
        <v>4206</v>
      </c>
      <c r="N494" s="11">
        <v>44012.534270833334</v>
      </c>
      <c r="O494" s="8" t="s">
        <v>4206</v>
      </c>
      <c r="P494" s="11">
        <v>44005.489039351851</v>
      </c>
      <c r="Q494" s="13">
        <v>376517</v>
      </c>
      <c r="R494" s="194" t="s">
        <v>594</v>
      </c>
      <c r="S494" s="14" t="s">
        <v>6397</v>
      </c>
      <c r="T494" s="163">
        <v>1274</v>
      </c>
      <c r="U494" s="164" t="str">
        <f>CONCATENATE(LEFT(SP_ACQ_Lib[[#This Row],[Tax Parcel ID]],7),"_",SP_ACQ_Lib[[#This Row],[ACQ Document Type]])</f>
        <v>R023001_APPRAISAL USACOE Authorization to Proceed with Offer Approval</v>
      </c>
      <c r="V494" s="65" t="str">
        <f>INDEX(SP_AcqTract_DB[WCAD Tax Parcel ID],MATCH(SP_ACQ_Lib[[#This Row],[Acquisition Tract No.]],SP_AcqTract_DB[Acquisition Tract No.],0))</f>
        <v>R023001;#49</v>
      </c>
      <c r="W494" s="48" t="str">
        <f>INDEX(SP_TaxPar_DB[Acquisition Tract No.],MATCH(LEFT(SP_ACQ_Lib[[#This Row],[Tax Parcel ID]],7),SP_TaxPar_DB[Tax Parcel ID],0))</f>
        <v>309</v>
      </c>
      <c r="X494" s="238" t="str">
        <f>IF(OR(SP_ACQ_Lib[[#This Row],[Acquisition Tract No.]]="",SP_ACQ_Lib[[#This Row],[ACQ Document Type]]=""),0,CONCATENATE("COW-FRMP_TR-",SP_ACQ_Lib[[#This Row],[Acquisition Tract No.]]," ",SP_ACQ_Lib[[#This Row],[ACQ Document Type]]))</f>
        <v>COW-FRMP_TR-309 APPRAISAL USACOE Authorization to Proceed with Offer Approval</v>
      </c>
      <c r="Y494" s="239">
        <f>IF(OR(SP_ACQ_Lib[[#This Row],[File Name Convention]]=0,LEFT(SP_ACQ_Lib[[#This Row],[Name]],LEN(SP_ACQ_Lib[[#This Row],[File Name Convention]]))&lt;&gt;SP_ACQ_Lib[[#This Row],[File Name Convention]],ISERROR(SEARCH(SP_ACQ_Lib[[#This Row],[ACQ Document Type]],SP_ACQ_Lib[[#This Row],[Name]]))),1,0)</f>
        <v>0</v>
      </c>
    </row>
    <row r="495" spans="1:25" ht="15" x14ac:dyDescent="0.2">
      <c r="A495" s="157" t="str">
        <f>CONCATENATE(SP_ACQ_Lib[[#This Row],[Acquisition Tract No.]],"_",SP_ACQ_Lib[[#This Row],[ACQ Document Type]])</f>
        <v>309_CONTACT Letter of Intent-HDR</v>
      </c>
      <c r="B495" s="14" t="s">
        <v>1551</v>
      </c>
      <c r="C495" s="193" t="s">
        <v>52</v>
      </c>
      <c r="D495" s="12" t="s">
        <v>651</v>
      </c>
      <c r="E495" s="8" t="s">
        <v>865</v>
      </c>
      <c r="F495" s="8" t="s">
        <v>1401</v>
      </c>
      <c r="G495" s="8" t="s">
        <v>1400</v>
      </c>
      <c r="H495" s="7" t="s">
        <v>592</v>
      </c>
      <c r="I495" s="16">
        <v>43765</v>
      </c>
      <c r="J495" s="16"/>
      <c r="K495" s="17"/>
      <c r="L495" s="3"/>
      <c r="M495" s="8" t="s">
        <v>23</v>
      </c>
      <c r="N495" s="11">
        <v>43770.449236111112</v>
      </c>
      <c r="O495" s="8" t="s">
        <v>1272</v>
      </c>
      <c r="P495" s="11">
        <v>43769.628831018519</v>
      </c>
      <c r="Q495" s="13">
        <v>58106</v>
      </c>
      <c r="R495" s="194" t="s">
        <v>594</v>
      </c>
      <c r="S495" s="14" t="s">
        <v>1651</v>
      </c>
      <c r="T495" s="163">
        <v>531</v>
      </c>
      <c r="U495" s="164" t="str">
        <f>CONCATENATE(LEFT(SP_ACQ_Lib[[#This Row],[Tax Parcel ID]],7),"_",SP_ACQ_Lib[[#This Row],[ACQ Document Type]])</f>
        <v>R023001_CONTACT Letter of Intent-HDR</v>
      </c>
      <c r="V495" s="65" t="str">
        <f>INDEX(SP_AcqTract_DB[WCAD Tax Parcel ID],MATCH(SP_ACQ_Lib[[#This Row],[Acquisition Tract No.]],SP_AcqTract_DB[Acquisition Tract No.],0))</f>
        <v>R023001;#49</v>
      </c>
      <c r="W495" s="48" t="str">
        <f>INDEX(SP_TaxPar_DB[Acquisition Tract No.],MATCH(LEFT(SP_ACQ_Lib[[#This Row],[Tax Parcel ID]],7),SP_TaxPar_DB[Tax Parcel ID],0))</f>
        <v>309</v>
      </c>
      <c r="X495" s="238" t="str">
        <f>IF(OR(SP_ACQ_Lib[[#This Row],[Acquisition Tract No.]]="",SP_ACQ_Lib[[#This Row],[ACQ Document Type]]=""),0,CONCATENATE("COW-FRMP_TR-",SP_ACQ_Lib[[#This Row],[Acquisition Tract No.]]," ",SP_ACQ_Lib[[#This Row],[ACQ Document Type]]))</f>
        <v>COW-FRMP_TR-309 CONTACT Letter of Intent-HDR</v>
      </c>
      <c r="Y495" s="239">
        <f>IF(OR(SP_ACQ_Lib[[#This Row],[File Name Convention]]=0,LEFT(SP_ACQ_Lib[[#This Row],[Name]],LEN(SP_ACQ_Lib[[#This Row],[File Name Convention]]))&lt;&gt;SP_ACQ_Lib[[#This Row],[File Name Convention]],ISERROR(SEARCH(SP_ACQ_Lib[[#This Row],[ACQ Document Type]],SP_ACQ_Lib[[#This Row],[Name]]))),1,0)</f>
        <v>0</v>
      </c>
    </row>
    <row r="496" spans="1:25" ht="15" x14ac:dyDescent="0.2">
      <c r="A496" s="157" t="str">
        <f>CONCATENATE(SP_ACQ_Lib[[#This Row],[Acquisition Tract No.]],"_",SP_ACQ_Lib[[#This Row],[ACQ Document Type]])</f>
        <v>309_CONTACT Negotiator Report</v>
      </c>
      <c r="B496" s="14" t="s">
        <v>3405</v>
      </c>
      <c r="C496" s="193" t="s">
        <v>52</v>
      </c>
      <c r="D496" s="12" t="s">
        <v>651</v>
      </c>
      <c r="E496" s="8" t="s">
        <v>865</v>
      </c>
      <c r="F496" s="8" t="s">
        <v>1068</v>
      </c>
      <c r="G496" s="8" t="s">
        <v>1067</v>
      </c>
      <c r="H496" s="7" t="s">
        <v>592</v>
      </c>
      <c r="I496" s="16"/>
      <c r="J496" s="16"/>
      <c r="K496" s="17"/>
      <c r="L496" s="3"/>
      <c r="M496" s="8" t="s">
        <v>1744</v>
      </c>
      <c r="N496" s="11">
        <v>44021.575590277775</v>
      </c>
      <c r="O496" s="8" t="s">
        <v>4207</v>
      </c>
      <c r="P496" s="11">
        <v>43738.429571759261</v>
      </c>
      <c r="Q496" s="13">
        <v>60583</v>
      </c>
      <c r="R496" s="194" t="s">
        <v>1069</v>
      </c>
      <c r="S496" s="14" t="s">
        <v>1106</v>
      </c>
      <c r="T496" s="163">
        <v>369</v>
      </c>
      <c r="U496" s="164" t="str">
        <f>CONCATENATE(LEFT(SP_ACQ_Lib[[#This Row],[Tax Parcel ID]],7),"_",SP_ACQ_Lib[[#This Row],[ACQ Document Type]])</f>
        <v>R023001_CONTACT Negotiator Report</v>
      </c>
      <c r="V496" s="65" t="str">
        <f>INDEX(SP_AcqTract_DB[WCAD Tax Parcel ID],MATCH(SP_ACQ_Lib[[#This Row],[Acquisition Tract No.]],SP_AcqTract_DB[Acquisition Tract No.],0))</f>
        <v>R023001;#49</v>
      </c>
      <c r="W496" s="48" t="str">
        <f>INDEX(SP_TaxPar_DB[Acquisition Tract No.],MATCH(LEFT(SP_ACQ_Lib[[#This Row],[Tax Parcel ID]],7),SP_TaxPar_DB[Tax Parcel ID],0))</f>
        <v>309</v>
      </c>
      <c r="X496" s="238" t="str">
        <f>IF(OR(SP_ACQ_Lib[[#This Row],[Acquisition Tract No.]]="",SP_ACQ_Lib[[#This Row],[ACQ Document Type]]=""),0,CONCATENATE("COW-FRMP_TR-",SP_ACQ_Lib[[#This Row],[Acquisition Tract No.]]," ",SP_ACQ_Lib[[#This Row],[ACQ Document Type]]))</f>
        <v>COW-FRMP_TR-309 CONTACT Negotiator Report</v>
      </c>
      <c r="Y496" s="239">
        <f>IF(OR(SP_ACQ_Lib[[#This Row],[File Name Convention]]=0,LEFT(SP_ACQ_Lib[[#This Row],[Name]],LEN(SP_ACQ_Lib[[#This Row],[File Name Convention]]))&lt;&gt;SP_ACQ_Lib[[#This Row],[File Name Convention]],ISERROR(SEARCH(SP_ACQ_Lib[[#This Row],[ACQ Document Type]],SP_ACQ_Lib[[#This Row],[Name]]))),1,0)</f>
        <v>0</v>
      </c>
    </row>
    <row r="497" spans="1:25" ht="15" x14ac:dyDescent="0.2">
      <c r="A497" s="157" t="str">
        <f>CONCATENATE(SP_ACQ_Lib[[#This Row],[Acquisition Tract No.]],"_",SP_ACQ_Lib[[#This Row],[ACQ Document Type]])</f>
        <v>309_CONTACT Pre-Appraisal Contact with Owner</v>
      </c>
      <c r="B497" s="14" t="s">
        <v>4476</v>
      </c>
      <c r="C497" s="193" t="s">
        <v>52</v>
      </c>
      <c r="D497" s="12" t="s">
        <v>651</v>
      </c>
      <c r="E497" s="8" t="s">
        <v>865</v>
      </c>
      <c r="F497" s="8" t="s">
        <v>1748</v>
      </c>
      <c r="G497" s="8" t="s">
        <v>1747</v>
      </c>
      <c r="H497" s="7" t="s">
        <v>592</v>
      </c>
      <c r="I497" s="16">
        <v>43788</v>
      </c>
      <c r="J497" s="16"/>
      <c r="K497" s="17"/>
      <c r="L497" s="3"/>
      <c r="M497" s="8" t="s">
        <v>4206</v>
      </c>
      <c r="N497" s="11">
        <v>43893.641516203701</v>
      </c>
      <c r="O497" s="8" t="s">
        <v>1272</v>
      </c>
      <c r="P497" s="11">
        <v>43822.641516203701</v>
      </c>
      <c r="Q497" s="13">
        <v>1846208</v>
      </c>
      <c r="R497" s="194" t="s">
        <v>594</v>
      </c>
      <c r="S497" s="14" t="s">
        <v>1785</v>
      </c>
      <c r="T497" s="163">
        <v>680</v>
      </c>
      <c r="U497" s="164" t="str">
        <f>CONCATENATE(LEFT(SP_ACQ_Lib[[#This Row],[Tax Parcel ID]],7),"_",SP_ACQ_Lib[[#This Row],[ACQ Document Type]])</f>
        <v>R023001_CONTACT Pre-Appraisal Contact with Owner</v>
      </c>
      <c r="V497" s="65" t="str">
        <f>INDEX(SP_AcqTract_DB[WCAD Tax Parcel ID],MATCH(SP_ACQ_Lib[[#This Row],[Acquisition Tract No.]],SP_AcqTract_DB[Acquisition Tract No.],0))</f>
        <v>R023001;#49</v>
      </c>
      <c r="W497" s="48" t="str">
        <f>INDEX(SP_TaxPar_DB[Acquisition Tract No.],MATCH(LEFT(SP_ACQ_Lib[[#This Row],[Tax Parcel ID]],7),SP_TaxPar_DB[Tax Parcel ID],0))</f>
        <v>309</v>
      </c>
      <c r="X497" s="238" t="str">
        <f>IF(OR(SP_ACQ_Lib[[#This Row],[Acquisition Tract No.]]="",SP_ACQ_Lib[[#This Row],[ACQ Document Type]]=""),0,CONCATENATE("COW-FRMP_TR-",SP_ACQ_Lib[[#This Row],[Acquisition Tract No.]]," ",SP_ACQ_Lib[[#This Row],[ACQ Document Type]]))</f>
        <v>COW-FRMP_TR-309 CONTACT Pre-Appraisal Contact with Owner</v>
      </c>
      <c r="Y497" s="239">
        <f>IF(OR(SP_ACQ_Lib[[#This Row],[File Name Convention]]=0,LEFT(SP_ACQ_Lib[[#This Row],[Name]],LEN(SP_ACQ_Lib[[#This Row],[File Name Convention]]))&lt;&gt;SP_ACQ_Lib[[#This Row],[File Name Convention]],ISERROR(SEARCH(SP_ACQ_Lib[[#This Row],[ACQ Document Type]],SP_ACQ_Lib[[#This Row],[Name]]))),1,0)</f>
        <v>0</v>
      </c>
    </row>
    <row r="498" spans="1:25" ht="15" x14ac:dyDescent="0.2">
      <c r="A498" s="157" t="str">
        <f>CONCATENATE(SP_ACQ_Lib[[#This Row],[Acquisition Tract No.]],"_",SP_ACQ_Lib[[#This Row],[ACQ Document Type]])</f>
        <v>309_NEGOTIATION Information About Brokerage Services Acknowledgment</v>
      </c>
      <c r="B498" s="14" t="s">
        <v>6673</v>
      </c>
      <c r="C498" s="193" t="s">
        <v>52</v>
      </c>
      <c r="D498" s="12" t="s">
        <v>651</v>
      </c>
      <c r="E498" s="8" t="s">
        <v>1142</v>
      </c>
      <c r="F498" s="8" t="s">
        <v>6669</v>
      </c>
      <c r="G498" s="8" t="s">
        <v>6668</v>
      </c>
      <c r="H498" s="7" t="s">
        <v>592</v>
      </c>
      <c r="I498" s="16">
        <v>44019</v>
      </c>
      <c r="J498" s="16"/>
      <c r="K498" s="17"/>
      <c r="L498" s="3"/>
      <c r="M498" s="8" t="s">
        <v>4206</v>
      </c>
      <c r="N498" s="11">
        <v>44021.441076388888</v>
      </c>
      <c r="O498" s="8" t="s">
        <v>4206</v>
      </c>
      <c r="P498" s="11">
        <v>44021.439849537041</v>
      </c>
      <c r="Q498" s="13">
        <v>395805</v>
      </c>
      <c r="R498" s="194" t="s">
        <v>594</v>
      </c>
      <c r="S498" s="14" t="s">
        <v>6675</v>
      </c>
      <c r="T498" s="163">
        <v>1366</v>
      </c>
      <c r="U498" s="164" t="str">
        <f>CONCATENATE(LEFT(SP_ACQ_Lib[[#This Row],[Tax Parcel ID]],7),"_",SP_ACQ_Lib[[#This Row],[ACQ Document Type]])</f>
        <v>R023001_NEGOTIATION Information About Brokerage Services Acknowledgment</v>
      </c>
      <c r="V498" s="65" t="str">
        <f>INDEX(SP_AcqTract_DB[WCAD Tax Parcel ID],MATCH(SP_ACQ_Lib[[#This Row],[Acquisition Tract No.]],SP_AcqTract_DB[Acquisition Tract No.],0))</f>
        <v>R023001;#49</v>
      </c>
      <c r="W498" s="48" t="str">
        <f>INDEX(SP_TaxPar_DB[Acquisition Tract No.],MATCH(LEFT(SP_ACQ_Lib[[#This Row],[Tax Parcel ID]],7),SP_TaxPar_DB[Tax Parcel ID],0))</f>
        <v>309</v>
      </c>
      <c r="X498" s="238" t="str">
        <f>IF(OR(SP_ACQ_Lib[[#This Row],[Acquisition Tract No.]]="",SP_ACQ_Lib[[#This Row],[ACQ Document Type]]=""),0,CONCATENATE("COW-FRMP_TR-",SP_ACQ_Lib[[#This Row],[Acquisition Tract No.]]," ",SP_ACQ_Lib[[#This Row],[ACQ Document Type]]))</f>
        <v>COW-FRMP_TR-309 NEGOTIATION Information About Brokerage Services Acknowledgment</v>
      </c>
      <c r="Y498" s="239">
        <f>IF(OR(SP_ACQ_Lib[[#This Row],[File Name Convention]]=0,LEFT(SP_ACQ_Lib[[#This Row],[Name]],LEN(SP_ACQ_Lib[[#This Row],[File Name Convention]]))&lt;&gt;SP_ACQ_Lib[[#This Row],[File Name Convention]],ISERROR(SEARCH(SP_ACQ_Lib[[#This Row],[ACQ Document Type]],SP_ACQ_Lib[[#This Row],[Name]]))),1,0)</f>
        <v>0</v>
      </c>
    </row>
    <row r="499" spans="1:25" ht="15" x14ac:dyDescent="0.2">
      <c r="A499" s="157" t="str">
        <f>CONCATENATE(SP_ACQ_Lib[[#This Row],[Acquisition Tract No.]],"_",SP_ACQ_Lib[[#This Row],[ACQ Document Type]])</f>
        <v>309_NEGOTIATION Initial Offer Package</v>
      </c>
      <c r="B499" s="14" t="s">
        <v>6518</v>
      </c>
      <c r="C499" s="193" t="s">
        <v>52</v>
      </c>
      <c r="D499" s="12" t="s">
        <v>651</v>
      </c>
      <c r="E499" s="8" t="s">
        <v>1142</v>
      </c>
      <c r="F499" s="8" t="s">
        <v>1143</v>
      </c>
      <c r="G499" s="8" t="s">
        <v>1709</v>
      </c>
      <c r="H499" s="7" t="s">
        <v>592</v>
      </c>
      <c r="I499" s="16">
        <v>44012</v>
      </c>
      <c r="J499" s="16"/>
      <c r="K499" s="17">
        <v>70000</v>
      </c>
      <c r="L499" s="3"/>
      <c r="M499" s="8" t="s">
        <v>4206</v>
      </c>
      <c r="N499" s="11">
        <v>44013.749583333331</v>
      </c>
      <c r="O499" s="8" t="s">
        <v>4206</v>
      </c>
      <c r="P499" s="11">
        <v>44013.742210648146</v>
      </c>
      <c r="Q499" s="13">
        <v>12794313</v>
      </c>
      <c r="R499" s="194" t="s">
        <v>594</v>
      </c>
      <c r="S499" s="14" t="s">
        <v>6581</v>
      </c>
      <c r="T499" s="163">
        <v>1325</v>
      </c>
      <c r="U499" s="164" t="str">
        <f>CONCATENATE(LEFT(SP_ACQ_Lib[[#This Row],[Tax Parcel ID]],7),"_",SP_ACQ_Lib[[#This Row],[ACQ Document Type]])</f>
        <v>R023001_NEGOTIATION Initial Offer Package</v>
      </c>
      <c r="V499" s="65" t="str">
        <f>INDEX(SP_AcqTract_DB[WCAD Tax Parcel ID],MATCH(SP_ACQ_Lib[[#This Row],[Acquisition Tract No.]],SP_AcqTract_DB[Acquisition Tract No.],0))</f>
        <v>R023001;#49</v>
      </c>
      <c r="W499" s="48" t="str">
        <f>INDEX(SP_TaxPar_DB[Acquisition Tract No.],MATCH(LEFT(SP_ACQ_Lib[[#This Row],[Tax Parcel ID]],7),SP_TaxPar_DB[Tax Parcel ID],0))</f>
        <v>309</v>
      </c>
      <c r="X499" s="238" t="str">
        <f>IF(OR(SP_ACQ_Lib[[#This Row],[Acquisition Tract No.]]="",SP_ACQ_Lib[[#This Row],[ACQ Document Type]]=""),0,CONCATENATE("COW-FRMP_TR-",SP_ACQ_Lib[[#This Row],[Acquisition Tract No.]]," ",SP_ACQ_Lib[[#This Row],[ACQ Document Type]]))</f>
        <v>COW-FRMP_TR-309 NEGOTIATION Initial Offer Package</v>
      </c>
      <c r="Y499" s="239">
        <f>IF(OR(SP_ACQ_Lib[[#This Row],[File Name Convention]]=0,LEFT(SP_ACQ_Lib[[#This Row],[Name]],LEN(SP_ACQ_Lib[[#This Row],[File Name Convention]]))&lt;&gt;SP_ACQ_Lib[[#This Row],[File Name Convention]],ISERROR(SEARCH(SP_ACQ_Lib[[#This Row],[ACQ Document Type]],SP_ACQ_Lib[[#This Row],[Name]]))),1,0)</f>
        <v>0</v>
      </c>
    </row>
    <row r="500" spans="1:25" ht="15" x14ac:dyDescent="0.2">
      <c r="A500" s="157" t="str">
        <f>CONCATENATE(SP_ACQ_Lib[[#This Row],[Acquisition Tract No.]],"_",SP_ACQ_Lib[[#This Row],[ACQ Document Type]])</f>
        <v>309_NEGOTIATION Initial Offer Package Acknowledgment</v>
      </c>
      <c r="B500" s="14" t="s">
        <v>6674</v>
      </c>
      <c r="C500" s="193" t="s">
        <v>52</v>
      </c>
      <c r="D500" s="12" t="s">
        <v>651</v>
      </c>
      <c r="E500" s="8" t="s">
        <v>1142</v>
      </c>
      <c r="F500" s="8" t="s">
        <v>6671</v>
      </c>
      <c r="G500" s="8" t="s">
        <v>6670</v>
      </c>
      <c r="H500" s="7" t="s">
        <v>592</v>
      </c>
      <c r="I500" s="16">
        <v>44019</v>
      </c>
      <c r="J500" s="16"/>
      <c r="K500" s="17"/>
      <c r="L500" s="3" t="s">
        <v>6679</v>
      </c>
      <c r="M500" s="8" t="s">
        <v>4206</v>
      </c>
      <c r="N500" s="11">
        <v>44021.650011574071</v>
      </c>
      <c r="O500" s="8" t="s">
        <v>4206</v>
      </c>
      <c r="P500" s="11">
        <v>44021.43986111111</v>
      </c>
      <c r="Q500" s="13">
        <v>463738</v>
      </c>
      <c r="R500" s="194" t="s">
        <v>594</v>
      </c>
      <c r="S500" s="14" t="s">
        <v>6676</v>
      </c>
      <c r="T500" s="163">
        <v>1367</v>
      </c>
      <c r="U500" s="164" t="str">
        <f>CONCATENATE(LEFT(SP_ACQ_Lib[[#This Row],[Tax Parcel ID]],7),"_",SP_ACQ_Lib[[#This Row],[ACQ Document Type]])</f>
        <v>R023001_NEGOTIATION Initial Offer Package Acknowledgment</v>
      </c>
      <c r="V500" s="65" t="str">
        <f>INDEX(SP_AcqTract_DB[WCAD Tax Parcel ID],MATCH(SP_ACQ_Lib[[#This Row],[Acquisition Tract No.]],SP_AcqTract_DB[Acquisition Tract No.],0))</f>
        <v>R023001;#49</v>
      </c>
      <c r="W500" s="48" t="str">
        <f>INDEX(SP_TaxPar_DB[Acquisition Tract No.],MATCH(LEFT(SP_ACQ_Lib[[#This Row],[Tax Parcel ID]],7),SP_TaxPar_DB[Tax Parcel ID],0))</f>
        <v>309</v>
      </c>
      <c r="X500" s="238" t="str">
        <f>IF(OR(SP_ACQ_Lib[[#This Row],[Acquisition Tract No.]]="",SP_ACQ_Lib[[#This Row],[ACQ Document Type]]=""),0,CONCATENATE("COW-FRMP_TR-",SP_ACQ_Lib[[#This Row],[Acquisition Tract No.]]," ",SP_ACQ_Lib[[#This Row],[ACQ Document Type]]))</f>
        <v>COW-FRMP_TR-309 NEGOTIATION Initial Offer Package Acknowledgment</v>
      </c>
      <c r="Y500" s="239">
        <f>IF(OR(SP_ACQ_Lib[[#This Row],[File Name Convention]]=0,LEFT(SP_ACQ_Lib[[#This Row],[Name]],LEN(SP_ACQ_Lib[[#This Row],[File Name Convention]]))&lt;&gt;SP_ACQ_Lib[[#This Row],[File Name Convention]],ISERROR(SEARCH(SP_ACQ_Lib[[#This Row],[ACQ Document Type]],SP_ACQ_Lib[[#This Row],[Name]]))),1,0)</f>
        <v>0</v>
      </c>
    </row>
    <row r="501" spans="1:25" ht="15" x14ac:dyDescent="0.2">
      <c r="A501" s="157" t="str">
        <f>CONCATENATE(SP_ACQ_Lib[[#This Row],[Acquisition Tract No.]],"_",SP_ACQ_Lib[[#This Row],[ACQ Document Type]])</f>
        <v>309_NEGOTIATION Initial Offer Package CMRR</v>
      </c>
      <c r="B501" s="14" t="s">
        <v>6519</v>
      </c>
      <c r="C501" s="193" t="s">
        <v>52</v>
      </c>
      <c r="D501" s="12" t="s">
        <v>651</v>
      </c>
      <c r="E501" s="8" t="s">
        <v>1142</v>
      </c>
      <c r="F501" s="8" t="s">
        <v>1144</v>
      </c>
      <c r="G501" s="8" t="s">
        <v>1710</v>
      </c>
      <c r="H501" s="7" t="s">
        <v>608</v>
      </c>
      <c r="I501" s="16">
        <v>44013</v>
      </c>
      <c r="J501" s="16">
        <v>44019</v>
      </c>
      <c r="K501" s="17"/>
      <c r="L501" s="3" t="s">
        <v>6672</v>
      </c>
      <c r="M501" s="8" t="s">
        <v>4206</v>
      </c>
      <c r="N501" s="11">
        <v>44021.441469907404</v>
      </c>
      <c r="O501" s="8" t="s">
        <v>4206</v>
      </c>
      <c r="P501" s="11">
        <v>44013.742002314815</v>
      </c>
      <c r="Q501" s="13">
        <v>822067</v>
      </c>
      <c r="R501" s="194" t="s">
        <v>594</v>
      </c>
      <c r="S501" s="14" t="s">
        <v>6582</v>
      </c>
      <c r="T501" s="163">
        <v>1324</v>
      </c>
      <c r="U501" s="164" t="str">
        <f>CONCATENATE(LEFT(SP_ACQ_Lib[[#This Row],[Tax Parcel ID]],7),"_",SP_ACQ_Lib[[#This Row],[ACQ Document Type]])</f>
        <v>R023001_NEGOTIATION Initial Offer Package CMRR</v>
      </c>
      <c r="V501" s="65" t="str">
        <f>INDEX(SP_AcqTract_DB[WCAD Tax Parcel ID],MATCH(SP_ACQ_Lib[[#This Row],[Acquisition Tract No.]],SP_AcqTract_DB[Acquisition Tract No.],0))</f>
        <v>R023001;#49</v>
      </c>
      <c r="W501" s="48" t="str">
        <f>INDEX(SP_TaxPar_DB[Acquisition Tract No.],MATCH(LEFT(SP_ACQ_Lib[[#This Row],[Tax Parcel ID]],7),SP_TaxPar_DB[Tax Parcel ID],0))</f>
        <v>309</v>
      </c>
      <c r="X501" s="238" t="str">
        <f>IF(OR(SP_ACQ_Lib[[#This Row],[Acquisition Tract No.]]="",SP_ACQ_Lib[[#This Row],[ACQ Document Type]]=""),0,CONCATENATE("COW-FRMP_TR-",SP_ACQ_Lib[[#This Row],[Acquisition Tract No.]]," ",SP_ACQ_Lib[[#This Row],[ACQ Document Type]]))</f>
        <v>COW-FRMP_TR-309 NEGOTIATION Initial Offer Package CMRR</v>
      </c>
      <c r="Y501" s="239">
        <f>IF(OR(SP_ACQ_Lib[[#This Row],[File Name Convention]]=0,LEFT(SP_ACQ_Lib[[#This Row],[Name]],LEN(SP_ACQ_Lib[[#This Row],[File Name Convention]]))&lt;&gt;SP_ACQ_Lib[[#This Row],[File Name Convention]],ISERROR(SEARCH(SP_ACQ_Lib[[#This Row],[ACQ Document Type]],SP_ACQ_Lib[[#This Row],[Name]]))),1,0)</f>
        <v>0</v>
      </c>
    </row>
    <row r="502" spans="1:25" ht="15" x14ac:dyDescent="0.2">
      <c r="A502" s="157" t="str">
        <f>CONCATENATE(SP_ACQ_Lib[[#This Row],[Acquisition Tract No.]],"_",SP_ACQ_Lib[[#This Row],[ACQ Document Type]])</f>
        <v>309_NEGOTIATION Landowner Bill of Rights Letter</v>
      </c>
      <c r="B502" s="14" t="s">
        <v>3473</v>
      </c>
      <c r="C502" s="193" t="s">
        <v>52</v>
      </c>
      <c r="D502" s="12" t="s">
        <v>651</v>
      </c>
      <c r="E502" s="8" t="s">
        <v>1142</v>
      </c>
      <c r="F502" s="8" t="s">
        <v>1746</v>
      </c>
      <c r="G502" s="8" t="s">
        <v>1745</v>
      </c>
      <c r="H502" s="7" t="s">
        <v>592</v>
      </c>
      <c r="I502" s="16">
        <v>43748</v>
      </c>
      <c r="J502" s="16"/>
      <c r="K502" s="17"/>
      <c r="L502" s="3"/>
      <c r="M502" s="8" t="s">
        <v>4206</v>
      </c>
      <c r="N502" s="11">
        <v>43872.564780092594</v>
      </c>
      <c r="O502" s="8" t="s">
        <v>4325</v>
      </c>
      <c r="P502" s="11">
        <v>43752.52171296296</v>
      </c>
      <c r="Q502" s="13">
        <v>495851</v>
      </c>
      <c r="R502" s="194" t="s">
        <v>594</v>
      </c>
      <c r="S502" s="14" t="s">
        <v>1233</v>
      </c>
      <c r="T502" s="163">
        <v>448</v>
      </c>
      <c r="U502" s="164" t="str">
        <f>CONCATENATE(LEFT(SP_ACQ_Lib[[#This Row],[Tax Parcel ID]],7),"_",SP_ACQ_Lib[[#This Row],[ACQ Document Type]])</f>
        <v>R023001_NEGOTIATION Landowner Bill of Rights Letter</v>
      </c>
      <c r="V502" s="65" t="str">
        <f>INDEX(SP_AcqTract_DB[WCAD Tax Parcel ID],MATCH(SP_ACQ_Lib[[#This Row],[Acquisition Tract No.]],SP_AcqTract_DB[Acquisition Tract No.],0))</f>
        <v>R023001;#49</v>
      </c>
      <c r="W502" s="48" t="str">
        <f>INDEX(SP_TaxPar_DB[Acquisition Tract No.],MATCH(LEFT(SP_ACQ_Lib[[#This Row],[Tax Parcel ID]],7),SP_TaxPar_DB[Tax Parcel ID],0))</f>
        <v>309</v>
      </c>
      <c r="X502" s="238" t="str">
        <f>IF(OR(SP_ACQ_Lib[[#This Row],[Acquisition Tract No.]]="",SP_ACQ_Lib[[#This Row],[ACQ Document Type]]=""),0,CONCATENATE("COW-FRMP_TR-",SP_ACQ_Lib[[#This Row],[Acquisition Tract No.]]," ",SP_ACQ_Lib[[#This Row],[ACQ Document Type]]))</f>
        <v>COW-FRMP_TR-309 NEGOTIATION Landowner Bill of Rights Letter</v>
      </c>
      <c r="Y502" s="239">
        <f>IF(OR(SP_ACQ_Lib[[#This Row],[File Name Convention]]=0,LEFT(SP_ACQ_Lib[[#This Row],[Name]],LEN(SP_ACQ_Lib[[#This Row],[File Name Convention]]))&lt;&gt;SP_ACQ_Lib[[#This Row],[File Name Convention]],ISERROR(SEARCH(SP_ACQ_Lib[[#This Row],[ACQ Document Type]],SP_ACQ_Lib[[#This Row],[Name]]))),1,0)</f>
        <v>0</v>
      </c>
    </row>
    <row r="503" spans="1:25" ht="15" x14ac:dyDescent="0.2">
      <c r="A503" s="157" t="str">
        <f>CONCATENATE(SP_ACQ_Lib[[#This Row],[Acquisition Tract No.]],"_",SP_ACQ_Lib[[#This Row],[ACQ Document Type]])</f>
        <v>309_SURVEY Description-Plat_CITY</v>
      </c>
      <c r="B503" s="14" t="s">
        <v>3529</v>
      </c>
      <c r="C503" s="193" t="s">
        <v>52</v>
      </c>
      <c r="D503" s="12" t="s">
        <v>651</v>
      </c>
      <c r="E503" s="8" t="s">
        <v>858</v>
      </c>
      <c r="F503" s="8" t="s">
        <v>3503</v>
      </c>
      <c r="G503" s="8" t="s">
        <v>3502</v>
      </c>
      <c r="H503" s="7" t="s">
        <v>1749</v>
      </c>
      <c r="I503" s="16">
        <v>43868</v>
      </c>
      <c r="J503" s="16">
        <v>43886</v>
      </c>
      <c r="K503" s="17"/>
      <c r="L503" s="3"/>
      <c r="M503" s="8" t="s">
        <v>4206</v>
      </c>
      <c r="N503" s="11">
        <v>43937.589328703703</v>
      </c>
      <c r="O503" s="8" t="s">
        <v>4206</v>
      </c>
      <c r="P503" s="11">
        <v>43886.641898148147</v>
      </c>
      <c r="Q503" s="13">
        <v>237662</v>
      </c>
      <c r="R503" s="194" t="s">
        <v>594</v>
      </c>
      <c r="S503" s="14" t="s">
        <v>3552</v>
      </c>
      <c r="T503" s="163">
        <v>733</v>
      </c>
      <c r="U503" s="164" t="str">
        <f>CONCATENATE(LEFT(SP_ACQ_Lib[[#This Row],[Tax Parcel ID]],7),"_",SP_ACQ_Lib[[#This Row],[ACQ Document Type]])</f>
        <v>R023001_SURVEY Description-Plat_CITY</v>
      </c>
      <c r="V503" s="65" t="str">
        <f>INDEX(SP_AcqTract_DB[WCAD Tax Parcel ID],MATCH(SP_ACQ_Lib[[#This Row],[Acquisition Tract No.]],SP_AcqTract_DB[Acquisition Tract No.],0))</f>
        <v>R023001;#49</v>
      </c>
      <c r="W503" s="48" t="str">
        <f>INDEX(SP_TaxPar_DB[Acquisition Tract No.],MATCH(LEFT(SP_ACQ_Lib[[#This Row],[Tax Parcel ID]],7),SP_TaxPar_DB[Tax Parcel ID],0))</f>
        <v>309</v>
      </c>
      <c r="X503" s="238" t="str">
        <f>IF(OR(SP_ACQ_Lib[[#This Row],[Acquisition Tract No.]]="",SP_ACQ_Lib[[#This Row],[ACQ Document Type]]=""),0,CONCATENATE("COW-FRMP_TR-",SP_ACQ_Lib[[#This Row],[Acquisition Tract No.]]," ",SP_ACQ_Lib[[#This Row],[ACQ Document Type]]))</f>
        <v>COW-FRMP_TR-309 SURVEY Description-Plat_CITY</v>
      </c>
      <c r="Y503" s="239">
        <f>IF(OR(SP_ACQ_Lib[[#This Row],[File Name Convention]]=0,LEFT(SP_ACQ_Lib[[#This Row],[Name]],LEN(SP_ACQ_Lib[[#This Row],[File Name Convention]]))&lt;&gt;SP_ACQ_Lib[[#This Row],[File Name Convention]],ISERROR(SEARCH(SP_ACQ_Lib[[#This Row],[ACQ Document Type]],SP_ACQ_Lib[[#This Row],[Name]]))),1,0)</f>
        <v>0</v>
      </c>
    </row>
    <row r="504" spans="1:25" ht="15" x14ac:dyDescent="0.2">
      <c r="A504" s="157" t="str">
        <f>CONCATENATE(SP_ACQ_Lib[[#This Row],[Acquisition Tract No.]],"_",SP_ACQ_Lib[[#This Row],[ACQ Document Type]])</f>
        <v>309_SURVEY Description-Plat_USACOE</v>
      </c>
      <c r="B504" s="14" t="s">
        <v>4987</v>
      </c>
      <c r="C504" s="193" t="s">
        <v>52</v>
      </c>
      <c r="D504" s="12" t="s">
        <v>651</v>
      </c>
      <c r="E504" s="8" t="s">
        <v>858</v>
      </c>
      <c r="F504" s="8" t="s">
        <v>3510</v>
      </c>
      <c r="G504" s="8" t="s">
        <v>3509</v>
      </c>
      <c r="H504" s="7" t="s">
        <v>592</v>
      </c>
      <c r="I504" s="16">
        <v>43868</v>
      </c>
      <c r="J504" s="16">
        <v>43948</v>
      </c>
      <c r="K504" s="17"/>
      <c r="L504" s="3"/>
      <c r="M504" s="8" t="s">
        <v>4206</v>
      </c>
      <c r="N504" s="11">
        <v>43949.809930555559</v>
      </c>
      <c r="O504" s="8" t="s">
        <v>4206</v>
      </c>
      <c r="P504" s="11">
        <v>43949.791562500002</v>
      </c>
      <c r="Q504" s="13">
        <v>569611</v>
      </c>
      <c r="R504" s="194" t="s">
        <v>594</v>
      </c>
      <c r="S504" s="14" t="s">
        <v>5006</v>
      </c>
      <c r="T504" s="163">
        <v>846</v>
      </c>
      <c r="U504" s="164" t="str">
        <f>CONCATENATE(LEFT(SP_ACQ_Lib[[#This Row],[Tax Parcel ID]],7),"_",SP_ACQ_Lib[[#This Row],[ACQ Document Type]])</f>
        <v>R023001_SURVEY Description-Plat_USACOE</v>
      </c>
      <c r="V504" s="65" t="str">
        <f>INDEX(SP_AcqTract_DB[WCAD Tax Parcel ID],MATCH(SP_ACQ_Lib[[#This Row],[Acquisition Tract No.]],SP_AcqTract_DB[Acquisition Tract No.],0))</f>
        <v>R023001;#49</v>
      </c>
      <c r="W504" s="48" t="str">
        <f>INDEX(SP_TaxPar_DB[Acquisition Tract No.],MATCH(LEFT(SP_ACQ_Lib[[#This Row],[Tax Parcel ID]],7),SP_TaxPar_DB[Tax Parcel ID],0))</f>
        <v>309</v>
      </c>
      <c r="X504" s="238" t="str">
        <f>IF(OR(SP_ACQ_Lib[[#This Row],[Acquisition Tract No.]]="",SP_ACQ_Lib[[#This Row],[ACQ Document Type]]=""),0,CONCATENATE("COW-FRMP_TR-",SP_ACQ_Lib[[#This Row],[Acquisition Tract No.]]," ",SP_ACQ_Lib[[#This Row],[ACQ Document Type]]))</f>
        <v>COW-FRMP_TR-309 SURVEY Description-Plat_USACOE</v>
      </c>
      <c r="Y504" s="239">
        <f>IF(OR(SP_ACQ_Lib[[#This Row],[File Name Convention]]=0,LEFT(SP_ACQ_Lib[[#This Row],[Name]],LEN(SP_ACQ_Lib[[#This Row],[File Name Convention]]))&lt;&gt;SP_ACQ_Lib[[#This Row],[File Name Convention]],ISERROR(SEARCH(SP_ACQ_Lib[[#This Row],[ACQ Document Type]],SP_ACQ_Lib[[#This Row],[Name]]))),1,0)</f>
        <v>0</v>
      </c>
    </row>
    <row r="505" spans="1:25" ht="15" x14ac:dyDescent="0.2">
      <c r="A505" s="157" t="str">
        <f>CONCATENATE(SP_ACQ_Lib[[#This Row],[Acquisition Tract No.]],"_",SP_ACQ_Lib[[#This Row],[ACQ Document Type]])</f>
        <v>309_SURVEY Right-of-Entry</v>
      </c>
      <c r="B505" s="14" t="s">
        <v>4608</v>
      </c>
      <c r="C505" s="193" t="s">
        <v>52</v>
      </c>
      <c r="D505" s="12" t="s">
        <v>651</v>
      </c>
      <c r="E505" s="8" t="s">
        <v>858</v>
      </c>
      <c r="F505" s="8" t="s">
        <v>859</v>
      </c>
      <c r="G505" s="8" t="s">
        <v>591</v>
      </c>
      <c r="H505" s="7" t="s">
        <v>592</v>
      </c>
      <c r="I505" s="16">
        <v>43724</v>
      </c>
      <c r="J505" s="16"/>
      <c r="K505" s="17"/>
      <c r="L505" s="3"/>
      <c r="M505" s="8" t="s">
        <v>4206</v>
      </c>
      <c r="N505" s="11">
        <v>43983.529930555553</v>
      </c>
      <c r="O505" s="8" t="s">
        <v>4325</v>
      </c>
      <c r="P505" s="11">
        <v>43724.532280092593</v>
      </c>
      <c r="Q505" s="13">
        <v>1091908</v>
      </c>
      <c r="R505" s="194" t="s">
        <v>594</v>
      </c>
      <c r="S505" s="14" t="s">
        <v>800</v>
      </c>
      <c r="T505" s="163">
        <v>242</v>
      </c>
      <c r="U505" s="164" t="str">
        <f>CONCATENATE(LEFT(SP_ACQ_Lib[[#This Row],[Tax Parcel ID]],7),"_",SP_ACQ_Lib[[#This Row],[ACQ Document Type]])</f>
        <v>R023001_SURVEY Right-of-Entry</v>
      </c>
      <c r="V505" s="65" t="str">
        <f>INDEX(SP_AcqTract_DB[WCAD Tax Parcel ID],MATCH(SP_ACQ_Lib[[#This Row],[Acquisition Tract No.]],SP_AcqTract_DB[Acquisition Tract No.],0))</f>
        <v>R023001;#49</v>
      </c>
      <c r="W505" s="48" t="str">
        <f>INDEX(SP_TaxPar_DB[Acquisition Tract No.],MATCH(LEFT(SP_ACQ_Lib[[#This Row],[Tax Parcel ID]],7),SP_TaxPar_DB[Tax Parcel ID],0))</f>
        <v>309</v>
      </c>
      <c r="X505" s="238" t="str">
        <f>IF(OR(SP_ACQ_Lib[[#This Row],[Acquisition Tract No.]]="",SP_ACQ_Lib[[#This Row],[ACQ Document Type]]=""),0,CONCATENATE("COW-FRMP_TR-",SP_ACQ_Lib[[#This Row],[Acquisition Tract No.]]," ",SP_ACQ_Lib[[#This Row],[ACQ Document Type]]))</f>
        <v>COW-FRMP_TR-309 SURVEY Right-of-Entry</v>
      </c>
      <c r="Y505" s="239">
        <f>IF(OR(SP_ACQ_Lib[[#This Row],[File Name Convention]]=0,LEFT(SP_ACQ_Lib[[#This Row],[Name]],LEN(SP_ACQ_Lib[[#This Row],[File Name Convention]]))&lt;&gt;SP_ACQ_Lib[[#This Row],[File Name Convention]],ISERROR(SEARCH(SP_ACQ_Lib[[#This Row],[ACQ Document Type]],SP_ACQ_Lib[[#This Row],[Name]]))),1,0)</f>
        <v>0</v>
      </c>
    </row>
    <row r="506" spans="1:25" ht="15" x14ac:dyDescent="0.2">
      <c r="A506" s="157" t="str">
        <f>CONCATENATE(SP_ACQ_Lib[[#This Row],[Acquisition Tract No.]],"_",SP_ACQ_Lib[[#This Row],[ACQ Document Type]])</f>
        <v>309_TITLE Commitment</v>
      </c>
      <c r="B506" s="14" t="s">
        <v>1552</v>
      </c>
      <c r="C506" s="193" t="s">
        <v>52</v>
      </c>
      <c r="D506" s="12" t="s">
        <v>651</v>
      </c>
      <c r="E506" s="8" t="s">
        <v>861</v>
      </c>
      <c r="F506" s="8" t="s">
        <v>862</v>
      </c>
      <c r="G506" s="8" t="s">
        <v>614</v>
      </c>
      <c r="H506" s="7" t="s">
        <v>592</v>
      </c>
      <c r="I506" s="16">
        <v>43952</v>
      </c>
      <c r="J506" s="16">
        <v>43963</v>
      </c>
      <c r="K506" s="17"/>
      <c r="L506" s="3" t="s">
        <v>5125</v>
      </c>
      <c r="M506" s="8" t="s">
        <v>4325</v>
      </c>
      <c r="N506" s="11">
        <v>43966.397615740738</v>
      </c>
      <c r="O506" s="8" t="s">
        <v>4326</v>
      </c>
      <c r="P506" s="11">
        <v>43706.450266203705</v>
      </c>
      <c r="Q506" s="13">
        <v>663067</v>
      </c>
      <c r="R506" s="194" t="s">
        <v>594</v>
      </c>
      <c r="S506" s="14" t="s">
        <v>801</v>
      </c>
      <c r="T506" s="163">
        <v>193</v>
      </c>
      <c r="U506" s="164" t="str">
        <f>CONCATENATE(LEFT(SP_ACQ_Lib[[#This Row],[Tax Parcel ID]],7),"_",SP_ACQ_Lib[[#This Row],[ACQ Document Type]])</f>
        <v>R023001_TITLE Commitment</v>
      </c>
      <c r="V506" s="65" t="str">
        <f>INDEX(SP_AcqTract_DB[WCAD Tax Parcel ID],MATCH(SP_ACQ_Lib[[#This Row],[Acquisition Tract No.]],SP_AcqTract_DB[Acquisition Tract No.],0))</f>
        <v>R023001;#49</v>
      </c>
      <c r="W506" s="48" t="str">
        <f>INDEX(SP_TaxPar_DB[Acquisition Tract No.],MATCH(LEFT(SP_ACQ_Lib[[#This Row],[Tax Parcel ID]],7),SP_TaxPar_DB[Tax Parcel ID],0))</f>
        <v>309</v>
      </c>
      <c r="X506" s="238" t="str">
        <f>IF(OR(SP_ACQ_Lib[[#This Row],[Acquisition Tract No.]]="",SP_ACQ_Lib[[#This Row],[ACQ Document Type]]=""),0,CONCATENATE("COW-FRMP_TR-",SP_ACQ_Lib[[#This Row],[Acquisition Tract No.]]," ",SP_ACQ_Lib[[#This Row],[ACQ Document Type]]))</f>
        <v>COW-FRMP_TR-309 TITLE Commitment</v>
      </c>
      <c r="Y506" s="239">
        <f>IF(OR(SP_ACQ_Lib[[#This Row],[File Name Convention]]=0,LEFT(SP_ACQ_Lib[[#This Row],[Name]],LEN(SP_ACQ_Lib[[#This Row],[File Name Convention]]))&lt;&gt;SP_ACQ_Lib[[#This Row],[File Name Convention]],ISERROR(SEARCH(SP_ACQ_Lib[[#This Row],[ACQ Document Type]],SP_ACQ_Lib[[#This Row],[Name]]))),1,0)</f>
        <v>0</v>
      </c>
    </row>
    <row r="507" spans="1:25" ht="15" x14ac:dyDescent="0.2">
      <c r="A507" s="157" t="str">
        <f>CONCATENATE(SP_ACQ_Lib[[#This Row],[Acquisition Tract No.]],"_",SP_ACQ_Lib[[#This Row],[ACQ Document Type]])</f>
        <v>309_TITLE Commitment Backup Docs</v>
      </c>
      <c r="B507" s="14" t="s">
        <v>1553</v>
      </c>
      <c r="C507" s="193" t="s">
        <v>52</v>
      </c>
      <c r="D507" s="12" t="s">
        <v>651</v>
      </c>
      <c r="E507" s="8" t="s">
        <v>861</v>
      </c>
      <c r="F507" s="8" t="s">
        <v>863</v>
      </c>
      <c r="G507" s="8" t="s">
        <v>616</v>
      </c>
      <c r="H507" s="7" t="s">
        <v>592</v>
      </c>
      <c r="I507" s="16"/>
      <c r="J507" s="16"/>
      <c r="K507" s="17"/>
      <c r="L507" s="3"/>
      <c r="M507" s="8" t="s">
        <v>4325</v>
      </c>
      <c r="N507" s="11">
        <v>43773.631261574075</v>
      </c>
      <c r="O507" s="8" t="s">
        <v>4326</v>
      </c>
      <c r="P507" s="11">
        <v>43706.450648148151</v>
      </c>
      <c r="Q507" s="13">
        <v>154630</v>
      </c>
      <c r="R507" s="194" t="s">
        <v>594</v>
      </c>
      <c r="S507" s="14" t="s">
        <v>802</v>
      </c>
      <c r="T507" s="163">
        <v>194</v>
      </c>
      <c r="U507" s="164" t="str">
        <f>CONCATENATE(LEFT(SP_ACQ_Lib[[#This Row],[Tax Parcel ID]],7),"_",SP_ACQ_Lib[[#This Row],[ACQ Document Type]])</f>
        <v>R023001_TITLE Commitment Backup Docs</v>
      </c>
      <c r="V507" s="65" t="str">
        <f>INDEX(SP_AcqTract_DB[WCAD Tax Parcel ID],MATCH(SP_ACQ_Lib[[#This Row],[Acquisition Tract No.]],SP_AcqTract_DB[Acquisition Tract No.],0))</f>
        <v>R023001;#49</v>
      </c>
      <c r="W507" s="48" t="str">
        <f>INDEX(SP_TaxPar_DB[Acquisition Tract No.],MATCH(LEFT(SP_ACQ_Lib[[#This Row],[Tax Parcel ID]],7),SP_TaxPar_DB[Tax Parcel ID],0))</f>
        <v>309</v>
      </c>
      <c r="X507" s="238" t="str">
        <f>IF(OR(SP_ACQ_Lib[[#This Row],[Acquisition Tract No.]]="",SP_ACQ_Lib[[#This Row],[ACQ Document Type]]=""),0,CONCATENATE("COW-FRMP_TR-",SP_ACQ_Lib[[#This Row],[Acquisition Tract No.]]," ",SP_ACQ_Lib[[#This Row],[ACQ Document Type]]))</f>
        <v>COW-FRMP_TR-309 TITLE Commitment Backup Docs</v>
      </c>
      <c r="Y507" s="239">
        <f>IF(OR(SP_ACQ_Lib[[#This Row],[File Name Convention]]=0,LEFT(SP_ACQ_Lib[[#This Row],[Name]],LEN(SP_ACQ_Lib[[#This Row],[File Name Convention]]))&lt;&gt;SP_ACQ_Lib[[#This Row],[File Name Convention]],ISERROR(SEARCH(SP_ACQ_Lib[[#This Row],[ACQ Document Type]],SP_ACQ_Lib[[#This Row],[Name]]))),1,0)</f>
        <v>0</v>
      </c>
    </row>
    <row r="508" spans="1:25" ht="15" x14ac:dyDescent="0.2">
      <c r="A508" s="157" t="str">
        <f>CONCATENATE(SP_ACQ_Lib[[#This Row],[Acquisition Tract No.]],"_",SP_ACQ_Lib[[#This Row],[ACQ Document Type]])</f>
        <v>309_TITLE Curative Plan</v>
      </c>
      <c r="B508" s="14" t="s">
        <v>1554</v>
      </c>
      <c r="C508" s="193" t="s">
        <v>52</v>
      </c>
      <c r="D508" s="12" t="s">
        <v>651</v>
      </c>
      <c r="E508" s="8" t="s">
        <v>861</v>
      </c>
      <c r="F508" s="8" t="s">
        <v>864</v>
      </c>
      <c r="G508" s="8" t="s">
        <v>617</v>
      </c>
      <c r="H508" s="7" t="s">
        <v>592</v>
      </c>
      <c r="I508" s="16">
        <v>43804</v>
      </c>
      <c r="J508" s="16"/>
      <c r="K508" s="17"/>
      <c r="L508" s="3"/>
      <c r="M508" s="8" t="s">
        <v>4325</v>
      </c>
      <c r="N508" s="11">
        <v>43966.396724537037</v>
      </c>
      <c r="O508" s="8" t="s">
        <v>4326</v>
      </c>
      <c r="P508" s="11">
        <v>43717.570289351854</v>
      </c>
      <c r="Q508" s="13">
        <v>36370</v>
      </c>
      <c r="R508" s="194" t="s">
        <v>594</v>
      </c>
      <c r="S508" s="14" t="s">
        <v>803</v>
      </c>
      <c r="T508" s="163">
        <v>221</v>
      </c>
      <c r="U508" s="164" t="str">
        <f>CONCATENATE(LEFT(SP_ACQ_Lib[[#This Row],[Tax Parcel ID]],7),"_",SP_ACQ_Lib[[#This Row],[ACQ Document Type]])</f>
        <v>R023001_TITLE Curative Plan</v>
      </c>
      <c r="V508" s="65" t="str">
        <f>INDEX(SP_AcqTract_DB[WCAD Tax Parcel ID],MATCH(SP_ACQ_Lib[[#This Row],[Acquisition Tract No.]],SP_AcqTract_DB[Acquisition Tract No.],0))</f>
        <v>R023001;#49</v>
      </c>
      <c r="W508" s="48" t="str">
        <f>INDEX(SP_TaxPar_DB[Acquisition Tract No.],MATCH(LEFT(SP_ACQ_Lib[[#This Row],[Tax Parcel ID]],7),SP_TaxPar_DB[Tax Parcel ID],0))</f>
        <v>309</v>
      </c>
      <c r="X508" s="238" t="str">
        <f>IF(OR(SP_ACQ_Lib[[#This Row],[Acquisition Tract No.]]="",SP_ACQ_Lib[[#This Row],[ACQ Document Type]]=""),0,CONCATENATE("COW-FRMP_TR-",SP_ACQ_Lib[[#This Row],[Acquisition Tract No.]]," ",SP_ACQ_Lib[[#This Row],[ACQ Document Type]]))</f>
        <v>COW-FRMP_TR-309 TITLE Curative Plan</v>
      </c>
      <c r="Y508" s="239">
        <f>IF(OR(SP_ACQ_Lib[[#This Row],[File Name Convention]]=0,LEFT(SP_ACQ_Lib[[#This Row],[Name]],LEN(SP_ACQ_Lib[[#This Row],[File Name Convention]]))&lt;&gt;SP_ACQ_Lib[[#This Row],[File Name Convention]],ISERROR(SEARCH(SP_ACQ_Lib[[#This Row],[ACQ Document Type]],SP_ACQ_Lib[[#This Row],[Name]]))),1,0)</f>
        <v>0</v>
      </c>
    </row>
    <row r="509" spans="1:25" ht="15" x14ac:dyDescent="0.2">
      <c r="A509" s="157" t="str">
        <f>CONCATENATE(SP_ACQ_Lib[[#This Row],[Acquisition Tract No.]],"_",SP_ACQ_Lib[[#This Row],[ACQ Document Type]])</f>
        <v>309_TITLE Tax Card</v>
      </c>
      <c r="B509" s="14" t="s">
        <v>3474</v>
      </c>
      <c r="C509" s="193" t="s">
        <v>52</v>
      </c>
      <c r="D509" s="12" t="s">
        <v>651</v>
      </c>
      <c r="E509" s="8" t="s">
        <v>861</v>
      </c>
      <c r="F509" s="8" t="s">
        <v>1150</v>
      </c>
      <c r="G509" s="8" t="s">
        <v>1149</v>
      </c>
      <c r="H509" s="7" t="s">
        <v>592</v>
      </c>
      <c r="I509" s="16"/>
      <c r="J509" s="16"/>
      <c r="K509" s="17"/>
      <c r="L509" s="3"/>
      <c r="M509" s="8" t="s">
        <v>4206</v>
      </c>
      <c r="N509" s="11">
        <v>43874.594247685185</v>
      </c>
      <c r="O509" s="8" t="s">
        <v>1272</v>
      </c>
      <c r="P509" s="11">
        <v>43817.47991898148</v>
      </c>
      <c r="Q509" s="13">
        <v>483433</v>
      </c>
      <c r="R509" s="194" t="s">
        <v>594</v>
      </c>
      <c r="S509" s="14" t="s">
        <v>1793</v>
      </c>
      <c r="T509" s="163">
        <v>651</v>
      </c>
      <c r="U509" s="164" t="str">
        <f>CONCATENATE(LEFT(SP_ACQ_Lib[[#This Row],[Tax Parcel ID]],7),"_",SP_ACQ_Lib[[#This Row],[ACQ Document Type]])</f>
        <v>R023001_TITLE Tax Card</v>
      </c>
      <c r="V509" s="65" t="str">
        <f>INDEX(SP_AcqTract_DB[WCAD Tax Parcel ID],MATCH(SP_ACQ_Lib[[#This Row],[Acquisition Tract No.]],SP_AcqTract_DB[Acquisition Tract No.],0))</f>
        <v>R023001;#49</v>
      </c>
      <c r="W509" s="48" t="str">
        <f>INDEX(SP_TaxPar_DB[Acquisition Tract No.],MATCH(LEFT(SP_ACQ_Lib[[#This Row],[Tax Parcel ID]],7),SP_TaxPar_DB[Tax Parcel ID],0))</f>
        <v>309</v>
      </c>
      <c r="X509" s="238" t="str">
        <f>IF(OR(SP_ACQ_Lib[[#This Row],[Acquisition Tract No.]]="",SP_ACQ_Lib[[#This Row],[ACQ Document Type]]=""),0,CONCATENATE("COW-FRMP_TR-",SP_ACQ_Lib[[#This Row],[Acquisition Tract No.]]," ",SP_ACQ_Lib[[#This Row],[ACQ Document Type]]))</f>
        <v>COW-FRMP_TR-309 TITLE Tax Card</v>
      </c>
      <c r="Y509" s="239">
        <f>IF(OR(SP_ACQ_Lib[[#This Row],[File Name Convention]]=0,LEFT(SP_ACQ_Lib[[#This Row],[Name]],LEN(SP_ACQ_Lib[[#This Row],[File Name Convention]]))&lt;&gt;SP_ACQ_Lib[[#This Row],[File Name Convention]],ISERROR(SEARCH(SP_ACQ_Lib[[#This Row],[ACQ Document Type]],SP_ACQ_Lib[[#This Row],[Name]]))),1,0)</f>
        <v>0</v>
      </c>
    </row>
    <row r="510" spans="1:25" ht="15" x14ac:dyDescent="0.2">
      <c r="A510" s="157" t="str">
        <f>CONCATENATE(SP_ACQ_Lib[[#This Row],[Acquisition Tract No.]],"_",SP_ACQ_Lib[[#This Row],[ACQ Document Type]])</f>
        <v>310_APPRAISAL Final Appraisal</v>
      </c>
      <c r="B510" s="14" t="s">
        <v>6329</v>
      </c>
      <c r="C510" s="193" t="s">
        <v>53</v>
      </c>
      <c r="D510" s="12" t="s">
        <v>653</v>
      </c>
      <c r="E510" s="8" t="s">
        <v>1131</v>
      </c>
      <c r="F510" s="8" t="s">
        <v>4755</v>
      </c>
      <c r="G510" s="8" t="s">
        <v>4754</v>
      </c>
      <c r="H510" s="7" t="s">
        <v>592</v>
      </c>
      <c r="I510" s="16">
        <v>43960</v>
      </c>
      <c r="J510" s="16"/>
      <c r="K510" s="17">
        <v>15473</v>
      </c>
      <c r="L510" s="3"/>
      <c r="M510" s="8" t="s">
        <v>4206</v>
      </c>
      <c r="N510" s="11">
        <v>44005.638831018521</v>
      </c>
      <c r="O510" s="8" t="s">
        <v>4206</v>
      </c>
      <c r="P510" s="11">
        <v>44005.637743055559</v>
      </c>
      <c r="Q510" s="13">
        <v>3907400</v>
      </c>
      <c r="R510" s="194" t="s">
        <v>594</v>
      </c>
      <c r="S510" s="14" t="s">
        <v>6398</v>
      </c>
      <c r="T510" s="163">
        <v>1284</v>
      </c>
      <c r="U510" s="164" t="str">
        <f>CONCATENATE(LEFT(SP_ACQ_Lib[[#This Row],[Tax Parcel ID]],7),"_",SP_ACQ_Lib[[#This Row],[ACQ Document Type]])</f>
        <v>R013048_APPRAISAL Final Appraisal</v>
      </c>
      <c r="V510" s="65" t="str">
        <f>INDEX(SP_AcqTract_DB[WCAD Tax Parcel ID],MATCH(SP_ACQ_Lib[[#This Row],[Acquisition Tract No.]],SP_AcqTract_DB[Acquisition Tract No.],0))</f>
        <v>R013048;#50</v>
      </c>
      <c r="W510" s="48" t="str">
        <f>INDEX(SP_TaxPar_DB[Acquisition Tract No.],MATCH(LEFT(SP_ACQ_Lib[[#This Row],[Tax Parcel ID]],7),SP_TaxPar_DB[Tax Parcel ID],0))</f>
        <v>310</v>
      </c>
      <c r="X510" s="238" t="str">
        <f>IF(OR(SP_ACQ_Lib[[#This Row],[Acquisition Tract No.]]="",SP_ACQ_Lib[[#This Row],[ACQ Document Type]]=""),0,CONCATENATE("COW-FRMP_TR-",SP_ACQ_Lib[[#This Row],[Acquisition Tract No.]]," ",SP_ACQ_Lib[[#This Row],[ACQ Document Type]]))</f>
        <v>COW-FRMP_TR-310 APPRAISAL Final Appraisal</v>
      </c>
      <c r="Y510" s="239">
        <f>IF(OR(SP_ACQ_Lib[[#This Row],[File Name Convention]]=0,LEFT(SP_ACQ_Lib[[#This Row],[Name]],LEN(SP_ACQ_Lib[[#This Row],[File Name Convention]]))&lt;&gt;SP_ACQ_Lib[[#This Row],[File Name Convention]],ISERROR(SEARCH(SP_ACQ_Lib[[#This Row],[ACQ Document Type]],SP_ACQ_Lib[[#This Row],[Name]]))),1,0)</f>
        <v>0</v>
      </c>
    </row>
    <row r="511" spans="1:25" ht="15" x14ac:dyDescent="0.2">
      <c r="A511" s="157" t="str">
        <f>CONCATENATE(SP_ACQ_Lib[[#This Row],[Acquisition Tract No.]],"_",SP_ACQ_Lib[[#This Row],[ACQ Document Type]])</f>
        <v>310_APPRAISAL Just Compensation Memo</v>
      </c>
      <c r="B511" s="14" t="s">
        <v>6330</v>
      </c>
      <c r="C511" s="193" t="s">
        <v>53</v>
      </c>
      <c r="D511" s="12" t="s">
        <v>653</v>
      </c>
      <c r="E511" s="8" t="s">
        <v>1131</v>
      </c>
      <c r="F511" s="8" t="s">
        <v>4757</v>
      </c>
      <c r="G511" s="8" t="s">
        <v>4756</v>
      </c>
      <c r="H511" s="7" t="s">
        <v>592</v>
      </c>
      <c r="I511" s="16">
        <v>44005</v>
      </c>
      <c r="J511" s="16">
        <v>44005</v>
      </c>
      <c r="K511" s="17">
        <v>15473</v>
      </c>
      <c r="L511" s="3"/>
      <c r="M511" s="8" t="s">
        <v>4206</v>
      </c>
      <c r="N511" s="11">
        <v>44006.410185185188</v>
      </c>
      <c r="O511" s="8" t="s">
        <v>4206</v>
      </c>
      <c r="P511" s="11">
        <v>44005.637743055559</v>
      </c>
      <c r="Q511" s="13">
        <v>26175</v>
      </c>
      <c r="R511" s="194" t="s">
        <v>594</v>
      </c>
      <c r="S511" s="14" t="s">
        <v>6399</v>
      </c>
      <c r="T511" s="163">
        <v>1285</v>
      </c>
      <c r="U511" s="164" t="str">
        <f>CONCATENATE(LEFT(SP_ACQ_Lib[[#This Row],[Tax Parcel ID]],7),"_",SP_ACQ_Lib[[#This Row],[ACQ Document Type]])</f>
        <v>R013048_APPRAISAL Just Compensation Memo</v>
      </c>
      <c r="V511" s="65" t="str">
        <f>INDEX(SP_AcqTract_DB[WCAD Tax Parcel ID],MATCH(SP_ACQ_Lib[[#This Row],[Acquisition Tract No.]],SP_AcqTract_DB[Acquisition Tract No.],0))</f>
        <v>R013048;#50</v>
      </c>
      <c r="W511" s="48" t="str">
        <f>INDEX(SP_TaxPar_DB[Acquisition Tract No.],MATCH(LEFT(SP_ACQ_Lib[[#This Row],[Tax Parcel ID]],7),SP_TaxPar_DB[Tax Parcel ID],0))</f>
        <v>310</v>
      </c>
      <c r="X511" s="238" t="str">
        <f>IF(OR(SP_ACQ_Lib[[#This Row],[Acquisition Tract No.]]="",SP_ACQ_Lib[[#This Row],[ACQ Document Type]]=""),0,CONCATENATE("COW-FRMP_TR-",SP_ACQ_Lib[[#This Row],[Acquisition Tract No.]]," ",SP_ACQ_Lib[[#This Row],[ACQ Document Type]]))</f>
        <v>COW-FRMP_TR-310 APPRAISAL Just Compensation Memo</v>
      </c>
      <c r="Y511" s="239">
        <f>IF(OR(SP_ACQ_Lib[[#This Row],[File Name Convention]]=0,LEFT(SP_ACQ_Lib[[#This Row],[Name]],LEN(SP_ACQ_Lib[[#This Row],[File Name Convention]]))&lt;&gt;SP_ACQ_Lib[[#This Row],[File Name Convention]],ISERROR(SEARCH(SP_ACQ_Lib[[#This Row],[ACQ Document Type]],SP_ACQ_Lib[[#This Row],[Name]]))),1,0)</f>
        <v>0</v>
      </c>
    </row>
    <row r="512" spans="1:25" ht="15" x14ac:dyDescent="0.2">
      <c r="A512" s="157" t="str">
        <f>CONCATENATE(SP_ACQ_Lib[[#This Row],[Acquisition Tract No.]],"_",SP_ACQ_Lib[[#This Row],[ACQ Document Type]])</f>
        <v>310_APPRAISAL USACOE Authorization to Proceed with Offer</v>
      </c>
      <c r="B512" s="14" t="s">
        <v>6331</v>
      </c>
      <c r="C512" s="193" t="s">
        <v>53</v>
      </c>
      <c r="D512" s="12" t="s">
        <v>653</v>
      </c>
      <c r="E512" s="8" t="s">
        <v>1131</v>
      </c>
      <c r="F512" s="8" t="s">
        <v>4959</v>
      </c>
      <c r="G512" s="8" t="s">
        <v>4958</v>
      </c>
      <c r="H512" s="7" t="s">
        <v>592</v>
      </c>
      <c r="I512" s="16">
        <v>44005</v>
      </c>
      <c r="J512" s="16">
        <v>44005</v>
      </c>
      <c r="K512" s="17">
        <v>15473</v>
      </c>
      <c r="L512" s="3"/>
      <c r="M512" s="8" t="s">
        <v>4206</v>
      </c>
      <c r="N512" s="11">
        <v>44006.410324074073</v>
      </c>
      <c r="O512" s="8" t="s">
        <v>4206</v>
      </c>
      <c r="P512" s="11">
        <v>44005.637754629628</v>
      </c>
      <c r="Q512" s="13">
        <v>421311</v>
      </c>
      <c r="R512" s="194" t="s">
        <v>594</v>
      </c>
      <c r="S512" s="14" t="s">
        <v>6400</v>
      </c>
      <c r="T512" s="163">
        <v>1286</v>
      </c>
      <c r="U512" s="164" t="str">
        <f>CONCATENATE(LEFT(SP_ACQ_Lib[[#This Row],[Tax Parcel ID]],7),"_",SP_ACQ_Lib[[#This Row],[ACQ Document Type]])</f>
        <v>R013048_APPRAISAL USACOE Authorization to Proceed with Offer</v>
      </c>
      <c r="V512" s="65" t="str">
        <f>INDEX(SP_AcqTract_DB[WCAD Tax Parcel ID],MATCH(SP_ACQ_Lib[[#This Row],[Acquisition Tract No.]],SP_AcqTract_DB[Acquisition Tract No.],0))</f>
        <v>R013048;#50</v>
      </c>
      <c r="W512" s="48" t="str">
        <f>INDEX(SP_TaxPar_DB[Acquisition Tract No.],MATCH(LEFT(SP_ACQ_Lib[[#This Row],[Tax Parcel ID]],7),SP_TaxPar_DB[Tax Parcel ID],0))</f>
        <v>310</v>
      </c>
      <c r="X512" s="238" t="str">
        <f>IF(OR(SP_ACQ_Lib[[#This Row],[Acquisition Tract No.]]="",SP_ACQ_Lib[[#This Row],[ACQ Document Type]]=""),0,CONCATENATE("COW-FRMP_TR-",SP_ACQ_Lib[[#This Row],[Acquisition Tract No.]]," ",SP_ACQ_Lib[[#This Row],[ACQ Document Type]]))</f>
        <v>COW-FRMP_TR-310 APPRAISAL USACOE Authorization to Proceed with Offer</v>
      </c>
      <c r="Y512" s="239">
        <f>IF(OR(SP_ACQ_Lib[[#This Row],[File Name Convention]]=0,LEFT(SP_ACQ_Lib[[#This Row],[Name]],LEN(SP_ACQ_Lib[[#This Row],[File Name Convention]]))&lt;&gt;SP_ACQ_Lib[[#This Row],[File Name Convention]],ISERROR(SEARCH(SP_ACQ_Lib[[#This Row],[ACQ Document Type]],SP_ACQ_Lib[[#This Row],[Name]]))),1,0)</f>
        <v>0</v>
      </c>
    </row>
    <row r="513" spans="1:25" ht="15" x14ac:dyDescent="0.2">
      <c r="A513" s="157" t="str">
        <f>CONCATENATE(SP_ACQ_Lib[[#This Row],[Acquisition Tract No.]],"_",SP_ACQ_Lib[[#This Row],[ACQ Document Type]])</f>
        <v>310_CONTACT Initial Interview - Residential</v>
      </c>
      <c r="B513" s="14" t="s">
        <v>1555</v>
      </c>
      <c r="C513" s="193" t="s">
        <v>53</v>
      </c>
      <c r="D513" s="12" t="s">
        <v>653</v>
      </c>
      <c r="E513" s="8" t="s">
        <v>865</v>
      </c>
      <c r="F513" s="8" t="s">
        <v>866</v>
      </c>
      <c r="G513" s="8" t="s">
        <v>618</v>
      </c>
      <c r="H513" s="7" t="s">
        <v>592</v>
      </c>
      <c r="I513" s="16">
        <v>43685</v>
      </c>
      <c r="J513" s="16"/>
      <c r="K513" s="17"/>
      <c r="L513" s="3" t="s">
        <v>652</v>
      </c>
      <c r="M513" s="8" t="s">
        <v>4206</v>
      </c>
      <c r="N513" s="11">
        <v>43894.455555555556</v>
      </c>
      <c r="O513" s="8" t="s">
        <v>4325</v>
      </c>
      <c r="P513" s="11">
        <v>43696.419803240744</v>
      </c>
      <c r="Q513" s="13">
        <v>1975786</v>
      </c>
      <c r="R513" s="194" t="s">
        <v>594</v>
      </c>
      <c r="S513" s="14" t="s">
        <v>804</v>
      </c>
      <c r="T513" s="163">
        <v>111</v>
      </c>
      <c r="U513" s="164" t="str">
        <f>CONCATENATE(LEFT(SP_ACQ_Lib[[#This Row],[Tax Parcel ID]],7),"_",SP_ACQ_Lib[[#This Row],[ACQ Document Type]])</f>
        <v>R013048_CONTACT Initial Interview - Residential</v>
      </c>
      <c r="V513" s="65" t="str">
        <f>INDEX(SP_AcqTract_DB[WCAD Tax Parcel ID],MATCH(SP_ACQ_Lib[[#This Row],[Acquisition Tract No.]],SP_AcqTract_DB[Acquisition Tract No.],0))</f>
        <v>R013048;#50</v>
      </c>
      <c r="W513" s="48" t="str">
        <f>INDEX(SP_TaxPar_DB[Acquisition Tract No.],MATCH(LEFT(SP_ACQ_Lib[[#This Row],[Tax Parcel ID]],7),SP_TaxPar_DB[Tax Parcel ID],0))</f>
        <v>310</v>
      </c>
      <c r="X513" s="238" t="str">
        <f>IF(OR(SP_ACQ_Lib[[#This Row],[Acquisition Tract No.]]="",SP_ACQ_Lib[[#This Row],[ACQ Document Type]]=""),0,CONCATENATE("COW-FRMP_TR-",SP_ACQ_Lib[[#This Row],[Acquisition Tract No.]]," ",SP_ACQ_Lib[[#This Row],[ACQ Document Type]]))</f>
        <v>COW-FRMP_TR-310 CONTACT Initial Interview - Residential</v>
      </c>
      <c r="Y513" s="239">
        <f>IF(OR(SP_ACQ_Lib[[#This Row],[File Name Convention]]=0,LEFT(SP_ACQ_Lib[[#This Row],[Name]],LEN(SP_ACQ_Lib[[#This Row],[File Name Convention]]))&lt;&gt;SP_ACQ_Lib[[#This Row],[File Name Convention]],ISERROR(SEARCH(SP_ACQ_Lib[[#This Row],[ACQ Document Type]],SP_ACQ_Lib[[#This Row],[Name]]))),1,0)</f>
        <v>0</v>
      </c>
    </row>
    <row r="514" spans="1:25" ht="15" x14ac:dyDescent="0.2">
      <c r="A514" s="157" t="str">
        <f>CONCATENATE(SP_ACQ_Lib[[#This Row],[Acquisition Tract No.]],"_",SP_ACQ_Lib[[#This Row],[ACQ Document Type]])</f>
        <v>310_CONTACT Letter of Intent-HDR</v>
      </c>
      <c r="B514" s="14" t="s">
        <v>4477</v>
      </c>
      <c r="C514" s="193" t="s">
        <v>53</v>
      </c>
      <c r="D514" s="12" t="s">
        <v>653</v>
      </c>
      <c r="E514" s="8" t="s">
        <v>865</v>
      </c>
      <c r="F514" s="8" t="s">
        <v>1401</v>
      </c>
      <c r="G514" s="8" t="s">
        <v>1400</v>
      </c>
      <c r="H514" s="7" t="s">
        <v>592</v>
      </c>
      <c r="I514" s="16">
        <v>43765</v>
      </c>
      <c r="J514" s="16"/>
      <c r="K514" s="17"/>
      <c r="L514" s="3" t="s">
        <v>4450</v>
      </c>
      <c r="M514" s="8" t="s">
        <v>4206</v>
      </c>
      <c r="N514" s="11">
        <v>43894.478460648148</v>
      </c>
      <c r="O514" s="8" t="s">
        <v>4206</v>
      </c>
      <c r="P514" s="11">
        <v>43894.477303240739</v>
      </c>
      <c r="Q514" s="13">
        <v>2486580</v>
      </c>
      <c r="R514" s="194" t="s">
        <v>594</v>
      </c>
      <c r="S514" s="14" t="s">
        <v>4508</v>
      </c>
      <c r="T514" s="163">
        <v>780</v>
      </c>
      <c r="U514" s="164" t="str">
        <f>CONCATENATE(LEFT(SP_ACQ_Lib[[#This Row],[Tax Parcel ID]],7),"_",SP_ACQ_Lib[[#This Row],[ACQ Document Type]])</f>
        <v>R013048_CONTACT Letter of Intent-HDR</v>
      </c>
      <c r="V514" s="65" t="str">
        <f>INDEX(SP_AcqTract_DB[WCAD Tax Parcel ID],MATCH(SP_ACQ_Lib[[#This Row],[Acquisition Tract No.]],SP_AcqTract_DB[Acquisition Tract No.],0))</f>
        <v>R013048;#50</v>
      </c>
      <c r="W514" s="48" t="str">
        <f>INDEX(SP_TaxPar_DB[Acquisition Tract No.],MATCH(LEFT(SP_ACQ_Lib[[#This Row],[Tax Parcel ID]],7),SP_TaxPar_DB[Tax Parcel ID],0))</f>
        <v>310</v>
      </c>
      <c r="X514" s="238" t="str">
        <f>IF(OR(SP_ACQ_Lib[[#This Row],[Acquisition Tract No.]]="",SP_ACQ_Lib[[#This Row],[ACQ Document Type]]=""),0,CONCATENATE("COW-FRMP_TR-",SP_ACQ_Lib[[#This Row],[Acquisition Tract No.]]," ",SP_ACQ_Lib[[#This Row],[ACQ Document Type]]))</f>
        <v>COW-FRMP_TR-310 CONTACT Letter of Intent-HDR</v>
      </c>
      <c r="Y514" s="239">
        <f>IF(OR(SP_ACQ_Lib[[#This Row],[File Name Convention]]=0,LEFT(SP_ACQ_Lib[[#This Row],[Name]],LEN(SP_ACQ_Lib[[#This Row],[File Name Convention]]))&lt;&gt;SP_ACQ_Lib[[#This Row],[File Name Convention]],ISERROR(SEARCH(SP_ACQ_Lib[[#This Row],[ACQ Document Type]],SP_ACQ_Lib[[#This Row],[Name]]))),1,0)</f>
        <v>0</v>
      </c>
    </row>
    <row r="515" spans="1:25" ht="15" x14ac:dyDescent="0.2">
      <c r="A515" s="157" t="str">
        <f>CONCATENATE(SP_ACQ_Lib[[#This Row],[Acquisition Tract No.]],"_",SP_ACQ_Lib[[#This Row],[ACQ Document Type]])</f>
        <v>310_CONTACT Negotiator Report</v>
      </c>
      <c r="B515" s="14" t="s">
        <v>3406</v>
      </c>
      <c r="C515" s="193" t="s">
        <v>53</v>
      </c>
      <c r="D515" s="12" t="s">
        <v>653</v>
      </c>
      <c r="E515" s="8" t="s">
        <v>865</v>
      </c>
      <c r="F515" s="8" t="s">
        <v>1068</v>
      </c>
      <c r="G515" s="8" t="s">
        <v>1067</v>
      </c>
      <c r="H515" s="7" t="s">
        <v>592</v>
      </c>
      <c r="I515" s="16"/>
      <c r="J515" s="16"/>
      <c r="K515" s="17"/>
      <c r="L515" s="3"/>
      <c r="M515" s="8" t="s">
        <v>1743</v>
      </c>
      <c r="N515" s="11">
        <v>43998.656990740739</v>
      </c>
      <c r="O515" s="8" t="s">
        <v>4207</v>
      </c>
      <c r="P515" s="11">
        <v>43738.430358796293</v>
      </c>
      <c r="Q515" s="13">
        <v>57144</v>
      </c>
      <c r="R515" s="194" t="s">
        <v>1069</v>
      </c>
      <c r="S515" s="14" t="s">
        <v>1107</v>
      </c>
      <c r="T515" s="163">
        <v>370</v>
      </c>
      <c r="U515" s="164" t="str">
        <f>CONCATENATE(LEFT(SP_ACQ_Lib[[#This Row],[Tax Parcel ID]],7),"_",SP_ACQ_Lib[[#This Row],[ACQ Document Type]])</f>
        <v>R013048_CONTACT Negotiator Report</v>
      </c>
      <c r="V515" s="65" t="str">
        <f>INDEX(SP_AcqTract_DB[WCAD Tax Parcel ID],MATCH(SP_ACQ_Lib[[#This Row],[Acquisition Tract No.]],SP_AcqTract_DB[Acquisition Tract No.],0))</f>
        <v>R013048;#50</v>
      </c>
      <c r="W515" s="48" t="str">
        <f>INDEX(SP_TaxPar_DB[Acquisition Tract No.],MATCH(LEFT(SP_ACQ_Lib[[#This Row],[Tax Parcel ID]],7),SP_TaxPar_DB[Tax Parcel ID],0))</f>
        <v>310</v>
      </c>
      <c r="X515" s="238" t="str">
        <f>IF(OR(SP_ACQ_Lib[[#This Row],[Acquisition Tract No.]]="",SP_ACQ_Lib[[#This Row],[ACQ Document Type]]=""),0,CONCATENATE("COW-FRMP_TR-",SP_ACQ_Lib[[#This Row],[Acquisition Tract No.]]," ",SP_ACQ_Lib[[#This Row],[ACQ Document Type]]))</f>
        <v>COW-FRMP_TR-310 CONTACT Negotiator Report</v>
      </c>
      <c r="Y515" s="239">
        <f>IF(OR(SP_ACQ_Lib[[#This Row],[File Name Convention]]=0,LEFT(SP_ACQ_Lib[[#This Row],[Name]],LEN(SP_ACQ_Lib[[#This Row],[File Name Convention]]))&lt;&gt;SP_ACQ_Lib[[#This Row],[File Name Convention]],ISERROR(SEARCH(SP_ACQ_Lib[[#This Row],[ACQ Document Type]],SP_ACQ_Lib[[#This Row],[Name]]))),1,0)</f>
        <v>0</v>
      </c>
    </row>
    <row r="516" spans="1:25" ht="15" x14ac:dyDescent="0.2">
      <c r="A516" s="157" t="str">
        <f>CONCATENATE(SP_ACQ_Lib[[#This Row],[Acquisition Tract No.]],"_",SP_ACQ_Lib[[#This Row],[ACQ Document Type]])</f>
        <v>310_NEGOTIATION Landowner Bill of Rights Letter</v>
      </c>
      <c r="B516" s="14" t="s">
        <v>3475</v>
      </c>
      <c r="C516" s="193" t="s">
        <v>53</v>
      </c>
      <c r="D516" s="12" t="s">
        <v>653</v>
      </c>
      <c r="E516" s="8" t="s">
        <v>1142</v>
      </c>
      <c r="F516" s="8" t="s">
        <v>1746</v>
      </c>
      <c r="G516" s="8" t="s">
        <v>1745</v>
      </c>
      <c r="H516" s="7" t="s">
        <v>592</v>
      </c>
      <c r="I516" s="16">
        <v>43748</v>
      </c>
      <c r="J516" s="16">
        <v>43776</v>
      </c>
      <c r="K516" s="17"/>
      <c r="L516" s="3" t="s">
        <v>4451</v>
      </c>
      <c r="M516" s="8" t="s">
        <v>4206</v>
      </c>
      <c r="N516" s="11">
        <v>43894.473229166666</v>
      </c>
      <c r="O516" s="8" t="s">
        <v>4325</v>
      </c>
      <c r="P516" s="11">
        <v>43752.523287037038</v>
      </c>
      <c r="Q516" s="13">
        <v>724004</v>
      </c>
      <c r="R516" s="194" t="s">
        <v>594</v>
      </c>
      <c r="S516" s="14" t="s">
        <v>1234</v>
      </c>
      <c r="T516" s="163">
        <v>449</v>
      </c>
      <c r="U516" s="164" t="str">
        <f>CONCATENATE(LEFT(SP_ACQ_Lib[[#This Row],[Tax Parcel ID]],7),"_",SP_ACQ_Lib[[#This Row],[ACQ Document Type]])</f>
        <v>R013048_NEGOTIATION Landowner Bill of Rights Letter</v>
      </c>
      <c r="V516" s="65" t="str">
        <f>INDEX(SP_AcqTract_DB[WCAD Tax Parcel ID],MATCH(SP_ACQ_Lib[[#This Row],[Acquisition Tract No.]],SP_AcqTract_DB[Acquisition Tract No.],0))</f>
        <v>R013048;#50</v>
      </c>
      <c r="W516" s="48" t="str">
        <f>INDEX(SP_TaxPar_DB[Acquisition Tract No.],MATCH(LEFT(SP_ACQ_Lib[[#This Row],[Tax Parcel ID]],7),SP_TaxPar_DB[Tax Parcel ID],0))</f>
        <v>310</v>
      </c>
      <c r="X516" s="238" t="str">
        <f>IF(OR(SP_ACQ_Lib[[#This Row],[Acquisition Tract No.]]="",SP_ACQ_Lib[[#This Row],[ACQ Document Type]]=""),0,CONCATENATE("COW-FRMP_TR-",SP_ACQ_Lib[[#This Row],[Acquisition Tract No.]]," ",SP_ACQ_Lib[[#This Row],[ACQ Document Type]]))</f>
        <v>COW-FRMP_TR-310 NEGOTIATION Landowner Bill of Rights Letter</v>
      </c>
      <c r="Y516" s="239">
        <f>IF(OR(SP_ACQ_Lib[[#This Row],[File Name Convention]]=0,LEFT(SP_ACQ_Lib[[#This Row],[Name]],LEN(SP_ACQ_Lib[[#This Row],[File Name Convention]]))&lt;&gt;SP_ACQ_Lib[[#This Row],[File Name Convention]],ISERROR(SEARCH(SP_ACQ_Lib[[#This Row],[ACQ Document Type]],SP_ACQ_Lib[[#This Row],[Name]]))),1,0)</f>
        <v>0</v>
      </c>
    </row>
    <row r="517" spans="1:25" ht="15" x14ac:dyDescent="0.2">
      <c r="A517" s="157" t="str">
        <f>CONCATENATE(SP_ACQ_Lib[[#This Row],[Acquisition Tract No.]],"_",SP_ACQ_Lib[[#This Row],[ACQ Document Type]])</f>
        <v>310_SURVEY Description-Plat_CITY</v>
      </c>
      <c r="B517" s="14" t="s">
        <v>3530</v>
      </c>
      <c r="C517" s="193" t="s">
        <v>53</v>
      </c>
      <c r="D517" s="12" t="s">
        <v>653</v>
      </c>
      <c r="E517" s="8" t="s">
        <v>858</v>
      </c>
      <c r="F517" s="8" t="s">
        <v>3503</v>
      </c>
      <c r="G517" s="8" t="s">
        <v>3502</v>
      </c>
      <c r="H517" s="7" t="s">
        <v>1749</v>
      </c>
      <c r="I517" s="16">
        <v>43868</v>
      </c>
      <c r="J517" s="16">
        <v>43886</v>
      </c>
      <c r="K517" s="17"/>
      <c r="L517" s="3"/>
      <c r="M517" s="8" t="s">
        <v>4206</v>
      </c>
      <c r="N517" s="11">
        <v>43965.377881944441</v>
      </c>
      <c r="O517" s="8" t="s">
        <v>4206</v>
      </c>
      <c r="P517" s="11">
        <v>43886.641909722224</v>
      </c>
      <c r="Q517" s="13">
        <v>244190</v>
      </c>
      <c r="R517" s="194" t="s">
        <v>594</v>
      </c>
      <c r="S517" s="14" t="s">
        <v>3553</v>
      </c>
      <c r="T517" s="163">
        <v>734</v>
      </c>
      <c r="U517" s="164" t="str">
        <f>CONCATENATE(LEFT(SP_ACQ_Lib[[#This Row],[Tax Parcel ID]],7),"_",SP_ACQ_Lib[[#This Row],[ACQ Document Type]])</f>
        <v>R013048_SURVEY Description-Plat_CITY</v>
      </c>
      <c r="V517" s="65" t="str">
        <f>INDEX(SP_AcqTract_DB[WCAD Tax Parcel ID],MATCH(SP_ACQ_Lib[[#This Row],[Acquisition Tract No.]],SP_AcqTract_DB[Acquisition Tract No.],0))</f>
        <v>R013048;#50</v>
      </c>
      <c r="W517" s="48" t="str">
        <f>INDEX(SP_TaxPar_DB[Acquisition Tract No.],MATCH(LEFT(SP_ACQ_Lib[[#This Row],[Tax Parcel ID]],7),SP_TaxPar_DB[Tax Parcel ID],0))</f>
        <v>310</v>
      </c>
      <c r="X517" s="238" t="str">
        <f>IF(OR(SP_ACQ_Lib[[#This Row],[Acquisition Tract No.]]="",SP_ACQ_Lib[[#This Row],[ACQ Document Type]]=""),0,CONCATENATE("COW-FRMP_TR-",SP_ACQ_Lib[[#This Row],[Acquisition Tract No.]]," ",SP_ACQ_Lib[[#This Row],[ACQ Document Type]]))</f>
        <v>COW-FRMP_TR-310 SURVEY Description-Plat_CITY</v>
      </c>
      <c r="Y517" s="239">
        <f>IF(OR(SP_ACQ_Lib[[#This Row],[File Name Convention]]=0,LEFT(SP_ACQ_Lib[[#This Row],[Name]],LEN(SP_ACQ_Lib[[#This Row],[File Name Convention]]))&lt;&gt;SP_ACQ_Lib[[#This Row],[File Name Convention]],ISERROR(SEARCH(SP_ACQ_Lib[[#This Row],[ACQ Document Type]],SP_ACQ_Lib[[#This Row],[Name]]))),1,0)</f>
        <v>0</v>
      </c>
    </row>
    <row r="518" spans="1:25" ht="15" x14ac:dyDescent="0.2">
      <c r="A518" s="157" t="str">
        <f>CONCATENATE(SP_ACQ_Lib[[#This Row],[Acquisition Tract No.]],"_",SP_ACQ_Lib[[#This Row],[ACQ Document Type]])</f>
        <v>310_SURVEY Description-Plat_USACOE</v>
      </c>
      <c r="B518" s="14" t="s">
        <v>5126</v>
      </c>
      <c r="C518" s="193" t="s">
        <v>53</v>
      </c>
      <c r="D518" s="12" t="s">
        <v>653</v>
      </c>
      <c r="E518" s="8" t="s">
        <v>858</v>
      </c>
      <c r="F518" s="8" t="s">
        <v>3510</v>
      </c>
      <c r="G518" s="8" t="s">
        <v>3509</v>
      </c>
      <c r="H518" s="7" t="s">
        <v>592</v>
      </c>
      <c r="I518" s="16">
        <v>43812</v>
      </c>
      <c r="J518" s="16">
        <v>43965</v>
      </c>
      <c r="K518" s="17"/>
      <c r="L518" s="3"/>
      <c r="M518" s="8" t="s">
        <v>4206</v>
      </c>
      <c r="N518" s="11">
        <v>43965.379745370374</v>
      </c>
      <c r="O518" s="8" t="s">
        <v>4206</v>
      </c>
      <c r="P518" s="11">
        <v>43965.37903935185</v>
      </c>
      <c r="Q518" s="13">
        <v>245064</v>
      </c>
      <c r="R518" s="194" t="s">
        <v>594</v>
      </c>
      <c r="S518" s="14" t="s">
        <v>5127</v>
      </c>
      <c r="T518" s="163">
        <v>877</v>
      </c>
      <c r="U518" s="164" t="str">
        <f>CONCATENATE(LEFT(SP_ACQ_Lib[[#This Row],[Tax Parcel ID]],7),"_",SP_ACQ_Lib[[#This Row],[ACQ Document Type]])</f>
        <v>R013048_SURVEY Description-Plat_USACOE</v>
      </c>
      <c r="V518" s="65" t="str">
        <f>INDEX(SP_AcqTract_DB[WCAD Tax Parcel ID],MATCH(SP_ACQ_Lib[[#This Row],[Acquisition Tract No.]],SP_AcqTract_DB[Acquisition Tract No.],0))</f>
        <v>R013048;#50</v>
      </c>
      <c r="W518" s="48" t="str">
        <f>INDEX(SP_TaxPar_DB[Acquisition Tract No.],MATCH(LEFT(SP_ACQ_Lib[[#This Row],[Tax Parcel ID]],7),SP_TaxPar_DB[Tax Parcel ID],0))</f>
        <v>310</v>
      </c>
      <c r="X518" s="238" t="str">
        <f>IF(OR(SP_ACQ_Lib[[#This Row],[Acquisition Tract No.]]="",SP_ACQ_Lib[[#This Row],[ACQ Document Type]]=""),0,CONCATENATE("COW-FRMP_TR-",SP_ACQ_Lib[[#This Row],[Acquisition Tract No.]]," ",SP_ACQ_Lib[[#This Row],[ACQ Document Type]]))</f>
        <v>COW-FRMP_TR-310 SURVEY Description-Plat_USACOE</v>
      </c>
      <c r="Y518" s="239">
        <f>IF(OR(SP_ACQ_Lib[[#This Row],[File Name Convention]]=0,LEFT(SP_ACQ_Lib[[#This Row],[Name]],LEN(SP_ACQ_Lib[[#This Row],[File Name Convention]]))&lt;&gt;SP_ACQ_Lib[[#This Row],[File Name Convention]],ISERROR(SEARCH(SP_ACQ_Lib[[#This Row],[ACQ Document Type]],SP_ACQ_Lib[[#This Row],[Name]]))),1,0)</f>
        <v>0</v>
      </c>
    </row>
    <row r="519" spans="1:25" ht="15" x14ac:dyDescent="0.2">
      <c r="A519" s="157" t="str">
        <f>CONCATENATE(SP_ACQ_Lib[[#This Row],[Acquisition Tract No.]],"_",SP_ACQ_Lib[[#This Row],[ACQ Document Type]])</f>
        <v>310_SURVEY Right-of-Entry</v>
      </c>
      <c r="B519" s="14" t="s">
        <v>4478</v>
      </c>
      <c r="C519" s="193" t="s">
        <v>53</v>
      </c>
      <c r="D519" s="12" t="s">
        <v>653</v>
      </c>
      <c r="E519" s="8" t="s">
        <v>858</v>
      </c>
      <c r="F519" s="8" t="s">
        <v>859</v>
      </c>
      <c r="G519" s="8" t="s">
        <v>591</v>
      </c>
      <c r="H519" s="7" t="s">
        <v>592</v>
      </c>
      <c r="I519" s="16">
        <v>43685</v>
      </c>
      <c r="J519" s="16"/>
      <c r="K519" s="17"/>
      <c r="L519" s="3"/>
      <c r="M519" s="8" t="s">
        <v>4206</v>
      </c>
      <c r="N519" s="11">
        <v>43894.474340277775</v>
      </c>
      <c r="O519" s="8" t="s">
        <v>4207</v>
      </c>
      <c r="P519" s="11">
        <v>43691.651909722219</v>
      </c>
      <c r="Q519" s="13">
        <v>812041</v>
      </c>
      <c r="R519" s="194" t="s">
        <v>594</v>
      </c>
      <c r="S519" s="14" t="s">
        <v>805</v>
      </c>
      <c r="T519" s="163">
        <v>50</v>
      </c>
      <c r="U519" s="164" t="str">
        <f>CONCATENATE(LEFT(SP_ACQ_Lib[[#This Row],[Tax Parcel ID]],7),"_",SP_ACQ_Lib[[#This Row],[ACQ Document Type]])</f>
        <v>R013048_SURVEY Right-of-Entry</v>
      </c>
      <c r="V519" s="65" t="str">
        <f>INDEX(SP_AcqTract_DB[WCAD Tax Parcel ID],MATCH(SP_ACQ_Lib[[#This Row],[Acquisition Tract No.]],SP_AcqTract_DB[Acquisition Tract No.],0))</f>
        <v>R013048;#50</v>
      </c>
      <c r="W519" s="48" t="str">
        <f>INDEX(SP_TaxPar_DB[Acquisition Tract No.],MATCH(LEFT(SP_ACQ_Lib[[#This Row],[Tax Parcel ID]],7),SP_TaxPar_DB[Tax Parcel ID],0))</f>
        <v>310</v>
      </c>
      <c r="X519" s="238" t="str">
        <f>IF(OR(SP_ACQ_Lib[[#This Row],[Acquisition Tract No.]]="",SP_ACQ_Lib[[#This Row],[ACQ Document Type]]=""),0,CONCATENATE("COW-FRMP_TR-",SP_ACQ_Lib[[#This Row],[Acquisition Tract No.]]," ",SP_ACQ_Lib[[#This Row],[ACQ Document Type]]))</f>
        <v>COW-FRMP_TR-310 SURVEY Right-of-Entry</v>
      </c>
      <c r="Y519" s="239">
        <f>IF(OR(SP_ACQ_Lib[[#This Row],[File Name Convention]]=0,LEFT(SP_ACQ_Lib[[#This Row],[Name]],LEN(SP_ACQ_Lib[[#This Row],[File Name Convention]]))&lt;&gt;SP_ACQ_Lib[[#This Row],[File Name Convention]],ISERROR(SEARCH(SP_ACQ_Lib[[#This Row],[ACQ Document Type]],SP_ACQ_Lib[[#This Row],[Name]]))),1,0)</f>
        <v>0</v>
      </c>
    </row>
    <row r="520" spans="1:25" ht="15" x14ac:dyDescent="0.2">
      <c r="A520" s="157" t="str">
        <f>CONCATENATE(SP_ACQ_Lib[[#This Row],[Acquisition Tract No.]],"_",SP_ACQ_Lib[[#This Row],[ACQ Document Type]])</f>
        <v>310_TITLE Commitment</v>
      </c>
      <c r="B520" s="14" t="s">
        <v>1556</v>
      </c>
      <c r="C520" s="193" t="s">
        <v>53</v>
      </c>
      <c r="D520" s="12" t="s">
        <v>653</v>
      </c>
      <c r="E520" s="8" t="s">
        <v>861</v>
      </c>
      <c r="F520" s="8" t="s">
        <v>862</v>
      </c>
      <c r="G520" s="8" t="s">
        <v>614</v>
      </c>
      <c r="H520" s="7" t="s">
        <v>592</v>
      </c>
      <c r="I520" s="16">
        <v>43889</v>
      </c>
      <c r="J520" s="16">
        <v>43902</v>
      </c>
      <c r="K520" s="17"/>
      <c r="L520" s="3" t="s">
        <v>4452</v>
      </c>
      <c r="M520" s="8" t="s">
        <v>4325</v>
      </c>
      <c r="N520" s="11">
        <v>43903.441400462965</v>
      </c>
      <c r="O520" s="8" t="s">
        <v>4326</v>
      </c>
      <c r="P520" s="11">
        <v>43705.567916666667</v>
      </c>
      <c r="Q520" s="13">
        <v>455770</v>
      </c>
      <c r="R520" s="194" t="s">
        <v>594</v>
      </c>
      <c r="S520" s="14" t="s">
        <v>806</v>
      </c>
      <c r="T520" s="163">
        <v>179</v>
      </c>
      <c r="U520" s="164" t="str">
        <f>CONCATENATE(LEFT(SP_ACQ_Lib[[#This Row],[Tax Parcel ID]],7),"_",SP_ACQ_Lib[[#This Row],[ACQ Document Type]])</f>
        <v>R013048_TITLE Commitment</v>
      </c>
      <c r="V520" s="65" t="str">
        <f>INDEX(SP_AcqTract_DB[WCAD Tax Parcel ID],MATCH(SP_ACQ_Lib[[#This Row],[Acquisition Tract No.]],SP_AcqTract_DB[Acquisition Tract No.],0))</f>
        <v>R013048;#50</v>
      </c>
      <c r="W520" s="48" t="str">
        <f>INDEX(SP_TaxPar_DB[Acquisition Tract No.],MATCH(LEFT(SP_ACQ_Lib[[#This Row],[Tax Parcel ID]],7),SP_TaxPar_DB[Tax Parcel ID],0))</f>
        <v>310</v>
      </c>
      <c r="X520" s="238" t="str">
        <f>IF(OR(SP_ACQ_Lib[[#This Row],[Acquisition Tract No.]]="",SP_ACQ_Lib[[#This Row],[ACQ Document Type]]=""),0,CONCATENATE("COW-FRMP_TR-",SP_ACQ_Lib[[#This Row],[Acquisition Tract No.]]," ",SP_ACQ_Lib[[#This Row],[ACQ Document Type]]))</f>
        <v>COW-FRMP_TR-310 TITLE Commitment</v>
      </c>
      <c r="Y520" s="239">
        <f>IF(OR(SP_ACQ_Lib[[#This Row],[File Name Convention]]=0,LEFT(SP_ACQ_Lib[[#This Row],[Name]],LEN(SP_ACQ_Lib[[#This Row],[File Name Convention]]))&lt;&gt;SP_ACQ_Lib[[#This Row],[File Name Convention]],ISERROR(SEARCH(SP_ACQ_Lib[[#This Row],[ACQ Document Type]],SP_ACQ_Lib[[#This Row],[Name]]))),1,0)</f>
        <v>0</v>
      </c>
    </row>
    <row r="521" spans="1:25" ht="15" x14ac:dyDescent="0.2">
      <c r="A521" s="157" t="str">
        <f>CONCATENATE(SP_ACQ_Lib[[#This Row],[Acquisition Tract No.]],"_",SP_ACQ_Lib[[#This Row],[ACQ Document Type]])</f>
        <v>310_TITLE Commitment Backup Docs</v>
      </c>
      <c r="B521" s="14" t="s">
        <v>1557</v>
      </c>
      <c r="C521" s="193" t="s">
        <v>53</v>
      </c>
      <c r="D521" s="12" t="s">
        <v>653</v>
      </c>
      <c r="E521" s="8" t="s">
        <v>861</v>
      </c>
      <c r="F521" s="8" t="s">
        <v>863</v>
      </c>
      <c r="G521" s="8" t="s">
        <v>616</v>
      </c>
      <c r="H521" s="7" t="s">
        <v>592</v>
      </c>
      <c r="I521" s="16"/>
      <c r="J521" s="16"/>
      <c r="K521" s="17"/>
      <c r="L521" s="3"/>
      <c r="M521" s="8" t="s">
        <v>4325</v>
      </c>
      <c r="N521" s="11">
        <v>43805.453321759262</v>
      </c>
      <c r="O521" s="8" t="s">
        <v>4326</v>
      </c>
      <c r="P521" s="11">
        <v>43705.568368055552</v>
      </c>
      <c r="Q521" s="13">
        <v>247000</v>
      </c>
      <c r="R521" s="194" t="s">
        <v>594</v>
      </c>
      <c r="S521" s="14" t="s">
        <v>807</v>
      </c>
      <c r="T521" s="163">
        <v>180</v>
      </c>
      <c r="U521" s="164" t="str">
        <f>CONCATENATE(LEFT(SP_ACQ_Lib[[#This Row],[Tax Parcel ID]],7),"_",SP_ACQ_Lib[[#This Row],[ACQ Document Type]])</f>
        <v>R013048_TITLE Commitment Backup Docs</v>
      </c>
      <c r="V521" s="65" t="str">
        <f>INDEX(SP_AcqTract_DB[WCAD Tax Parcel ID],MATCH(SP_ACQ_Lib[[#This Row],[Acquisition Tract No.]],SP_AcqTract_DB[Acquisition Tract No.],0))</f>
        <v>R013048;#50</v>
      </c>
      <c r="W521" s="48" t="str">
        <f>INDEX(SP_TaxPar_DB[Acquisition Tract No.],MATCH(LEFT(SP_ACQ_Lib[[#This Row],[Tax Parcel ID]],7),SP_TaxPar_DB[Tax Parcel ID],0))</f>
        <v>310</v>
      </c>
      <c r="X521" s="238" t="str">
        <f>IF(OR(SP_ACQ_Lib[[#This Row],[Acquisition Tract No.]]="",SP_ACQ_Lib[[#This Row],[ACQ Document Type]]=""),0,CONCATENATE("COW-FRMP_TR-",SP_ACQ_Lib[[#This Row],[Acquisition Tract No.]]," ",SP_ACQ_Lib[[#This Row],[ACQ Document Type]]))</f>
        <v>COW-FRMP_TR-310 TITLE Commitment Backup Docs</v>
      </c>
      <c r="Y521" s="239">
        <f>IF(OR(SP_ACQ_Lib[[#This Row],[File Name Convention]]=0,LEFT(SP_ACQ_Lib[[#This Row],[Name]],LEN(SP_ACQ_Lib[[#This Row],[File Name Convention]]))&lt;&gt;SP_ACQ_Lib[[#This Row],[File Name Convention]],ISERROR(SEARCH(SP_ACQ_Lib[[#This Row],[ACQ Document Type]],SP_ACQ_Lib[[#This Row],[Name]]))),1,0)</f>
        <v>0</v>
      </c>
    </row>
    <row r="522" spans="1:25" ht="15" x14ac:dyDescent="0.2">
      <c r="A522" s="157" t="str">
        <f>CONCATENATE(SP_ACQ_Lib[[#This Row],[Acquisition Tract No.]],"_",SP_ACQ_Lib[[#This Row],[ACQ Document Type]])</f>
        <v>310_TITLE Curative Plan</v>
      </c>
      <c r="B522" s="14" t="s">
        <v>1558</v>
      </c>
      <c r="C522" s="193" t="s">
        <v>53</v>
      </c>
      <c r="D522" s="12" t="s">
        <v>653</v>
      </c>
      <c r="E522" s="8" t="s">
        <v>861</v>
      </c>
      <c r="F522" s="8" t="s">
        <v>864</v>
      </c>
      <c r="G522" s="8" t="s">
        <v>617</v>
      </c>
      <c r="H522" s="7" t="s">
        <v>592</v>
      </c>
      <c r="I522" s="16">
        <v>43805</v>
      </c>
      <c r="J522" s="16"/>
      <c r="K522" s="17"/>
      <c r="L522" s="3"/>
      <c r="M522" s="8" t="s">
        <v>4325</v>
      </c>
      <c r="N522" s="11">
        <v>43903.44017361111</v>
      </c>
      <c r="O522" s="8" t="s">
        <v>4326</v>
      </c>
      <c r="P522" s="11">
        <v>43717.576377314814</v>
      </c>
      <c r="Q522" s="13">
        <v>35072</v>
      </c>
      <c r="R522" s="194" t="s">
        <v>594</v>
      </c>
      <c r="S522" s="14" t="s">
        <v>808</v>
      </c>
      <c r="T522" s="163">
        <v>222</v>
      </c>
      <c r="U522" s="164" t="str">
        <f>CONCATENATE(LEFT(SP_ACQ_Lib[[#This Row],[Tax Parcel ID]],7),"_",SP_ACQ_Lib[[#This Row],[ACQ Document Type]])</f>
        <v>R013048_TITLE Curative Plan</v>
      </c>
      <c r="V522" s="65" t="str">
        <f>INDEX(SP_AcqTract_DB[WCAD Tax Parcel ID],MATCH(SP_ACQ_Lib[[#This Row],[Acquisition Tract No.]],SP_AcqTract_DB[Acquisition Tract No.],0))</f>
        <v>R013048;#50</v>
      </c>
      <c r="W522" s="48" t="str">
        <f>INDEX(SP_TaxPar_DB[Acquisition Tract No.],MATCH(LEFT(SP_ACQ_Lib[[#This Row],[Tax Parcel ID]],7),SP_TaxPar_DB[Tax Parcel ID],0))</f>
        <v>310</v>
      </c>
      <c r="X522" s="238" t="str">
        <f>IF(OR(SP_ACQ_Lib[[#This Row],[Acquisition Tract No.]]="",SP_ACQ_Lib[[#This Row],[ACQ Document Type]]=""),0,CONCATENATE("COW-FRMP_TR-",SP_ACQ_Lib[[#This Row],[Acquisition Tract No.]]," ",SP_ACQ_Lib[[#This Row],[ACQ Document Type]]))</f>
        <v>COW-FRMP_TR-310 TITLE Curative Plan</v>
      </c>
      <c r="Y522" s="239">
        <f>IF(OR(SP_ACQ_Lib[[#This Row],[File Name Convention]]=0,LEFT(SP_ACQ_Lib[[#This Row],[Name]],LEN(SP_ACQ_Lib[[#This Row],[File Name Convention]]))&lt;&gt;SP_ACQ_Lib[[#This Row],[File Name Convention]],ISERROR(SEARCH(SP_ACQ_Lib[[#This Row],[ACQ Document Type]],SP_ACQ_Lib[[#This Row],[Name]]))),1,0)</f>
        <v>0</v>
      </c>
    </row>
    <row r="523" spans="1:25" ht="15" x14ac:dyDescent="0.2">
      <c r="A523" s="157" t="str">
        <f>CONCATENATE(SP_ACQ_Lib[[#This Row],[Acquisition Tract No.]],"_",SP_ACQ_Lib[[#This Row],[ACQ Document Type]])</f>
        <v>310_TITLE Tax Card</v>
      </c>
      <c r="B523" s="14" t="s">
        <v>3476</v>
      </c>
      <c r="C523" s="193" t="s">
        <v>53</v>
      </c>
      <c r="D523" s="12" t="s">
        <v>653</v>
      </c>
      <c r="E523" s="8" t="s">
        <v>861</v>
      </c>
      <c r="F523" s="8" t="s">
        <v>1150</v>
      </c>
      <c r="G523" s="8" t="s">
        <v>1149</v>
      </c>
      <c r="H523" s="7" t="s">
        <v>592</v>
      </c>
      <c r="I523" s="16"/>
      <c r="J523" s="16"/>
      <c r="K523" s="17"/>
      <c r="L523" s="3"/>
      <c r="M523" s="8" t="s">
        <v>4206</v>
      </c>
      <c r="N523" s="11">
        <v>43874.594328703701</v>
      </c>
      <c r="O523" s="8" t="s">
        <v>1272</v>
      </c>
      <c r="P523" s="11">
        <v>43817.479930555557</v>
      </c>
      <c r="Q523" s="13">
        <v>571371</v>
      </c>
      <c r="R523" s="194" t="s">
        <v>594</v>
      </c>
      <c r="S523" s="14" t="s">
        <v>1794</v>
      </c>
      <c r="T523" s="163">
        <v>652</v>
      </c>
      <c r="U523" s="164" t="str">
        <f>CONCATENATE(LEFT(SP_ACQ_Lib[[#This Row],[Tax Parcel ID]],7),"_",SP_ACQ_Lib[[#This Row],[ACQ Document Type]])</f>
        <v>R013048_TITLE Tax Card</v>
      </c>
      <c r="V523" s="65" t="str">
        <f>INDEX(SP_AcqTract_DB[WCAD Tax Parcel ID],MATCH(SP_ACQ_Lib[[#This Row],[Acquisition Tract No.]],SP_AcqTract_DB[Acquisition Tract No.],0))</f>
        <v>R013048;#50</v>
      </c>
      <c r="W523" s="48" t="str">
        <f>INDEX(SP_TaxPar_DB[Acquisition Tract No.],MATCH(LEFT(SP_ACQ_Lib[[#This Row],[Tax Parcel ID]],7),SP_TaxPar_DB[Tax Parcel ID],0))</f>
        <v>310</v>
      </c>
      <c r="X523" s="238" t="str">
        <f>IF(OR(SP_ACQ_Lib[[#This Row],[Acquisition Tract No.]]="",SP_ACQ_Lib[[#This Row],[ACQ Document Type]]=""),0,CONCATENATE("COW-FRMP_TR-",SP_ACQ_Lib[[#This Row],[Acquisition Tract No.]]," ",SP_ACQ_Lib[[#This Row],[ACQ Document Type]]))</f>
        <v>COW-FRMP_TR-310 TITLE Tax Card</v>
      </c>
      <c r="Y523" s="239">
        <f>IF(OR(SP_ACQ_Lib[[#This Row],[File Name Convention]]=0,LEFT(SP_ACQ_Lib[[#This Row],[Name]],LEN(SP_ACQ_Lib[[#This Row],[File Name Convention]]))&lt;&gt;SP_ACQ_Lib[[#This Row],[File Name Convention]],ISERROR(SEARCH(SP_ACQ_Lib[[#This Row],[ACQ Document Type]],SP_ACQ_Lib[[#This Row],[Name]]))),1,0)</f>
        <v>0</v>
      </c>
    </row>
    <row r="524" spans="1:25" ht="15" x14ac:dyDescent="0.2">
      <c r="A524" s="157" t="str">
        <f>CONCATENATE(SP_ACQ_Lib[[#This Row],[Acquisition Tract No.]],"_",SP_ACQ_Lib[[#This Row],[ACQ Document Type]])</f>
        <v>311_APPRAISAL Appraisal Review</v>
      </c>
      <c r="B524" s="14" t="s">
        <v>6168</v>
      </c>
      <c r="C524" s="193" t="s">
        <v>54</v>
      </c>
      <c r="D524" s="12" t="s">
        <v>654</v>
      </c>
      <c r="E524" s="8" t="s">
        <v>1131</v>
      </c>
      <c r="F524" s="8" t="s">
        <v>4753</v>
      </c>
      <c r="G524" s="8" t="s">
        <v>4751</v>
      </c>
      <c r="H524" s="7" t="s">
        <v>592</v>
      </c>
      <c r="I524" s="16">
        <v>43992</v>
      </c>
      <c r="J524" s="16"/>
      <c r="K524" s="17">
        <v>155200</v>
      </c>
      <c r="L524" s="3"/>
      <c r="M524" s="8" t="s">
        <v>4206</v>
      </c>
      <c r="N524" s="11">
        <v>43994.58488425926</v>
      </c>
      <c r="O524" s="8" t="s">
        <v>4206</v>
      </c>
      <c r="P524" s="11">
        <v>43994.583553240744</v>
      </c>
      <c r="Q524" s="13">
        <v>520357</v>
      </c>
      <c r="R524" s="194" t="s">
        <v>594</v>
      </c>
      <c r="S524" s="14" t="s">
        <v>6174</v>
      </c>
      <c r="T524" s="163">
        <v>1201</v>
      </c>
      <c r="U524" s="164" t="str">
        <f>CONCATENATE(LEFT(SP_ACQ_Lib[[#This Row],[Tax Parcel ID]],7),"_",SP_ACQ_Lib[[#This Row],[ACQ Document Type]])</f>
        <v>R013043_APPRAISAL Appraisal Review</v>
      </c>
      <c r="V524" s="65" t="str">
        <f>INDEX(SP_AcqTract_DB[WCAD Tax Parcel ID],MATCH(SP_ACQ_Lib[[#This Row],[Acquisition Tract No.]],SP_AcqTract_DB[Acquisition Tract No.],0))</f>
        <v>R013043;#51</v>
      </c>
      <c r="W524" s="48" t="str">
        <f>INDEX(SP_TaxPar_DB[Acquisition Tract No.],MATCH(LEFT(SP_ACQ_Lib[[#This Row],[Tax Parcel ID]],7),SP_TaxPar_DB[Tax Parcel ID],0))</f>
        <v>311</v>
      </c>
      <c r="X524" s="238" t="str">
        <f>IF(OR(SP_ACQ_Lib[[#This Row],[Acquisition Tract No.]]="",SP_ACQ_Lib[[#This Row],[ACQ Document Type]]=""),0,CONCATENATE("COW-FRMP_TR-",SP_ACQ_Lib[[#This Row],[Acquisition Tract No.]]," ",SP_ACQ_Lib[[#This Row],[ACQ Document Type]]))</f>
        <v>COW-FRMP_TR-311 APPRAISAL Appraisal Review</v>
      </c>
      <c r="Y524" s="239">
        <f>IF(OR(SP_ACQ_Lib[[#This Row],[File Name Convention]]=0,LEFT(SP_ACQ_Lib[[#This Row],[Name]],LEN(SP_ACQ_Lib[[#This Row],[File Name Convention]]))&lt;&gt;SP_ACQ_Lib[[#This Row],[File Name Convention]],ISERROR(SEARCH(SP_ACQ_Lib[[#This Row],[ACQ Document Type]],SP_ACQ_Lib[[#This Row],[Name]]))),1,0)</f>
        <v>0</v>
      </c>
    </row>
    <row r="525" spans="1:25" ht="15" x14ac:dyDescent="0.2">
      <c r="A525" s="157" t="str">
        <f>CONCATENATE(SP_ACQ_Lib[[#This Row],[Acquisition Tract No.]],"_",SP_ACQ_Lib[[#This Row],[ACQ Document Type]])</f>
        <v>311_APPRAISAL Final Appraisal</v>
      </c>
      <c r="B525" s="14" t="s">
        <v>6169</v>
      </c>
      <c r="C525" s="193" t="s">
        <v>54</v>
      </c>
      <c r="D525" s="12" t="s">
        <v>654</v>
      </c>
      <c r="E525" s="8" t="s">
        <v>1131</v>
      </c>
      <c r="F525" s="8" t="s">
        <v>4755</v>
      </c>
      <c r="G525" s="8" t="s">
        <v>4754</v>
      </c>
      <c r="H525" s="7" t="s">
        <v>592</v>
      </c>
      <c r="I525" s="16">
        <v>43912</v>
      </c>
      <c r="J525" s="16"/>
      <c r="K525" s="17">
        <v>155200</v>
      </c>
      <c r="L525" s="3"/>
      <c r="M525" s="8" t="s">
        <v>4206</v>
      </c>
      <c r="N525" s="11">
        <v>43994.585706018515</v>
      </c>
      <c r="O525" s="8" t="s">
        <v>4206</v>
      </c>
      <c r="P525" s="11">
        <v>43994.583692129629</v>
      </c>
      <c r="Q525" s="13">
        <v>7987917</v>
      </c>
      <c r="R525" s="194" t="s">
        <v>594</v>
      </c>
      <c r="S525" s="14" t="s">
        <v>6175</v>
      </c>
      <c r="T525" s="163">
        <v>1202</v>
      </c>
      <c r="U525" s="164" t="str">
        <f>CONCATENATE(LEFT(SP_ACQ_Lib[[#This Row],[Tax Parcel ID]],7),"_",SP_ACQ_Lib[[#This Row],[ACQ Document Type]])</f>
        <v>R013043_APPRAISAL Final Appraisal</v>
      </c>
      <c r="V525" s="65" t="str">
        <f>INDEX(SP_AcqTract_DB[WCAD Tax Parcel ID],MATCH(SP_ACQ_Lib[[#This Row],[Acquisition Tract No.]],SP_AcqTract_DB[Acquisition Tract No.],0))</f>
        <v>R013043;#51</v>
      </c>
      <c r="W525" s="48" t="str">
        <f>INDEX(SP_TaxPar_DB[Acquisition Tract No.],MATCH(LEFT(SP_ACQ_Lib[[#This Row],[Tax Parcel ID]],7),SP_TaxPar_DB[Tax Parcel ID],0))</f>
        <v>311</v>
      </c>
      <c r="X525" s="238" t="str">
        <f>IF(OR(SP_ACQ_Lib[[#This Row],[Acquisition Tract No.]]="",SP_ACQ_Lib[[#This Row],[ACQ Document Type]]=""),0,CONCATENATE("COW-FRMP_TR-",SP_ACQ_Lib[[#This Row],[Acquisition Tract No.]]," ",SP_ACQ_Lib[[#This Row],[ACQ Document Type]]))</f>
        <v>COW-FRMP_TR-311 APPRAISAL Final Appraisal</v>
      </c>
      <c r="Y525" s="239">
        <f>IF(OR(SP_ACQ_Lib[[#This Row],[File Name Convention]]=0,LEFT(SP_ACQ_Lib[[#This Row],[Name]],LEN(SP_ACQ_Lib[[#This Row],[File Name Convention]]))&lt;&gt;SP_ACQ_Lib[[#This Row],[File Name Convention]],ISERROR(SEARCH(SP_ACQ_Lib[[#This Row],[ACQ Document Type]],SP_ACQ_Lib[[#This Row],[Name]]))),1,0)</f>
        <v>0</v>
      </c>
    </row>
    <row r="526" spans="1:25" ht="15" x14ac:dyDescent="0.2">
      <c r="A526" s="157" t="str">
        <f>CONCATENATE(SP_ACQ_Lib[[#This Row],[Acquisition Tract No.]],"_",SP_ACQ_Lib[[#This Row],[ACQ Document Type]])</f>
        <v>311_APPRAISAL Just Compensation Approval</v>
      </c>
      <c r="B526" s="14" t="s">
        <v>6520</v>
      </c>
      <c r="C526" s="193" t="s">
        <v>54</v>
      </c>
      <c r="D526" s="12" t="s">
        <v>654</v>
      </c>
      <c r="E526" s="8" t="s">
        <v>1131</v>
      </c>
      <c r="F526" s="8" t="s">
        <v>4828</v>
      </c>
      <c r="G526" s="8" t="s">
        <v>4827</v>
      </c>
      <c r="H526" s="7" t="s">
        <v>1749</v>
      </c>
      <c r="I526" s="16">
        <v>44012</v>
      </c>
      <c r="J526" s="16"/>
      <c r="K526" s="17">
        <v>155200</v>
      </c>
      <c r="L526" s="3"/>
      <c r="M526" s="8" t="s">
        <v>4206</v>
      </c>
      <c r="N526" s="11">
        <v>44012.531157407408</v>
      </c>
      <c r="O526" s="8" t="s">
        <v>4206</v>
      </c>
      <c r="P526" s="11">
        <v>44012.517592592594</v>
      </c>
      <c r="Q526" s="13">
        <v>169280</v>
      </c>
      <c r="R526" s="194" t="s">
        <v>594</v>
      </c>
      <c r="S526" s="14" t="s">
        <v>6583</v>
      </c>
      <c r="T526" s="163">
        <v>1309</v>
      </c>
      <c r="U526" s="164" t="str">
        <f>CONCATENATE(LEFT(SP_ACQ_Lib[[#This Row],[Tax Parcel ID]],7),"_",SP_ACQ_Lib[[#This Row],[ACQ Document Type]])</f>
        <v>R013043_APPRAISAL Just Compensation Approval</v>
      </c>
      <c r="V526" s="65" t="str">
        <f>INDEX(SP_AcqTract_DB[WCAD Tax Parcel ID],MATCH(SP_ACQ_Lib[[#This Row],[Acquisition Tract No.]],SP_AcqTract_DB[Acquisition Tract No.],0))</f>
        <v>R013043;#51</v>
      </c>
      <c r="W526" s="48" t="str">
        <f>INDEX(SP_TaxPar_DB[Acquisition Tract No.],MATCH(LEFT(SP_ACQ_Lib[[#This Row],[Tax Parcel ID]],7),SP_TaxPar_DB[Tax Parcel ID],0))</f>
        <v>311</v>
      </c>
      <c r="X526" s="238" t="str">
        <f>IF(OR(SP_ACQ_Lib[[#This Row],[Acquisition Tract No.]]="",SP_ACQ_Lib[[#This Row],[ACQ Document Type]]=""),0,CONCATENATE("COW-FRMP_TR-",SP_ACQ_Lib[[#This Row],[Acquisition Tract No.]]," ",SP_ACQ_Lib[[#This Row],[ACQ Document Type]]))</f>
        <v>COW-FRMP_TR-311 APPRAISAL Just Compensation Approval</v>
      </c>
      <c r="Y526" s="239">
        <f>IF(OR(SP_ACQ_Lib[[#This Row],[File Name Convention]]=0,LEFT(SP_ACQ_Lib[[#This Row],[Name]],LEN(SP_ACQ_Lib[[#This Row],[File Name Convention]]))&lt;&gt;SP_ACQ_Lib[[#This Row],[File Name Convention]],ISERROR(SEARCH(SP_ACQ_Lib[[#This Row],[ACQ Document Type]],SP_ACQ_Lib[[#This Row],[Name]]))),1,0)</f>
        <v>0</v>
      </c>
    </row>
    <row r="527" spans="1:25" ht="15" x14ac:dyDescent="0.2">
      <c r="A527" s="157" t="str">
        <f>CONCATENATE(SP_ACQ_Lib[[#This Row],[Acquisition Tract No.]],"_",SP_ACQ_Lib[[#This Row],[ACQ Document Type]])</f>
        <v>311_APPRAISAL Just Compensation Memo</v>
      </c>
      <c r="B527" s="14" t="s">
        <v>6170</v>
      </c>
      <c r="C527" s="193" t="s">
        <v>54</v>
      </c>
      <c r="D527" s="12" t="s">
        <v>654</v>
      </c>
      <c r="E527" s="8" t="s">
        <v>1131</v>
      </c>
      <c r="F527" s="8" t="s">
        <v>4757</v>
      </c>
      <c r="G527" s="8" t="s">
        <v>4756</v>
      </c>
      <c r="H527" s="7" t="s">
        <v>592</v>
      </c>
      <c r="I527" s="16">
        <v>43997</v>
      </c>
      <c r="J527" s="16">
        <v>43997</v>
      </c>
      <c r="K527" s="17">
        <v>155200</v>
      </c>
      <c r="L527" s="3"/>
      <c r="M527" s="8" t="s">
        <v>4206</v>
      </c>
      <c r="N527" s="11">
        <v>44000.577187499999</v>
      </c>
      <c r="O527" s="8" t="s">
        <v>4206</v>
      </c>
      <c r="P527" s="11">
        <v>43994.583703703705</v>
      </c>
      <c r="Q527" s="13">
        <v>22793</v>
      </c>
      <c r="R527" s="194" t="s">
        <v>594</v>
      </c>
      <c r="S527" s="14" t="s">
        <v>6176</v>
      </c>
      <c r="T527" s="163">
        <v>1203</v>
      </c>
      <c r="U527" s="164" t="str">
        <f>CONCATENATE(LEFT(SP_ACQ_Lib[[#This Row],[Tax Parcel ID]],7),"_",SP_ACQ_Lib[[#This Row],[ACQ Document Type]])</f>
        <v>R013043_APPRAISAL Just Compensation Memo</v>
      </c>
      <c r="V527" s="65" t="str">
        <f>INDEX(SP_AcqTract_DB[WCAD Tax Parcel ID],MATCH(SP_ACQ_Lib[[#This Row],[Acquisition Tract No.]],SP_AcqTract_DB[Acquisition Tract No.],0))</f>
        <v>R013043;#51</v>
      </c>
      <c r="W527" s="48" t="str">
        <f>INDEX(SP_TaxPar_DB[Acquisition Tract No.],MATCH(LEFT(SP_ACQ_Lib[[#This Row],[Tax Parcel ID]],7),SP_TaxPar_DB[Tax Parcel ID],0))</f>
        <v>311</v>
      </c>
      <c r="X527" s="238" t="str">
        <f>IF(OR(SP_ACQ_Lib[[#This Row],[Acquisition Tract No.]]="",SP_ACQ_Lib[[#This Row],[ACQ Document Type]]=""),0,CONCATENATE("COW-FRMP_TR-",SP_ACQ_Lib[[#This Row],[Acquisition Tract No.]]," ",SP_ACQ_Lib[[#This Row],[ACQ Document Type]]))</f>
        <v>COW-FRMP_TR-311 APPRAISAL Just Compensation Memo</v>
      </c>
      <c r="Y527" s="239">
        <f>IF(OR(SP_ACQ_Lib[[#This Row],[File Name Convention]]=0,LEFT(SP_ACQ_Lib[[#This Row],[Name]],LEN(SP_ACQ_Lib[[#This Row],[File Name Convention]]))&lt;&gt;SP_ACQ_Lib[[#This Row],[File Name Convention]],ISERROR(SEARCH(SP_ACQ_Lib[[#This Row],[ACQ Document Type]],SP_ACQ_Lib[[#This Row],[Name]]))),1,0)</f>
        <v>0</v>
      </c>
    </row>
    <row r="528" spans="1:25" ht="15" x14ac:dyDescent="0.2">
      <c r="A528" s="157" t="str">
        <f>CONCATENATE(SP_ACQ_Lib[[#This Row],[Acquisition Tract No.]],"_",SP_ACQ_Lib[[#This Row],[ACQ Document Type]])</f>
        <v>311_APPRAISAL USACOE Authorization to Proceed with Offer</v>
      </c>
      <c r="B528" s="14" t="s">
        <v>6171</v>
      </c>
      <c r="C528" s="193" t="s">
        <v>54</v>
      </c>
      <c r="D528" s="12" t="s">
        <v>654</v>
      </c>
      <c r="E528" s="8" t="s">
        <v>1131</v>
      </c>
      <c r="F528" s="8" t="s">
        <v>4959</v>
      </c>
      <c r="G528" s="8" t="s">
        <v>4958</v>
      </c>
      <c r="H528" s="7" t="s">
        <v>592</v>
      </c>
      <c r="I528" s="16">
        <v>43997</v>
      </c>
      <c r="J528" s="16">
        <v>43997</v>
      </c>
      <c r="K528" s="17">
        <v>155200</v>
      </c>
      <c r="L528" s="3"/>
      <c r="M528" s="8" t="s">
        <v>4206</v>
      </c>
      <c r="N528" s="11">
        <v>44000.577372685184</v>
      </c>
      <c r="O528" s="8" t="s">
        <v>4206</v>
      </c>
      <c r="P528" s="11">
        <v>43994.583715277775</v>
      </c>
      <c r="Q528" s="13">
        <v>419295</v>
      </c>
      <c r="R528" s="194" t="s">
        <v>594</v>
      </c>
      <c r="S528" s="14" t="s">
        <v>6177</v>
      </c>
      <c r="T528" s="163">
        <v>1204</v>
      </c>
      <c r="U528" s="164" t="str">
        <f>CONCATENATE(LEFT(SP_ACQ_Lib[[#This Row],[Tax Parcel ID]],7),"_",SP_ACQ_Lib[[#This Row],[ACQ Document Type]])</f>
        <v>R013043_APPRAISAL USACOE Authorization to Proceed with Offer</v>
      </c>
      <c r="V528" s="65" t="str">
        <f>INDEX(SP_AcqTract_DB[WCAD Tax Parcel ID],MATCH(SP_ACQ_Lib[[#This Row],[Acquisition Tract No.]],SP_AcqTract_DB[Acquisition Tract No.],0))</f>
        <v>R013043;#51</v>
      </c>
      <c r="W528" s="48" t="str">
        <f>INDEX(SP_TaxPar_DB[Acquisition Tract No.],MATCH(LEFT(SP_ACQ_Lib[[#This Row],[Tax Parcel ID]],7),SP_TaxPar_DB[Tax Parcel ID],0))</f>
        <v>311</v>
      </c>
      <c r="X528" s="238" t="str">
        <f>IF(OR(SP_ACQ_Lib[[#This Row],[Acquisition Tract No.]]="",SP_ACQ_Lib[[#This Row],[ACQ Document Type]]=""),0,CONCATENATE("COW-FRMP_TR-",SP_ACQ_Lib[[#This Row],[Acquisition Tract No.]]," ",SP_ACQ_Lib[[#This Row],[ACQ Document Type]]))</f>
        <v>COW-FRMP_TR-311 APPRAISAL USACOE Authorization to Proceed with Offer</v>
      </c>
      <c r="Y528" s="239">
        <f>IF(OR(SP_ACQ_Lib[[#This Row],[File Name Convention]]=0,LEFT(SP_ACQ_Lib[[#This Row],[Name]],LEN(SP_ACQ_Lib[[#This Row],[File Name Convention]]))&lt;&gt;SP_ACQ_Lib[[#This Row],[File Name Convention]],ISERROR(SEARCH(SP_ACQ_Lib[[#This Row],[ACQ Document Type]],SP_ACQ_Lib[[#This Row],[Name]]))),1,0)</f>
        <v>0</v>
      </c>
    </row>
    <row r="529" spans="1:25" ht="15" x14ac:dyDescent="0.2">
      <c r="A529" s="157" t="str">
        <f>CONCATENATE(SP_ACQ_Lib[[#This Row],[Acquisition Tract No.]],"_",SP_ACQ_Lib[[#This Row],[ACQ Document Type]])</f>
        <v>311_APPRAISAL USACOE Authorization to Proceed with Offer Approval</v>
      </c>
      <c r="B529" s="14" t="s">
        <v>6521</v>
      </c>
      <c r="C529" s="193" t="s">
        <v>54</v>
      </c>
      <c r="D529" s="12" t="s">
        <v>654</v>
      </c>
      <c r="E529" s="8" t="s">
        <v>1131</v>
      </c>
      <c r="F529" s="8" t="s">
        <v>4973</v>
      </c>
      <c r="G529" s="8" t="s">
        <v>4972</v>
      </c>
      <c r="H529" s="7" t="s">
        <v>1749</v>
      </c>
      <c r="I529" s="16">
        <v>44012</v>
      </c>
      <c r="J529" s="16"/>
      <c r="K529" s="17">
        <v>155200</v>
      </c>
      <c r="L529" s="3"/>
      <c r="M529" s="8" t="s">
        <v>4206</v>
      </c>
      <c r="N529" s="11">
        <v>44012.531689814816</v>
      </c>
      <c r="O529" s="8" t="s">
        <v>4206</v>
      </c>
      <c r="P529" s="11">
        <v>44012.517592592594</v>
      </c>
      <c r="Q529" s="13">
        <v>510165</v>
      </c>
      <c r="R529" s="194" t="s">
        <v>594</v>
      </c>
      <c r="S529" s="14" t="s">
        <v>6584</v>
      </c>
      <c r="T529" s="163">
        <v>1310</v>
      </c>
      <c r="U529" s="164" t="str">
        <f>CONCATENATE(LEFT(SP_ACQ_Lib[[#This Row],[Tax Parcel ID]],7),"_",SP_ACQ_Lib[[#This Row],[ACQ Document Type]])</f>
        <v>R013043_APPRAISAL USACOE Authorization to Proceed with Offer Approval</v>
      </c>
      <c r="V529" s="65" t="str">
        <f>INDEX(SP_AcqTract_DB[WCAD Tax Parcel ID],MATCH(SP_ACQ_Lib[[#This Row],[Acquisition Tract No.]],SP_AcqTract_DB[Acquisition Tract No.],0))</f>
        <v>R013043;#51</v>
      </c>
      <c r="W529" s="48" t="str">
        <f>INDEX(SP_TaxPar_DB[Acquisition Tract No.],MATCH(LEFT(SP_ACQ_Lib[[#This Row],[Tax Parcel ID]],7),SP_TaxPar_DB[Tax Parcel ID],0))</f>
        <v>311</v>
      </c>
      <c r="X529" s="238" t="str">
        <f>IF(OR(SP_ACQ_Lib[[#This Row],[Acquisition Tract No.]]="",SP_ACQ_Lib[[#This Row],[ACQ Document Type]]=""),0,CONCATENATE("COW-FRMP_TR-",SP_ACQ_Lib[[#This Row],[Acquisition Tract No.]]," ",SP_ACQ_Lib[[#This Row],[ACQ Document Type]]))</f>
        <v>COW-FRMP_TR-311 APPRAISAL USACOE Authorization to Proceed with Offer Approval</v>
      </c>
      <c r="Y529" s="239">
        <f>IF(OR(SP_ACQ_Lib[[#This Row],[File Name Convention]]=0,LEFT(SP_ACQ_Lib[[#This Row],[Name]],LEN(SP_ACQ_Lib[[#This Row],[File Name Convention]]))&lt;&gt;SP_ACQ_Lib[[#This Row],[File Name Convention]],ISERROR(SEARCH(SP_ACQ_Lib[[#This Row],[ACQ Document Type]],SP_ACQ_Lib[[#This Row],[Name]]))),1,0)</f>
        <v>0</v>
      </c>
    </row>
    <row r="530" spans="1:25" ht="15" x14ac:dyDescent="0.2">
      <c r="A530" s="157" t="str">
        <f>CONCATENATE(SP_ACQ_Lib[[#This Row],[Acquisition Tract No.]],"_",SP_ACQ_Lib[[#This Row],[ACQ Document Type]])</f>
        <v>311_CONTACT Letter of Intent-HDR</v>
      </c>
      <c r="B530" s="14" t="s">
        <v>1559</v>
      </c>
      <c r="C530" s="193" t="s">
        <v>54</v>
      </c>
      <c r="D530" s="12" t="s">
        <v>654</v>
      </c>
      <c r="E530" s="8" t="s">
        <v>865</v>
      </c>
      <c r="F530" s="8" t="s">
        <v>1401</v>
      </c>
      <c r="G530" s="8" t="s">
        <v>1400</v>
      </c>
      <c r="H530" s="7" t="s">
        <v>592</v>
      </c>
      <c r="I530" s="16">
        <v>43765</v>
      </c>
      <c r="J530" s="16"/>
      <c r="K530" s="17"/>
      <c r="L530" s="3"/>
      <c r="M530" s="8" t="s">
        <v>23</v>
      </c>
      <c r="N530" s="11">
        <v>43770.449270833335</v>
      </c>
      <c r="O530" s="8" t="s">
        <v>1272</v>
      </c>
      <c r="P530" s="11">
        <v>43769.627986111111</v>
      </c>
      <c r="Q530" s="13">
        <v>58073</v>
      </c>
      <c r="R530" s="194" t="s">
        <v>594</v>
      </c>
      <c r="S530" s="14" t="s">
        <v>1652</v>
      </c>
      <c r="T530" s="163">
        <v>530</v>
      </c>
      <c r="U530" s="164" t="str">
        <f>CONCATENATE(LEFT(SP_ACQ_Lib[[#This Row],[Tax Parcel ID]],7),"_",SP_ACQ_Lib[[#This Row],[ACQ Document Type]])</f>
        <v>R013043_CONTACT Letter of Intent-HDR</v>
      </c>
      <c r="V530" s="65" t="str">
        <f>INDEX(SP_AcqTract_DB[WCAD Tax Parcel ID],MATCH(SP_ACQ_Lib[[#This Row],[Acquisition Tract No.]],SP_AcqTract_DB[Acquisition Tract No.],0))</f>
        <v>R013043;#51</v>
      </c>
      <c r="W530" s="48" t="str">
        <f>INDEX(SP_TaxPar_DB[Acquisition Tract No.],MATCH(LEFT(SP_ACQ_Lib[[#This Row],[Tax Parcel ID]],7),SP_TaxPar_DB[Tax Parcel ID],0))</f>
        <v>311</v>
      </c>
      <c r="X530" s="238" t="str">
        <f>IF(OR(SP_ACQ_Lib[[#This Row],[Acquisition Tract No.]]="",SP_ACQ_Lib[[#This Row],[ACQ Document Type]]=""),0,CONCATENATE("COW-FRMP_TR-",SP_ACQ_Lib[[#This Row],[Acquisition Tract No.]]," ",SP_ACQ_Lib[[#This Row],[ACQ Document Type]]))</f>
        <v>COW-FRMP_TR-311 CONTACT Letter of Intent-HDR</v>
      </c>
      <c r="Y530" s="239">
        <f>IF(OR(SP_ACQ_Lib[[#This Row],[File Name Convention]]=0,LEFT(SP_ACQ_Lib[[#This Row],[Name]],LEN(SP_ACQ_Lib[[#This Row],[File Name Convention]]))&lt;&gt;SP_ACQ_Lib[[#This Row],[File Name Convention]],ISERROR(SEARCH(SP_ACQ_Lib[[#This Row],[ACQ Document Type]],SP_ACQ_Lib[[#This Row],[Name]]))),1,0)</f>
        <v>0</v>
      </c>
    </row>
    <row r="531" spans="1:25" ht="15" x14ac:dyDescent="0.2">
      <c r="A531" s="157" t="str">
        <f>CONCATENATE(SP_ACQ_Lib[[#This Row],[Acquisition Tract No.]],"_",SP_ACQ_Lib[[#This Row],[ACQ Document Type]])</f>
        <v>311_CONTACT Negotiator Report</v>
      </c>
      <c r="B531" s="14" t="s">
        <v>3407</v>
      </c>
      <c r="C531" s="193" t="s">
        <v>54</v>
      </c>
      <c r="D531" s="12" t="s">
        <v>654</v>
      </c>
      <c r="E531" s="8" t="s">
        <v>865</v>
      </c>
      <c r="F531" s="8" t="s">
        <v>1068</v>
      </c>
      <c r="G531" s="8" t="s">
        <v>1067</v>
      </c>
      <c r="H531" s="7" t="s">
        <v>592</v>
      </c>
      <c r="I531" s="16"/>
      <c r="J531" s="16"/>
      <c r="K531" s="17"/>
      <c r="L531" s="3"/>
      <c r="M531" s="8" t="s">
        <v>1744</v>
      </c>
      <c r="N531" s="11">
        <v>44022.693356481483</v>
      </c>
      <c r="O531" s="8" t="s">
        <v>896</v>
      </c>
      <c r="P531" s="11">
        <v>43742.620428240742</v>
      </c>
      <c r="Q531" s="13">
        <v>308525</v>
      </c>
      <c r="R531" s="194" t="s">
        <v>1069</v>
      </c>
      <c r="S531" s="14" t="s">
        <v>1235</v>
      </c>
      <c r="T531" s="163">
        <v>490</v>
      </c>
      <c r="U531" s="164" t="str">
        <f>CONCATENATE(LEFT(SP_ACQ_Lib[[#This Row],[Tax Parcel ID]],7),"_",SP_ACQ_Lib[[#This Row],[ACQ Document Type]])</f>
        <v>R013043_CONTACT Negotiator Report</v>
      </c>
      <c r="V531" s="65" t="str">
        <f>INDEX(SP_AcqTract_DB[WCAD Tax Parcel ID],MATCH(SP_ACQ_Lib[[#This Row],[Acquisition Tract No.]],SP_AcqTract_DB[Acquisition Tract No.],0))</f>
        <v>R013043;#51</v>
      </c>
      <c r="W531" s="48" t="str">
        <f>INDEX(SP_TaxPar_DB[Acquisition Tract No.],MATCH(LEFT(SP_ACQ_Lib[[#This Row],[Tax Parcel ID]],7),SP_TaxPar_DB[Tax Parcel ID],0))</f>
        <v>311</v>
      </c>
      <c r="X531" s="238" t="str">
        <f>IF(OR(SP_ACQ_Lib[[#This Row],[Acquisition Tract No.]]="",SP_ACQ_Lib[[#This Row],[ACQ Document Type]]=""),0,CONCATENATE("COW-FRMP_TR-",SP_ACQ_Lib[[#This Row],[Acquisition Tract No.]]," ",SP_ACQ_Lib[[#This Row],[ACQ Document Type]]))</f>
        <v>COW-FRMP_TR-311 CONTACT Negotiator Report</v>
      </c>
      <c r="Y531" s="239">
        <f>IF(OR(SP_ACQ_Lib[[#This Row],[File Name Convention]]=0,LEFT(SP_ACQ_Lib[[#This Row],[Name]],LEN(SP_ACQ_Lib[[#This Row],[File Name Convention]]))&lt;&gt;SP_ACQ_Lib[[#This Row],[File Name Convention]],ISERROR(SEARCH(SP_ACQ_Lib[[#This Row],[ACQ Document Type]],SP_ACQ_Lib[[#This Row],[Name]]))),1,0)</f>
        <v>0</v>
      </c>
    </row>
    <row r="532" spans="1:25" ht="15" x14ac:dyDescent="0.2">
      <c r="A532" s="157" t="str">
        <f>CONCATENATE(SP_ACQ_Lib[[#This Row],[Acquisition Tract No.]],"_",SP_ACQ_Lib[[#This Row],[ACQ Document Type]])</f>
        <v>311_NEGOTIATION Initial Offer Package</v>
      </c>
      <c r="B532" s="14" t="s">
        <v>6522</v>
      </c>
      <c r="C532" s="193" t="s">
        <v>54</v>
      </c>
      <c r="D532" s="12" t="s">
        <v>654</v>
      </c>
      <c r="E532" s="8" t="s">
        <v>1142</v>
      </c>
      <c r="F532" s="8" t="s">
        <v>1143</v>
      </c>
      <c r="G532" s="8" t="s">
        <v>1709</v>
      </c>
      <c r="H532" s="7" t="s">
        <v>592</v>
      </c>
      <c r="I532" s="16">
        <v>44018</v>
      </c>
      <c r="J532" s="16"/>
      <c r="K532" s="17">
        <v>155200</v>
      </c>
      <c r="L532" s="3"/>
      <c r="M532" s="8" t="s">
        <v>4206</v>
      </c>
      <c r="N532" s="11">
        <v>44019.409375000003</v>
      </c>
      <c r="O532" s="8" t="s">
        <v>4206</v>
      </c>
      <c r="P532" s="11">
        <v>44019.398726851854</v>
      </c>
      <c r="Q532" s="13">
        <v>13236563</v>
      </c>
      <c r="R532" s="194" t="s">
        <v>594</v>
      </c>
      <c r="S532" s="14" t="s">
        <v>6585</v>
      </c>
      <c r="T532" s="163">
        <v>1354</v>
      </c>
      <c r="U532" s="164" t="str">
        <f>CONCATENATE(LEFT(SP_ACQ_Lib[[#This Row],[Tax Parcel ID]],7),"_",SP_ACQ_Lib[[#This Row],[ACQ Document Type]])</f>
        <v>R013043_NEGOTIATION Initial Offer Package</v>
      </c>
      <c r="V532" s="65" t="str">
        <f>INDEX(SP_AcqTract_DB[WCAD Tax Parcel ID],MATCH(SP_ACQ_Lib[[#This Row],[Acquisition Tract No.]],SP_AcqTract_DB[Acquisition Tract No.],0))</f>
        <v>R013043;#51</v>
      </c>
      <c r="W532" s="48" t="str">
        <f>INDEX(SP_TaxPar_DB[Acquisition Tract No.],MATCH(LEFT(SP_ACQ_Lib[[#This Row],[Tax Parcel ID]],7),SP_TaxPar_DB[Tax Parcel ID],0))</f>
        <v>311</v>
      </c>
      <c r="X532" s="238" t="str">
        <f>IF(OR(SP_ACQ_Lib[[#This Row],[Acquisition Tract No.]]="",SP_ACQ_Lib[[#This Row],[ACQ Document Type]]=""),0,CONCATENATE("COW-FRMP_TR-",SP_ACQ_Lib[[#This Row],[Acquisition Tract No.]]," ",SP_ACQ_Lib[[#This Row],[ACQ Document Type]]))</f>
        <v>COW-FRMP_TR-311 NEGOTIATION Initial Offer Package</v>
      </c>
      <c r="Y532" s="239">
        <f>IF(OR(SP_ACQ_Lib[[#This Row],[File Name Convention]]=0,LEFT(SP_ACQ_Lib[[#This Row],[Name]],LEN(SP_ACQ_Lib[[#This Row],[File Name Convention]]))&lt;&gt;SP_ACQ_Lib[[#This Row],[File Name Convention]],ISERROR(SEARCH(SP_ACQ_Lib[[#This Row],[ACQ Document Type]],SP_ACQ_Lib[[#This Row],[Name]]))),1,0)</f>
        <v>0</v>
      </c>
    </row>
    <row r="533" spans="1:25" ht="15" x14ac:dyDescent="0.2">
      <c r="A533" s="157" t="str">
        <f>CONCATENATE(SP_ACQ_Lib[[#This Row],[Acquisition Tract No.]],"_",SP_ACQ_Lib[[#This Row],[ACQ Document Type]])</f>
        <v>311_NEGOTIATION Initial Offer Package CMRR</v>
      </c>
      <c r="B533" s="14" t="s">
        <v>6523</v>
      </c>
      <c r="C533" s="193" t="s">
        <v>54</v>
      </c>
      <c r="D533" s="12" t="s">
        <v>654</v>
      </c>
      <c r="E533" s="8" t="s">
        <v>1142</v>
      </c>
      <c r="F533" s="8" t="s">
        <v>1144</v>
      </c>
      <c r="G533" s="8" t="s">
        <v>1710</v>
      </c>
      <c r="H533" s="7" t="s">
        <v>592</v>
      </c>
      <c r="I533" s="16">
        <v>44019</v>
      </c>
      <c r="J533" s="16">
        <v>44020</v>
      </c>
      <c r="K533" s="17"/>
      <c r="L533" s="3"/>
      <c r="M533" s="8" t="s">
        <v>4206</v>
      </c>
      <c r="N533" s="11">
        <v>44021.402395833335</v>
      </c>
      <c r="O533" s="8" t="s">
        <v>4206</v>
      </c>
      <c r="P533" s="11">
        <v>44019.398587962962</v>
      </c>
      <c r="Q533" s="13">
        <v>1367380</v>
      </c>
      <c r="R533" s="194" t="s">
        <v>594</v>
      </c>
      <c r="S533" s="14" t="s">
        <v>6586</v>
      </c>
      <c r="T533" s="163">
        <v>1353</v>
      </c>
      <c r="U533" s="164" t="str">
        <f>CONCATENATE(LEFT(SP_ACQ_Lib[[#This Row],[Tax Parcel ID]],7),"_",SP_ACQ_Lib[[#This Row],[ACQ Document Type]])</f>
        <v>R013043_NEGOTIATION Initial Offer Package CMRR</v>
      </c>
      <c r="V533" s="65" t="str">
        <f>INDEX(SP_AcqTract_DB[WCAD Tax Parcel ID],MATCH(SP_ACQ_Lib[[#This Row],[Acquisition Tract No.]],SP_AcqTract_DB[Acquisition Tract No.],0))</f>
        <v>R013043;#51</v>
      </c>
      <c r="W533" s="48" t="str">
        <f>INDEX(SP_TaxPar_DB[Acquisition Tract No.],MATCH(LEFT(SP_ACQ_Lib[[#This Row],[Tax Parcel ID]],7),SP_TaxPar_DB[Tax Parcel ID],0))</f>
        <v>311</v>
      </c>
      <c r="X533" s="238" t="str">
        <f>IF(OR(SP_ACQ_Lib[[#This Row],[Acquisition Tract No.]]="",SP_ACQ_Lib[[#This Row],[ACQ Document Type]]=""),0,CONCATENATE("COW-FRMP_TR-",SP_ACQ_Lib[[#This Row],[Acquisition Tract No.]]," ",SP_ACQ_Lib[[#This Row],[ACQ Document Type]]))</f>
        <v>COW-FRMP_TR-311 NEGOTIATION Initial Offer Package CMRR</v>
      </c>
      <c r="Y533" s="239">
        <f>IF(OR(SP_ACQ_Lib[[#This Row],[File Name Convention]]=0,LEFT(SP_ACQ_Lib[[#This Row],[Name]],LEN(SP_ACQ_Lib[[#This Row],[File Name Convention]]))&lt;&gt;SP_ACQ_Lib[[#This Row],[File Name Convention]],ISERROR(SEARCH(SP_ACQ_Lib[[#This Row],[ACQ Document Type]],SP_ACQ_Lib[[#This Row],[Name]]))),1,0)</f>
        <v>0</v>
      </c>
    </row>
    <row r="534" spans="1:25" ht="15" x14ac:dyDescent="0.2">
      <c r="A534" s="157" t="str">
        <f>CONCATENATE(SP_ACQ_Lib[[#This Row],[Acquisition Tract No.]],"_",SP_ACQ_Lib[[#This Row],[ACQ Document Type]])</f>
        <v>311_NEGOTIATION Landowner Bill of Rights Letter</v>
      </c>
      <c r="B534" s="14" t="s">
        <v>3477</v>
      </c>
      <c r="C534" s="193" t="s">
        <v>54</v>
      </c>
      <c r="D534" s="12" t="s">
        <v>654</v>
      </c>
      <c r="E534" s="8" t="s">
        <v>1142</v>
      </c>
      <c r="F534" s="8" t="s">
        <v>1746</v>
      </c>
      <c r="G534" s="8" t="s">
        <v>1745</v>
      </c>
      <c r="H534" s="7" t="s">
        <v>592</v>
      </c>
      <c r="I534" s="16">
        <v>43748</v>
      </c>
      <c r="J534" s="16"/>
      <c r="K534" s="17"/>
      <c r="L534" s="3"/>
      <c r="M534" s="8" t="s">
        <v>4206</v>
      </c>
      <c r="N534" s="11">
        <v>43872.56591435185</v>
      </c>
      <c r="O534" s="8" t="s">
        <v>4325</v>
      </c>
      <c r="P534" s="11">
        <v>43752.524317129632</v>
      </c>
      <c r="Q534" s="13">
        <v>319280</v>
      </c>
      <c r="R534" s="194" t="s">
        <v>594</v>
      </c>
      <c r="S534" s="14" t="s">
        <v>1236</v>
      </c>
      <c r="T534" s="163">
        <v>450</v>
      </c>
      <c r="U534" s="164" t="str">
        <f>CONCATENATE(LEFT(SP_ACQ_Lib[[#This Row],[Tax Parcel ID]],7),"_",SP_ACQ_Lib[[#This Row],[ACQ Document Type]])</f>
        <v>R013043_NEGOTIATION Landowner Bill of Rights Letter</v>
      </c>
      <c r="V534" s="65" t="str">
        <f>INDEX(SP_AcqTract_DB[WCAD Tax Parcel ID],MATCH(SP_ACQ_Lib[[#This Row],[Acquisition Tract No.]],SP_AcqTract_DB[Acquisition Tract No.],0))</f>
        <v>R013043;#51</v>
      </c>
      <c r="W534" s="48" t="str">
        <f>INDEX(SP_TaxPar_DB[Acquisition Tract No.],MATCH(LEFT(SP_ACQ_Lib[[#This Row],[Tax Parcel ID]],7),SP_TaxPar_DB[Tax Parcel ID],0))</f>
        <v>311</v>
      </c>
      <c r="X534" s="238" t="str">
        <f>IF(OR(SP_ACQ_Lib[[#This Row],[Acquisition Tract No.]]="",SP_ACQ_Lib[[#This Row],[ACQ Document Type]]=""),0,CONCATENATE("COW-FRMP_TR-",SP_ACQ_Lib[[#This Row],[Acquisition Tract No.]]," ",SP_ACQ_Lib[[#This Row],[ACQ Document Type]]))</f>
        <v>COW-FRMP_TR-311 NEGOTIATION Landowner Bill of Rights Letter</v>
      </c>
      <c r="Y534" s="239">
        <f>IF(OR(SP_ACQ_Lib[[#This Row],[File Name Convention]]=0,LEFT(SP_ACQ_Lib[[#This Row],[Name]],LEN(SP_ACQ_Lib[[#This Row],[File Name Convention]]))&lt;&gt;SP_ACQ_Lib[[#This Row],[File Name Convention]],ISERROR(SEARCH(SP_ACQ_Lib[[#This Row],[ACQ Document Type]],SP_ACQ_Lib[[#This Row],[Name]]))),1,0)</f>
        <v>0</v>
      </c>
    </row>
    <row r="535" spans="1:25" ht="15" x14ac:dyDescent="0.2">
      <c r="A535" s="157" t="str">
        <f>CONCATENATE(SP_ACQ_Lib[[#This Row],[Acquisition Tract No.]],"_",SP_ACQ_Lib[[#This Row],[ACQ Document Type]])</f>
        <v>311_SURVEY Description-Plat_CITY</v>
      </c>
      <c r="B535" s="14" t="s">
        <v>3531</v>
      </c>
      <c r="C535" s="193" t="s">
        <v>54</v>
      </c>
      <c r="D535" s="12" t="s">
        <v>654</v>
      </c>
      <c r="E535" s="8" t="s">
        <v>858</v>
      </c>
      <c r="F535" s="8" t="s">
        <v>3503</v>
      </c>
      <c r="G535" s="8" t="s">
        <v>3502</v>
      </c>
      <c r="H535" s="7" t="s">
        <v>1749</v>
      </c>
      <c r="I535" s="16">
        <v>43735</v>
      </c>
      <c r="J535" s="16">
        <v>43886</v>
      </c>
      <c r="K535" s="17"/>
      <c r="L535" s="3"/>
      <c r="M535" s="8" t="s">
        <v>4206</v>
      </c>
      <c r="N535" s="11">
        <v>43937.589560185188</v>
      </c>
      <c r="O535" s="8" t="s">
        <v>4206</v>
      </c>
      <c r="P535" s="11">
        <v>43886.641921296294</v>
      </c>
      <c r="Q535" s="13">
        <v>261264</v>
      </c>
      <c r="R535" s="194" t="s">
        <v>594</v>
      </c>
      <c r="S535" s="14" t="s">
        <v>3554</v>
      </c>
      <c r="T535" s="163">
        <v>735</v>
      </c>
      <c r="U535" s="164" t="str">
        <f>CONCATENATE(LEFT(SP_ACQ_Lib[[#This Row],[Tax Parcel ID]],7),"_",SP_ACQ_Lib[[#This Row],[ACQ Document Type]])</f>
        <v>R013043_SURVEY Description-Plat_CITY</v>
      </c>
      <c r="V535" s="65" t="str">
        <f>INDEX(SP_AcqTract_DB[WCAD Tax Parcel ID],MATCH(SP_ACQ_Lib[[#This Row],[Acquisition Tract No.]],SP_AcqTract_DB[Acquisition Tract No.],0))</f>
        <v>R013043;#51</v>
      </c>
      <c r="W535" s="48" t="str">
        <f>INDEX(SP_TaxPar_DB[Acquisition Tract No.],MATCH(LEFT(SP_ACQ_Lib[[#This Row],[Tax Parcel ID]],7),SP_TaxPar_DB[Tax Parcel ID],0))</f>
        <v>311</v>
      </c>
      <c r="X535" s="238" t="str">
        <f>IF(OR(SP_ACQ_Lib[[#This Row],[Acquisition Tract No.]]="",SP_ACQ_Lib[[#This Row],[ACQ Document Type]]=""),0,CONCATENATE("COW-FRMP_TR-",SP_ACQ_Lib[[#This Row],[Acquisition Tract No.]]," ",SP_ACQ_Lib[[#This Row],[ACQ Document Type]]))</f>
        <v>COW-FRMP_TR-311 SURVEY Description-Plat_CITY</v>
      </c>
      <c r="Y535" s="239">
        <f>IF(OR(SP_ACQ_Lib[[#This Row],[File Name Convention]]=0,LEFT(SP_ACQ_Lib[[#This Row],[Name]],LEN(SP_ACQ_Lib[[#This Row],[File Name Convention]]))&lt;&gt;SP_ACQ_Lib[[#This Row],[File Name Convention]],ISERROR(SEARCH(SP_ACQ_Lib[[#This Row],[ACQ Document Type]],SP_ACQ_Lib[[#This Row],[Name]]))),1,0)</f>
        <v>0</v>
      </c>
    </row>
    <row r="536" spans="1:25" ht="15" x14ac:dyDescent="0.2">
      <c r="A536" s="157" t="str">
        <f>CONCATENATE(SP_ACQ_Lib[[#This Row],[Acquisition Tract No.]],"_",SP_ACQ_Lib[[#This Row],[ACQ Document Type]])</f>
        <v>311_SURVEY Description-Plat_USACOE</v>
      </c>
      <c r="B536" s="14" t="s">
        <v>4988</v>
      </c>
      <c r="C536" s="193" t="s">
        <v>54</v>
      </c>
      <c r="D536" s="12" t="s">
        <v>654</v>
      </c>
      <c r="E536" s="8" t="s">
        <v>858</v>
      </c>
      <c r="F536" s="8" t="s">
        <v>3510</v>
      </c>
      <c r="G536" s="8" t="s">
        <v>3509</v>
      </c>
      <c r="H536" s="7" t="s">
        <v>592</v>
      </c>
      <c r="I536" s="16">
        <v>43735</v>
      </c>
      <c r="J536" s="16">
        <v>43948</v>
      </c>
      <c r="K536" s="17"/>
      <c r="L536" s="3"/>
      <c r="M536" s="8" t="s">
        <v>4206</v>
      </c>
      <c r="N536" s="11">
        <v>43949.8125462963</v>
      </c>
      <c r="O536" s="8" t="s">
        <v>4206</v>
      </c>
      <c r="P536" s="11">
        <v>43949.792141203703</v>
      </c>
      <c r="Q536" s="13">
        <v>261178</v>
      </c>
      <c r="R536" s="194" t="s">
        <v>594</v>
      </c>
      <c r="S536" s="14" t="s">
        <v>5007</v>
      </c>
      <c r="T536" s="163">
        <v>847</v>
      </c>
      <c r="U536" s="164" t="str">
        <f>CONCATENATE(LEFT(SP_ACQ_Lib[[#This Row],[Tax Parcel ID]],7),"_",SP_ACQ_Lib[[#This Row],[ACQ Document Type]])</f>
        <v>R013043_SURVEY Description-Plat_USACOE</v>
      </c>
      <c r="V536" s="65" t="str">
        <f>INDEX(SP_AcqTract_DB[WCAD Tax Parcel ID],MATCH(SP_ACQ_Lib[[#This Row],[Acquisition Tract No.]],SP_AcqTract_DB[Acquisition Tract No.],0))</f>
        <v>R013043;#51</v>
      </c>
      <c r="W536" s="48" t="str">
        <f>INDEX(SP_TaxPar_DB[Acquisition Tract No.],MATCH(LEFT(SP_ACQ_Lib[[#This Row],[Tax Parcel ID]],7),SP_TaxPar_DB[Tax Parcel ID],0))</f>
        <v>311</v>
      </c>
      <c r="X536" s="238" t="str">
        <f>IF(OR(SP_ACQ_Lib[[#This Row],[Acquisition Tract No.]]="",SP_ACQ_Lib[[#This Row],[ACQ Document Type]]=""),0,CONCATENATE("COW-FRMP_TR-",SP_ACQ_Lib[[#This Row],[Acquisition Tract No.]]," ",SP_ACQ_Lib[[#This Row],[ACQ Document Type]]))</f>
        <v>COW-FRMP_TR-311 SURVEY Description-Plat_USACOE</v>
      </c>
      <c r="Y536" s="239">
        <f>IF(OR(SP_ACQ_Lib[[#This Row],[File Name Convention]]=0,LEFT(SP_ACQ_Lib[[#This Row],[Name]],LEN(SP_ACQ_Lib[[#This Row],[File Name Convention]]))&lt;&gt;SP_ACQ_Lib[[#This Row],[File Name Convention]],ISERROR(SEARCH(SP_ACQ_Lib[[#This Row],[ACQ Document Type]],SP_ACQ_Lib[[#This Row],[Name]]))),1,0)</f>
        <v>0</v>
      </c>
    </row>
    <row r="537" spans="1:25" ht="15" x14ac:dyDescent="0.2">
      <c r="A537" s="157" t="str">
        <f>CONCATENATE(SP_ACQ_Lib[[#This Row],[Acquisition Tract No.]],"_",SP_ACQ_Lib[[#This Row],[ACQ Document Type]])</f>
        <v>311_SURVEY Right-of-Entry</v>
      </c>
      <c r="B537" s="14" t="s">
        <v>4597</v>
      </c>
      <c r="C537" s="193" t="s">
        <v>54</v>
      </c>
      <c r="D537" s="12" t="s">
        <v>654</v>
      </c>
      <c r="E537" s="8" t="s">
        <v>858</v>
      </c>
      <c r="F537" s="8" t="s">
        <v>859</v>
      </c>
      <c r="G537" s="8" t="s">
        <v>591</v>
      </c>
      <c r="H537" s="7" t="s">
        <v>592</v>
      </c>
      <c r="I537" s="16">
        <v>43718</v>
      </c>
      <c r="J537" s="16"/>
      <c r="K537" s="17"/>
      <c r="L537" s="3"/>
      <c r="M537" s="8" t="s">
        <v>4206</v>
      </c>
      <c r="N537" s="11">
        <v>43922.383333333331</v>
      </c>
      <c r="O537" s="8" t="s">
        <v>4325</v>
      </c>
      <c r="P537" s="11">
        <v>43724.529791666668</v>
      </c>
      <c r="Q537" s="13">
        <v>1265773</v>
      </c>
      <c r="R537" s="194" t="s">
        <v>594</v>
      </c>
      <c r="S537" s="14" t="s">
        <v>809</v>
      </c>
      <c r="T537" s="163">
        <v>241</v>
      </c>
      <c r="U537" s="164" t="str">
        <f>CONCATENATE(LEFT(SP_ACQ_Lib[[#This Row],[Tax Parcel ID]],7),"_",SP_ACQ_Lib[[#This Row],[ACQ Document Type]])</f>
        <v>R013043_SURVEY Right-of-Entry</v>
      </c>
      <c r="V537" s="65" t="str">
        <f>INDEX(SP_AcqTract_DB[WCAD Tax Parcel ID],MATCH(SP_ACQ_Lib[[#This Row],[Acquisition Tract No.]],SP_AcqTract_DB[Acquisition Tract No.],0))</f>
        <v>R013043;#51</v>
      </c>
      <c r="W537" s="48" t="str">
        <f>INDEX(SP_TaxPar_DB[Acquisition Tract No.],MATCH(LEFT(SP_ACQ_Lib[[#This Row],[Tax Parcel ID]],7),SP_TaxPar_DB[Tax Parcel ID],0))</f>
        <v>311</v>
      </c>
      <c r="X537" s="238" t="str">
        <f>IF(OR(SP_ACQ_Lib[[#This Row],[Acquisition Tract No.]]="",SP_ACQ_Lib[[#This Row],[ACQ Document Type]]=""),0,CONCATENATE("COW-FRMP_TR-",SP_ACQ_Lib[[#This Row],[Acquisition Tract No.]]," ",SP_ACQ_Lib[[#This Row],[ACQ Document Type]]))</f>
        <v>COW-FRMP_TR-311 SURVEY Right-of-Entry</v>
      </c>
      <c r="Y537" s="239">
        <f>IF(OR(SP_ACQ_Lib[[#This Row],[File Name Convention]]=0,LEFT(SP_ACQ_Lib[[#This Row],[Name]],LEN(SP_ACQ_Lib[[#This Row],[File Name Convention]]))&lt;&gt;SP_ACQ_Lib[[#This Row],[File Name Convention]],ISERROR(SEARCH(SP_ACQ_Lib[[#This Row],[ACQ Document Type]],SP_ACQ_Lib[[#This Row],[Name]]))),1,0)</f>
        <v>0</v>
      </c>
    </row>
    <row r="538" spans="1:25" ht="15" x14ac:dyDescent="0.2">
      <c r="A538" s="157" t="str">
        <f>CONCATENATE(SP_ACQ_Lib[[#This Row],[Acquisition Tract No.]],"_",SP_ACQ_Lib[[#This Row],[ACQ Document Type]])</f>
        <v>311_SURVEY Right-of-Entry CMRR</v>
      </c>
      <c r="B538" s="14" t="s">
        <v>4598</v>
      </c>
      <c r="C538" s="193" t="s">
        <v>54</v>
      </c>
      <c r="D538" s="12" t="s">
        <v>654</v>
      </c>
      <c r="E538" s="8" t="s">
        <v>858</v>
      </c>
      <c r="F538" s="8" t="s">
        <v>860</v>
      </c>
      <c r="G538" s="8" t="s">
        <v>598</v>
      </c>
      <c r="H538" s="7" t="s">
        <v>608</v>
      </c>
      <c r="I538" s="16">
        <v>43691</v>
      </c>
      <c r="J538" s="16">
        <v>43733</v>
      </c>
      <c r="K538" s="17"/>
      <c r="L538" s="3" t="s">
        <v>4565</v>
      </c>
      <c r="M538" s="8" t="s">
        <v>4206</v>
      </c>
      <c r="N538" s="11">
        <v>43923.480300925927</v>
      </c>
      <c r="O538" s="8" t="s">
        <v>4325</v>
      </c>
      <c r="P538" s="11">
        <v>43699.456122685187</v>
      </c>
      <c r="Q538" s="13">
        <v>431714</v>
      </c>
      <c r="R538" s="194" t="s">
        <v>594</v>
      </c>
      <c r="S538" s="14" t="s">
        <v>810</v>
      </c>
      <c r="T538" s="163">
        <v>125</v>
      </c>
      <c r="U538" s="164" t="str">
        <f>CONCATENATE(LEFT(SP_ACQ_Lib[[#This Row],[Tax Parcel ID]],7),"_",SP_ACQ_Lib[[#This Row],[ACQ Document Type]])</f>
        <v>R013043_SURVEY Right-of-Entry CMRR</v>
      </c>
      <c r="V538" s="65" t="str">
        <f>INDEX(SP_AcqTract_DB[WCAD Tax Parcel ID],MATCH(SP_ACQ_Lib[[#This Row],[Acquisition Tract No.]],SP_AcqTract_DB[Acquisition Tract No.],0))</f>
        <v>R013043;#51</v>
      </c>
      <c r="W538" s="48" t="str">
        <f>INDEX(SP_TaxPar_DB[Acquisition Tract No.],MATCH(LEFT(SP_ACQ_Lib[[#This Row],[Tax Parcel ID]],7),SP_TaxPar_DB[Tax Parcel ID],0))</f>
        <v>311</v>
      </c>
      <c r="X538" s="238" t="str">
        <f>IF(OR(SP_ACQ_Lib[[#This Row],[Acquisition Tract No.]]="",SP_ACQ_Lib[[#This Row],[ACQ Document Type]]=""),0,CONCATENATE("COW-FRMP_TR-",SP_ACQ_Lib[[#This Row],[Acquisition Tract No.]]," ",SP_ACQ_Lib[[#This Row],[ACQ Document Type]]))</f>
        <v>COW-FRMP_TR-311 SURVEY Right-of-Entry CMRR</v>
      </c>
      <c r="Y538" s="239">
        <f>IF(OR(SP_ACQ_Lib[[#This Row],[File Name Convention]]=0,LEFT(SP_ACQ_Lib[[#This Row],[Name]],LEN(SP_ACQ_Lib[[#This Row],[File Name Convention]]))&lt;&gt;SP_ACQ_Lib[[#This Row],[File Name Convention]],ISERROR(SEARCH(SP_ACQ_Lib[[#This Row],[ACQ Document Type]],SP_ACQ_Lib[[#This Row],[Name]]))),1,0)</f>
        <v>0</v>
      </c>
    </row>
    <row r="539" spans="1:25" ht="15" x14ac:dyDescent="0.2">
      <c r="A539" s="157" t="str">
        <f>CONCATENATE(SP_ACQ_Lib[[#This Row],[Acquisition Tract No.]],"_",SP_ACQ_Lib[[#This Row],[ACQ Document Type]])</f>
        <v>311_TITLE Commitment</v>
      </c>
      <c r="B539" s="14" t="s">
        <v>1560</v>
      </c>
      <c r="C539" s="193" t="s">
        <v>54</v>
      </c>
      <c r="D539" s="12" t="s">
        <v>654</v>
      </c>
      <c r="E539" s="8" t="s">
        <v>861</v>
      </c>
      <c r="F539" s="8" t="s">
        <v>862</v>
      </c>
      <c r="G539" s="8" t="s">
        <v>614</v>
      </c>
      <c r="H539" s="7" t="s">
        <v>592</v>
      </c>
      <c r="I539" s="16">
        <v>43986</v>
      </c>
      <c r="J539" s="16">
        <v>43994</v>
      </c>
      <c r="K539" s="17"/>
      <c r="L539" s="3" t="s">
        <v>6233</v>
      </c>
      <c r="M539" s="8" t="s">
        <v>4325</v>
      </c>
      <c r="N539" s="11">
        <v>43994.640729166669</v>
      </c>
      <c r="O539" s="8" t="s">
        <v>4326</v>
      </c>
      <c r="P539" s="11">
        <v>43691.469826388886</v>
      </c>
      <c r="Q539" s="13">
        <v>1999040</v>
      </c>
      <c r="R539" s="194" t="s">
        <v>594</v>
      </c>
      <c r="S539" s="14" t="s">
        <v>811</v>
      </c>
      <c r="T539" s="163">
        <v>45</v>
      </c>
      <c r="U539" s="164" t="str">
        <f>CONCATENATE(LEFT(SP_ACQ_Lib[[#This Row],[Tax Parcel ID]],7),"_",SP_ACQ_Lib[[#This Row],[ACQ Document Type]])</f>
        <v>R013043_TITLE Commitment</v>
      </c>
      <c r="V539" s="65" t="str">
        <f>INDEX(SP_AcqTract_DB[WCAD Tax Parcel ID],MATCH(SP_ACQ_Lib[[#This Row],[Acquisition Tract No.]],SP_AcqTract_DB[Acquisition Tract No.],0))</f>
        <v>R013043;#51</v>
      </c>
      <c r="W539" s="48" t="str">
        <f>INDEX(SP_TaxPar_DB[Acquisition Tract No.],MATCH(LEFT(SP_ACQ_Lib[[#This Row],[Tax Parcel ID]],7),SP_TaxPar_DB[Tax Parcel ID],0))</f>
        <v>311</v>
      </c>
      <c r="X539" s="238" t="str">
        <f>IF(OR(SP_ACQ_Lib[[#This Row],[Acquisition Tract No.]]="",SP_ACQ_Lib[[#This Row],[ACQ Document Type]]=""),0,CONCATENATE("COW-FRMP_TR-",SP_ACQ_Lib[[#This Row],[Acquisition Tract No.]]," ",SP_ACQ_Lib[[#This Row],[ACQ Document Type]]))</f>
        <v>COW-FRMP_TR-311 TITLE Commitment</v>
      </c>
      <c r="Y539" s="239">
        <f>IF(OR(SP_ACQ_Lib[[#This Row],[File Name Convention]]=0,LEFT(SP_ACQ_Lib[[#This Row],[Name]],LEN(SP_ACQ_Lib[[#This Row],[File Name Convention]]))&lt;&gt;SP_ACQ_Lib[[#This Row],[File Name Convention]],ISERROR(SEARCH(SP_ACQ_Lib[[#This Row],[ACQ Document Type]],SP_ACQ_Lib[[#This Row],[Name]]))),1,0)</f>
        <v>0</v>
      </c>
    </row>
    <row r="540" spans="1:25" ht="15" x14ac:dyDescent="0.2">
      <c r="A540" s="157" t="str">
        <f>CONCATENATE(SP_ACQ_Lib[[#This Row],[Acquisition Tract No.]],"_",SP_ACQ_Lib[[#This Row],[ACQ Document Type]])</f>
        <v>311_TITLE Commitment Backup Docs</v>
      </c>
      <c r="B540" s="14" t="s">
        <v>1561</v>
      </c>
      <c r="C540" s="193" t="s">
        <v>54</v>
      </c>
      <c r="D540" s="12" t="s">
        <v>654</v>
      </c>
      <c r="E540" s="8" t="s">
        <v>861</v>
      </c>
      <c r="F540" s="8" t="s">
        <v>863</v>
      </c>
      <c r="G540" s="8" t="s">
        <v>616</v>
      </c>
      <c r="H540" s="7" t="s">
        <v>592</v>
      </c>
      <c r="I540" s="16"/>
      <c r="J540" s="16"/>
      <c r="K540" s="17"/>
      <c r="L540" s="3"/>
      <c r="M540" s="8" t="s">
        <v>4325</v>
      </c>
      <c r="N540" s="11">
        <v>43805.45349537037</v>
      </c>
      <c r="O540" s="8" t="s">
        <v>4326</v>
      </c>
      <c r="P540" s="11">
        <v>43691.470324074071</v>
      </c>
      <c r="Q540" s="13">
        <v>96310</v>
      </c>
      <c r="R540" s="194" t="s">
        <v>594</v>
      </c>
      <c r="S540" s="14" t="s">
        <v>812</v>
      </c>
      <c r="T540" s="163">
        <v>46</v>
      </c>
      <c r="U540" s="164" t="str">
        <f>CONCATENATE(LEFT(SP_ACQ_Lib[[#This Row],[Tax Parcel ID]],7),"_",SP_ACQ_Lib[[#This Row],[ACQ Document Type]])</f>
        <v>R013043_TITLE Commitment Backup Docs</v>
      </c>
      <c r="V540" s="65" t="str">
        <f>INDEX(SP_AcqTract_DB[WCAD Tax Parcel ID],MATCH(SP_ACQ_Lib[[#This Row],[Acquisition Tract No.]],SP_AcqTract_DB[Acquisition Tract No.],0))</f>
        <v>R013043;#51</v>
      </c>
      <c r="W540" s="48" t="str">
        <f>INDEX(SP_TaxPar_DB[Acquisition Tract No.],MATCH(LEFT(SP_ACQ_Lib[[#This Row],[Tax Parcel ID]],7),SP_TaxPar_DB[Tax Parcel ID],0))</f>
        <v>311</v>
      </c>
      <c r="X540" s="238" t="str">
        <f>IF(OR(SP_ACQ_Lib[[#This Row],[Acquisition Tract No.]]="",SP_ACQ_Lib[[#This Row],[ACQ Document Type]]=""),0,CONCATENATE("COW-FRMP_TR-",SP_ACQ_Lib[[#This Row],[Acquisition Tract No.]]," ",SP_ACQ_Lib[[#This Row],[ACQ Document Type]]))</f>
        <v>COW-FRMP_TR-311 TITLE Commitment Backup Docs</v>
      </c>
      <c r="Y540" s="239">
        <f>IF(OR(SP_ACQ_Lib[[#This Row],[File Name Convention]]=0,LEFT(SP_ACQ_Lib[[#This Row],[Name]],LEN(SP_ACQ_Lib[[#This Row],[File Name Convention]]))&lt;&gt;SP_ACQ_Lib[[#This Row],[File Name Convention]],ISERROR(SEARCH(SP_ACQ_Lib[[#This Row],[ACQ Document Type]],SP_ACQ_Lib[[#This Row],[Name]]))),1,0)</f>
        <v>0</v>
      </c>
    </row>
    <row r="541" spans="1:25" ht="15" x14ac:dyDescent="0.2">
      <c r="A541" s="157" t="str">
        <f>CONCATENATE(SP_ACQ_Lib[[#This Row],[Acquisition Tract No.]],"_",SP_ACQ_Lib[[#This Row],[ACQ Document Type]])</f>
        <v>311_TITLE Curative Plan</v>
      </c>
      <c r="B541" s="14" t="s">
        <v>1562</v>
      </c>
      <c r="C541" s="193" t="s">
        <v>54</v>
      </c>
      <c r="D541" s="12" t="s">
        <v>654</v>
      </c>
      <c r="E541" s="8" t="s">
        <v>861</v>
      </c>
      <c r="F541" s="8" t="s">
        <v>864</v>
      </c>
      <c r="G541" s="8" t="s">
        <v>617</v>
      </c>
      <c r="H541" s="7" t="s">
        <v>592</v>
      </c>
      <c r="I541" s="16">
        <v>43805</v>
      </c>
      <c r="J541" s="16"/>
      <c r="K541" s="17"/>
      <c r="L541" s="3"/>
      <c r="M541" s="8" t="s">
        <v>4325</v>
      </c>
      <c r="N541" s="11">
        <v>43994.642233796294</v>
      </c>
      <c r="O541" s="8" t="s">
        <v>4326</v>
      </c>
      <c r="P541" s="11">
        <v>43717.584710648145</v>
      </c>
      <c r="Q541" s="13">
        <v>36547</v>
      </c>
      <c r="R541" s="194" t="s">
        <v>594</v>
      </c>
      <c r="S541" s="14" t="s">
        <v>813</v>
      </c>
      <c r="T541" s="163">
        <v>223</v>
      </c>
      <c r="U541" s="164" t="str">
        <f>CONCATENATE(LEFT(SP_ACQ_Lib[[#This Row],[Tax Parcel ID]],7),"_",SP_ACQ_Lib[[#This Row],[ACQ Document Type]])</f>
        <v>R013043_TITLE Curative Plan</v>
      </c>
      <c r="V541" s="65" t="str">
        <f>INDEX(SP_AcqTract_DB[WCAD Tax Parcel ID],MATCH(SP_ACQ_Lib[[#This Row],[Acquisition Tract No.]],SP_AcqTract_DB[Acquisition Tract No.],0))</f>
        <v>R013043;#51</v>
      </c>
      <c r="W541" s="48" t="str">
        <f>INDEX(SP_TaxPar_DB[Acquisition Tract No.],MATCH(LEFT(SP_ACQ_Lib[[#This Row],[Tax Parcel ID]],7),SP_TaxPar_DB[Tax Parcel ID],0))</f>
        <v>311</v>
      </c>
      <c r="X541" s="238" t="str">
        <f>IF(OR(SP_ACQ_Lib[[#This Row],[Acquisition Tract No.]]="",SP_ACQ_Lib[[#This Row],[ACQ Document Type]]=""),0,CONCATENATE("COW-FRMP_TR-",SP_ACQ_Lib[[#This Row],[Acquisition Tract No.]]," ",SP_ACQ_Lib[[#This Row],[ACQ Document Type]]))</f>
        <v>COW-FRMP_TR-311 TITLE Curative Plan</v>
      </c>
      <c r="Y541" s="239">
        <f>IF(OR(SP_ACQ_Lib[[#This Row],[File Name Convention]]=0,LEFT(SP_ACQ_Lib[[#This Row],[Name]],LEN(SP_ACQ_Lib[[#This Row],[File Name Convention]]))&lt;&gt;SP_ACQ_Lib[[#This Row],[File Name Convention]],ISERROR(SEARCH(SP_ACQ_Lib[[#This Row],[ACQ Document Type]],SP_ACQ_Lib[[#This Row],[Name]]))),1,0)</f>
        <v>0</v>
      </c>
    </row>
    <row r="542" spans="1:25" ht="15" x14ac:dyDescent="0.2">
      <c r="A542" s="157" t="str">
        <f>CONCATENATE(SP_ACQ_Lib[[#This Row],[Acquisition Tract No.]],"_",SP_ACQ_Lib[[#This Row],[ACQ Document Type]])</f>
        <v>311_TITLE Tax Card</v>
      </c>
      <c r="B542" s="14" t="s">
        <v>3478</v>
      </c>
      <c r="C542" s="193" t="s">
        <v>54</v>
      </c>
      <c r="D542" s="12" t="s">
        <v>654</v>
      </c>
      <c r="E542" s="8" t="s">
        <v>861</v>
      </c>
      <c r="F542" s="8" t="s">
        <v>1150</v>
      </c>
      <c r="G542" s="8" t="s">
        <v>1149</v>
      </c>
      <c r="H542" s="7" t="s">
        <v>592</v>
      </c>
      <c r="I542" s="16"/>
      <c r="J542" s="16"/>
      <c r="K542" s="17"/>
      <c r="L542" s="3"/>
      <c r="M542" s="8" t="s">
        <v>4206</v>
      </c>
      <c r="N542" s="11">
        <v>43874.59443287037</v>
      </c>
      <c r="O542" s="8" t="s">
        <v>1272</v>
      </c>
      <c r="P542" s="11">
        <v>43817.479930555557</v>
      </c>
      <c r="Q542" s="13">
        <v>426647</v>
      </c>
      <c r="R542" s="194" t="s">
        <v>594</v>
      </c>
      <c r="S542" s="14" t="s">
        <v>1795</v>
      </c>
      <c r="T542" s="163">
        <v>653</v>
      </c>
      <c r="U542" s="164" t="str">
        <f>CONCATENATE(LEFT(SP_ACQ_Lib[[#This Row],[Tax Parcel ID]],7),"_",SP_ACQ_Lib[[#This Row],[ACQ Document Type]])</f>
        <v>R013043_TITLE Tax Card</v>
      </c>
      <c r="V542" s="65" t="str">
        <f>INDEX(SP_AcqTract_DB[WCAD Tax Parcel ID],MATCH(SP_ACQ_Lib[[#This Row],[Acquisition Tract No.]],SP_AcqTract_DB[Acquisition Tract No.],0))</f>
        <v>R013043;#51</v>
      </c>
      <c r="W542" s="48" t="str">
        <f>INDEX(SP_TaxPar_DB[Acquisition Tract No.],MATCH(LEFT(SP_ACQ_Lib[[#This Row],[Tax Parcel ID]],7),SP_TaxPar_DB[Tax Parcel ID],0))</f>
        <v>311</v>
      </c>
      <c r="X542" s="238" t="str">
        <f>IF(OR(SP_ACQ_Lib[[#This Row],[Acquisition Tract No.]]="",SP_ACQ_Lib[[#This Row],[ACQ Document Type]]=""),0,CONCATENATE("COW-FRMP_TR-",SP_ACQ_Lib[[#This Row],[Acquisition Tract No.]]," ",SP_ACQ_Lib[[#This Row],[ACQ Document Type]]))</f>
        <v>COW-FRMP_TR-311 TITLE Tax Card</v>
      </c>
      <c r="Y542" s="239">
        <f>IF(OR(SP_ACQ_Lib[[#This Row],[File Name Convention]]=0,LEFT(SP_ACQ_Lib[[#This Row],[Name]],LEN(SP_ACQ_Lib[[#This Row],[File Name Convention]]))&lt;&gt;SP_ACQ_Lib[[#This Row],[File Name Convention]],ISERROR(SEARCH(SP_ACQ_Lib[[#This Row],[ACQ Document Type]],SP_ACQ_Lib[[#This Row],[Name]]))),1,0)</f>
        <v>0</v>
      </c>
    </row>
    <row r="543" spans="1:25" ht="15" x14ac:dyDescent="0.2">
      <c r="A543" s="157" t="str">
        <f>CONCATENATE(SP_ACQ_Lib[[#This Row],[Acquisition Tract No.]],"_",SP_ACQ_Lib[[#This Row],[ACQ Document Type]])</f>
        <v>312_APPRAISAL Final Appraisal</v>
      </c>
      <c r="B543" s="14" t="s">
        <v>6453</v>
      </c>
      <c r="C543" s="193" t="s">
        <v>55</v>
      </c>
      <c r="D543" s="12" t="s">
        <v>655</v>
      </c>
      <c r="E543" s="8" t="s">
        <v>1131</v>
      </c>
      <c r="F543" s="8" t="s">
        <v>4755</v>
      </c>
      <c r="G543" s="8" t="s">
        <v>4754</v>
      </c>
      <c r="H543" s="7" t="s">
        <v>592</v>
      </c>
      <c r="I543" s="16">
        <v>43960</v>
      </c>
      <c r="J543" s="16"/>
      <c r="K543" s="17">
        <v>7896</v>
      </c>
      <c r="L543" s="3"/>
      <c r="M543" s="8" t="s">
        <v>4206</v>
      </c>
      <c r="N543" s="11">
        <v>44006.400057870371</v>
      </c>
      <c r="O543" s="8" t="s">
        <v>4206</v>
      </c>
      <c r="P543" s="11">
        <v>44006.39880787037</v>
      </c>
      <c r="Q543" s="13">
        <v>3638707</v>
      </c>
      <c r="R543" s="194" t="s">
        <v>594</v>
      </c>
      <c r="S543" s="14" t="s">
        <v>6456</v>
      </c>
      <c r="T543" s="163">
        <v>1290</v>
      </c>
      <c r="U543" s="164" t="str">
        <f>CONCATENATE(LEFT(SP_ACQ_Lib[[#This Row],[Tax Parcel ID]],7),"_",SP_ACQ_Lib[[#This Row],[ACQ Document Type]])</f>
        <v>R013047_APPRAISAL Final Appraisal</v>
      </c>
      <c r="V543" s="65" t="str">
        <f>INDEX(SP_AcqTract_DB[WCAD Tax Parcel ID],MATCH(SP_ACQ_Lib[[#This Row],[Acquisition Tract No.]],SP_AcqTract_DB[Acquisition Tract No.],0))</f>
        <v>R013047;#52</v>
      </c>
      <c r="W543" s="48" t="str">
        <f>INDEX(SP_TaxPar_DB[Acquisition Tract No.],MATCH(LEFT(SP_ACQ_Lib[[#This Row],[Tax Parcel ID]],7),SP_TaxPar_DB[Tax Parcel ID],0))</f>
        <v>312</v>
      </c>
      <c r="X543" s="238" t="str">
        <f>IF(OR(SP_ACQ_Lib[[#This Row],[Acquisition Tract No.]]="",SP_ACQ_Lib[[#This Row],[ACQ Document Type]]=""),0,CONCATENATE("COW-FRMP_TR-",SP_ACQ_Lib[[#This Row],[Acquisition Tract No.]]," ",SP_ACQ_Lib[[#This Row],[ACQ Document Type]]))</f>
        <v>COW-FRMP_TR-312 APPRAISAL Final Appraisal</v>
      </c>
      <c r="Y543" s="239">
        <f>IF(OR(SP_ACQ_Lib[[#This Row],[File Name Convention]]=0,LEFT(SP_ACQ_Lib[[#This Row],[Name]],LEN(SP_ACQ_Lib[[#This Row],[File Name Convention]]))&lt;&gt;SP_ACQ_Lib[[#This Row],[File Name Convention]],ISERROR(SEARCH(SP_ACQ_Lib[[#This Row],[ACQ Document Type]],SP_ACQ_Lib[[#This Row],[Name]]))),1,0)</f>
        <v>0</v>
      </c>
    </row>
    <row r="544" spans="1:25" ht="15" x14ac:dyDescent="0.2">
      <c r="A544" s="157" t="str">
        <f>CONCATENATE(SP_ACQ_Lib[[#This Row],[Acquisition Tract No.]],"_",SP_ACQ_Lib[[#This Row],[ACQ Document Type]])</f>
        <v>312_APPRAISAL Just Compensation Memo</v>
      </c>
      <c r="B544" s="14" t="s">
        <v>6454</v>
      </c>
      <c r="C544" s="193" t="s">
        <v>55</v>
      </c>
      <c r="D544" s="12" t="s">
        <v>655</v>
      </c>
      <c r="E544" s="8" t="s">
        <v>1131</v>
      </c>
      <c r="F544" s="8" t="s">
        <v>4757</v>
      </c>
      <c r="G544" s="8" t="s">
        <v>4756</v>
      </c>
      <c r="H544" s="7" t="s">
        <v>592</v>
      </c>
      <c r="I544" s="16">
        <v>44006</v>
      </c>
      <c r="J544" s="16">
        <v>44006</v>
      </c>
      <c r="K544" s="17">
        <v>7896</v>
      </c>
      <c r="L544" s="3"/>
      <c r="M544" s="8" t="s">
        <v>4206</v>
      </c>
      <c r="N544" s="11">
        <v>44006.400520833333</v>
      </c>
      <c r="O544" s="8" t="s">
        <v>4206</v>
      </c>
      <c r="P544" s="11">
        <v>44006.39880787037</v>
      </c>
      <c r="Q544" s="13">
        <v>26046</v>
      </c>
      <c r="R544" s="194" t="s">
        <v>594</v>
      </c>
      <c r="S544" s="14" t="s">
        <v>6457</v>
      </c>
      <c r="T544" s="163">
        <v>1291</v>
      </c>
      <c r="U544" s="164" t="str">
        <f>CONCATENATE(LEFT(SP_ACQ_Lib[[#This Row],[Tax Parcel ID]],7),"_",SP_ACQ_Lib[[#This Row],[ACQ Document Type]])</f>
        <v>R013047_APPRAISAL Just Compensation Memo</v>
      </c>
      <c r="V544" s="65" t="str">
        <f>INDEX(SP_AcqTract_DB[WCAD Tax Parcel ID],MATCH(SP_ACQ_Lib[[#This Row],[Acquisition Tract No.]],SP_AcqTract_DB[Acquisition Tract No.],0))</f>
        <v>R013047;#52</v>
      </c>
      <c r="W544" s="48" t="str">
        <f>INDEX(SP_TaxPar_DB[Acquisition Tract No.],MATCH(LEFT(SP_ACQ_Lib[[#This Row],[Tax Parcel ID]],7),SP_TaxPar_DB[Tax Parcel ID],0))</f>
        <v>312</v>
      </c>
      <c r="X544" s="238" t="str">
        <f>IF(OR(SP_ACQ_Lib[[#This Row],[Acquisition Tract No.]]="",SP_ACQ_Lib[[#This Row],[ACQ Document Type]]=""),0,CONCATENATE("COW-FRMP_TR-",SP_ACQ_Lib[[#This Row],[Acquisition Tract No.]]," ",SP_ACQ_Lib[[#This Row],[ACQ Document Type]]))</f>
        <v>COW-FRMP_TR-312 APPRAISAL Just Compensation Memo</v>
      </c>
      <c r="Y544" s="239">
        <f>IF(OR(SP_ACQ_Lib[[#This Row],[File Name Convention]]=0,LEFT(SP_ACQ_Lib[[#This Row],[Name]],LEN(SP_ACQ_Lib[[#This Row],[File Name Convention]]))&lt;&gt;SP_ACQ_Lib[[#This Row],[File Name Convention]],ISERROR(SEARCH(SP_ACQ_Lib[[#This Row],[ACQ Document Type]],SP_ACQ_Lib[[#This Row],[Name]]))),1,0)</f>
        <v>0</v>
      </c>
    </row>
    <row r="545" spans="1:25" ht="15" x14ac:dyDescent="0.2">
      <c r="A545" s="157" t="str">
        <f>CONCATENATE(SP_ACQ_Lib[[#This Row],[Acquisition Tract No.]],"_",SP_ACQ_Lib[[#This Row],[ACQ Document Type]])</f>
        <v>312_APPRAISAL USACOE Authorization to Proceed with Offer</v>
      </c>
      <c r="B545" s="14" t="s">
        <v>6455</v>
      </c>
      <c r="C545" s="193" t="s">
        <v>55</v>
      </c>
      <c r="D545" s="12" t="s">
        <v>655</v>
      </c>
      <c r="E545" s="8" t="s">
        <v>1131</v>
      </c>
      <c r="F545" s="8" t="s">
        <v>4959</v>
      </c>
      <c r="G545" s="8" t="s">
        <v>4958</v>
      </c>
      <c r="H545" s="7" t="s">
        <v>592</v>
      </c>
      <c r="I545" s="16">
        <v>44006</v>
      </c>
      <c r="J545" s="16">
        <v>44006</v>
      </c>
      <c r="K545" s="17">
        <v>7896</v>
      </c>
      <c r="L545" s="3"/>
      <c r="M545" s="8" t="s">
        <v>4206</v>
      </c>
      <c r="N545" s="11">
        <v>44006.400995370372</v>
      </c>
      <c r="O545" s="8" t="s">
        <v>4206</v>
      </c>
      <c r="P545" s="11">
        <v>44006.398819444446</v>
      </c>
      <c r="Q545" s="13">
        <v>420759</v>
      </c>
      <c r="R545" s="194" t="s">
        <v>594</v>
      </c>
      <c r="S545" s="14" t="s">
        <v>6458</v>
      </c>
      <c r="T545" s="163">
        <v>1292</v>
      </c>
      <c r="U545" s="164" t="str">
        <f>CONCATENATE(LEFT(SP_ACQ_Lib[[#This Row],[Tax Parcel ID]],7),"_",SP_ACQ_Lib[[#This Row],[ACQ Document Type]])</f>
        <v>R013047_APPRAISAL USACOE Authorization to Proceed with Offer</v>
      </c>
      <c r="V545" s="65" t="str">
        <f>INDEX(SP_AcqTract_DB[WCAD Tax Parcel ID],MATCH(SP_ACQ_Lib[[#This Row],[Acquisition Tract No.]],SP_AcqTract_DB[Acquisition Tract No.],0))</f>
        <v>R013047;#52</v>
      </c>
      <c r="W545" s="48" t="str">
        <f>INDEX(SP_TaxPar_DB[Acquisition Tract No.],MATCH(LEFT(SP_ACQ_Lib[[#This Row],[Tax Parcel ID]],7),SP_TaxPar_DB[Tax Parcel ID],0))</f>
        <v>312</v>
      </c>
      <c r="X545" s="238" t="str">
        <f>IF(OR(SP_ACQ_Lib[[#This Row],[Acquisition Tract No.]]="",SP_ACQ_Lib[[#This Row],[ACQ Document Type]]=""),0,CONCATENATE("COW-FRMP_TR-",SP_ACQ_Lib[[#This Row],[Acquisition Tract No.]]," ",SP_ACQ_Lib[[#This Row],[ACQ Document Type]]))</f>
        <v>COW-FRMP_TR-312 APPRAISAL USACOE Authorization to Proceed with Offer</v>
      </c>
      <c r="Y545" s="239">
        <f>IF(OR(SP_ACQ_Lib[[#This Row],[File Name Convention]]=0,LEFT(SP_ACQ_Lib[[#This Row],[Name]],LEN(SP_ACQ_Lib[[#This Row],[File Name Convention]]))&lt;&gt;SP_ACQ_Lib[[#This Row],[File Name Convention]],ISERROR(SEARCH(SP_ACQ_Lib[[#This Row],[ACQ Document Type]],SP_ACQ_Lib[[#This Row],[Name]]))),1,0)</f>
        <v>0</v>
      </c>
    </row>
    <row r="546" spans="1:25" ht="15" x14ac:dyDescent="0.2">
      <c r="A546" s="157" t="str">
        <f>CONCATENATE(SP_ACQ_Lib[[#This Row],[Acquisition Tract No.]],"_",SP_ACQ_Lib[[#This Row],[ACQ Document Type]])</f>
        <v>312_CONTACT Initial Interview - Residential</v>
      </c>
      <c r="B546" s="14" t="s">
        <v>1563</v>
      </c>
      <c r="C546" s="193" t="s">
        <v>55</v>
      </c>
      <c r="D546" s="12" t="s">
        <v>655</v>
      </c>
      <c r="E546" s="8" t="s">
        <v>865</v>
      </c>
      <c r="F546" s="8" t="s">
        <v>866</v>
      </c>
      <c r="G546" s="8" t="s">
        <v>618</v>
      </c>
      <c r="H546" s="7" t="s">
        <v>592</v>
      </c>
      <c r="I546" s="16">
        <v>43685</v>
      </c>
      <c r="J546" s="16"/>
      <c r="K546" s="17"/>
      <c r="L546" s="3"/>
      <c r="M546" s="8" t="s">
        <v>23</v>
      </c>
      <c r="N546" s="11">
        <v>43770.449270833335</v>
      </c>
      <c r="O546" s="8" t="s">
        <v>4325</v>
      </c>
      <c r="P546" s="11">
        <v>43696.390810185185</v>
      </c>
      <c r="Q546" s="13">
        <v>192336</v>
      </c>
      <c r="R546" s="194" t="s">
        <v>594</v>
      </c>
      <c r="S546" s="14" t="s">
        <v>814</v>
      </c>
      <c r="T546" s="163">
        <v>95</v>
      </c>
      <c r="U546" s="164" t="str">
        <f>CONCATENATE(LEFT(SP_ACQ_Lib[[#This Row],[Tax Parcel ID]],7),"_",SP_ACQ_Lib[[#This Row],[ACQ Document Type]])</f>
        <v>R013047_CONTACT Initial Interview - Residential</v>
      </c>
      <c r="V546" s="65" t="str">
        <f>INDEX(SP_AcqTract_DB[WCAD Tax Parcel ID],MATCH(SP_ACQ_Lib[[#This Row],[Acquisition Tract No.]],SP_AcqTract_DB[Acquisition Tract No.],0))</f>
        <v>R013047;#52</v>
      </c>
      <c r="W546" s="48" t="str">
        <f>INDEX(SP_TaxPar_DB[Acquisition Tract No.],MATCH(LEFT(SP_ACQ_Lib[[#This Row],[Tax Parcel ID]],7),SP_TaxPar_DB[Tax Parcel ID],0))</f>
        <v>312</v>
      </c>
      <c r="X546" s="238" t="str">
        <f>IF(OR(SP_ACQ_Lib[[#This Row],[Acquisition Tract No.]]="",SP_ACQ_Lib[[#This Row],[ACQ Document Type]]=""),0,CONCATENATE("COW-FRMP_TR-",SP_ACQ_Lib[[#This Row],[Acquisition Tract No.]]," ",SP_ACQ_Lib[[#This Row],[ACQ Document Type]]))</f>
        <v>COW-FRMP_TR-312 CONTACT Initial Interview - Residential</v>
      </c>
      <c r="Y546" s="239">
        <f>IF(OR(SP_ACQ_Lib[[#This Row],[File Name Convention]]=0,LEFT(SP_ACQ_Lib[[#This Row],[Name]],LEN(SP_ACQ_Lib[[#This Row],[File Name Convention]]))&lt;&gt;SP_ACQ_Lib[[#This Row],[File Name Convention]],ISERROR(SEARCH(SP_ACQ_Lib[[#This Row],[ACQ Document Type]],SP_ACQ_Lib[[#This Row],[Name]]))),1,0)</f>
        <v>0</v>
      </c>
    </row>
    <row r="547" spans="1:25" ht="15" x14ac:dyDescent="0.2">
      <c r="A547" s="157" t="str">
        <f>CONCATENATE(SP_ACQ_Lib[[#This Row],[Acquisition Tract No.]],"_",SP_ACQ_Lib[[#This Row],[ACQ Document Type]])</f>
        <v>312_CONTACT Letter of Intent-HDR</v>
      </c>
      <c r="B547" s="14" t="s">
        <v>1564</v>
      </c>
      <c r="C547" s="193" t="s">
        <v>55</v>
      </c>
      <c r="D547" s="12" t="s">
        <v>655</v>
      </c>
      <c r="E547" s="8" t="s">
        <v>865</v>
      </c>
      <c r="F547" s="8" t="s">
        <v>1401</v>
      </c>
      <c r="G547" s="8" t="s">
        <v>1400</v>
      </c>
      <c r="H547" s="7" t="s">
        <v>592</v>
      </c>
      <c r="I547" s="16">
        <v>43765</v>
      </c>
      <c r="J547" s="16"/>
      <c r="K547" s="17"/>
      <c r="L547" s="3"/>
      <c r="M547" s="8" t="s">
        <v>23</v>
      </c>
      <c r="N547" s="11">
        <v>43770.449270833335</v>
      </c>
      <c r="O547" s="8" t="s">
        <v>1272</v>
      </c>
      <c r="P547" s="11">
        <v>43769.626643518517</v>
      </c>
      <c r="Q547" s="13">
        <v>58000</v>
      </c>
      <c r="R547" s="194" t="s">
        <v>594</v>
      </c>
      <c r="S547" s="14" t="s">
        <v>1653</v>
      </c>
      <c r="T547" s="163">
        <v>528</v>
      </c>
      <c r="U547" s="164" t="str">
        <f>CONCATENATE(LEFT(SP_ACQ_Lib[[#This Row],[Tax Parcel ID]],7),"_",SP_ACQ_Lib[[#This Row],[ACQ Document Type]])</f>
        <v>R013047_CONTACT Letter of Intent-HDR</v>
      </c>
      <c r="V547" s="65" t="str">
        <f>INDEX(SP_AcqTract_DB[WCAD Tax Parcel ID],MATCH(SP_ACQ_Lib[[#This Row],[Acquisition Tract No.]],SP_AcqTract_DB[Acquisition Tract No.],0))</f>
        <v>R013047;#52</v>
      </c>
      <c r="W547" s="48" t="str">
        <f>INDEX(SP_TaxPar_DB[Acquisition Tract No.],MATCH(LEFT(SP_ACQ_Lib[[#This Row],[Tax Parcel ID]],7),SP_TaxPar_DB[Tax Parcel ID],0))</f>
        <v>312</v>
      </c>
      <c r="X547" s="238" t="str">
        <f>IF(OR(SP_ACQ_Lib[[#This Row],[Acquisition Tract No.]]="",SP_ACQ_Lib[[#This Row],[ACQ Document Type]]=""),0,CONCATENATE("COW-FRMP_TR-",SP_ACQ_Lib[[#This Row],[Acquisition Tract No.]]," ",SP_ACQ_Lib[[#This Row],[ACQ Document Type]]))</f>
        <v>COW-FRMP_TR-312 CONTACT Letter of Intent-HDR</v>
      </c>
      <c r="Y547" s="239">
        <f>IF(OR(SP_ACQ_Lib[[#This Row],[File Name Convention]]=0,LEFT(SP_ACQ_Lib[[#This Row],[Name]],LEN(SP_ACQ_Lib[[#This Row],[File Name Convention]]))&lt;&gt;SP_ACQ_Lib[[#This Row],[File Name Convention]],ISERROR(SEARCH(SP_ACQ_Lib[[#This Row],[ACQ Document Type]],SP_ACQ_Lib[[#This Row],[Name]]))),1,0)</f>
        <v>0</v>
      </c>
    </row>
    <row r="548" spans="1:25" ht="15" x14ac:dyDescent="0.2">
      <c r="A548" s="157" t="str">
        <f>CONCATENATE(SP_ACQ_Lib[[#This Row],[Acquisition Tract No.]],"_",SP_ACQ_Lib[[#This Row],[ACQ Document Type]])</f>
        <v>312_CONTACT Negotiator Report</v>
      </c>
      <c r="B548" s="14" t="s">
        <v>3408</v>
      </c>
      <c r="C548" s="193" t="s">
        <v>55</v>
      </c>
      <c r="D548" s="12" t="s">
        <v>655</v>
      </c>
      <c r="E548" s="8" t="s">
        <v>865</v>
      </c>
      <c r="F548" s="8" t="s">
        <v>1068</v>
      </c>
      <c r="G548" s="8" t="s">
        <v>1067</v>
      </c>
      <c r="H548" s="7" t="s">
        <v>592</v>
      </c>
      <c r="I548" s="16"/>
      <c r="J548" s="16"/>
      <c r="K548" s="17"/>
      <c r="L548" s="3"/>
      <c r="M548" s="8" t="s">
        <v>1743</v>
      </c>
      <c r="N548" s="11">
        <v>43998.659837962965</v>
      </c>
      <c r="O548" s="8" t="s">
        <v>4207</v>
      </c>
      <c r="P548" s="11">
        <v>43738.43173611111</v>
      </c>
      <c r="Q548" s="13">
        <v>195624</v>
      </c>
      <c r="R548" s="194" t="s">
        <v>1069</v>
      </c>
      <c r="S548" s="14" t="s">
        <v>1108</v>
      </c>
      <c r="T548" s="163">
        <v>372</v>
      </c>
      <c r="U548" s="164" t="str">
        <f>CONCATENATE(LEFT(SP_ACQ_Lib[[#This Row],[Tax Parcel ID]],7),"_",SP_ACQ_Lib[[#This Row],[ACQ Document Type]])</f>
        <v>R013047_CONTACT Negotiator Report</v>
      </c>
      <c r="V548" s="65" t="str">
        <f>INDEX(SP_AcqTract_DB[WCAD Tax Parcel ID],MATCH(SP_ACQ_Lib[[#This Row],[Acquisition Tract No.]],SP_AcqTract_DB[Acquisition Tract No.],0))</f>
        <v>R013047;#52</v>
      </c>
      <c r="W548" s="48" t="str">
        <f>INDEX(SP_TaxPar_DB[Acquisition Tract No.],MATCH(LEFT(SP_ACQ_Lib[[#This Row],[Tax Parcel ID]],7),SP_TaxPar_DB[Tax Parcel ID],0))</f>
        <v>312</v>
      </c>
      <c r="X548" s="238" t="str">
        <f>IF(OR(SP_ACQ_Lib[[#This Row],[Acquisition Tract No.]]="",SP_ACQ_Lib[[#This Row],[ACQ Document Type]]=""),0,CONCATENATE("COW-FRMP_TR-",SP_ACQ_Lib[[#This Row],[Acquisition Tract No.]]," ",SP_ACQ_Lib[[#This Row],[ACQ Document Type]]))</f>
        <v>COW-FRMP_TR-312 CONTACT Negotiator Report</v>
      </c>
      <c r="Y548" s="239">
        <f>IF(OR(SP_ACQ_Lib[[#This Row],[File Name Convention]]=0,LEFT(SP_ACQ_Lib[[#This Row],[Name]],LEN(SP_ACQ_Lib[[#This Row],[File Name Convention]]))&lt;&gt;SP_ACQ_Lib[[#This Row],[File Name Convention]],ISERROR(SEARCH(SP_ACQ_Lib[[#This Row],[ACQ Document Type]],SP_ACQ_Lib[[#This Row],[Name]]))),1,0)</f>
        <v>0</v>
      </c>
    </row>
    <row r="549" spans="1:25" ht="15" x14ac:dyDescent="0.2">
      <c r="A549" s="157" t="str">
        <f>CONCATENATE(SP_ACQ_Lib[[#This Row],[Acquisition Tract No.]],"_",SP_ACQ_Lib[[#This Row],[ACQ Document Type]])</f>
        <v>312_NEGOTIATION Landowner Bill of Rights Letter</v>
      </c>
      <c r="B549" s="14" t="s">
        <v>3479</v>
      </c>
      <c r="C549" s="193" t="s">
        <v>55</v>
      </c>
      <c r="D549" s="12" t="s">
        <v>655</v>
      </c>
      <c r="E549" s="8" t="s">
        <v>1142</v>
      </c>
      <c r="F549" s="8" t="s">
        <v>1746</v>
      </c>
      <c r="G549" s="8" t="s">
        <v>1745</v>
      </c>
      <c r="H549" s="7" t="s">
        <v>592</v>
      </c>
      <c r="I549" s="16">
        <v>43748</v>
      </c>
      <c r="J549" s="16"/>
      <c r="K549" s="17"/>
      <c r="L549" s="3"/>
      <c r="M549" s="8" t="s">
        <v>4206</v>
      </c>
      <c r="N549" s="11">
        <v>43872.566550925927</v>
      </c>
      <c r="O549" s="8" t="s">
        <v>4325</v>
      </c>
      <c r="P549" s="11">
        <v>43752.525659722225</v>
      </c>
      <c r="Q549" s="13">
        <v>513041</v>
      </c>
      <c r="R549" s="194" t="s">
        <v>594</v>
      </c>
      <c r="S549" s="14" t="s">
        <v>1237</v>
      </c>
      <c r="T549" s="163">
        <v>451</v>
      </c>
      <c r="U549" s="164" t="str">
        <f>CONCATENATE(LEFT(SP_ACQ_Lib[[#This Row],[Tax Parcel ID]],7),"_",SP_ACQ_Lib[[#This Row],[ACQ Document Type]])</f>
        <v>R013047_NEGOTIATION Landowner Bill of Rights Letter</v>
      </c>
      <c r="V549" s="65" t="str">
        <f>INDEX(SP_AcqTract_DB[WCAD Tax Parcel ID],MATCH(SP_ACQ_Lib[[#This Row],[Acquisition Tract No.]],SP_AcqTract_DB[Acquisition Tract No.],0))</f>
        <v>R013047;#52</v>
      </c>
      <c r="W549" s="48" t="str">
        <f>INDEX(SP_TaxPar_DB[Acquisition Tract No.],MATCH(LEFT(SP_ACQ_Lib[[#This Row],[Tax Parcel ID]],7),SP_TaxPar_DB[Tax Parcel ID],0))</f>
        <v>312</v>
      </c>
      <c r="X549" s="238" t="str">
        <f>IF(OR(SP_ACQ_Lib[[#This Row],[Acquisition Tract No.]]="",SP_ACQ_Lib[[#This Row],[ACQ Document Type]]=""),0,CONCATENATE("COW-FRMP_TR-",SP_ACQ_Lib[[#This Row],[Acquisition Tract No.]]," ",SP_ACQ_Lib[[#This Row],[ACQ Document Type]]))</f>
        <v>COW-FRMP_TR-312 NEGOTIATION Landowner Bill of Rights Letter</v>
      </c>
      <c r="Y549" s="239">
        <f>IF(OR(SP_ACQ_Lib[[#This Row],[File Name Convention]]=0,LEFT(SP_ACQ_Lib[[#This Row],[Name]],LEN(SP_ACQ_Lib[[#This Row],[File Name Convention]]))&lt;&gt;SP_ACQ_Lib[[#This Row],[File Name Convention]],ISERROR(SEARCH(SP_ACQ_Lib[[#This Row],[ACQ Document Type]],SP_ACQ_Lib[[#This Row],[Name]]))),1,0)</f>
        <v>0</v>
      </c>
    </row>
    <row r="550" spans="1:25" ht="15" x14ac:dyDescent="0.2">
      <c r="A550" s="157" t="str">
        <f>CONCATENATE(SP_ACQ_Lib[[#This Row],[Acquisition Tract No.]],"_",SP_ACQ_Lib[[#This Row],[ACQ Document Type]])</f>
        <v>312_NEGOTIATION Owner Representation Letter</v>
      </c>
      <c r="B550" s="14" t="s">
        <v>1565</v>
      </c>
      <c r="C550" s="193" t="s">
        <v>55</v>
      </c>
      <c r="D550" s="12" t="s">
        <v>655</v>
      </c>
      <c r="E550" s="8" t="s">
        <v>1142</v>
      </c>
      <c r="F550" s="8" t="s">
        <v>1404</v>
      </c>
      <c r="G550" s="8" t="s">
        <v>1403</v>
      </c>
      <c r="H550" s="7" t="s">
        <v>592</v>
      </c>
      <c r="I550" s="16">
        <v>43768</v>
      </c>
      <c r="J550" s="16"/>
      <c r="K550" s="17"/>
      <c r="L550" s="3"/>
      <c r="M550" s="8" t="s">
        <v>23</v>
      </c>
      <c r="N550" s="11">
        <v>43770.465798611112</v>
      </c>
      <c r="O550" s="8" t="s">
        <v>4325</v>
      </c>
      <c r="P550" s="11">
        <v>43768.361678240741</v>
      </c>
      <c r="Q550" s="13">
        <v>114871</v>
      </c>
      <c r="R550" s="194" t="s">
        <v>594</v>
      </c>
      <c r="S550" s="14" t="s">
        <v>1654</v>
      </c>
      <c r="T550" s="163">
        <v>472</v>
      </c>
      <c r="U550" s="164" t="str">
        <f>CONCATENATE(LEFT(SP_ACQ_Lib[[#This Row],[Tax Parcel ID]],7),"_",SP_ACQ_Lib[[#This Row],[ACQ Document Type]])</f>
        <v>R013047_NEGOTIATION Owner Representation Letter</v>
      </c>
      <c r="V550" s="65" t="str">
        <f>INDEX(SP_AcqTract_DB[WCAD Tax Parcel ID],MATCH(SP_ACQ_Lib[[#This Row],[Acquisition Tract No.]],SP_AcqTract_DB[Acquisition Tract No.],0))</f>
        <v>R013047;#52</v>
      </c>
      <c r="W550" s="48" t="str">
        <f>INDEX(SP_TaxPar_DB[Acquisition Tract No.],MATCH(LEFT(SP_ACQ_Lib[[#This Row],[Tax Parcel ID]],7),SP_TaxPar_DB[Tax Parcel ID],0))</f>
        <v>312</v>
      </c>
      <c r="X550" s="238" t="str">
        <f>IF(OR(SP_ACQ_Lib[[#This Row],[Acquisition Tract No.]]="",SP_ACQ_Lib[[#This Row],[ACQ Document Type]]=""),0,CONCATENATE("COW-FRMP_TR-",SP_ACQ_Lib[[#This Row],[Acquisition Tract No.]]," ",SP_ACQ_Lib[[#This Row],[ACQ Document Type]]))</f>
        <v>COW-FRMP_TR-312 NEGOTIATION Owner Representation Letter</v>
      </c>
      <c r="Y550" s="239">
        <f>IF(OR(SP_ACQ_Lib[[#This Row],[File Name Convention]]=0,LEFT(SP_ACQ_Lib[[#This Row],[Name]],LEN(SP_ACQ_Lib[[#This Row],[File Name Convention]]))&lt;&gt;SP_ACQ_Lib[[#This Row],[File Name Convention]],ISERROR(SEARCH(SP_ACQ_Lib[[#This Row],[ACQ Document Type]],SP_ACQ_Lib[[#This Row],[Name]]))),1,0)</f>
        <v>0</v>
      </c>
    </row>
    <row r="551" spans="1:25" ht="15" x14ac:dyDescent="0.2">
      <c r="A551" s="157" t="str">
        <f>CONCATENATE(SP_ACQ_Lib[[#This Row],[Acquisition Tract No.]],"_",SP_ACQ_Lib[[#This Row],[ACQ Document Type]])</f>
        <v>312_SURVEY Description-Plat_CITY</v>
      </c>
      <c r="B551" s="14" t="s">
        <v>3532</v>
      </c>
      <c r="C551" s="193" t="s">
        <v>55</v>
      </c>
      <c r="D551" s="12" t="s">
        <v>655</v>
      </c>
      <c r="E551" s="8" t="s">
        <v>858</v>
      </c>
      <c r="F551" s="8" t="s">
        <v>3503</v>
      </c>
      <c r="G551" s="8" t="s">
        <v>3502</v>
      </c>
      <c r="H551" s="7" t="s">
        <v>1749</v>
      </c>
      <c r="I551" s="16">
        <v>43868</v>
      </c>
      <c r="J551" s="16">
        <v>43886</v>
      </c>
      <c r="K551" s="17"/>
      <c r="L551" s="3"/>
      <c r="M551" s="8" t="s">
        <v>4206</v>
      </c>
      <c r="N551" s="11">
        <v>43937.589675925927</v>
      </c>
      <c r="O551" s="8" t="s">
        <v>4206</v>
      </c>
      <c r="P551" s="11">
        <v>43886.641932870371</v>
      </c>
      <c r="Q551" s="13">
        <v>237876</v>
      </c>
      <c r="R551" s="194" t="s">
        <v>594</v>
      </c>
      <c r="S551" s="14" t="s">
        <v>3555</v>
      </c>
      <c r="T551" s="163">
        <v>736</v>
      </c>
      <c r="U551" s="164" t="str">
        <f>CONCATENATE(LEFT(SP_ACQ_Lib[[#This Row],[Tax Parcel ID]],7),"_",SP_ACQ_Lib[[#This Row],[ACQ Document Type]])</f>
        <v>R013047_SURVEY Description-Plat_CITY</v>
      </c>
      <c r="V551" s="65" t="str">
        <f>INDEX(SP_AcqTract_DB[WCAD Tax Parcel ID],MATCH(SP_ACQ_Lib[[#This Row],[Acquisition Tract No.]],SP_AcqTract_DB[Acquisition Tract No.],0))</f>
        <v>R013047;#52</v>
      </c>
      <c r="W551" s="48" t="str">
        <f>INDEX(SP_TaxPar_DB[Acquisition Tract No.],MATCH(LEFT(SP_ACQ_Lib[[#This Row],[Tax Parcel ID]],7),SP_TaxPar_DB[Tax Parcel ID],0))</f>
        <v>312</v>
      </c>
      <c r="X551" s="238" t="str">
        <f>IF(OR(SP_ACQ_Lib[[#This Row],[Acquisition Tract No.]]="",SP_ACQ_Lib[[#This Row],[ACQ Document Type]]=""),0,CONCATENATE("COW-FRMP_TR-",SP_ACQ_Lib[[#This Row],[Acquisition Tract No.]]," ",SP_ACQ_Lib[[#This Row],[ACQ Document Type]]))</f>
        <v>COW-FRMP_TR-312 SURVEY Description-Plat_CITY</v>
      </c>
      <c r="Y551" s="239">
        <f>IF(OR(SP_ACQ_Lib[[#This Row],[File Name Convention]]=0,LEFT(SP_ACQ_Lib[[#This Row],[Name]],LEN(SP_ACQ_Lib[[#This Row],[File Name Convention]]))&lt;&gt;SP_ACQ_Lib[[#This Row],[File Name Convention]],ISERROR(SEARCH(SP_ACQ_Lib[[#This Row],[ACQ Document Type]],SP_ACQ_Lib[[#This Row],[Name]]))),1,0)</f>
        <v>0</v>
      </c>
    </row>
    <row r="552" spans="1:25" ht="15" x14ac:dyDescent="0.2">
      <c r="A552" s="157" t="str">
        <f>CONCATENATE(SP_ACQ_Lib[[#This Row],[Acquisition Tract No.]],"_",SP_ACQ_Lib[[#This Row],[ACQ Document Type]])</f>
        <v>312_SURVEY Description-Plat_USACOE</v>
      </c>
      <c r="B552" s="14" t="s">
        <v>4989</v>
      </c>
      <c r="C552" s="193" t="s">
        <v>55</v>
      </c>
      <c r="D552" s="12" t="s">
        <v>655</v>
      </c>
      <c r="E552" s="8" t="s">
        <v>858</v>
      </c>
      <c r="F552" s="8" t="s">
        <v>3510</v>
      </c>
      <c r="G552" s="8" t="s">
        <v>3509</v>
      </c>
      <c r="H552" s="7" t="s">
        <v>592</v>
      </c>
      <c r="I552" s="16">
        <v>43812</v>
      </c>
      <c r="J552" s="16">
        <v>43948</v>
      </c>
      <c r="K552" s="17"/>
      <c r="L552" s="3"/>
      <c r="M552" s="8" t="s">
        <v>4206</v>
      </c>
      <c r="N552" s="11">
        <v>43949.812789351854</v>
      </c>
      <c r="O552" s="8" t="s">
        <v>4206</v>
      </c>
      <c r="P552" s="11">
        <v>43949.793298611112</v>
      </c>
      <c r="Q552" s="13">
        <v>248095</v>
      </c>
      <c r="R552" s="194" t="s">
        <v>594</v>
      </c>
      <c r="S552" s="14" t="s">
        <v>5008</v>
      </c>
      <c r="T552" s="163">
        <v>848</v>
      </c>
      <c r="U552" s="164" t="str">
        <f>CONCATENATE(LEFT(SP_ACQ_Lib[[#This Row],[Tax Parcel ID]],7),"_",SP_ACQ_Lib[[#This Row],[ACQ Document Type]])</f>
        <v>R013047_SURVEY Description-Plat_USACOE</v>
      </c>
      <c r="V552" s="65" t="str">
        <f>INDEX(SP_AcqTract_DB[WCAD Tax Parcel ID],MATCH(SP_ACQ_Lib[[#This Row],[Acquisition Tract No.]],SP_AcqTract_DB[Acquisition Tract No.],0))</f>
        <v>R013047;#52</v>
      </c>
      <c r="W552" s="48" t="str">
        <f>INDEX(SP_TaxPar_DB[Acquisition Tract No.],MATCH(LEFT(SP_ACQ_Lib[[#This Row],[Tax Parcel ID]],7),SP_TaxPar_DB[Tax Parcel ID],0))</f>
        <v>312</v>
      </c>
      <c r="X552" s="238" t="str">
        <f>IF(OR(SP_ACQ_Lib[[#This Row],[Acquisition Tract No.]]="",SP_ACQ_Lib[[#This Row],[ACQ Document Type]]=""),0,CONCATENATE("COW-FRMP_TR-",SP_ACQ_Lib[[#This Row],[Acquisition Tract No.]]," ",SP_ACQ_Lib[[#This Row],[ACQ Document Type]]))</f>
        <v>COW-FRMP_TR-312 SURVEY Description-Plat_USACOE</v>
      </c>
      <c r="Y552" s="239">
        <f>IF(OR(SP_ACQ_Lib[[#This Row],[File Name Convention]]=0,LEFT(SP_ACQ_Lib[[#This Row],[Name]],LEN(SP_ACQ_Lib[[#This Row],[File Name Convention]]))&lt;&gt;SP_ACQ_Lib[[#This Row],[File Name Convention]],ISERROR(SEARCH(SP_ACQ_Lib[[#This Row],[ACQ Document Type]],SP_ACQ_Lib[[#This Row],[Name]]))),1,0)</f>
        <v>0</v>
      </c>
    </row>
    <row r="553" spans="1:25" ht="15" x14ac:dyDescent="0.2">
      <c r="A553" s="157" t="str">
        <f>CONCATENATE(SP_ACQ_Lib[[#This Row],[Acquisition Tract No.]],"_",SP_ACQ_Lib[[#This Row],[ACQ Document Type]])</f>
        <v>312_SURVEY Right-of-Entry</v>
      </c>
      <c r="B553" s="14" t="s">
        <v>4599</v>
      </c>
      <c r="C553" s="193" t="s">
        <v>55</v>
      </c>
      <c r="D553" s="12" t="s">
        <v>655</v>
      </c>
      <c r="E553" s="8" t="s">
        <v>858</v>
      </c>
      <c r="F553" s="8" t="s">
        <v>859</v>
      </c>
      <c r="G553" s="8" t="s">
        <v>591</v>
      </c>
      <c r="H553" s="7" t="s">
        <v>592</v>
      </c>
      <c r="I553" s="16">
        <v>43685</v>
      </c>
      <c r="J553" s="16"/>
      <c r="K553" s="17"/>
      <c r="L553" s="3"/>
      <c r="M553" s="8" t="s">
        <v>4206</v>
      </c>
      <c r="N553" s="11">
        <v>43922.383171296293</v>
      </c>
      <c r="O553" s="8" t="s">
        <v>4207</v>
      </c>
      <c r="P553" s="11">
        <v>43691.651099537034</v>
      </c>
      <c r="Q553" s="13">
        <v>818916</v>
      </c>
      <c r="R553" s="194" t="s">
        <v>594</v>
      </c>
      <c r="S553" s="14" t="s">
        <v>815</v>
      </c>
      <c r="T553" s="163">
        <v>49</v>
      </c>
      <c r="U553" s="164" t="str">
        <f>CONCATENATE(LEFT(SP_ACQ_Lib[[#This Row],[Tax Parcel ID]],7),"_",SP_ACQ_Lib[[#This Row],[ACQ Document Type]])</f>
        <v>R013047_SURVEY Right-of-Entry</v>
      </c>
      <c r="V553" s="65" t="str">
        <f>INDEX(SP_AcqTract_DB[WCAD Tax Parcel ID],MATCH(SP_ACQ_Lib[[#This Row],[Acquisition Tract No.]],SP_AcqTract_DB[Acquisition Tract No.],0))</f>
        <v>R013047;#52</v>
      </c>
      <c r="W553" s="48" t="str">
        <f>INDEX(SP_TaxPar_DB[Acquisition Tract No.],MATCH(LEFT(SP_ACQ_Lib[[#This Row],[Tax Parcel ID]],7),SP_TaxPar_DB[Tax Parcel ID],0))</f>
        <v>312</v>
      </c>
      <c r="X553" s="238" t="str">
        <f>IF(OR(SP_ACQ_Lib[[#This Row],[Acquisition Tract No.]]="",SP_ACQ_Lib[[#This Row],[ACQ Document Type]]=""),0,CONCATENATE("COW-FRMP_TR-",SP_ACQ_Lib[[#This Row],[Acquisition Tract No.]]," ",SP_ACQ_Lib[[#This Row],[ACQ Document Type]]))</f>
        <v>COW-FRMP_TR-312 SURVEY Right-of-Entry</v>
      </c>
      <c r="Y553" s="239">
        <f>IF(OR(SP_ACQ_Lib[[#This Row],[File Name Convention]]=0,LEFT(SP_ACQ_Lib[[#This Row],[Name]],LEN(SP_ACQ_Lib[[#This Row],[File Name Convention]]))&lt;&gt;SP_ACQ_Lib[[#This Row],[File Name Convention]],ISERROR(SEARCH(SP_ACQ_Lib[[#This Row],[ACQ Document Type]],SP_ACQ_Lib[[#This Row],[Name]]))),1,0)</f>
        <v>0</v>
      </c>
    </row>
    <row r="554" spans="1:25" ht="15" x14ac:dyDescent="0.2">
      <c r="A554" s="157" t="str">
        <f>CONCATENATE(SP_ACQ_Lib[[#This Row],[Acquisition Tract No.]],"_",SP_ACQ_Lib[[#This Row],[ACQ Document Type]])</f>
        <v>312_TITLE Commitment</v>
      </c>
      <c r="B554" s="14" t="s">
        <v>1566</v>
      </c>
      <c r="C554" s="193" t="s">
        <v>55</v>
      </c>
      <c r="D554" s="12" t="s">
        <v>655</v>
      </c>
      <c r="E554" s="8" t="s">
        <v>861</v>
      </c>
      <c r="F554" s="8" t="s">
        <v>862</v>
      </c>
      <c r="G554" s="8" t="s">
        <v>614</v>
      </c>
      <c r="H554" s="7" t="s">
        <v>592</v>
      </c>
      <c r="I554" s="16">
        <v>43986</v>
      </c>
      <c r="J554" s="16">
        <v>43994</v>
      </c>
      <c r="K554" s="17"/>
      <c r="L554" s="3" t="s">
        <v>6165</v>
      </c>
      <c r="M554" s="8" t="s">
        <v>4325</v>
      </c>
      <c r="N554" s="11">
        <v>43994.508020833331</v>
      </c>
      <c r="O554" s="8" t="s">
        <v>4326</v>
      </c>
      <c r="P554" s="11">
        <v>43699.590567129628</v>
      </c>
      <c r="Q554" s="13">
        <v>1969781</v>
      </c>
      <c r="R554" s="194" t="s">
        <v>594</v>
      </c>
      <c r="S554" s="14" t="s">
        <v>816</v>
      </c>
      <c r="T554" s="163">
        <v>146</v>
      </c>
      <c r="U554" s="164" t="str">
        <f>CONCATENATE(LEFT(SP_ACQ_Lib[[#This Row],[Tax Parcel ID]],7),"_",SP_ACQ_Lib[[#This Row],[ACQ Document Type]])</f>
        <v>R013047_TITLE Commitment</v>
      </c>
      <c r="V554" s="65" t="str">
        <f>INDEX(SP_AcqTract_DB[WCAD Tax Parcel ID],MATCH(SP_ACQ_Lib[[#This Row],[Acquisition Tract No.]],SP_AcqTract_DB[Acquisition Tract No.],0))</f>
        <v>R013047;#52</v>
      </c>
      <c r="W554" s="48" t="str">
        <f>INDEX(SP_TaxPar_DB[Acquisition Tract No.],MATCH(LEFT(SP_ACQ_Lib[[#This Row],[Tax Parcel ID]],7),SP_TaxPar_DB[Tax Parcel ID],0))</f>
        <v>312</v>
      </c>
      <c r="X554" s="238" t="str">
        <f>IF(OR(SP_ACQ_Lib[[#This Row],[Acquisition Tract No.]]="",SP_ACQ_Lib[[#This Row],[ACQ Document Type]]=""),0,CONCATENATE("COW-FRMP_TR-",SP_ACQ_Lib[[#This Row],[Acquisition Tract No.]]," ",SP_ACQ_Lib[[#This Row],[ACQ Document Type]]))</f>
        <v>COW-FRMP_TR-312 TITLE Commitment</v>
      </c>
      <c r="Y554" s="239">
        <f>IF(OR(SP_ACQ_Lib[[#This Row],[File Name Convention]]=0,LEFT(SP_ACQ_Lib[[#This Row],[Name]],LEN(SP_ACQ_Lib[[#This Row],[File Name Convention]]))&lt;&gt;SP_ACQ_Lib[[#This Row],[File Name Convention]],ISERROR(SEARCH(SP_ACQ_Lib[[#This Row],[ACQ Document Type]],SP_ACQ_Lib[[#This Row],[Name]]))),1,0)</f>
        <v>0</v>
      </c>
    </row>
    <row r="555" spans="1:25" ht="15" x14ac:dyDescent="0.2">
      <c r="A555" s="157" t="str">
        <f>CONCATENATE(SP_ACQ_Lib[[#This Row],[Acquisition Tract No.]],"_",SP_ACQ_Lib[[#This Row],[ACQ Document Type]])</f>
        <v>312_TITLE Commitment Backup Docs</v>
      </c>
      <c r="B555" s="14" t="s">
        <v>1567</v>
      </c>
      <c r="C555" s="193" t="s">
        <v>55</v>
      </c>
      <c r="D555" s="12" t="s">
        <v>655</v>
      </c>
      <c r="E555" s="8" t="s">
        <v>861</v>
      </c>
      <c r="F555" s="8" t="s">
        <v>863</v>
      </c>
      <c r="G555" s="8" t="s">
        <v>616</v>
      </c>
      <c r="H555" s="7" t="s">
        <v>592</v>
      </c>
      <c r="I555" s="16"/>
      <c r="J555" s="16"/>
      <c r="K555" s="17"/>
      <c r="L555" s="3"/>
      <c r="M555" s="8" t="s">
        <v>4325</v>
      </c>
      <c r="N555" s="11">
        <v>43812.690451388888</v>
      </c>
      <c r="O555" s="8" t="s">
        <v>4326</v>
      </c>
      <c r="P555" s="11">
        <v>43699.591273148151</v>
      </c>
      <c r="Q555" s="13">
        <v>149708</v>
      </c>
      <c r="R555" s="194" t="s">
        <v>594</v>
      </c>
      <c r="S555" s="14" t="s">
        <v>817</v>
      </c>
      <c r="T555" s="163">
        <v>147</v>
      </c>
      <c r="U555" s="164" t="str">
        <f>CONCATENATE(LEFT(SP_ACQ_Lib[[#This Row],[Tax Parcel ID]],7),"_",SP_ACQ_Lib[[#This Row],[ACQ Document Type]])</f>
        <v>R013047_TITLE Commitment Backup Docs</v>
      </c>
      <c r="V555" s="65" t="str">
        <f>INDEX(SP_AcqTract_DB[WCAD Tax Parcel ID],MATCH(SP_ACQ_Lib[[#This Row],[Acquisition Tract No.]],SP_AcqTract_DB[Acquisition Tract No.],0))</f>
        <v>R013047;#52</v>
      </c>
      <c r="W555" s="48" t="str">
        <f>INDEX(SP_TaxPar_DB[Acquisition Tract No.],MATCH(LEFT(SP_ACQ_Lib[[#This Row],[Tax Parcel ID]],7),SP_TaxPar_DB[Tax Parcel ID],0))</f>
        <v>312</v>
      </c>
      <c r="X555" s="238" t="str">
        <f>IF(OR(SP_ACQ_Lib[[#This Row],[Acquisition Tract No.]]="",SP_ACQ_Lib[[#This Row],[ACQ Document Type]]=""),0,CONCATENATE("COW-FRMP_TR-",SP_ACQ_Lib[[#This Row],[Acquisition Tract No.]]," ",SP_ACQ_Lib[[#This Row],[ACQ Document Type]]))</f>
        <v>COW-FRMP_TR-312 TITLE Commitment Backup Docs</v>
      </c>
      <c r="Y555" s="239">
        <f>IF(OR(SP_ACQ_Lib[[#This Row],[File Name Convention]]=0,LEFT(SP_ACQ_Lib[[#This Row],[Name]],LEN(SP_ACQ_Lib[[#This Row],[File Name Convention]]))&lt;&gt;SP_ACQ_Lib[[#This Row],[File Name Convention]],ISERROR(SEARCH(SP_ACQ_Lib[[#This Row],[ACQ Document Type]],SP_ACQ_Lib[[#This Row],[Name]]))),1,0)</f>
        <v>0</v>
      </c>
    </row>
    <row r="556" spans="1:25" ht="15" x14ac:dyDescent="0.2">
      <c r="A556" s="157" t="str">
        <f>CONCATENATE(SP_ACQ_Lib[[#This Row],[Acquisition Tract No.]],"_",SP_ACQ_Lib[[#This Row],[ACQ Document Type]])</f>
        <v>312_TITLE Curative Plan</v>
      </c>
      <c r="B556" s="14" t="s">
        <v>1568</v>
      </c>
      <c r="C556" s="193" t="s">
        <v>55</v>
      </c>
      <c r="D556" s="12" t="s">
        <v>655</v>
      </c>
      <c r="E556" s="8" t="s">
        <v>861</v>
      </c>
      <c r="F556" s="8" t="s">
        <v>864</v>
      </c>
      <c r="G556" s="8" t="s">
        <v>617</v>
      </c>
      <c r="H556" s="7" t="s">
        <v>592</v>
      </c>
      <c r="I556" s="16">
        <v>43812</v>
      </c>
      <c r="J556" s="16"/>
      <c r="K556" s="17"/>
      <c r="L556" s="3"/>
      <c r="M556" s="8" t="s">
        <v>4325</v>
      </c>
      <c r="N556" s="11">
        <v>43994.508449074077</v>
      </c>
      <c r="O556" s="8" t="s">
        <v>4326</v>
      </c>
      <c r="P556" s="11">
        <v>43717.591863425929</v>
      </c>
      <c r="Q556" s="13">
        <v>35858</v>
      </c>
      <c r="R556" s="194" t="s">
        <v>594</v>
      </c>
      <c r="S556" s="14" t="s">
        <v>818</v>
      </c>
      <c r="T556" s="163">
        <v>224</v>
      </c>
      <c r="U556" s="164" t="str">
        <f>CONCATENATE(LEFT(SP_ACQ_Lib[[#This Row],[Tax Parcel ID]],7),"_",SP_ACQ_Lib[[#This Row],[ACQ Document Type]])</f>
        <v>R013047_TITLE Curative Plan</v>
      </c>
      <c r="V556" s="65" t="str">
        <f>INDEX(SP_AcqTract_DB[WCAD Tax Parcel ID],MATCH(SP_ACQ_Lib[[#This Row],[Acquisition Tract No.]],SP_AcqTract_DB[Acquisition Tract No.],0))</f>
        <v>R013047;#52</v>
      </c>
      <c r="W556" s="48" t="str">
        <f>INDEX(SP_TaxPar_DB[Acquisition Tract No.],MATCH(LEFT(SP_ACQ_Lib[[#This Row],[Tax Parcel ID]],7),SP_TaxPar_DB[Tax Parcel ID],0))</f>
        <v>312</v>
      </c>
      <c r="X556" s="238" t="str">
        <f>IF(OR(SP_ACQ_Lib[[#This Row],[Acquisition Tract No.]]="",SP_ACQ_Lib[[#This Row],[ACQ Document Type]]=""),0,CONCATENATE("COW-FRMP_TR-",SP_ACQ_Lib[[#This Row],[Acquisition Tract No.]]," ",SP_ACQ_Lib[[#This Row],[ACQ Document Type]]))</f>
        <v>COW-FRMP_TR-312 TITLE Curative Plan</v>
      </c>
      <c r="Y556" s="239">
        <f>IF(OR(SP_ACQ_Lib[[#This Row],[File Name Convention]]=0,LEFT(SP_ACQ_Lib[[#This Row],[Name]],LEN(SP_ACQ_Lib[[#This Row],[File Name Convention]]))&lt;&gt;SP_ACQ_Lib[[#This Row],[File Name Convention]],ISERROR(SEARCH(SP_ACQ_Lib[[#This Row],[ACQ Document Type]],SP_ACQ_Lib[[#This Row],[Name]]))),1,0)</f>
        <v>0</v>
      </c>
    </row>
    <row r="557" spans="1:25" ht="15" x14ac:dyDescent="0.2">
      <c r="A557" s="157" t="str">
        <f>CONCATENATE(SP_ACQ_Lib[[#This Row],[Acquisition Tract No.]],"_",SP_ACQ_Lib[[#This Row],[ACQ Document Type]])</f>
        <v>312_TITLE Tax Card</v>
      </c>
      <c r="B557" s="14" t="s">
        <v>3480</v>
      </c>
      <c r="C557" s="193" t="s">
        <v>55</v>
      </c>
      <c r="D557" s="12" t="s">
        <v>655</v>
      </c>
      <c r="E557" s="8" t="s">
        <v>861</v>
      </c>
      <c r="F557" s="8" t="s">
        <v>1150</v>
      </c>
      <c r="G557" s="8" t="s">
        <v>1149</v>
      </c>
      <c r="H557" s="7" t="s">
        <v>592</v>
      </c>
      <c r="I557" s="16"/>
      <c r="J557" s="16"/>
      <c r="K557" s="17"/>
      <c r="L557" s="3"/>
      <c r="M557" s="8" t="s">
        <v>4206</v>
      </c>
      <c r="N557" s="11">
        <v>43874.594583333332</v>
      </c>
      <c r="O557" s="8" t="s">
        <v>1272</v>
      </c>
      <c r="P557" s="11">
        <v>43817.479942129627</v>
      </c>
      <c r="Q557" s="13">
        <v>462259</v>
      </c>
      <c r="R557" s="194" t="s">
        <v>594</v>
      </c>
      <c r="S557" s="14" t="s">
        <v>1796</v>
      </c>
      <c r="T557" s="163">
        <v>654</v>
      </c>
      <c r="U557" s="164" t="str">
        <f>CONCATENATE(LEFT(SP_ACQ_Lib[[#This Row],[Tax Parcel ID]],7),"_",SP_ACQ_Lib[[#This Row],[ACQ Document Type]])</f>
        <v>R013047_TITLE Tax Card</v>
      </c>
      <c r="V557" s="65" t="str">
        <f>INDEX(SP_AcqTract_DB[WCAD Tax Parcel ID],MATCH(SP_ACQ_Lib[[#This Row],[Acquisition Tract No.]],SP_AcqTract_DB[Acquisition Tract No.],0))</f>
        <v>R013047;#52</v>
      </c>
      <c r="W557" s="48" t="str">
        <f>INDEX(SP_TaxPar_DB[Acquisition Tract No.],MATCH(LEFT(SP_ACQ_Lib[[#This Row],[Tax Parcel ID]],7),SP_TaxPar_DB[Tax Parcel ID],0))</f>
        <v>312</v>
      </c>
      <c r="X557" s="238" t="str">
        <f>IF(OR(SP_ACQ_Lib[[#This Row],[Acquisition Tract No.]]="",SP_ACQ_Lib[[#This Row],[ACQ Document Type]]=""),0,CONCATENATE("COW-FRMP_TR-",SP_ACQ_Lib[[#This Row],[Acquisition Tract No.]]," ",SP_ACQ_Lib[[#This Row],[ACQ Document Type]]))</f>
        <v>COW-FRMP_TR-312 TITLE Tax Card</v>
      </c>
      <c r="Y557" s="239">
        <f>IF(OR(SP_ACQ_Lib[[#This Row],[File Name Convention]]=0,LEFT(SP_ACQ_Lib[[#This Row],[Name]],LEN(SP_ACQ_Lib[[#This Row],[File Name Convention]]))&lt;&gt;SP_ACQ_Lib[[#This Row],[File Name Convention]],ISERROR(SEARCH(SP_ACQ_Lib[[#This Row],[ACQ Document Type]],SP_ACQ_Lib[[#This Row],[Name]]))),1,0)</f>
        <v>0</v>
      </c>
    </row>
    <row r="558" spans="1:25" ht="15" x14ac:dyDescent="0.2">
      <c r="A558" s="157" t="str">
        <f>CONCATENATE(SP_ACQ_Lib[[#This Row],[Acquisition Tract No.]],"_",SP_ACQ_Lib[[#This Row],[ACQ Document Type]])</f>
        <v>313_APPRAISAL Appraisal Review</v>
      </c>
      <c r="B558" s="14" t="s">
        <v>6524</v>
      </c>
      <c r="C558" s="193" t="s">
        <v>56</v>
      </c>
      <c r="D558" s="12" t="s">
        <v>656</v>
      </c>
      <c r="E558" s="8" t="s">
        <v>1131</v>
      </c>
      <c r="F558" s="8" t="s">
        <v>4753</v>
      </c>
      <c r="G558" s="8" t="s">
        <v>4751</v>
      </c>
      <c r="H558" s="7" t="s">
        <v>592</v>
      </c>
      <c r="I558" s="16">
        <v>44013</v>
      </c>
      <c r="J558" s="16"/>
      <c r="K558" s="17">
        <v>81900</v>
      </c>
      <c r="L558" s="3"/>
      <c r="M558" s="8" t="s">
        <v>4206</v>
      </c>
      <c r="N558" s="11">
        <v>44013.760381944441</v>
      </c>
      <c r="O558" s="8" t="s">
        <v>4206</v>
      </c>
      <c r="P558" s="11">
        <v>44013.7422337963</v>
      </c>
      <c r="Q558" s="13">
        <v>17456</v>
      </c>
      <c r="R558" s="194" t="s">
        <v>594</v>
      </c>
      <c r="S558" s="14" t="s">
        <v>6587</v>
      </c>
      <c r="T558" s="163">
        <v>1326</v>
      </c>
      <c r="U558" s="164" t="str">
        <f>CONCATENATE(LEFT(SP_ACQ_Lib[[#This Row],[Tax Parcel ID]],7),"_",SP_ACQ_Lib[[#This Row],[ACQ Document Type]])</f>
        <v>R013049_APPRAISAL Appraisal Review</v>
      </c>
      <c r="V558" s="65" t="str">
        <f>INDEX(SP_AcqTract_DB[WCAD Tax Parcel ID],MATCH(SP_ACQ_Lib[[#This Row],[Acquisition Tract No.]],SP_AcqTract_DB[Acquisition Tract No.],0))</f>
        <v>R013049;#53;#R013050;#54</v>
      </c>
      <c r="W558" s="48" t="str">
        <f>INDEX(SP_TaxPar_DB[Acquisition Tract No.],MATCH(LEFT(SP_ACQ_Lib[[#This Row],[Tax Parcel ID]],7),SP_TaxPar_DB[Tax Parcel ID],0))</f>
        <v>313</v>
      </c>
      <c r="X558" s="238" t="str">
        <f>IF(OR(SP_ACQ_Lib[[#This Row],[Acquisition Tract No.]]="",SP_ACQ_Lib[[#This Row],[ACQ Document Type]]=""),0,CONCATENATE("COW-FRMP_TR-",SP_ACQ_Lib[[#This Row],[Acquisition Tract No.]]," ",SP_ACQ_Lib[[#This Row],[ACQ Document Type]]))</f>
        <v>COW-FRMP_TR-313 APPRAISAL Appraisal Review</v>
      </c>
      <c r="Y558" s="239">
        <f>IF(OR(SP_ACQ_Lib[[#This Row],[File Name Convention]]=0,LEFT(SP_ACQ_Lib[[#This Row],[Name]],LEN(SP_ACQ_Lib[[#This Row],[File Name Convention]]))&lt;&gt;SP_ACQ_Lib[[#This Row],[File Name Convention]],ISERROR(SEARCH(SP_ACQ_Lib[[#This Row],[ACQ Document Type]],SP_ACQ_Lib[[#This Row],[Name]]))),1,0)</f>
        <v>0</v>
      </c>
    </row>
    <row r="559" spans="1:25" ht="15" x14ac:dyDescent="0.2">
      <c r="A559" s="157" t="str">
        <f>CONCATENATE(SP_ACQ_Lib[[#This Row],[Acquisition Tract No.]],"_",SP_ACQ_Lib[[#This Row],[ACQ Document Type]])</f>
        <v>313_APPRAISAL Final Appraisal</v>
      </c>
      <c r="B559" s="14" t="s">
        <v>6270</v>
      </c>
      <c r="C559" s="193" t="s">
        <v>56</v>
      </c>
      <c r="D559" s="12" t="s">
        <v>656</v>
      </c>
      <c r="E559" s="8" t="s">
        <v>1131</v>
      </c>
      <c r="F559" s="8" t="s">
        <v>4755</v>
      </c>
      <c r="G559" s="8" t="s">
        <v>4754</v>
      </c>
      <c r="H559" s="7" t="s">
        <v>592</v>
      </c>
      <c r="I559" s="16">
        <v>43960</v>
      </c>
      <c r="J559" s="16"/>
      <c r="K559" s="17">
        <v>81900</v>
      </c>
      <c r="L559" s="3"/>
      <c r="M559" s="8" t="s">
        <v>4206</v>
      </c>
      <c r="N559" s="11">
        <v>43999.568506944444</v>
      </c>
      <c r="O559" s="8" t="s">
        <v>4206</v>
      </c>
      <c r="P559" s="11">
        <v>43999.566388888888</v>
      </c>
      <c r="Q559" s="13">
        <v>6909633</v>
      </c>
      <c r="R559" s="194" t="s">
        <v>594</v>
      </c>
      <c r="S559" s="14" t="s">
        <v>6273</v>
      </c>
      <c r="T559" s="163">
        <v>1218</v>
      </c>
      <c r="U559" s="164" t="str">
        <f>CONCATENATE(LEFT(SP_ACQ_Lib[[#This Row],[Tax Parcel ID]],7),"_",SP_ACQ_Lib[[#This Row],[ACQ Document Type]])</f>
        <v>R013049_APPRAISAL Final Appraisal</v>
      </c>
      <c r="V559" s="65" t="str">
        <f>INDEX(SP_AcqTract_DB[WCAD Tax Parcel ID],MATCH(SP_ACQ_Lib[[#This Row],[Acquisition Tract No.]],SP_AcqTract_DB[Acquisition Tract No.],0))</f>
        <v>R013049;#53;#R013050;#54</v>
      </c>
      <c r="W559" s="48" t="str">
        <f>INDEX(SP_TaxPar_DB[Acquisition Tract No.],MATCH(LEFT(SP_ACQ_Lib[[#This Row],[Tax Parcel ID]],7),SP_TaxPar_DB[Tax Parcel ID],0))</f>
        <v>313</v>
      </c>
      <c r="X559" s="238" t="str">
        <f>IF(OR(SP_ACQ_Lib[[#This Row],[Acquisition Tract No.]]="",SP_ACQ_Lib[[#This Row],[ACQ Document Type]]=""),0,CONCATENATE("COW-FRMP_TR-",SP_ACQ_Lib[[#This Row],[Acquisition Tract No.]]," ",SP_ACQ_Lib[[#This Row],[ACQ Document Type]]))</f>
        <v>COW-FRMP_TR-313 APPRAISAL Final Appraisal</v>
      </c>
      <c r="Y559" s="239">
        <f>IF(OR(SP_ACQ_Lib[[#This Row],[File Name Convention]]=0,LEFT(SP_ACQ_Lib[[#This Row],[Name]],LEN(SP_ACQ_Lib[[#This Row],[File Name Convention]]))&lt;&gt;SP_ACQ_Lib[[#This Row],[File Name Convention]],ISERROR(SEARCH(SP_ACQ_Lib[[#This Row],[ACQ Document Type]],SP_ACQ_Lib[[#This Row],[Name]]))),1,0)</f>
        <v>0</v>
      </c>
    </row>
    <row r="560" spans="1:25" ht="15" x14ac:dyDescent="0.2">
      <c r="A560" s="157" t="str">
        <f>CONCATENATE(SP_ACQ_Lib[[#This Row],[Acquisition Tract No.]],"_",SP_ACQ_Lib[[#This Row],[ACQ Document Type]])</f>
        <v>313_APPRAISAL Just Compensation Approval</v>
      </c>
      <c r="B560" s="14" t="s">
        <v>6525</v>
      </c>
      <c r="C560" s="193" t="s">
        <v>56</v>
      </c>
      <c r="D560" s="12" t="s">
        <v>656</v>
      </c>
      <c r="E560" s="8" t="s">
        <v>1131</v>
      </c>
      <c r="F560" s="8" t="s">
        <v>4828</v>
      </c>
      <c r="G560" s="8" t="s">
        <v>4827</v>
      </c>
      <c r="H560" s="7" t="s">
        <v>1749</v>
      </c>
      <c r="I560" s="16">
        <v>44012</v>
      </c>
      <c r="J560" s="16"/>
      <c r="K560" s="17">
        <v>81900</v>
      </c>
      <c r="L560" s="3"/>
      <c r="M560" s="8" t="s">
        <v>4206</v>
      </c>
      <c r="N560" s="11">
        <v>44012.532175925924</v>
      </c>
      <c r="O560" s="8" t="s">
        <v>4206</v>
      </c>
      <c r="P560" s="11">
        <v>44012.517604166664</v>
      </c>
      <c r="Q560" s="13">
        <v>171543</v>
      </c>
      <c r="R560" s="194" t="s">
        <v>594</v>
      </c>
      <c r="S560" s="14" t="s">
        <v>6588</v>
      </c>
      <c r="T560" s="163">
        <v>1311</v>
      </c>
      <c r="U560" s="164" t="str">
        <f>CONCATENATE(LEFT(SP_ACQ_Lib[[#This Row],[Tax Parcel ID]],7),"_",SP_ACQ_Lib[[#This Row],[ACQ Document Type]])</f>
        <v>R013049_APPRAISAL Just Compensation Approval</v>
      </c>
      <c r="V560" s="65" t="str">
        <f>INDEX(SP_AcqTract_DB[WCAD Tax Parcel ID],MATCH(SP_ACQ_Lib[[#This Row],[Acquisition Tract No.]],SP_AcqTract_DB[Acquisition Tract No.],0))</f>
        <v>R013049;#53;#R013050;#54</v>
      </c>
      <c r="W560" s="48" t="str">
        <f>INDEX(SP_TaxPar_DB[Acquisition Tract No.],MATCH(LEFT(SP_ACQ_Lib[[#This Row],[Tax Parcel ID]],7),SP_TaxPar_DB[Tax Parcel ID],0))</f>
        <v>313</v>
      </c>
      <c r="X560" s="238" t="str">
        <f>IF(OR(SP_ACQ_Lib[[#This Row],[Acquisition Tract No.]]="",SP_ACQ_Lib[[#This Row],[ACQ Document Type]]=""),0,CONCATENATE("COW-FRMP_TR-",SP_ACQ_Lib[[#This Row],[Acquisition Tract No.]]," ",SP_ACQ_Lib[[#This Row],[ACQ Document Type]]))</f>
        <v>COW-FRMP_TR-313 APPRAISAL Just Compensation Approval</v>
      </c>
      <c r="Y560" s="239">
        <f>IF(OR(SP_ACQ_Lib[[#This Row],[File Name Convention]]=0,LEFT(SP_ACQ_Lib[[#This Row],[Name]],LEN(SP_ACQ_Lib[[#This Row],[File Name Convention]]))&lt;&gt;SP_ACQ_Lib[[#This Row],[File Name Convention]],ISERROR(SEARCH(SP_ACQ_Lib[[#This Row],[ACQ Document Type]],SP_ACQ_Lib[[#This Row],[Name]]))),1,0)</f>
        <v>0</v>
      </c>
    </row>
    <row r="561" spans="1:25" ht="15" x14ac:dyDescent="0.2">
      <c r="A561" s="157" t="str">
        <f>CONCATENATE(SP_ACQ_Lib[[#This Row],[Acquisition Tract No.]],"_",SP_ACQ_Lib[[#This Row],[ACQ Document Type]])</f>
        <v>313_APPRAISAL Just Compensation Memo</v>
      </c>
      <c r="B561" s="14" t="s">
        <v>6271</v>
      </c>
      <c r="C561" s="193" t="s">
        <v>56</v>
      </c>
      <c r="D561" s="12" t="s">
        <v>656</v>
      </c>
      <c r="E561" s="8" t="s">
        <v>1131</v>
      </c>
      <c r="F561" s="8" t="s">
        <v>4757</v>
      </c>
      <c r="G561" s="8" t="s">
        <v>4756</v>
      </c>
      <c r="H561" s="7" t="s">
        <v>592</v>
      </c>
      <c r="I561" s="16">
        <v>43999</v>
      </c>
      <c r="J561" s="16">
        <v>43999</v>
      </c>
      <c r="K561" s="17">
        <v>81900</v>
      </c>
      <c r="L561" s="3"/>
      <c r="M561" s="8" t="s">
        <v>4206</v>
      </c>
      <c r="N561" s="11">
        <v>44000.435567129629</v>
      </c>
      <c r="O561" s="8" t="s">
        <v>4206</v>
      </c>
      <c r="P561" s="11">
        <v>43999.566400462965</v>
      </c>
      <c r="Q561" s="13">
        <v>25978</v>
      </c>
      <c r="R561" s="194" t="s">
        <v>594</v>
      </c>
      <c r="S561" s="14" t="s">
        <v>6274</v>
      </c>
      <c r="T561" s="163">
        <v>1219</v>
      </c>
      <c r="U561" s="164" t="str">
        <f>CONCATENATE(LEFT(SP_ACQ_Lib[[#This Row],[Tax Parcel ID]],7),"_",SP_ACQ_Lib[[#This Row],[ACQ Document Type]])</f>
        <v>R013049_APPRAISAL Just Compensation Memo</v>
      </c>
      <c r="V561" s="65" t="str">
        <f>INDEX(SP_AcqTract_DB[WCAD Tax Parcel ID],MATCH(SP_ACQ_Lib[[#This Row],[Acquisition Tract No.]],SP_AcqTract_DB[Acquisition Tract No.],0))</f>
        <v>R013049;#53;#R013050;#54</v>
      </c>
      <c r="W561" s="48" t="str">
        <f>INDEX(SP_TaxPar_DB[Acquisition Tract No.],MATCH(LEFT(SP_ACQ_Lib[[#This Row],[Tax Parcel ID]],7),SP_TaxPar_DB[Tax Parcel ID],0))</f>
        <v>313</v>
      </c>
      <c r="X561" s="238" t="str">
        <f>IF(OR(SP_ACQ_Lib[[#This Row],[Acquisition Tract No.]]="",SP_ACQ_Lib[[#This Row],[ACQ Document Type]]=""),0,CONCATENATE("COW-FRMP_TR-",SP_ACQ_Lib[[#This Row],[Acquisition Tract No.]]," ",SP_ACQ_Lib[[#This Row],[ACQ Document Type]]))</f>
        <v>COW-FRMP_TR-313 APPRAISAL Just Compensation Memo</v>
      </c>
      <c r="Y561" s="239">
        <f>IF(OR(SP_ACQ_Lib[[#This Row],[File Name Convention]]=0,LEFT(SP_ACQ_Lib[[#This Row],[Name]],LEN(SP_ACQ_Lib[[#This Row],[File Name Convention]]))&lt;&gt;SP_ACQ_Lib[[#This Row],[File Name Convention]],ISERROR(SEARCH(SP_ACQ_Lib[[#This Row],[ACQ Document Type]],SP_ACQ_Lib[[#This Row],[Name]]))),1,0)</f>
        <v>0</v>
      </c>
    </row>
    <row r="562" spans="1:25" ht="15" x14ac:dyDescent="0.2">
      <c r="A562" s="157" t="str">
        <f>CONCATENATE(SP_ACQ_Lib[[#This Row],[Acquisition Tract No.]],"_",SP_ACQ_Lib[[#This Row],[ACQ Document Type]])</f>
        <v>313_APPRAISAL USACOE Authorization to Proceed with Offer</v>
      </c>
      <c r="B562" s="14" t="s">
        <v>6272</v>
      </c>
      <c r="C562" s="193" t="s">
        <v>56</v>
      </c>
      <c r="D562" s="12" t="s">
        <v>656</v>
      </c>
      <c r="E562" s="8" t="s">
        <v>1131</v>
      </c>
      <c r="F562" s="8" t="s">
        <v>4959</v>
      </c>
      <c r="G562" s="8" t="s">
        <v>4958</v>
      </c>
      <c r="H562" s="7" t="s">
        <v>592</v>
      </c>
      <c r="I562" s="16">
        <v>43999</v>
      </c>
      <c r="J562" s="16">
        <v>43999</v>
      </c>
      <c r="K562" s="17">
        <v>81900</v>
      </c>
      <c r="L562" s="3"/>
      <c r="M562" s="8" t="s">
        <v>4206</v>
      </c>
      <c r="N562" s="11">
        <v>44000.436018518521</v>
      </c>
      <c r="O562" s="8" t="s">
        <v>4206</v>
      </c>
      <c r="P562" s="11">
        <v>43999.566400462965</v>
      </c>
      <c r="Q562" s="13">
        <v>418122</v>
      </c>
      <c r="R562" s="194" t="s">
        <v>594</v>
      </c>
      <c r="S562" s="14" t="s">
        <v>6275</v>
      </c>
      <c r="T562" s="163">
        <v>1220</v>
      </c>
      <c r="U562" s="164" t="str">
        <f>CONCATENATE(LEFT(SP_ACQ_Lib[[#This Row],[Tax Parcel ID]],7),"_",SP_ACQ_Lib[[#This Row],[ACQ Document Type]])</f>
        <v>R013049_APPRAISAL USACOE Authorization to Proceed with Offer</v>
      </c>
      <c r="V562" s="65" t="str">
        <f>INDEX(SP_AcqTract_DB[WCAD Tax Parcel ID],MATCH(SP_ACQ_Lib[[#This Row],[Acquisition Tract No.]],SP_AcqTract_DB[Acquisition Tract No.],0))</f>
        <v>R013049;#53;#R013050;#54</v>
      </c>
      <c r="W562" s="48" t="str">
        <f>INDEX(SP_TaxPar_DB[Acquisition Tract No.],MATCH(LEFT(SP_ACQ_Lib[[#This Row],[Tax Parcel ID]],7),SP_TaxPar_DB[Tax Parcel ID],0))</f>
        <v>313</v>
      </c>
      <c r="X562" s="238" t="str">
        <f>IF(OR(SP_ACQ_Lib[[#This Row],[Acquisition Tract No.]]="",SP_ACQ_Lib[[#This Row],[ACQ Document Type]]=""),0,CONCATENATE("COW-FRMP_TR-",SP_ACQ_Lib[[#This Row],[Acquisition Tract No.]]," ",SP_ACQ_Lib[[#This Row],[ACQ Document Type]]))</f>
        <v>COW-FRMP_TR-313 APPRAISAL USACOE Authorization to Proceed with Offer</v>
      </c>
      <c r="Y562" s="239">
        <f>IF(OR(SP_ACQ_Lib[[#This Row],[File Name Convention]]=0,LEFT(SP_ACQ_Lib[[#This Row],[Name]],LEN(SP_ACQ_Lib[[#This Row],[File Name Convention]]))&lt;&gt;SP_ACQ_Lib[[#This Row],[File Name Convention]],ISERROR(SEARCH(SP_ACQ_Lib[[#This Row],[ACQ Document Type]],SP_ACQ_Lib[[#This Row],[Name]]))),1,0)</f>
        <v>0</v>
      </c>
    </row>
    <row r="563" spans="1:25" ht="15" x14ac:dyDescent="0.2">
      <c r="A563" s="157" t="str">
        <f>CONCATENATE(SP_ACQ_Lib[[#This Row],[Acquisition Tract No.]],"_",SP_ACQ_Lib[[#This Row],[ACQ Document Type]])</f>
        <v>313_APPRAISAL USACOE Authorization to Proceed with Offer Approval</v>
      </c>
      <c r="B563" s="14" t="s">
        <v>6526</v>
      </c>
      <c r="C563" s="193" t="s">
        <v>56</v>
      </c>
      <c r="D563" s="12" t="s">
        <v>656</v>
      </c>
      <c r="E563" s="8" t="s">
        <v>1131</v>
      </c>
      <c r="F563" s="8" t="s">
        <v>4973</v>
      </c>
      <c r="G563" s="8" t="s">
        <v>4972</v>
      </c>
      <c r="H563" s="7" t="s">
        <v>1749</v>
      </c>
      <c r="I563" s="16">
        <v>44012</v>
      </c>
      <c r="J563" s="16"/>
      <c r="K563" s="17">
        <v>81900</v>
      </c>
      <c r="L563" s="3"/>
      <c r="M563" s="8" t="s">
        <v>4206</v>
      </c>
      <c r="N563" s="11">
        <v>44012.532500000001</v>
      </c>
      <c r="O563" s="8" t="s">
        <v>4206</v>
      </c>
      <c r="P563" s="11">
        <v>44012.517604166664</v>
      </c>
      <c r="Q563" s="13">
        <v>512779</v>
      </c>
      <c r="R563" s="194" t="s">
        <v>594</v>
      </c>
      <c r="S563" s="14" t="s">
        <v>6589</v>
      </c>
      <c r="T563" s="163">
        <v>1312</v>
      </c>
      <c r="U563" s="164" t="str">
        <f>CONCATENATE(LEFT(SP_ACQ_Lib[[#This Row],[Tax Parcel ID]],7),"_",SP_ACQ_Lib[[#This Row],[ACQ Document Type]])</f>
        <v>R013049_APPRAISAL USACOE Authorization to Proceed with Offer Approval</v>
      </c>
      <c r="V563" s="65" t="str">
        <f>INDEX(SP_AcqTract_DB[WCAD Tax Parcel ID],MATCH(SP_ACQ_Lib[[#This Row],[Acquisition Tract No.]],SP_AcqTract_DB[Acquisition Tract No.],0))</f>
        <v>R013049;#53;#R013050;#54</v>
      </c>
      <c r="W563" s="48" t="str">
        <f>INDEX(SP_TaxPar_DB[Acquisition Tract No.],MATCH(LEFT(SP_ACQ_Lib[[#This Row],[Tax Parcel ID]],7),SP_TaxPar_DB[Tax Parcel ID],0))</f>
        <v>313</v>
      </c>
      <c r="X563" s="238" t="str">
        <f>IF(OR(SP_ACQ_Lib[[#This Row],[Acquisition Tract No.]]="",SP_ACQ_Lib[[#This Row],[ACQ Document Type]]=""),0,CONCATENATE("COW-FRMP_TR-",SP_ACQ_Lib[[#This Row],[Acquisition Tract No.]]," ",SP_ACQ_Lib[[#This Row],[ACQ Document Type]]))</f>
        <v>COW-FRMP_TR-313 APPRAISAL USACOE Authorization to Proceed with Offer Approval</v>
      </c>
      <c r="Y563" s="239">
        <f>IF(OR(SP_ACQ_Lib[[#This Row],[File Name Convention]]=0,LEFT(SP_ACQ_Lib[[#This Row],[Name]],LEN(SP_ACQ_Lib[[#This Row],[File Name Convention]]))&lt;&gt;SP_ACQ_Lib[[#This Row],[File Name Convention]],ISERROR(SEARCH(SP_ACQ_Lib[[#This Row],[ACQ Document Type]],SP_ACQ_Lib[[#This Row],[Name]]))),1,0)</f>
        <v>0</v>
      </c>
    </row>
    <row r="564" spans="1:25" ht="15" x14ac:dyDescent="0.2">
      <c r="A564" s="157" t="str">
        <f>CONCATENATE(SP_ACQ_Lib[[#This Row],[Acquisition Tract No.]],"_",SP_ACQ_Lib[[#This Row],[ACQ Document Type]])</f>
        <v>313_CONTACT Initial Interview - Residential</v>
      </c>
      <c r="B564" s="14" t="s">
        <v>1569</v>
      </c>
      <c r="C564" s="193" t="s">
        <v>56</v>
      </c>
      <c r="D564" s="12" t="s">
        <v>656</v>
      </c>
      <c r="E564" s="8" t="s">
        <v>865</v>
      </c>
      <c r="F564" s="8" t="s">
        <v>866</v>
      </c>
      <c r="G564" s="8" t="s">
        <v>618</v>
      </c>
      <c r="H564" s="7" t="s">
        <v>592</v>
      </c>
      <c r="I564" s="16">
        <v>43685</v>
      </c>
      <c r="J564" s="16"/>
      <c r="K564" s="17"/>
      <c r="L564" s="3"/>
      <c r="M564" s="8" t="s">
        <v>23</v>
      </c>
      <c r="N564" s="11">
        <v>43770.449282407404</v>
      </c>
      <c r="O564" s="8" t="s">
        <v>4325</v>
      </c>
      <c r="P564" s="11">
        <v>43696.391238425924</v>
      </c>
      <c r="Q564" s="13">
        <v>190120</v>
      </c>
      <c r="R564" s="194" t="s">
        <v>594</v>
      </c>
      <c r="S564" s="14" t="s">
        <v>819</v>
      </c>
      <c r="T564" s="163">
        <v>96</v>
      </c>
      <c r="U564" s="164" t="str">
        <f>CONCATENATE(LEFT(SP_ACQ_Lib[[#This Row],[Tax Parcel ID]],7),"_",SP_ACQ_Lib[[#This Row],[ACQ Document Type]])</f>
        <v>R013049_CONTACT Initial Interview - Residential</v>
      </c>
      <c r="V564" s="65" t="str">
        <f>INDEX(SP_AcqTract_DB[WCAD Tax Parcel ID],MATCH(SP_ACQ_Lib[[#This Row],[Acquisition Tract No.]],SP_AcqTract_DB[Acquisition Tract No.],0))</f>
        <v>R013049;#53;#R013050;#54</v>
      </c>
      <c r="W564" s="48" t="str">
        <f>INDEX(SP_TaxPar_DB[Acquisition Tract No.],MATCH(LEFT(SP_ACQ_Lib[[#This Row],[Tax Parcel ID]],7),SP_TaxPar_DB[Tax Parcel ID],0))</f>
        <v>313</v>
      </c>
      <c r="X564" s="238" t="str">
        <f>IF(OR(SP_ACQ_Lib[[#This Row],[Acquisition Tract No.]]="",SP_ACQ_Lib[[#This Row],[ACQ Document Type]]=""),0,CONCATENATE("COW-FRMP_TR-",SP_ACQ_Lib[[#This Row],[Acquisition Tract No.]]," ",SP_ACQ_Lib[[#This Row],[ACQ Document Type]]))</f>
        <v>COW-FRMP_TR-313 CONTACT Initial Interview - Residential</v>
      </c>
      <c r="Y564" s="239">
        <f>IF(OR(SP_ACQ_Lib[[#This Row],[File Name Convention]]=0,LEFT(SP_ACQ_Lib[[#This Row],[Name]],LEN(SP_ACQ_Lib[[#This Row],[File Name Convention]]))&lt;&gt;SP_ACQ_Lib[[#This Row],[File Name Convention]],ISERROR(SEARCH(SP_ACQ_Lib[[#This Row],[ACQ Document Type]],SP_ACQ_Lib[[#This Row],[Name]]))),1,0)</f>
        <v>0</v>
      </c>
    </row>
    <row r="565" spans="1:25" ht="15" x14ac:dyDescent="0.2">
      <c r="A565" s="157" t="str">
        <f>CONCATENATE(SP_ACQ_Lib[[#This Row],[Acquisition Tract No.]],"_",SP_ACQ_Lib[[#This Row],[ACQ Document Type]])</f>
        <v>313_CONTACT Letter of Intent-HDR</v>
      </c>
      <c r="B565" s="14" t="s">
        <v>4479</v>
      </c>
      <c r="C565" s="193" t="s">
        <v>56</v>
      </c>
      <c r="D565" s="12" t="s">
        <v>656</v>
      </c>
      <c r="E565" s="8" t="s">
        <v>865</v>
      </c>
      <c r="F565" s="8" t="s">
        <v>1401</v>
      </c>
      <c r="G565" s="8" t="s">
        <v>1400</v>
      </c>
      <c r="H565" s="7" t="s">
        <v>592</v>
      </c>
      <c r="I565" s="16">
        <v>43765</v>
      </c>
      <c r="J565" s="16"/>
      <c r="K565" s="17"/>
      <c r="L565" s="3"/>
      <c r="M565" s="8" t="s">
        <v>4206</v>
      </c>
      <c r="N565" s="11">
        <v>43894.397685185184</v>
      </c>
      <c r="O565" s="8" t="s">
        <v>1272</v>
      </c>
      <c r="P565" s="11">
        <v>43769.625891203701</v>
      </c>
      <c r="Q565" s="13">
        <v>58191</v>
      </c>
      <c r="R565" s="194" t="s">
        <v>594</v>
      </c>
      <c r="S565" s="14" t="s">
        <v>1655</v>
      </c>
      <c r="T565" s="163">
        <v>527</v>
      </c>
      <c r="U565" s="164" t="str">
        <f>CONCATENATE(LEFT(SP_ACQ_Lib[[#This Row],[Tax Parcel ID]],7),"_",SP_ACQ_Lib[[#This Row],[ACQ Document Type]])</f>
        <v>R013049_CONTACT Letter of Intent-HDR</v>
      </c>
      <c r="V565" s="65" t="str">
        <f>INDEX(SP_AcqTract_DB[WCAD Tax Parcel ID],MATCH(SP_ACQ_Lib[[#This Row],[Acquisition Tract No.]],SP_AcqTract_DB[Acquisition Tract No.],0))</f>
        <v>R013049;#53;#R013050;#54</v>
      </c>
      <c r="W565" s="48" t="str">
        <f>INDEX(SP_TaxPar_DB[Acquisition Tract No.],MATCH(LEFT(SP_ACQ_Lib[[#This Row],[Tax Parcel ID]],7),SP_TaxPar_DB[Tax Parcel ID],0))</f>
        <v>313</v>
      </c>
      <c r="X565" s="238" t="str">
        <f>IF(OR(SP_ACQ_Lib[[#This Row],[Acquisition Tract No.]]="",SP_ACQ_Lib[[#This Row],[ACQ Document Type]]=""),0,CONCATENATE("COW-FRMP_TR-",SP_ACQ_Lib[[#This Row],[Acquisition Tract No.]]," ",SP_ACQ_Lib[[#This Row],[ACQ Document Type]]))</f>
        <v>COW-FRMP_TR-313 CONTACT Letter of Intent-HDR</v>
      </c>
      <c r="Y565" s="239">
        <f>IF(OR(SP_ACQ_Lib[[#This Row],[File Name Convention]]=0,LEFT(SP_ACQ_Lib[[#This Row],[Name]],LEN(SP_ACQ_Lib[[#This Row],[File Name Convention]]))&lt;&gt;SP_ACQ_Lib[[#This Row],[File Name Convention]],ISERROR(SEARCH(SP_ACQ_Lib[[#This Row],[ACQ Document Type]],SP_ACQ_Lib[[#This Row],[Name]]))),1,0)</f>
        <v>0</v>
      </c>
    </row>
    <row r="566" spans="1:25" ht="15" x14ac:dyDescent="0.2">
      <c r="A566" s="157" t="str">
        <f>CONCATENATE(SP_ACQ_Lib[[#This Row],[Acquisition Tract No.]],"_",SP_ACQ_Lib[[#This Row],[ACQ Document Type]])</f>
        <v>313_CONTACT Negotiator Report</v>
      </c>
      <c r="B566" s="14" t="s">
        <v>3409</v>
      </c>
      <c r="C566" s="193" t="s">
        <v>56</v>
      </c>
      <c r="D566" s="12" t="s">
        <v>656</v>
      </c>
      <c r="E566" s="8" t="s">
        <v>865</v>
      </c>
      <c r="F566" s="8" t="s">
        <v>1068</v>
      </c>
      <c r="G566" s="8" t="s">
        <v>1067</v>
      </c>
      <c r="H566" s="7" t="s">
        <v>592</v>
      </c>
      <c r="I566" s="16"/>
      <c r="J566" s="16"/>
      <c r="K566" s="17"/>
      <c r="L566" s="3"/>
      <c r="M566" s="8" t="s">
        <v>1743</v>
      </c>
      <c r="N566" s="11">
        <v>44019.757106481484</v>
      </c>
      <c r="O566" s="8" t="s">
        <v>4207</v>
      </c>
      <c r="P566" s="11">
        <v>43738.432835648149</v>
      </c>
      <c r="Q566" s="13">
        <v>295658</v>
      </c>
      <c r="R566" s="194" t="s">
        <v>1069</v>
      </c>
      <c r="S566" s="14" t="s">
        <v>1109</v>
      </c>
      <c r="T566" s="163">
        <v>373</v>
      </c>
      <c r="U566" s="164" t="str">
        <f>CONCATENATE(LEFT(SP_ACQ_Lib[[#This Row],[Tax Parcel ID]],7),"_",SP_ACQ_Lib[[#This Row],[ACQ Document Type]])</f>
        <v>R013049_CONTACT Negotiator Report</v>
      </c>
      <c r="V566" s="65" t="str">
        <f>INDEX(SP_AcqTract_DB[WCAD Tax Parcel ID],MATCH(SP_ACQ_Lib[[#This Row],[Acquisition Tract No.]],SP_AcqTract_DB[Acquisition Tract No.],0))</f>
        <v>R013049;#53;#R013050;#54</v>
      </c>
      <c r="W566" s="48" t="str">
        <f>INDEX(SP_TaxPar_DB[Acquisition Tract No.],MATCH(LEFT(SP_ACQ_Lib[[#This Row],[Tax Parcel ID]],7),SP_TaxPar_DB[Tax Parcel ID],0))</f>
        <v>313</v>
      </c>
      <c r="X566" s="238" t="str">
        <f>IF(OR(SP_ACQ_Lib[[#This Row],[Acquisition Tract No.]]="",SP_ACQ_Lib[[#This Row],[ACQ Document Type]]=""),0,CONCATENATE("COW-FRMP_TR-",SP_ACQ_Lib[[#This Row],[Acquisition Tract No.]]," ",SP_ACQ_Lib[[#This Row],[ACQ Document Type]]))</f>
        <v>COW-FRMP_TR-313 CONTACT Negotiator Report</v>
      </c>
      <c r="Y566" s="239">
        <f>IF(OR(SP_ACQ_Lib[[#This Row],[File Name Convention]]=0,LEFT(SP_ACQ_Lib[[#This Row],[Name]],LEN(SP_ACQ_Lib[[#This Row],[File Name Convention]]))&lt;&gt;SP_ACQ_Lib[[#This Row],[File Name Convention]],ISERROR(SEARCH(SP_ACQ_Lib[[#This Row],[ACQ Document Type]],SP_ACQ_Lib[[#This Row],[Name]]))),1,0)</f>
        <v>0</v>
      </c>
    </row>
    <row r="567" spans="1:25" ht="15" x14ac:dyDescent="0.2">
      <c r="A567" s="157" t="str">
        <f>CONCATENATE(SP_ACQ_Lib[[#This Row],[Acquisition Tract No.]],"_",SP_ACQ_Lib[[#This Row],[ACQ Document Type]])</f>
        <v>313_NEGOTIATION Initial Offer Package</v>
      </c>
      <c r="B567" s="14" t="s">
        <v>6706</v>
      </c>
      <c r="C567" s="193" t="s">
        <v>56</v>
      </c>
      <c r="D567" s="12" t="s">
        <v>6705</v>
      </c>
      <c r="E567" s="8" t="s">
        <v>1142</v>
      </c>
      <c r="F567" s="8" t="s">
        <v>1143</v>
      </c>
      <c r="G567" s="8" t="s">
        <v>1709</v>
      </c>
      <c r="H567" s="7" t="s">
        <v>592</v>
      </c>
      <c r="I567" s="16">
        <v>44021</v>
      </c>
      <c r="J567" s="16"/>
      <c r="K567" s="17">
        <v>81900</v>
      </c>
      <c r="L567" s="3"/>
      <c r="M567" s="8" t="s">
        <v>4206</v>
      </c>
      <c r="N567" s="11">
        <v>44022.400636574072</v>
      </c>
      <c r="O567" s="8" t="s">
        <v>4206</v>
      </c>
      <c r="P567" s="11">
        <v>44022.399293981478</v>
      </c>
      <c r="Q567" s="13">
        <v>12170904</v>
      </c>
      <c r="R567" s="194" t="s">
        <v>594</v>
      </c>
      <c r="S567" s="14" t="s">
        <v>6708</v>
      </c>
      <c r="T567" s="163">
        <v>1379</v>
      </c>
      <c r="U567" s="164" t="str">
        <f>CONCATENATE(LEFT(SP_ACQ_Lib[[#This Row],[Tax Parcel ID]],7),"_",SP_ACQ_Lib[[#This Row],[ACQ Document Type]])</f>
        <v>R013050_NEGOTIATION Initial Offer Package</v>
      </c>
      <c r="V567" s="65" t="str">
        <f>INDEX(SP_AcqTract_DB[WCAD Tax Parcel ID],MATCH(SP_ACQ_Lib[[#This Row],[Acquisition Tract No.]],SP_AcqTract_DB[Acquisition Tract No.],0))</f>
        <v>R013049;#53;#R013050;#54</v>
      </c>
      <c r="W567" s="48" t="str">
        <f>INDEX(SP_TaxPar_DB[Acquisition Tract No.],MATCH(LEFT(SP_ACQ_Lib[[#This Row],[Tax Parcel ID]],7),SP_TaxPar_DB[Tax Parcel ID],0))</f>
        <v>313</v>
      </c>
      <c r="X567" s="238" t="str">
        <f>IF(OR(SP_ACQ_Lib[[#This Row],[Acquisition Tract No.]]="",SP_ACQ_Lib[[#This Row],[ACQ Document Type]]=""),0,CONCATENATE("COW-FRMP_TR-",SP_ACQ_Lib[[#This Row],[Acquisition Tract No.]]," ",SP_ACQ_Lib[[#This Row],[ACQ Document Type]]))</f>
        <v>COW-FRMP_TR-313 NEGOTIATION Initial Offer Package</v>
      </c>
      <c r="Y567" s="239">
        <f>IF(OR(SP_ACQ_Lib[[#This Row],[File Name Convention]]=0,LEFT(SP_ACQ_Lib[[#This Row],[Name]],LEN(SP_ACQ_Lib[[#This Row],[File Name Convention]]))&lt;&gt;SP_ACQ_Lib[[#This Row],[File Name Convention]],ISERROR(SEARCH(SP_ACQ_Lib[[#This Row],[ACQ Document Type]],SP_ACQ_Lib[[#This Row],[Name]]))),1,0)</f>
        <v>0</v>
      </c>
    </row>
    <row r="568" spans="1:25" ht="15" x14ac:dyDescent="0.2">
      <c r="A568" s="157" t="str">
        <f>CONCATENATE(SP_ACQ_Lib[[#This Row],[Acquisition Tract No.]],"_",SP_ACQ_Lib[[#This Row],[ACQ Document Type]])</f>
        <v>313_NEGOTIATION Initial Offer Package CMRR</v>
      </c>
      <c r="B568" s="14" t="s">
        <v>6707</v>
      </c>
      <c r="C568" s="193" t="s">
        <v>56</v>
      </c>
      <c r="D568" s="12" t="s">
        <v>6705</v>
      </c>
      <c r="E568" s="8" t="s">
        <v>1142</v>
      </c>
      <c r="F568" s="8" t="s">
        <v>1144</v>
      </c>
      <c r="G568" s="8" t="s">
        <v>1710</v>
      </c>
      <c r="H568" s="7" t="s">
        <v>592</v>
      </c>
      <c r="I568" s="16">
        <v>44022</v>
      </c>
      <c r="J568" s="16">
        <v>44022</v>
      </c>
      <c r="K568" s="17"/>
      <c r="L568" s="3" t="s">
        <v>6735</v>
      </c>
      <c r="M568" s="8" t="s">
        <v>4206</v>
      </c>
      <c r="N568" s="11">
        <v>44025.544803240744</v>
      </c>
      <c r="O568" s="8" t="s">
        <v>4206</v>
      </c>
      <c r="P568" s="11">
        <v>44022.399085648147</v>
      </c>
      <c r="Q568" s="13">
        <v>2076090</v>
      </c>
      <c r="R568" s="194" t="s">
        <v>594</v>
      </c>
      <c r="S568" s="14" t="s">
        <v>6709</v>
      </c>
      <c r="T568" s="163">
        <v>1378</v>
      </c>
      <c r="U568" s="164" t="str">
        <f>CONCATENATE(LEFT(SP_ACQ_Lib[[#This Row],[Tax Parcel ID]],7),"_",SP_ACQ_Lib[[#This Row],[ACQ Document Type]])</f>
        <v>R013050_NEGOTIATION Initial Offer Package CMRR</v>
      </c>
      <c r="V568" s="65" t="str">
        <f>INDEX(SP_AcqTract_DB[WCAD Tax Parcel ID],MATCH(SP_ACQ_Lib[[#This Row],[Acquisition Tract No.]],SP_AcqTract_DB[Acquisition Tract No.],0))</f>
        <v>R013049;#53;#R013050;#54</v>
      </c>
      <c r="W568" s="48" t="str">
        <f>INDEX(SP_TaxPar_DB[Acquisition Tract No.],MATCH(LEFT(SP_ACQ_Lib[[#This Row],[Tax Parcel ID]],7),SP_TaxPar_DB[Tax Parcel ID],0))</f>
        <v>313</v>
      </c>
      <c r="X568" s="238" t="str">
        <f>IF(OR(SP_ACQ_Lib[[#This Row],[Acquisition Tract No.]]="",SP_ACQ_Lib[[#This Row],[ACQ Document Type]]=""),0,CONCATENATE("COW-FRMP_TR-",SP_ACQ_Lib[[#This Row],[Acquisition Tract No.]]," ",SP_ACQ_Lib[[#This Row],[ACQ Document Type]]))</f>
        <v>COW-FRMP_TR-313 NEGOTIATION Initial Offer Package CMRR</v>
      </c>
      <c r="Y568" s="239">
        <f>IF(OR(SP_ACQ_Lib[[#This Row],[File Name Convention]]=0,LEFT(SP_ACQ_Lib[[#This Row],[Name]],LEN(SP_ACQ_Lib[[#This Row],[File Name Convention]]))&lt;&gt;SP_ACQ_Lib[[#This Row],[File Name Convention]],ISERROR(SEARCH(SP_ACQ_Lib[[#This Row],[ACQ Document Type]],SP_ACQ_Lib[[#This Row],[Name]]))),1,0)</f>
        <v>0</v>
      </c>
    </row>
    <row r="569" spans="1:25" ht="15" x14ac:dyDescent="0.2">
      <c r="A569" s="157" t="str">
        <f>CONCATENATE(SP_ACQ_Lib[[#This Row],[Acquisition Tract No.]],"_",SP_ACQ_Lib[[#This Row],[ACQ Document Type]])</f>
        <v>313_NEGOTIATION Landowner Bill of Rights Letter</v>
      </c>
      <c r="B569" s="14" t="s">
        <v>3481</v>
      </c>
      <c r="C569" s="193" t="s">
        <v>56</v>
      </c>
      <c r="D569" s="12" t="s">
        <v>656</v>
      </c>
      <c r="E569" s="8" t="s">
        <v>1142</v>
      </c>
      <c r="F569" s="8" t="s">
        <v>1746</v>
      </c>
      <c r="G569" s="8" t="s">
        <v>1745</v>
      </c>
      <c r="H569" s="7" t="s">
        <v>592</v>
      </c>
      <c r="I569" s="16">
        <v>43748</v>
      </c>
      <c r="J569" s="16"/>
      <c r="K569" s="17"/>
      <c r="L569" s="3" t="s">
        <v>4453</v>
      </c>
      <c r="M569" s="8" t="s">
        <v>4205</v>
      </c>
      <c r="N569" s="11">
        <v>43899.895057870373</v>
      </c>
      <c r="O569" s="8" t="s">
        <v>4325</v>
      </c>
      <c r="P569" s="11">
        <v>43752.526909722219</v>
      </c>
      <c r="Q569" s="13">
        <v>509637</v>
      </c>
      <c r="R569" s="194" t="s">
        <v>594</v>
      </c>
      <c r="S569" s="14" t="s">
        <v>1238</v>
      </c>
      <c r="T569" s="163">
        <v>452</v>
      </c>
      <c r="U569" s="164" t="str">
        <f>CONCATENATE(LEFT(SP_ACQ_Lib[[#This Row],[Tax Parcel ID]],7),"_",SP_ACQ_Lib[[#This Row],[ACQ Document Type]])</f>
        <v>R013049_NEGOTIATION Landowner Bill of Rights Letter</v>
      </c>
      <c r="V569" s="65" t="str">
        <f>INDEX(SP_AcqTract_DB[WCAD Tax Parcel ID],MATCH(SP_ACQ_Lib[[#This Row],[Acquisition Tract No.]],SP_AcqTract_DB[Acquisition Tract No.],0))</f>
        <v>R013049;#53;#R013050;#54</v>
      </c>
      <c r="W569" s="48" t="str">
        <f>INDEX(SP_TaxPar_DB[Acquisition Tract No.],MATCH(LEFT(SP_ACQ_Lib[[#This Row],[Tax Parcel ID]],7),SP_TaxPar_DB[Tax Parcel ID],0))</f>
        <v>313</v>
      </c>
      <c r="X569" s="238" t="str">
        <f>IF(OR(SP_ACQ_Lib[[#This Row],[Acquisition Tract No.]]="",SP_ACQ_Lib[[#This Row],[ACQ Document Type]]=""),0,CONCATENATE("COW-FRMP_TR-",SP_ACQ_Lib[[#This Row],[Acquisition Tract No.]]," ",SP_ACQ_Lib[[#This Row],[ACQ Document Type]]))</f>
        <v>COW-FRMP_TR-313 NEGOTIATION Landowner Bill of Rights Letter</v>
      </c>
      <c r="Y569" s="239">
        <f>IF(OR(SP_ACQ_Lib[[#This Row],[File Name Convention]]=0,LEFT(SP_ACQ_Lib[[#This Row],[Name]],LEN(SP_ACQ_Lib[[#This Row],[File Name Convention]]))&lt;&gt;SP_ACQ_Lib[[#This Row],[File Name Convention]],ISERROR(SEARCH(SP_ACQ_Lib[[#This Row],[ACQ Document Type]],SP_ACQ_Lib[[#This Row],[Name]]))),1,0)</f>
        <v>0</v>
      </c>
    </row>
    <row r="570" spans="1:25" ht="15" x14ac:dyDescent="0.2">
      <c r="A570" s="157" t="str">
        <f>CONCATENATE(SP_ACQ_Lib[[#This Row],[Acquisition Tract No.]],"_",SP_ACQ_Lib[[#This Row],[ACQ Document Type]])</f>
        <v>313_NEGOTIATION Owner Representation Letter</v>
      </c>
      <c r="B570" s="14" t="s">
        <v>1570</v>
      </c>
      <c r="C570" s="193" t="s">
        <v>56</v>
      </c>
      <c r="D570" s="12" t="s">
        <v>656</v>
      </c>
      <c r="E570" s="8" t="s">
        <v>1142</v>
      </c>
      <c r="F570" s="8" t="s">
        <v>1404</v>
      </c>
      <c r="G570" s="8" t="s">
        <v>1403</v>
      </c>
      <c r="H570" s="7" t="s">
        <v>592</v>
      </c>
      <c r="I570" s="16">
        <v>43768</v>
      </c>
      <c r="J570" s="16"/>
      <c r="K570" s="17"/>
      <c r="L570" s="3"/>
      <c r="M570" s="8" t="s">
        <v>23</v>
      </c>
      <c r="N570" s="11">
        <v>43770.465879629628</v>
      </c>
      <c r="O570" s="8" t="s">
        <v>4325</v>
      </c>
      <c r="P570" s="11">
        <v>43768.363125000003</v>
      </c>
      <c r="Q570" s="13">
        <v>114953</v>
      </c>
      <c r="R570" s="194" t="s">
        <v>594</v>
      </c>
      <c r="S570" s="14" t="s">
        <v>1656</v>
      </c>
      <c r="T570" s="163">
        <v>473</v>
      </c>
      <c r="U570" s="164" t="str">
        <f>CONCATENATE(LEFT(SP_ACQ_Lib[[#This Row],[Tax Parcel ID]],7),"_",SP_ACQ_Lib[[#This Row],[ACQ Document Type]])</f>
        <v>R013049_NEGOTIATION Owner Representation Letter</v>
      </c>
      <c r="V570" s="65" t="str">
        <f>INDEX(SP_AcqTract_DB[WCAD Tax Parcel ID],MATCH(SP_ACQ_Lib[[#This Row],[Acquisition Tract No.]],SP_AcqTract_DB[Acquisition Tract No.],0))</f>
        <v>R013049;#53;#R013050;#54</v>
      </c>
      <c r="W570" s="48" t="str">
        <f>INDEX(SP_TaxPar_DB[Acquisition Tract No.],MATCH(LEFT(SP_ACQ_Lib[[#This Row],[Tax Parcel ID]],7),SP_TaxPar_DB[Tax Parcel ID],0))</f>
        <v>313</v>
      </c>
      <c r="X570" s="238" t="str">
        <f>IF(OR(SP_ACQ_Lib[[#This Row],[Acquisition Tract No.]]="",SP_ACQ_Lib[[#This Row],[ACQ Document Type]]=""),0,CONCATENATE("COW-FRMP_TR-",SP_ACQ_Lib[[#This Row],[Acquisition Tract No.]]," ",SP_ACQ_Lib[[#This Row],[ACQ Document Type]]))</f>
        <v>COW-FRMP_TR-313 NEGOTIATION Owner Representation Letter</v>
      </c>
      <c r="Y570" s="239">
        <f>IF(OR(SP_ACQ_Lib[[#This Row],[File Name Convention]]=0,LEFT(SP_ACQ_Lib[[#This Row],[Name]],LEN(SP_ACQ_Lib[[#This Row],[File Name Convention]]))&lt;&gt;SP_ACQ_Lib[[#This Row],[File Name Convention]],ISERROR(SEARCH(SP_ACQ_Lib[[#This Row],[ACQ Document Type]],SP_ACQ_Lib[[#This Row],[Name]]))),1,0)</f>
        <v>0</v>
      </c>
    </row>
    <row r="571" spans="1:25" ht="15" x14ac:dyDescent="0.2">
      <c r="A571" s="157" t="str">
        <f>CONCATENATE(SP_ACQ_Lib[[#This Row],[Acquisition Tract No.]],"_",SP_ACQ_Lib[[#This Row],[ACQ Document Type]])</f>
        <v>313_SURVEY Description-Plat_CITY</v>
      </c>
      <c r="B571" s="14" t="s">
        <v>3533</v>
      </c>
      <c r="C571" s="193" t="s">
        <v>56</v>
      </c>
      <c r="D571" s="12" t="s">
        <v>656</v>
      </c>
      <c r="E571" s="8" t="s">
        <v>858</v>
      </c>
      <c r="F571" s="8" t="s">
        <v>3503</v>
      </c>
      <c r="G571" s="8" t="s">
        <v>3502</v>
      </c>
      <c r="H571" s="7" t="s">
        <v>1749</v>
      </c>
      <c r="I571" s="16">
        <v>43815</v>
      </c>
      <c r="J571" s="16">
        <v>43886</v>
      </c>
      <c r="K571" s="17"/>
      <c r="L571" s="3"/>
      <c r="M571" s="8" t="s">
        <v>4206</v>
      </c>
      <c r="N571" s="11">
        <v>43937.590254629627</v>
      </c>
      <c r="O571" s="8" t="s">
        <v>4206</v>
      </c>
      <c r="P571" s="11">
        <v>43886.641944444447</v>
      </c>
      <c r="Q571" s="13">
        <v>240370</v>
      </c>
      <c r="R571" s="194" t="s">
        <v>594</v>
      </c>
      <c r="S571" s="14" t="s">
        <v>3556</v>
      </c>
      <c r="T571" s="163">
        <v>737</v>
      </c>
      <c r="U571" s="164" t="str">
        <f>CONCATENATE(LEFT(SP_ACQ_Lib[[#This Row],[Tax Parcel ID]],7),"_",SP_ACQ_Lib[[#This Row],[ACQ Document Type]])</f>
        <v>R013049_SURVEY Description-Plat_CITY</v>
      </c>
      <c r="V571" s="65" t="str">
        <f>INDEX(SP_AcqTract_DB[WCAD Tax Parcel ID],MATCH(SP_ACQ_Lib[[#This Row],[Acquisition Tract No.]],SP_AcqTract_DB[Acquisition Tract No.],0))</f>
        <v>R013049;#53;#R013050;#54</v>
      </c>
      <c r="W571" s="48" t="str">
        <f>INDEX(SP_TaxPar_DB[Acquisition Tract No.],MATCH(LEFT(SP_ACQ_Lib[[#This Row],[Tax Parcel ID]],7),SP_TaxPar_DB[Tax Parcel ID],0))</f>
        <v>313</v>
      </c>
      <c r="X571" s="238" t="str">
        <f>IF(OR(SP_ACQ_Lib[[#This Row],[Acquisition Tract No.]]="",SP_ACQ_Lib[[#This Row],[ACQ Document Type]]=""),0,CONCATENATE("COW-FRMP_TR-",SP_ACQ_Lib[[#This Row],[Acquisition Tract No.]]," ",SP_ACQ_Lib[[#This Row],[ACQ Document Type]]))</f>
        <v>COW-FRMP_TR-313 SURVEY Description-Plat_CITY</v>
      </c>
      <c r="Y571" s="239">
        <f>IF(OR(SP_ACQ_Lib[[#This Row],[File Name Convention]]=0,LEFT(SP_ACQ_Lib[[#This Row],[Name]],LEN(SP_ACQ_Lib[[#This Row],[File Name Convention]]))&lt;&gt;SP_ACQ_Lib[[#This Row],[File Name Convention]],ISERROR(SEARCH(SP_ACQ_Lib[[#This Row],[ACQ Document Type]],SP_ACQ_Lib[[#This Row],[Name]]))),1,0)</f>
        <v>0</v>
      </c>
    </row>
    <row r="572" spans="1:25" ht="15" x14ac:dyDescent="0.2">
      <c r="A572" s="157" t="str">
        <f>CONCATENATE(SP_ACQ_Lib[[#This Row],[Acquisition Tract No.]],"_",SP_ACQ_Lib[[#This Row],[ACQ Document Type]])</f>
        <v>313_SURVEY Description-Plat_USACOE</v>
      </c>
      <c r="B572" s="14" t="s">
        <v>4990</v>
      </c>
      <c r="C572" s="193" t="s">
        <v>56</v>
      </c>
      <c r="D572" s="12" t="s">
        <v>656</v>
      </c>
      <c r="E572" s="8" t="s">
        <v>858</v>
      </c>
      <c r="F572" s="8" t="s">
        <v>3510</v>
      </c>
      <c r="G572" s="8" t="s">
        <v>3509</v>
      </c>
      <c r="H572" s="7" t="s">
        <v>592</v>
      </c>
      <c r="I572" s="16">
        <v>43815</v>
      </c>
      <c r="J572" s="16">
        <v>43948</v>
      </c>
      <c r="K572" s="17"/>
      <c r="L572" s="3"/>
      <c r="M572" s="8" t="s">
        <v>4206</v>
      </c>
      <c r="N572" s="11">
        <v>43949.813125000001</v>
      </c>
      <c r="O572" s="8" t="s">
        <v>4206</v>
      </c>
      <c r="P572" s="11">
        <v>43949.795034722221</v>
      </c>
      <c r="Q572" s="13">
        <v>493638</v>
      </c>
      <c r="R572" s="194" t="s">
        <v>594</v>
      </c>
      <c r="S572" s="14" t="s">
        <v>5009</v>
      </c>
      <c r="T572" s="163">
        <v>849</v>
      </c>
      <c r="U572" s="164" t="str">
        <f>CONCATENATE(LEFT(SP_ACQ_Lib[[#This Row],[Tax Parcel ID]],7),"_",SP_ACQ_Lib[[#This Row],[ACQ Document Type]])</f>
        <v>R013049_SURVEY Description-Plat_USACOE</v>
      </c>
      <c r="V572" s="65" t="str">
        <f>INDEX(SP_AcqTract_DB[WCAD Tax Parcel ID],MATCH(SP_ACQ_Lib[[#This Row],[Acquisition Tract No.]],SP_AcqTract_DB[Acquisition Tract No.],0))</f>
        <v>R013049;#53;#R013050;#54</v>
      </c>
      <c r="W572" s="48" t="str">
        <f>INDEX(SP_TaxPar_DB[Acquisition Tract No.],MATCH(LEFT(SP_ACQ_Lib[[#This Row],[Tax Parcel ID]],7),SP_TaxPar_DB[Tax Parcel ID],0))</f>
        <v>313</v>
      </c>
      <c r="X572" s="238" t="str">
        <f>IF(OR(SP_ACQ_Lib[[#This Row],[Acquisition Tract No.]]="",SP_ACQ_Lib[[#This Row],[ACQ Document Type]]=""),0,CONCATENATE("COW-FRMP_TR-",SP_ACQ_Lib[[#This Row],[Acquisition Tract No.]]," ",SP_ACQ_Lib[[#This Row],[ACQ Document Type]]))</f>
        <v>COW-FRMP_TR-313 SURVEY Description-Plat_USACOE</v>
      </c>
      <c r="Y572" s="239">
        <f>IF(OR(SP_ACQ_Lib[[#This Row],[File Name Convention]]=0,LEFT(SP_ACQ_Lib[[#This Row],[Name]],LEN(SP_ACQ_Lib[[#This Row],[File Name Convention]]))&lt;&gt;SP_ACQ_Lib[[#This Row],[File Name Convention]],ISERROR(SEARCH(SP_ACQ_Lib[[#This Row],[ACQ Document Type]],SP_ACQ_Lib[[#This Row],[Name]]))),1,0)</f>
        <v>0</v>
      </c>
    </row>
    <row r="573" spans="1:25" ht="15" x14ac:dyDescent="0.2">
      <c r="A573" s="157" t="str">
        <f>CONCATENATE(SP_ACQ_Lib[[#This Row],[Acquisition Tract No.]],"_",SP_ACQ_Lib[[#This Row],[ACQ Document Type]])</f>
        <v>313_SURVEY Right-of-Entry</v>
      </c>
      <c r="B573" s="14" t="s">
        <v>4480</v>
      </c>
      <c r="C573" s="193" t="s">
        <v>56</v>
      </c>
      <c r="D573" s="12" t="s">
        <v>656</v>
      </c>
      <c r="E573" s="8" t="s">
        <v>858</v>
      </c>
      <c r="F573" s="8" t="s">
        <v>859</v>
      </c>
      <c r="G573" s="8" t="s">
        <v>591</v>
      </c>
      <c r="H573" s="7" t="s">
        <v>592</v>
      </c>
      <c r="I573" s="16">
        <v>43685</v>
      </c>
      <c r="J573" s="16"/>
      <c r="K573" s="17"/>
      <c r="L573" s="3" t="s">
        <v>4444</v>
      </c>
      <c r="M573" s="8" t="s">
        <v>4206</v>
      </c>
      <c r="N573" s="11">
        <v>43894.405462962961</v>
      </c>
      <c r="O573" s="8" t="s">
        <v>4206</v>
      </c>
      <c r="P573" s="11">
        <v>43894.404872685183</v>
      </c>
      <c r="Q573" s="13">
        <v>2593560</v>
      </c>
      <c r="R573" s="194" t="s">
        <v>594</v>
      </c>
      <c r="S573" s="14" t="s">
        <v>4509</v>
      </c>
      <c r="T573" s="163">
        <v>773</v>
      </c>
      <c r="U573" s="164" t="str">
        <f>CONCATENATE(LEFT(SP_ACQ_Lib[[#This Row],[Tax Parcel ID]],7),"_",SP_ACQ_Lib[[#This Row],[ACQ Document Type]])</f>
        <v>R013049_SURVEY Right-of-Entry</v>
      </c>
      <c r="V573" s="65" t="str">
        <f>INDEX(SP_AcqTract_DB[WCAD Tax Parcel ID],MATCH(SP_ACQ_Lib[[#This Row],[Acquisition Tract No.]],SP_AcqTract_DB[Acquisition Tract No.],0))</f>
        <v>R013049;#53;#R013050;#54</v>
      </c>
      <c r="W573" s="48" t="str">
        <f>INDEX(SP_TaxPar_DB[Acquisition Tract No.],MATCH(LEFT(SP_ACQ_Lib[[#This Row],[Tax Parcel ID]],7),SP_TaxPar_DB[Tax Parcel ID],0))</f>
        <v>313</v>
      </c>
      <c r="X573" s="238" t="str">
        <f>IF(OR(SP_ACQ_Lib[[#This Row],[Acquisition Tract No.]]="",SP_ACQ_Lib[[#This Row],[ACQ Document Type]]=""),0,CONCATENATE("COW-FRMP_TR-",SP_ACQ_Lib[[#This Row],[Acquisition Tract No.]]," ",SP_ACQ_Lib[[#This Row],[ACQ Document Type]]))</f>
        <v>COW-FRMP_TR-313 SURVEY Right-of-Entry</v>
      </c>
      <c r="Y573" s="239">
        <f>IF(OR(SP_ACQ_Lib[[#This Row],[File Name Convention]]=0,LEFT(SP_ACQ_Lib[[#This Row],[Name]],LEN(SP_ACQ_Lib[[#This Row],[File Name Convention]]))&lt;&gt;SP_ACQ_Lib[[#This Row],[File Name Convention]],ISERROR(SEARCH(SP_ACQ_Lib[[#This Row],[ACQ Document Type]],SP_ACQ_Lib[[#This Row],[Name]]))),1,0)</f>
        <v>0</v>
      </c>
    </row>
    <row r="574" spans="1:25" ht="15" x14ac:dyDescent="0.2">
      <c r="A574" s="157" t="str">
        <f>CONCATENATE(SP_ACQ_Lib[[#This Row],[Acquisition Tract No.]],"_",SP_ACQ_Lib[[#This Row],[ACQ Document Type]])</f>
        <v>313_TITLE Commitment</v>
      </c>
      <c r="B574" s="14" t="s">
        <v>1571</v>
      </c>
      <c r="C574" s="193" t="s">
        <v>56</v>
      </c>
      <c r="D574" s="12" t="s">
        <v>656</v>
      </c>
      <c r="E574" s="8" t="s">
        <v>861</v>
      </c>
      <c r="F574" s="8" t="s">
        <v>862</v>
      </c>
      <c r="G574" s="8" t="s">
        <v>614</v>
      </c>
      <c r="H574" s="7" t="s">
        <v>592</v>
      </c>
      <c r="I574" s="16">
        <v>43889</v>
      </c>
      <c r="J574" s="16">
        <v>43901</v>
      </c>
      <c r="K574" s="17"/>
      <c r="L574" s="3" t="s">
        <v>4454</v>
      </c>
      <c r="M574" s="8" t="s">
        <v>4325</v>
      </c>
      <c r="N574" s="11">
        <v>43901.537870370368</v>
      </c>
      <c r="O574" s="8" t="s">
        <v>4326</v>
      </c>
      <c r="P574" s="11">
        <v>43699.591689814813</v>
      </c>
      <c r="Q574" s="13">
        <v>1932121</v>
      </c>
      <c r="R574" s="194" t="s">
        <v>594</v>
      </c>
      <c r="S574" s="14" t="s">
        <v>820</v>
      </c>
      <c r="T574" s="163">
        <v>148</v>
      </c>
      <c r="U574" s="164" t="str">
        <f>CONCATENATE(LEFT(SP_ACQ_Lib[[#This Row],[Tax Parcel ID]],7),"_",SP_ACQ_Lib[[#This Row],[ACQ Document Type]])</f>
        <v>R013049_TITLE Commitment</v>
      </c>
      <c r="V574" s="65" t="str">
        <f>INDEX(SP_AcqTract_DB[WCAD Tax Parcel ID],MATCH(SP_ACQ_Lib[[#This Row],[Acquisition Tract No.]],SP_AcqTract_DB[Acquisition Tract No.],0))</f>
        <v>R013049;#53;#R013050;#54</v>
      </c>
      <c r="W574" s="48" t="str">
        <f>INDEX(SP_TaxPar_DB[Acquisition Tract No.],MATCH(LEFT(SP_ACQ_Lib[[#This Row],[Tax Parcel ID]],7),SP_TaxPar_DB[Tax Parcel ID],0))</f>
        <v>313</v>
      </c>
      <c r="X574" s="238" t="str">
        <f>IF(OR(SP_ACQ_Lib[[#This Row],[Acquisition Tract No.]]="",SP_ACQ_Lib[[#This Row],[ACQ Document Type]]=""),0,CONCATENATE("COW-FRMP_TR-",SP_ACQ_Lib[[#This Row],[Acquisition Tract No.]]," ",SP_ACQ_Lib[[#This Row],[ACQ Document Type]]))</f>
        <v>COW-FRMP_TR-313 TITLE Commitment</v>
      </c>
      <c r="Y574" s="239">
        <f>IF(OR(SP_ACQ_Lib[[#This Row],[File Name Convention]]=0,LEFT(SP_ACQ_Lib[[#This Row],[Name]],LEN(SP_ACQ_Lib[[#This Row],[File Name Convention]]))&lt;&gt;SP_ACQ_Lib[[#This Row],[File Name Convention]],ISERROR(SEARCH(SP_ACQ_Lib[[#This Row],[ACQ Document Type]],SP_ACQ_Lib[[#This Row],[Name]]))),1,0)</f>
        <v>0</v>
      </c>
    </row>
    <row r="575" spans="1:25" ht="15" x14ac:dyDescent="0.2">
      <c r="A575" s="157" t="str">
        <f>CONCATENATE(SP_ACQ_Lib[[#This Row],[Acquisition Tract No.]],"_",SP_ACQ_Lib[[#This Row],[ACQ Document Type]])</f>
        <v>313_TITLE Commitment Backup Docs</v>
      </c>
      <c r="B575" s="14" t="s">
        <v>1572</v>
      </c>
      <c r="C575" s="193" t="s">
        <v>56</v>
      </c>
      <c r="D575" s="12" t="s">
        <v>656</v>
      </c>
      <c r="E575" s="8" t="s">
        <v>861</v>
      </c>
      <c r="F575" s="8" t="s">
        <v>863</v>
      </c>
      <c r="G575" s="8" t="s">
        <v>616</v>
      </c>
      <c r="H575" s="7" t="s">
        <v>592</v>
      </c>
      <c r="I575" s="16"/>
      <c r="J575" s="16"/>
      <c r="K575" s="17"/>
      <c r="L575" s="3"/>
      <c r="M575" s="8" t="s">
        <v>4325</v>
      </c>
      <c r="N575" s="11">
        <v>43815.452592592592</v>
      </c>
      <c r="O575" s="8" t="s">
        <v>4326</v>
      </c>
      <c r="P575" s="11">
        <v>43699.59207175926</v>
      </c>
      <c r="Q575" s="13">
        <v>149823</v>
      </c>
      <c r="R575" s="194" t="s">
        <v>594</v>
      </c>
      <c r="S575" s="14" t="s">
        <v>821</v>
      </c>
      <c r="T575" s="163">
        <v>149</v>
      </c>
      <c r="U575" s="164" t="str">
        <f>CONCATENATE(LEFT(SP_ACQ_Lib[[#This Row],[Tax Parcel ID]],7),"_",SP_ACQ_Lib[[#This Row],[ACQ Document Type]])</f>
        <v>R013049_TITLE Commitment Backup Docs</v>
      </c>
      <c r="V575" s="65" t="str">
        <f>INDEX(SP_AcqTract_DB[WCAD Tax Parcel ID],MATCH(SP_ACQ_Lib[[#This Row],[Acquisition Tract No.]],SP_AcqTract_DB[Acquisition Tract No.],0))</f>
        <v>R013049;#53;#R013050;#54</v>
      </c>
      <c r="W575" s="48" t="str">
        <f>INDEX(SP_TaxPar_DB[Acquisition Tract No.],MATCH(LEFT(SP_ACQ_Lib[[#This Row],[Tax Parcel ID]],7),SP_TaxPar_DB[Tax Parcel ID],0))</f>
        <v>313</v>
      </c>
      <c r="X575" s="238" t="str">
        <f>IF(OR(SP_ACQ_Lib[[#This Row],[Acquisition Tract No.]]="",SP_ACQ_Lib[[#This Row],[ACQ Document Type]]=""),0,CONCATENATE("COW-FRMP_TR-",SP_ACQ_Lib[[#This Row],[Acquisition Tract No.]]," ",SP_ACQ_Lib[[#This Row],[ACQ Document Type]]))</f>
        <v>COW-FRMP_TR-313 TITLE Commitment Backup Docs</v>
      </c>
      <c r="Y575" s="239">
        <f>IF(OR(SP_ACQ_Lib[[#This Row],[File Name Convention]]=0,LEFT(SP_ACQ_Lib[[#This Row],[Name]],LEN(SP_ACQ_Lib[[#This Row],[File Name Convention]]))&lt;&gt;SP_ACQ_Lib[[#This Row],[File Name Convention]],ISERROR(SEARCH(SP_ACQ_Lib[[#This Row],[ACQ Document Type]],SP_ACQ_Lib[[#This Row],[Name]]))),1,0)</f>
        <v>0</v>
      </c>
    </row>
    <row r="576" spans="1:25" ht="15" x14ac:dyDescent="0.2">
      <c r="A576" s="157" t="str">
        <f>CONCATENATE(SP_ACQ_Lib[[#This Row],[Acquisition Tract No.]],"_",SP_ACQ_Lib[[#This Row],[ACQ Document Type]])</f>
        <v>313_TITLE Curative Plan</v>
      </c>
      <c r="B576" s="14" t="s">
        <v>1573</v>
      </c>
      <c r="C576" s="193" t="s">
        <v>56</v>
      </c>
      <c r="D576" s="12" t="s">
        <v>656</v>
      </c>
      <c r="E576" s="8" t="s">
        <v>861</v>
      </c>
      <c r="F576" s="8" t="s">
        <v>864</v>
      </c>
      <c r="G576" s="8" t="s">
        <v>617</v>
      </c>
      <c r="H576" s="7" t="s">
        <v>592</v>
      </c>
      <c r="I576" s="16">
        <v>43815</v>
      </c>
      <c r="J576" s="16"/>
      <c r="K576" s="17"/>
      <c r="L576" s="3"/>
      <c r="M576" s="8" t="s">
        <v>4325</v>
      </c>
      <c r="N576" s="11">
        <v>43901.657986111109</v>
      </c>
      <c r="O576" s="8" t="s">
        <v>4326</v>
      </c>
      <c r="P576" s="11">
        <v>43746.362951388888</v>
      </c>
      <c r="Q576" s="13">
        <v>34804</v>
      </c>
      <c r="R576" s="194" t="s">
        <v>594</v>
      </c>
      <c r="S576" s="14" t="s">
        <v>1239</v>
      </c>
      <c r="T576" s="163">
        <v>408</v>
      </c>
      <c r="U576" s="164" t="str">
        <f>CONCATENATE(LEFT(SP_ACQ_Lib[[#This Row],[Tax Parcel ID]],7),"_",SP_ACQ_Lib[[#This Row],[ACQ Document Type]])</f>
        <v>R013049_TITLE Curative Plan</v>
      </c>
      <c r="V576" s="65" t="str">
        <f>INDEX(SP_AcqTract_DB[WCAD Tax Parcel ID],MATCH(SP_ACQ_Lib[[#This Row],[Acquisition Tract No.]],SP_AcqTract_DB[Acquisition Tract No.],0))</f>
        <v>R013049;#53;#R013050;#54</v>
      </c>
      <c r="W576" s="48" t="str">
        <f>INDEX(SP_TaxPar_DB[Acquisition Tract No.],MATCH(LEFT(SP_ACQ_Lib[[#This Row],[Tax Parcel ID]],7),SP_TaxPar_DB[Tax Parcel ID],0))</f>
        <v>313</v>
      </c>
      <c r="X576" s="238" t="str">
        <f>IF(OR(SP_ACQ_Lib[[#This Row],[Acquisition Tract No.]]="",SP_ACQ_Lib[[#This Row],[ACQ Document Type]]=""),0,CONCATENATE("COW-FRMP_TR-",SP_ACQ_Lib[[#This Row],[Acquisition Tract No.]]," ",SP_ACQ_Lib[[#This Row],[ACQ Document Type]]))</f>
        <v>COW-FRMP_TR-313 TITLE Curative Plan</v>
      </c>
      <c r="Y576" s="239">
        <f>IF(OR(SP_ACQ_Lib[[#This Row],[File Name Convention]]=0,LEFT(SP_ACQ_Lib[[#This Row],[Name]],LEN(SP_ACQ_Lib[[#This Row],[File Name Convention]]))&lt;&gt;SP_ACQ_Lib[[#This Row],[File Name Convention]],ISERROR(SEARCH(SP_ACQ_Lib[[#This Row],[ACQ Document Type]],SP_ACQ_Lib[[#This Row],[Name]]))),1,0)</f>
        <v>0</v>
      </c>
    </row>
    <row r="577" spans="1:25" ht="15" x14ac:dyDescent="0.2">
      <c r="A577" s="157" t="str">
        <f>CONCATENATE(SP_ACQ_Lib[[#This Row],[Acquisition Tract No.]],"_",SP_ACQ_Lib[[#This Row],[ACQ Document Type]])</f>
        <v>313_TITLE Tax Card</v>
      </c>
      <c r="B577" s="14" t="s">
        <v>4481</v>
      </c>
      <c r="C577" s="193" t="s">
        <v>56</v>
      </c>
      <c r="D577" s="12" t="s">
        <v>656</v>
      </c>
      <c r="E577" s="8" t="s">
        <v>861</v>
      </c>
      <c r="F577" s="8" t="s">
        <v>1150</v>
      </c>
      <c r="G577" s="8" t="s">
        <v>1149</v>
      </c>
      <c r="H577" s="7" t="s">
        <v>592</v>
      </c>
      <c r="I577" s="16"/>
      <c r="J577" s="16"/>
      <c r="K577" s="17"/>
      <c r="L577" s="3" t="s">
        <v>4444</v>
      </c>
      <c r="M577" s="8" t="s">
        <v>4206</v>
      </c>
      <c r="N577" s="11">
        <v>43894.419930555552</v>
      </c>
      <c r="O577" s="8" t="s">
        <v>4206</v>
      </c>
      <c r="P577" s="11">
        <v>43894.419224537036</v>
      </c>
      <c r="Q577" s="13">
        <v>655975</v>
      </c>
      <c r="R577" s="194" t="s">
        <v>594</v>
      </c>
      <c r="S577" s="14" t="s">
        <v>4510</v>
      </c>
      <c r="T577" s="163">
        <v>774</v>
      </c>
      <c r="U577" s="164" t="str">
        <f>CONCATENATE(LEFT(SP_ACQ_Lib[[#This Row],[Tax Parcel ID]],7),"_",SP_ACQ_Lib[[#This Row],[ACQ Document Type]])</f>
        <v>R013049_TITLE Tax Card</v>
      </c>
      <c r="V577" s="65" t="str">
        <f>INDEX(SP_AcqTract_DB[WCAD Tax Parcel ID],MATCH(SP_ACQ_Lib[[#This Row],[Acquisition Tract No.]],SP_AcqTract_DB[Acquisition Tract No.],0))</f>
        <v>R013049;#53;#R013050;#54</v>
      </c>
      <c r="W577" s="48" t="str">
        <f>INDEX(SP_TaxPar_DB[Acquisition Tract No.],MATCH(LEFT(SP_ACQ_Lib[[#This Row],[Tax Parcel ID]],7),SP_TaxPar_DB[Tax Parcel ID],0))</f>
        <v>313</v>
      </c>
      <c r="X577" s="238" t="str">
        <f>IF(OR(SP_ACQ_Lib[[#This Row],[Acquisition Tract No.]]="",SP_ACQ_Lib[[#This Row],[ACQ Document Type]]=""),0,CONCATENATE("COW-FRMP_TR-",SP_ACQ_Lib[[#This Row],[Acquisition Tract No.]]," ",SP_ACQ_Lib[[#This Row],[ACQ Document Type]]))</f>
        <v>COW-FRMP_TR-313 TITLE Tax Card</v>
      </c>
      <c r="Y577" s="239">
        <f>IF(OR(SP_ACQ_Lib[[#This Row],[File Name Convention]]=0,LEFT(SP_ACQ_Lib[[#This Row],[Name]],LEN(SP_ACQ_Lib[[#This Row],[File Name Convention]]))&lt;&gt;SP_ACQ_Lib[[#This Row],[File Name Convention]],ISERROR(SEARCH(SP_ACQ_Lib[[#This Row],[ACQ Document Type]],SP_ACQ_Lib[[#This Row],[Name]]))),1,0)</f>
        <v>0</v>
      </c>
    </row>
    <row r="578" spans="1:25" ht="15" x14ac:dyDescent="0.2">
      <c r="A578" s="157" t="str">
        <f>CONCATENATE(SP_ACQ_Lib[[#This Row],[Acquisition Tract No.]],"_",SP_ACQ_Lib[[#This Row],[ACQ Document Type]])</f>
        <v>314_APPRAISAL Final Appraisal</v>
      </c>
      <c r="B578" s="14" t="s">
        <v>6527</v>
      </c>
      <c r="C578" s="193" t="s">
        <v>57</v>
      </c>
      <c r="D578" s="12" t="s">
        <v>657</v>
      </c>
      <c r="E578" s="8" t="s">
        <v>1131</v>
      </c>
      <c r="F578" s="8" t="s">
        <v>4755</v>
      </c>
      <c r="G578" s="8" t="s">
        <v>4754</v>
      </c>
      <c r="H578" s="7" t="s">
        <v>592</v>
      </c>
      <c r="I578" s="16">
        <v>43960</v>
      </c>
      <c r="J578" s="16"/>
      <c r="K578" s="17">
        <v>8405</v>
      </c>
      <c r="L578" s="3"/>
      <c r="M578" s="8" t="s">
        <v>4206</v>
      </c>
      <c r="N578" s="11">
        <v>44019.364085648151</v>
      </c>
      <c r="O578" s="8" t="s">
        <v>4206</v>
      </c>
      <c r="P578" s="11">
        <v>44019.360625000001</v>
      </c>
      <c r="Q578" s="13">
        <v>4521428</v>
      </c>
      <c r="R578" s="194" t="s">
        <v>594</v>
      </c>
      <c r="S578" s="14" t="s">
        <v>6590</v>
      </c>
      <c r="T578" s="163">
        <v>1346</v>
      </c>
      <c r="U578" s="164" t="str">
        <f>CONCATENATE(LEFT(SP_ACQ_Lib[[#This Row],[Tax Parcel ID]],7),"_",SP_ACQ_Lib[[#This Row],[ACQ Document Type]])</f>
        <v>R013045_APPRAISAL Final Appraisal</v>
      </c>
      <c r="V578" s="65" t="str">
        <f>INDEX(SP_AcqTract_DB[WCAD Tax Parcel ID],MATCH(SP_ACQ_Lib[[#This Row],[Acquisition Tract No.]],SP_AcqTract_DB[Acquisition Tract No.],0))</f>
        <v>R013045;#55;#R013046;#56</v>
      </c>
      <c r="W578" s="48" t="str">
        <f>INDEX(SP_TaxPar_DB[Acquisition Tract No.],MATCH(LEFT(SP_ACQ_Lib[[#This Row],[Tax Parcel ID]],7),SP_TaxPar_DB[Tax Parcel ID],0))</f>
        <v>314</v>
      </c>
      <c r="X578" s="238" t="str">
        <f>IF(OR(SP_ACQ_Lib[[#This Row],[Acquisition Tract No.]]="",SP_ACQ_Lib[[#This Row],[ACQ Document Type]]=""),0,CONCATENATE("COW-FRMP_TR-",SP_ACQ_Lib[[#This Row],[Acquisition Tract No.]]," ",SP_ACQ_Lib[[#This Row],[ACQ Document Type]]))</f>
        <v>COW-FRMP_TR-314 APPRAISAL Final Appraisal</v>
      </c>
      <c r="Y578" s="239">
        <f>IF(OR(SP_ACQ_Lib[[#This Row],[File Name Convention]]=0,LEFT(SP_ACQ_Lib[[#This Row],[Name]],LEN(SP_ACQ_Lib[[#This Row],[File Name Convention]]))&lt;&gt;SP_ACQ_Lib[[#This Row],[File Name Convention]],ISERROR(SEARCH(SP_ACQ_Lib[[#This Row],[ACQ Document Type]],SP_ACQ_Lib[[#This Row],[Name]]))),1,0)</f>
        <v>0</v>
      </c>
    </row>
    <row r="579" spans="1:25" ht="15" x14ac:dyDescent="0.2">
      <c r="A579" s="157" t="str">
        <f>CONCATENATE(SP_ACQ_Lib[[#This Row],[Acquisition Tract No.]],"_",SP_ACQ_Lib[[#This Row],[ACQ Document Type]])</f>
        <v>314_APPRAISAL Just Compensation Memo</v>
      </c>
      <c r="B579" s="14" t="s">
        <v>6528</v>
      </c>
      <c r="C579" s="193" t="s">
        <v>57</v>
      </c>
      <c r="D579" s="12" t="s">
        <v>657</v>
      </c>
      <c r="E579" s="8" t="s">
        <v>1131</v>
      </c>
      <c r="F579" s="8" t="s">
        <v>4757</v>
      </c>
      <c r="G579" s="8" t="s">
        <v>4756</v>
      </c>
      <c r="H579" s="7" t="s">
        <v>592</v>
      </c>
      <c r="I579" s="16">
        <v>44018</v>
      </c>
      <c r="J579" s="16">
        <v>44018</v>
      </c>
      <c r="K579" s="17">
        <v>8405</v>
      </c>
      <c r="L579" s="3"/>
      <c r="M579" s="8" t="s">
        <v>4206</v>
      </c>
      <c r="N579" s="11">
        <v>44025.392187500001</v>
      </c>
      <c r="O579" s="8" t="s">
        <v>4206</v>
      </c>
      <c r="P579" s="11">
        <v>44019.360625000001</v>
      </c>
      <c r="Q579" s="13">
        <v>25873</v>
      </c>
      <c r="R579" s="194" t="s">
        <v>594</v>
      </c>
      <c r="S579" s="14" t="s">
        <v>6591</v>
      </c>
      <c r="T579" s="163">
        <v>1347</v>
      </c>
      <c r="U579" s="164" t="str">
        <f>CONCATENATE(LEFT(SP_ACQ_Lib[[#This Row],[Tax Parcel ID]],7),"_",SP_ACQ_Lib[[#This Row],[ACQ Document Type]])</f>
        <v>R013045_APPRAISAL Just Compensation Memo</v>
      </c>
      <c r="V579" s="65" t="str">
        <f>INDEX(SP_AcqTract_DB[WCAD Tax Parcel ID],MATCH(SP_ACQ_Lib[[#This Row],[Acquisition Tract No.]],SP_AcqTract_DB[Acquisition Tract No.],0))</f>
        <v>R013045;#55;#R013046;#56</v>
      </c>
      <c r="W579" s="48" t="str">
        <f>INDEX(SP_TaxPar_DB[Acquisition Tract No.],MATCH(LEFT(SP_ACQ_Lib[[#This Row],[Tax Parcel ID]],7),SP_TaxPar_DB[Tax Parcel ID],0))</f>
        <v>314</v>
      </c>
      <c r="X579" s="238" t="str">
        <f>IF(OR(SP_ACQ_Lib[[#This Row],[Acquisition Tract No.]]="",SP_ACQ_Lib[[#This Row],[ACQ Document Type]]=""),0,CONCATENATE("COW-FRMP_TR-",SP_ACQ_Lib[[#This Row],[Acquisition Tract No.]]," ",SP_ACQ_Lib[[#This Row],[ACQ Document Type]]))</f>
        <v>COW-FRMP_TR-314 APPRAISAL Just Compensation Memo</v>
      </c>
      <c r="Y579" s="239">
        <f>IF(OR(SP_ACQ_Lib[[#This Row],[File Name Convention]]=0,LEFT(SP_ACQ_Lib[[#This Row],[Name]],LEN(SP_ACQ_Lib[[#This Row],[File Name Convention]]))&lt;&gt;SP_ACQ_Lib[[#This Row],[File Name Convention]],ISERROR(SEARCH(SP_ACQ_Lib[[#This Row],[ACQ Document Type]],SP_ACQ_Lib[[#This Row],[Name]]))),1,0)</f>
        <v>0</v>
      </c>
    </row>
    <row r="580" spans="1:25" ht="15" x14ac:dyDescent="0.2">
      <c r="A580" s="157" t="str">
        <f>CONCATENATE(SP_ACQ_Lib[[#This Row],[Acquisition Tract No.]],"_",SP_ACQ_Lib[[#This Row],[ACQ Document Type]])</f>
        <v>314_APPRAISAL USACOE Authorization to Proceed with Offer</v>
      </c>
      <c r="B580" s="14" t="s">
        <v>6529</v>
      </c>
      <c r="C580" s="193" t="s">
        <v>57</v>
      </c>
      <c r="D580" s="12" t="s">
        <v>657</v>
      </c>
      <c r="E580" s="8" t="s">
        <v>1131</v>
      </c>
      <c r="F580" s="8" t="s">
        <v>4959</v>
      </c>
      <c r="G580" s="8" t="s">
        <v>4958</v>
      </c>
      <c r="H580" s="7" t="s">
        <v>592</v>
      </c>
      <c r="I580" s="16">
        <v>44018</v>
      </c>
      <c r="J580" s="16">
        <v>44018</v>
      </c>
      <c r="K580" s="17">
        <v>8405</v>
      </c>
      <c r="L580" s="3"/>
      <c r="M580" s="8" t="s">
        <v>4206</v>
      </c>
      <c r="N580" s="11">
        <v>44025.392337962963</v>
      </c>
      <c r="O580" s="8" t="s">
        <v>4206</v>
      </c>
      <c r="P580" s="11">
        <v>44019.360636574071</v>
      </c>
      <c r="Q580" s="13">
        <v>423104</v>
      </c>
      <c r="R580" s="194" t="s">
        <v>594</v>
      </c>
      <c r="S580" s="14" t="s">
        <v>6592</v>
      </c>
      <c r="T580" s="163">
        <v>1348</v>
      </c>
      <c r="U580" s="164" t="str">
        <f>CONCATENATE(LEFT(SP_ACQ_Lib[[#This Row],[Tax Parcel ID]],7),"_",SP_ACQ_Lib[[#This Row],[ACQ Document Type]])</f>
        <v>R013045_APPRAISAL USACOE Authorization to Proceed with Offer</v>
      </c>
      <c r="V580" s="65" t="str">
        <f>INDEX(SP_AcqTract_DB[WCAD Tax Parcel ID],MATCH(SP_ACQ_Lib[[#This Row],[Acquisition Tract No.]],SP_AcqTract_DB[Acquisition Tract No.],0))</f>
        <v>R013045;#55;#R013046;#56</v>
      </c>
      <c r="W580" s="48" t="str">
        <f>INDEX(SP_TaxPar_DB[Acquisition Tract No.],MATCH(LEFT(SP_ACQ_Lib[[#This Row],[Tax Parcel ID]],7),SP_TaxPar_DB[Tax Parcel ID],0))</f>
        <v>314</v>
      </c>
      <c r="X580" s="238" t="str">
        <f>IF(OR(SP_ACQ_Lib[[#This Row],[Acquisition Tract No.]]="",SP_ACQ_Lib[[#This Row],[ACQ Document Type]]=""),0,CONCATENATE("COW-FRMP_TR-",SP_ACQ_Lib[[#This Row],[Acquisition Tract No.]]," ",SP_ACQ_Lib[[#This Row],[ACQ Document Type]]))</f>
        <v>COW-FRMP_TR-314 APPRAISAL USACOE Authorization to Proceed with Offer</v>
      </c>
      <c r="Y580" s="239">
        <f>IF(OR(SP_ACQ_Lib[[#This Row],[File Name Convention]]=0,LEFT(SP_ACQ_Lib[[#This Row],[Name]],LEN(SP_ACQ_Lib[[#This Row],[File Name Convention]]))&lt;&gt;SP_ACQ_Lib[[#This Row],[File Name Convention]],ISERROR(SEARCH(SP_ACQ_Lib[[#This Row],[ACQ Document Type]],SP_ACQ_Lib[[#This Row],[Name]]))),1,0)</f>
        <v>0</v>
      </c>
    </row>
    <row r="581" spans="1:25" ht="15" x14ac:dyDescent="0.2">
      <c r="A581" s="157" t="str">
        <f>CONCATENATE(SP_ACQ_Lib[[#This Row],[Acquisition Tract No.]],"_",SP_ACQ_Lib[[#This Row],[ACQ Document Type]])</f>
        <v>314_CONTACT Letter of Intent-HDR</v>
      </c>
      <c r="B581" s="14" t="s">
        <v>4600</v>
      </c>
      <c r="C581" s="193" t="s">
        <v>57</v>
      </c>
      <c r="D581" s="12" t="s">
        <v>657</v>
      </c>
      <c r="E581" s="8" t="s">
        <v>865</v>
      </c>
      <c r="F581" s="8" t="s">
        <v>1401</v>
      </c>
      <c r="G581" s="8" t="s">
        <v>1400</v>
      </c>
      <c r="H581" s="7" t="s">
        <v>592</v>
      </c>
      <c r="I581" s="16">
        <v>43765</v>
      </c>
      <c r="J581" s="16"/>
      <c r="K581" s="17"/>
      <c r="L581" s="3"/>
      <c r="M581" s="8" t="s">
        <v>4205</v>
      </c>
      <c r="N581" s="11">
        <v>43921.653715277775</v>
      </c>
      <c r="O581" s="8" t="s">
        <v>1272</v>
      </c>
      <c r="P581" s="11">
        <v>43769.615277777775</v>
      </c>
      <c r="Q581" s="13">
        <v>58193</v>
      </c>
      <c r="R581" s="194" t="s">
        <v>594</v>
      </c>
      <c r="S581" s="14" t="s">
        <v>1657</v>
      </c>
      <c r="T581" s="163">
        <v>508</v>
      </c>
      <c r="U581" s="164" t="str">
        <f>CONCATENATE(LEFT(SP_ACQ_Lib[[#This Row],[Tax Parcel ID]],7),"_",SP_ACQ_Lib[[#This Row],[ACQ Document Type]])</f>
        <v>R013045_CONTACT Letter of Intent-HDR</v>
      </c>
      <c r="V581" s="65" t="str">
        <f>INDEX(SP_AcqTract_DB[WCAD Tax Parcel ID],MATCH(SP_ACQ_Lib[[#This Row],[Acquisition Tract No.]],SP_AcqTract_DB[Acquisition Tract No.],0))</f>
        <v>R013045;#55;#R013046;#56</v>
      </c>
      <c r="W581" s="48" t="str">
        <f>INDEX(SP_TaxPar_DB[Acquisition Tract No.],MATCH(LEFT(SP_ACQ_Lib[[#This Row],[Tax Parcel ID]],7),SP_TaxPar_DB[Tax Parcel ID],0))</f>
        <v>314</v>
      </c>
      <c r="X581" s="238" t="str">
        <f>IF(OR(SP_ACQ_Lib[[#This Row],[Acquisition Tract No.]]="",SP_ACQ_Lib[[#This Row],[ACQ Document Type]]=""),0,CONCATENATE("COW-FRMP_TR-",SP_ACQ_Lib[[#This Row],[Acquisition Tract No.]]," ",SP_ACQ_Lib[[#This Row],[ACQ Document Type]]))</f>
        <v>COW-FRMP_TR-314 CONTACT Letter of Intent-HDR</v>
      </c>
      <c r="Y581" s="239">
        <f>IF(OR(SP_ACQ_Lib[[#This Row],[File Name Convention]]=0,LEFT(SP_ACQ_Lib[[#This Row],[Name]],LEN(SP_ACQ_Lib[[#This Row],[File Name Convention]]))&lt;&gt;SP_ACQ_Lib[[#This Row],[File Name Convention]],ISERROR(SEARCH(SP_ACQ_Lib[[#This Row],[ACQ Document Type]],SP_ACQ_Lib[[#This Row],[Name]]))),1,0)</f>
        <v>0</v>
      </c>
    </row>
    <row r="582" spans="1:25" ht="15" x14ac:dyDescent="0.2">
      <c r="A582" s="157" t="str">
        <f>CONCATENATE(SP_ACQ_Lib[[#This Row],[Acquisition Tract No.]],"_",SP_ACQ_Lib[[#This Row],[ACQ Document Type]])</f>
        <v>314_CONTACT Negotiator Report</v>
      </c>
      <c r="B582" s="14" t="s">
        <v>3410</v>
      </c>
      <c r="C582" s="193" t="s">
        <v>57</v>
      </c>
      <c r="D582" s="12" t="s">
        <v>657</v>
      </c>
      <c r="E582" s="8" t="s">
        <v>865</v>
      </c>
      <c r="F582" s="8" t="s">
        <v>1068</v>
      </c>
      <c r="G582" s="8" t="s">
        <v>1067</v>
      </c>
      <c r="H582" s="7" t="s">
        <v>592</v>
      </c>
      <c r="I582" s="16"/>
      <c r="J582" s="16"/>
      <c r="K582" s="17"/>
      <c r="L582" s="3"/>
      <c r="M582" s="8" t="s">
        <v>4206</v>
      </c>
      <c r="N582" s="11">
        <v>43872.547222222223</v>
      </c>
      <c r="O582" s="8" t="s">
        <v>4207</v>
      </c>
      <c r="P582" s="11">
        <v>43738.432847222219</v>
      </c>
      <c r="Q582" s="13">
        <v>59441</v>
      </c>
      <c r="R582" s="194" t="s">
        <v>1069</v>
      </c>
      <c r="S582" s="14" t="s">
        <v>1110</v>
      </c>
      <c r="T582" s="163">
        <v>374</v>
      </c>
      <c r="U582" s="164" t="str">
        <f>CONCATENATE(LEFT(SP_ACQ_Lib[[#This Row],[Tax Parcel ID]],7),"_",SP_ACQ_Lib[[#This Row],[ACQ Document Type]])</f>
        <v>R013045_CONTACT Negotiator Report</v>
      </c>
      <c r="V582" s="65" t="str">
        <f>INDEX(SP_AcqTract_DB[WCAD Tax Parcel ID],MATCH(SP_ACQ_Lib[[#This Row],[Acquisition Tract No.]],SP_AcqTract_DB[Acquisition Tract No.],0))</f>
        <v>R013045;#55;#R013046;#56</v>
      </c>
      <c r="W582" s="48" t="str">
        <f>INDEX(SP_TaxPar_DB[Acquisition Tract No.],MATCH(LEFT(SP_ACQ_Lib[[#This Row],[Tax Parcel ID]],7),SP_TaxPar_DB[Tax Parcel ID],0))</f>
        <v>314</v>
      </c>
      <c r="X582" s="238" t="str">
        <f>IF(OR(SP_ACQ_Lib[[#This Row],[Acquisition Tract No.]]="",SP_ACQ_Lib[[#This Row],[ACQ Document Type]]=""),0,CONCATENATE("COW-FRMP_TR-",SP_ACQ_Lib[[#This Row],[Acquisition Tract No.]]," ",SP_ACQ_Lib[[#This Row],[ACQ Document Type]]))</f>
        <v>COW-FRMP_TR-314 CONTACT Negotiator Report</v>
      </c>
      <c r="Y582" s="239">
        <f>IF(OR(SP_ACQ_Lib[[#This Row],[File Name Convention]]=0,LEFT(SP_ACQ_Lib[[#This Row],[Name]],LEN(SP_ACQ_Lib[[#This Row],[File Name Convention]]))&lt;&gt;SP_ACQ_Lib[[#This Row],[File Name Convention]],ISERROR(SEARCH(SP_ACQ_Lib[[#This Row],[ACQ Document Type]],SP_ACQ_Lib[[#This Row],[Name]]))),1,0)</f>
        <v>0</v>
      </c>
    </row>
    <row r="583" spans="1:25" ht="15" x14ac:dyDescent="0.2">
      <c r="A583" s="157" t="str">
        <f>CONCATENATE(SP_ACQ_Lib[[#This Row],[Acquisition Tract No.]],"_",SP_ACQ_Lib[[#This Row],[ACQ Document Type]])</f>
        <v>314_NEGOTIATION Landowner Bill of Rights Letter</v>
      </c>
      <c r="B583" s="14" t="s">
        <v>3482</v>
      </c>
      <c r="C583" s="193" t="s">
        <v>57</v>
      </c>
      <c r="D583" s="12" t="s">
        <v>657</v>
      </c>
      <c r="E583" s="8" t="s">
        <v>1142</v>
      </c>
      <c r="F583" s="8" t="s">
        <v>1746</v>
      </c>
      <c r="G583" s="8" t="s">
        <v>1745</v>
      </c>
      <c r="H583" s="7" t="s">
        <v>592</v>
      </c>
      <c r="I583" s="16">
        <v>43748</v>
      </c>
      <c r="J583" s="16"/>
      <c r="K583" s="17"/>
      <c r="L583" s="3"/>
      <c r="M583" s="8" t="s">
        <v>4206</v>
      </c>
      <c r="N583" s="11">
        <v>43872.566921296297</v>
      </c>
      <c r="O583" s="8" t="s">
        <v>4325</v>
      </c>
      <c r="P583" s="11">
        <v>43752.528148148151</v>
      </c>
      <c r="Q583" s="13">
        <v>343308</v>
      </c>
      <c r="R583" s="194" t="s">
        <v>594</v>
      </c>
      <c r="S583" s="14" t="s">
        <v>1240</v>
      </c>
      <c r="T583" s="163">
        <v>453</v>
      </c>
      <c r="U583" s="164" t="str">
        <f>CONCATENATE(LEFT(SP_ACQ_Lib[[#This Row],[Tax Parcel ID]],7),"_",SP_ACQ_Lib[[#This Row],[ACQ Document Type]])</f>
        <v>R013045_NEGOTIATION Landowner Bill of Rights Letter</v>
      </c>
      <c r="V583" s="65" t="str">
        <f>INDEX(SP_AcqTract_DB[WCAD Tax Parcel ID],MATCH(SP_ACQ_Lib[[#This Row],[Acquisition Tract No.]],SP_AcqTract_DB[Acquisition Tract No.],0))</f>
        <v>R013045;#55;#R013046;#56</v>
      </c>
      <c r="W583" s="48" t="str">
        <f>INDEX(SP_TaxPar_DB[Acquisition Tract No.],MATCH(LEFT(SP_ACQ_Lib[[#This Row],[Tax Parcel ID]],7),SP_TaxPar_DB[Tax Parcel ID],0))</f>
        <v>314</v>
      </c>
      <c r="X583" s="238" t="str">
        <f>IF(OR(SP_ACQ_Lib[[#This Row],[Acquisition Tract No.]]="",SP_ACQ_Lib[[#This Row],[ACQ Document Type]]=""),0,CONCATENATE("COW-FRMP_TR-",SP_ACQ_Lib[[#This Row],[Acquisition Tract No.]]," ",SP_ACQ_Lib[[#This Row],[ACQ Document Type]]))</f>
        <v>COW-FRMP_TR-314 NEGOTIATION Landowner Bill of Rights Letter</v>
      </c>
      <c r="Y583" s="239">
        <f>IF(OR(SP_ACQ_Lib[[#This Row],[File Name Convention]]=0,LEFT(SP_ACQ_Lib[[#This Row],[Name]],LEN(SP_ACQ_Lib[[#This Row],[File Name Convention]]))&lt;&gt;SP_ACQ_Lib[[#This Row],[File Name Convention]],ISERROR(SEARCH(SP_ACQ_Lib[[#This Row],[ACQ Document Type]],SP_ACQ_Lib[[#This Row],[Name]]))),1,0)</f>
        <v>0</v>
      </c>
    </row>
    <row r="584" spans="1:25" ht="15" x14ac:dyDescent="0.2">
      <c r="A584" s="157" t="str">
        <f>CONCATENATE(SP_ACQ_Lib[[#This Row],[Acquisition Tract No.]],"_",SP_ACQ_Lib[[#This Row],[ACQ Document Type]])</f>
        <v>314_SURVEY Description-Plat_CITY</v>
      </c>
      <c r="B584" s="14" t="s">
        <v>3534</v>
      </c>
      <c r="C584" s="193" t="s">
        <v>57</v>
      </c>
      <c r="D584" s="12" t="s">
        <v>657</v>
      </c>
      <c r="E584" s="8" t="s">
        <v>858</v>
      </c>
      <c r="F584" s="8" t="s">
        <v>3503</v>
      </c>
      <c r="G584" s="8" t="s">
        <v>3502</v>
      </c>
      <c r="H584" s="7" t="s">
        <v>1749</v>
      </c>
      <c r="I584" s="16">
        <v>43868</v>
      </c>
      <c r="J584" s="16">
        <v>43886</v>
      </c>
      <c r="K584" s="17"/>
      <c r="L584" s="3"/>
      <c r="M584" s="8" t="s">
        <v>4206</v>
      </c>
      <c r="N584" s="11">
        <v>43937.590381944443</v>
      </c>
      <c r="O584" s="8" t="s">
        <v>4206</v>
      </c>
      <c r="P584" s="11">
        <v>43886.641956018517</v>
      </c>
      <c r="Q584" s="13">
        <v>245892</v>
      </c>
      <c r="R584" s="194" t="s">
        <v>594</v>
      </c>
      <c r="S584" s="14" t="s">
        <v>3557</v>
      </c>
      <c r="T584" s="163">
        <v>738</v>
      </c>
      <c r="U584" s="164" t="str">
        <f>CONCATENATE(LEFT(SP_ACQ_Lib[[#This Row],[Tax Parcel ID]],7),"_",SP_ACQ_Lib[[#This Row],[ACQ Document Type]])</f>
        <v>R013045_SURVEY Description-Plat_CITY</v>
      </c>
      <c r="V584" s="65" t="str">
        <f>INDEX(SP_AcqTract_DB[WCAD Tax Parcel ID],MATCH(SP_ACQ_Lib[[#This Row],[Acquisition Tract No.]],SP_AcqTract_DB[Acquisition Tract No.],0))</f>
        <v>R013045;#55;#R013046;#56</v>
      </c>
      <c r="W584" s="48" t="str">
        <f>INDEX(SP_TaxPar_DB[Acquisition Tract No.],MATCH(LEFT(SP_ACQ_Lib[[#This Row],[Tax Parcel ID]],7),SP_TaxPar_DB[Tax Parcel ID],0))</f>
        <v>314</v>
      </c>
      <c r="X584" s="238" t="str">
        <f>IF(OR(SP_ACQ_Lib[[#This Row],[Acquisition Tract No.]]="",SP_ACQ_Lib[[#This Row],[ACQ Document Type]]=""),0,CONCATENATE("COW-FRMP_TR-",SP_ACQ_Lib[[#This Row],[Acquisition Tract No.]]," ",SP_ACQ_Lib[[#This Row],[ACQ Document Type]]))</f>
        <v>COW-FRMP_TR-314 SURVEY Description-Plat_CITY</v>
      </c>
      <c r="Y584" s="239">
        <f>IF(OR(SP_ACQ_Lib[[#This Row],[File Name Convention]]=0,LEFT(SP_ACQ_Lib[[#This Row],[Name]],LEN(SP_ACQ_Lib[[#This Row],[File Name Convention]]))&lt;&gt;SP_ACQ_Lib[[#This Row],[File Name Convention]],ISERROR(SEARCH(SP_ACQ_Lib[[#This Row],[ACQ Document Type]],SP_ACQ_Lib[[#This Row],[Name]]))),1,0)</f>
        <v>0</v>
      </c>
    </row>
    <row r="585" spans="1:25" ht="15" x14ac:dyDescent="0.2">
      <c r="A585" s="157" t="str">
        <f>CONCATENATE(SP_ACQ_Lib[[#This Row],[Acquisition Tract No.]],"_",SP_ACQ_Lib[[#This Row],[ACQ Document Type]])</f>
        <v>314_SURVEY Description-Plat_USACOE</v>
      </c>
      <c r="B585" s="14" t="s">
        <v>4991</v>
      </c>
      <c r="C585" s="193" t="s">
        <v>57</v>
      </c>
      <c r="D585" s="12" t="s">
        <v>657</v>
      </c>
      <c r="E585" s="8" t="s">
        <v>858</v>
      </c>
      <c r="F585" s="8" t="s">
        <v>3510</v>
      </c>
      <c r="G585" s="8" t="s">
        <v>3509</v>
      </c>
      <c r="H585" s="7" t="s">
        <v>592</v>
      </c>
      <c r="I585" s="16">
        <v>43812</v>
      </c>
      <c r="J585" s="16">
        <v>43948</v>
      </c>
      <c r="K585" s="17"/>
      <c r="L585" s="3"/>
      <c r="M585" s="8" t="s">
        <v>4206</v>
      </c>
      <c r="N585" s="11">
        <v>43949.813437500001</v>
      </c>
      <c r="O585" s="8" t="s">
        <v>4206</v>
      </c>
      <c r="P585" s="11">
        <v>43949.796319444446</v>
      </c>
      <c r="Q585" s="13">
        <v>510292</v>
      </c>
      <c r="R585" s="194" t="s">
        <v>594</v>
      </c>
      <c r="S585" s="14" t="s">
        <v>5010</v>
      </c>
      <c r="T585" s="163">
        <v>850</v>
      </c>
      <c r="U585" s="164" t="str">
        <f>CONCATENATE(LEFT(SP_ACQ_Lib[[#This Row],[Tax Parcel ID]],7),"_",SP_ACQ_Lib[[#This Row],[ACQ Document Type]])</f>
        <v>R013045_SURVEY Description-Plat_USACOE</v>
      </c>
      <c r="V585" s="65" t="str">
        <f>INDEX(SP_AcqTract_DB[WCAD Tax Parcel ID],MATCH(SP_ACQ_Lib[[#This Row],[Acquisition Tract No.]],SP_AcqTract_DB[Acquisition Tract No.],0))</f>
        <v>R013045;#55;#R013046;#56</v>
      </c>
      <c r="W585" s="48" t="str">
        <f>INDEX(SP_TaxPar_DB[Acquisition Tract No.],MATCH(LEFT(SP_ACQ_Lib[[#This Row],[Tax Parcel ID]],7),SP_TaxPar_DB[Tax Parcel ID],0))</f>
        <v>314</v>
      </c>
      <c r="X585" s="238" t="str">
        <f>IF(OR(SP_ACQ_Lib[[#This Row],[Acquisition Tract No.]]="",SP_ACQ_Lib[[#This Row],[ACQ Document Type]]=""),0,CONCATENATE("COW-FRMP_TR-",SP_ACQ_Lib[[#This Row],[Acquisition Tract No.]]," ",SP_ACQ_Lib[[#This Row],[ACQ Document Type]]))</f>
        <v>COW-FRMP_TR-314 SURVEY Description-Plat_USACOE</v>
      </c>
      <c r="Y585" s="239">
        <f>IF(OR(SP_ACQ_Lib[[#This Row],[File Name Convention]]=0,LEFT(SP_ACQ_Lib[[#This Row],[Name]],LEN(SP_ACQ_Lib[[#This Row],[File Name Convention]]))&lt;&gt;SP_ACQ_Lib[[#This Row],[File Name Convention]],ISERROR(SEARCH(SP_ACQ_Lib[[#This Row],[ACQ Document Type]],SP_ACQ_Lib[[#This Row],[Name]]))),1,0)</f>
        <v>0</v>
      </c>
    </row>
    <row r="586" spans="1:25" ht="15" x14ac:dyDescent="0.2">
      <c r="A586" s="157" t="str">
        <f>CONCATENATE(SP_ACQ_Lib[[#This Row],[Acquisition Tract No.]],"_",SP_ACQ_Lib[[#This Row],[ACQ Document Type]])</f>
        <v>314_SURVEY Right-of-Entry</v>
      </c>
      <c r="B586" s="14" t="s">
        <v>4482</v>
      </c>
      <c r="C586" s="193" t="s">
        <v>57</v>
      </c>
      <c r="D586" s="12" t="s">
        <v>657</v>
      </c>
      <c r="E586" s="8" t="s">
        <v>858</v>
      </c>
      <c r="F586" s="8" t="s">
        <v>859</v>
      </c>
      <c r="G586" s="8" t="s">
        <v>591</v>
      </c>
      <c r="H586" s="7" t="s">
        <v>592</v>
      </c>
      <c r="I586" s="16">
        <v>43685</v>
      </c>
      <c r="J586" s="16"/>
      <c r="K586" s="17"/>
      <c r="L586" s="3" t="s">
        <v>4444</v>
      </c>
      <c r="M586" s="8" t="s">
        <v>4206</v>
      </c>
      <c r="N586" s="11">
        <v>43894.424016203702</v>
      </c>
      <c r="O586" s="8" t="s">
        <v>4206</v>
      </c>
      <c r="P586" s="11">
        <v>43894.423506944448</v>
      </c>
      <c r="Q586" s="13">
        <v>2498602</v>
      </c>
      <c r="R586" s="194" t="s">
        <v>594</v>
      </c>
      <c r="S586" s="14" t="s">
        <v>4511</v>
      </c>
      <c r="T586" s="163">
        <v>775</v>
      </c>
      <c r="U586" s="164" t="str">
        <f>CONCATENATE(LEFT(SP_ACQ_Lib[[#This Row],[Tax Parcel ID]],7),"_",SP_ACQ_Lib[[#This Row],[ACQ Document Type]])</f>
        <v>R013045_SURVEY Right-of-Entry</v>
      </c>
      <c r="V586" s="65" t="str">
        <f>INDEX(SP_AcqTract_DB[WCAD Tax Parcel ID],MATCH(SP_ACQ_Lib[[#This Row],[Acquisition Tract No.]],SP_AcqTract_DB[Acquisition Tract No.],0))</f>
        <v>R013045;#55;#R013046;#56</v>
      </c>
      <c r="W586" s="48" t="str">
        <f>INDEX(SP_TaxPar_DB[Acquisition Tract No.],MATCH(LEFT(SP_ACQ_Lib[[#This Row],[Tax Parcel ID]],7),SP_TaxPar_DB[Tax Parcel ID],0))</f>
        <v>314</v>
      </c>
      <c r="X586" s="238" t="str">
        <f>IF(OR(SP_ACQ_Lib[[#This Row],[Acquisition Tract No.]]="",SP_ACQ_Lib[[#This Row],[ACQ Document Type]]=""),0,CONCATENATE("COW-FRMP_TR-",SP_ACQ_Lib[[#This Row],[Acquisition Tract No.]]," ",SP_ACQ_Lib[[#This Row],[ACQ Document Type]]))</f>
        <v>COW-FRMP_TR-314 SURVEY Right-of-Entry</v>
      </c>
      <c r="Y586" s="239">
        <f>IF(OR(SP_ACQ_Lib[[#This Row],[File Name Convention]]=0,LEFT(SP_ACQ_Lib[[#This Row],[Name]],LEN(SP_ACQ_Lib[[#This Row],[File Name Convention]]))&lt;&gt;SP_ACQ_Lib[[#This Row],[File Name Convention]],ISERROR(SEARCH(SP_ACQ_Lib[[#This Row],[ACQ Document Type]],SP_ACQ_Lib[[#This Row],[Name]]))),1,0)</f>
        <v>0</v>
      </c>
    </row>
    <row r="587" spans="1:25" ht="15" x14ac:dyDescent="0.2">
      <c r="A587" s="157" t="str">
        <f>CONCATENATE(SP_ACQ_Lib[[#This Row],[Acquisition Tract No.]],"_",SP_ACQ_Lib[[#This Row],[ACQ Document Type]])</f>
        <v>314_TITLE Commitment</v>
      </c>
      <c r="B587" s="14" t="s">
        <v>1574</v>
      </c>
      <c r="C587" s="193" t="s">
        <v>57</v>
      </c>
      <c r="D587" s="12" t="s">
        <v>657</v>
      </c>
      <c r="E587" s="8" t="s">
        <v>861</v>
      </c>
      <c r="F587" s="8" t="s">
        <v>862</v>
      </c>
      <c r="G587" s="8" t="s">
        <v>614</v>
      </c>
      <c r="H587" s="7" t="s">
        <v>592</v>
      </c>
      <c r="I587" s="16">
        <v>43889</v>
      </c>
      <c r="J587" s="16">
        <v>43901</v>
      </c>
      <c r="K587" s="17"/>
      <c r="L587" s="3" t="s">
        <v>4455</v>
      </c>
      <c r="M587" s="8" t="s">
        <v>4325</v>
      </c>
      <c r="N587" s="11">
        <v>43901.547962962963</v>
      </c>
      <c r="O587" s="8" t="s">
        <v>4326</v>
      </c>
      <c r="P587" s="11">
        <v>43706.502210648148</v>
      </c>
      <c r="Q587" s="13">
        <v>1933006</v>
      </c>
      <c r="R587" s="194" t="s">
        <v>594</v>
      </c>
      <c r="S587" s="14" t="s">
        <v>822</v>
      </c>
      <c r="T587" s="163">
        <v>199</v>
      </c>
      <c r="U587" s="164" t="str">
        <f>CONCATENATE(LEFT(SP_ACQ_Lib[[#This Row],[Tax Parcel ID]],7),"_",SP_ACQ_Lib[[#This Row],[ACQ Document Type]])</f>
        <v>R013045_TITLE Commitment</v>
      </c>
      <c r="V587" s="65" t="str">
        <f>INDEX(SP_AcqTract_DB[WCAD Tax Parcel ID],MATCH(SP_ACQ_Lib[[#This Row],[Acquisition Tract No.]],SP_AcqTract_DB[Acquisition Tract No.],0))</f>
        <v>R013045;#55;#R013046;#56</v>
      </c>
      <c r="W587" s="48" t="str">
        <f>INDEX(SP_TaxPar_DB[Acquisition Tract No.],MATCH(LEFT(SP_ACQ_Lib[[#This Row],[Tax Parcel ID]],7),SP_TaxPar_DB[Tax Parcel ID],0))</f>
        <v>314</v>
      </c>
      <c r="X587" s="238" t="str">
        <f>IF(OR(SP_ACQ_Lib[[#This Row],[Acquisition Tract No.]]="",SP_ACQ_Lib[[#This Row],[ACQ Document Type]]=""),0,CONCATENATE("COW-FRMP_TR-",SP_ACQ_Lib[[#This Row],[Acquisition Tract No.]]," ",SP_ACQ_Lib[[#This Row],[ACQ Document Type]]))</f>
        <v>COW-FRMP_TR-314 TITLE Commitment</v>
      </c>
      <c r="Y587" s="239">
        <f>IF(OR(SP_ACQ_Lib[[#This Row],[File Name Convention]]=0,LEFT(SP_ACQ_Lib[[#This Row],[Name]],LEN(SP_ACQ_Lib[[#This Row],[File Name Convention]]))&lt;&gt;SP_ACQ_Lib[[#This Row],[File Name Convention]],ISERROR(SEARCH(SP_ACQ_Lib[[#This Row],[ACQ Document Type]],SP_ACQ_Lib[[#This Row],[Name]]))),1,0)</f>
        <v>0</v>
      </c>
    </row>
    <row r="588" spans="1:25" ht="15" x14ac:dyDescent="0.2">
      <c r="A588" s="157" t="str">
        <f>CONCATENATE(SP_ACQ_Lib[[#This Row],[Acquisition Tract No.]],"_",SP_ACQ_Lib[[#This Row],[ACQ Document Type]])</f>
        <v>314_TITLE Commitment Backup Docs</v>
      </c>
      <c r="B588" s="14" t="s">
        <v>1575</v>
      </c>
      <c r="C588" s="193" t="s">
        <v>57</v>
      </c>
      <c r="D588" s="12" t="s">
        <v>657</v>
      </c>
      <c r="E588" s="8" t="s">
        <v>861</v>
      </c>
      <c r="F588" s="8" t="s">
        <v>863</v>
      </c>
      <c r="G588" s="8" t="s">
        <v>616</v>
      </c>
      <c r="H588" s="7" t="s">
        <v>592</v>
      </c>
      <c r="I588" s="16"/>
      <c r="J588" s="16"/>
      <c r="K588" s="17"/>
      <c r="L588" s="3"/>
      <c r="M588" s="8" t="s">
        <v>4325</v>
      </c>
      <c r="N588" s="11">
        <v>43803.464444444442</v>
      </c>
      <c r="O588" s="8" t="s">
        <v>4326</v>
      </c>
      <c r="P588" s="11">
        <v>43706.502592592595</v>
      </c>
      <c r="Q588" s="13">
        <v>234479</v>
      </c>
      <c r="R588" s="194" t="s">
        <v>594</v>
      </c>
      <c r="S588" s="14" t="s">
        <v>823</v>
      </c>
      <c r="T588" s="163">
        <v>200</v>
      </c>
      <c r="U588" s="164" t="str">
        <f>CONCATENATE(LEFT(SP_ACQ_Lib[[#This Row],[Tax Parcel ID]],7),"_",SP_ACQ_Lib[[#This Row],[ACQ Document Type]])</f>
        <v>R013045_TITLE Commitment Backup Docs</v>
      </c>
      <c r="V588" s="65" t="str">
        <f>INDEX(SP_AcqTract_DB[WCAD Tax Parcel ID],MATCH(SP_ACQ_Lib[[#This Row],[Acquisition Tract No.]],SP_AcqTract_DB[Acquisition Tract No.],0))</f>
        <v>R013045;#55;#R013046;#56</v>
      </c>
      <c r="W588" s="48" t="str">
        <f>INDEX(SP_TaxPar_DB[Acquisition Tract No.],MATCH(LEFT(SP_ACQ_Lib[[#This Row],[Tax Parcel ID]],7),SP_TaxPar_DB[Tax Parcel ID],0))</f>
        <v>314</v>
      </c>
      <c r="X588" s="238" t="str">
        <f>IF(OR(SP_ACQ_Lib[[#This Row],[Acquisition Tract No.]]="",SP_ACQ_Lib[[#This Row],[ACQ Document Type]]=""),0,CONCATENATE("COW-FRMP_TR-",SP_ACQ_Lib[[#This Row],[Acquisition Tract No.]]," ",SP_ACQ_Lib[[#This Row],[ACQ Document Type]]))</f>
        <v>COW-FRMP_TR-314 TITLE Commitment Backup Docs</v>
      </c>
      <c r="Y588" s="239">
        <f>IF(OR(SP_ACQ_Lib[[#This Row],[File Name Convention]]=0,LEFT(SP_ACQ_Lib[[#This Row],[Name]],LEN(SP_ACQ_Lib[[#This Row],[File Name Convention]]))&lt;&gt;SP_ACQ_Lib[[#This Row],[File Name Convention]],ISERROR(SEARCH(SP_ACQ_Lib[[#This Row],[ACQ Document Type]],SP_ACQ_Lib[[#This Row],[Name]]))),1,0)</f>
        <v>0</v>
      </c>
    </row>
    <row r="589" spans="1:25" ht="15" x14ac:dyDescent="0.2">
      <c r="A589" s="157" t="str">
        <f>CONCATENATE(SP_ACQ_Lib[[#This Row],[Acquisition Tract No.]],"_",SP_ACQ_Lib[[#This Row],[ACQ Document Type]])</f>
        <v>314_TITLE Curative Plan</v>
      </c>
      <c r="B589" s="14" t="s">
        <v>1576</v>
      </c>
      <c r="C589" s="193" t="s">
        <v>57</v>
      </c>
      <c r="D589" s="12" t="s">
        <v>657</v>
      </c>
      <c r="E589" s="8" t="s">
        <v>861</v>
      </c>
      <c r="F589" s="8" t="s">
        <v>864</v>
      </c>
      <c r="G589" s="8" t="s">
        <v>617</v>
      </c>
      <c r="H589" s="7" t="s">
        <v>592</v>
      </c>
      <c r="I589" s="16">
        <v>43815</v>
      </c>
      <c r="J589" s="16"/>
      <c r="K589" s="17"/>
      <c r="L589" s="3"/>
      <c r="M589" s="8" t="s">
        <v>4325</v>
      </c>
      <c r="N589" s="11">
        <v>43901.660092592596</v>
      </c>
      <c r="O589" s="8" t="s">
        <v>4326</v>
      </c>
      <c r="P589" s="11">
        <v>43717.599999999999</v>
      </c>
      <c r="Q589" s="13">
        <v>35219</v>
      </c>
      <c r="R589" s="194" t="s">
        <v>594</v>
      </c>
      <c r="S589" s="14" t="s">
        <v>824</v>
      </c>
      <c r="T589" s="163">
        <v>226</v>
      </c>
      <c r="U589" s="164" t="str">
        <f>CONCATENATE(LEFT(SP_ACQ_Lib[[#This Row],[Tax Parcel ID]],7),"_",SP_ACQ_Lib[[#This Row],[ACQ Document Type]])</f>
        <v>R013045_TITLE Curative Plan</v>
      </c>
      <c r="V589" s="65" t="str">
        <f>INDEX(SP_AcqTract_DB[WCAD Tax Parcel ID],MATCH(SP_ACQ_Lib[[#This Row],[Acquisition Tract No.]],SP_AcqTract_DB[Acquisition Tract No.],0))</f>
        <v>R013045;#55;#R013046;#56</v>
      </c>
      <c r="W589" s="48" t="str">
        <f>INDEX(SP_TaxPar_DB[Acquisition Tract No.],MATCH(LEFT(SP_ACQ_Lib[[#This Row],[Tax Parcel ID]],7),SP_TaxPar_DB[Tax Parcel ID],0))</f>
        <v>314</v>
      </c>
      <c r="X589" s="238" t="str">
        <f>IF(OR(SP_ACQ_Lib[[#This Row],[Acquisition Tract No.]]="",SP_ACQ_Lib[[#This Row],[ACQ Document Type]]=""),0,CONCATENATE("COW-FRMP_TR-",SP_ACQ_Lib[[#This Row],[Acquisition Tract No.]]," ",SP_ACQ_Lib[[#This Row],[ACQ Document Type]]))</f>
        <v>COW-FRMP_TR-314 TITLE Curative Plan</v>
      </c>
      <c r="Y589" s="239">
        <f>IF(OR(SP_ACQ_Lib[[#This Row],[File Name Convention]]=0,LEFT(SP_ACQ_Lib[[#This Row],[Name]],LEN(SP_ACQ_Lib[[#This Row],[File Name Convention]]))&lt;&gt;SP_ACQ_Lib[[#This Row],[File Name Convention]],ISERROR(SEARCH(SP_ACQ_Lib[[#This Row],[ACQ Document Type]],SP_ACQ_Lib[[#This Row],[Name]]))),1,0)</f>
        <v>0</v>
      </c>
    </row>
    <row r="590" spans="1:25" ht="15" x14ac:dyDescent="0.2">
      <c r="A590" s="157" t="str">
        <f>CONCATENATE(SP_ACQ_Lib[[#This Row],[Acquisition Tract No.]],"_",SP_ACQ_Lib[[#This Row],[ACQ Document Type]])</f>
        <v>314_TITLE Tax Card</v>
      </c>
      <c r="B590" s="14" t="s">
        <v>4483</v>
      </c>
      <c r="C590" s="193" t="s">
        <v>57</v>
      </c>
      <c r="D590" s="12" t="s">
        <v>657</v>
      </c>
      <c r="E590" s="8" t="s">
        <v>861</v>
      </c>
      <c r="F590" s="8" t="s">
        <v>1150</v>
      </c>
      <c r="G590" s="8" t="s">
        <v>1149</v>
      </c>
      <c r="H590" s="7" t="s">
        <v>592</v>
      </c>
      <c r="I590" s="16"/>
      <c r="J590" s="16"/>
      <c r="K590" s="17"/>
      <c r="L590" s="3" t="s">
        <v>4444</v>
      </c>
      <c r="M590" s="8" t="s">
        <v>4206</v>
      </c>
      <c r="N590" s="11">
        <v>43894.426041666666</v>
      </c>
      <c r="O590" s="8" t="s">
        <v>4206</v>
      </c>
      <c r="P590" s="11">
        <v>43894.425578703704</v>
      </c>
      <c r="Q590" s="13">
        <v>529938</v>
      </c>
      <c r="R590" s="194" t="s">
        <v>594</v>
      </c>
      <c r="S590" s="14" t="s">
        <v>4512</v>
      </c>
      <c r="T590" s="163">
        <v>776</v>
      </c>
      <c r="U590" s="164" t="str">
        <f>CONCATENATE(LEFT(SP_ACQ_Lib[[#This Row],[Tax Parcel ID]],7),"_",SP_ACQ_Lib[[#This Row],[ACQ Document Type]])</f>
        <v>R013045_TITLE Tax Card</v>
      </c>
      <c r="V590" s="65" t="str">
        <f>INDEX(SP_AcqTract_DB[WCAD Tax Parcel ID],MATCH(SP_ACQ_Lib[[#This Row],[Acquisition Tract No.]],SP_AcqTract_DB[Acquisition Tract No.],0))</f>
        <v>R013045;#55;#R013046;#56</v>
      </c>
      <c r="W590" s="48" t="str">
        <f>INDEX(SP_TaxPar_DB[Acquisition Tract No.],MATCH(LEFT(SP_ACQ_Lib[[#This Row],[Tax Parcel ID]],7),SP_TaxPar_DB[Tax Parcel ID],0))</f>
        <v>314</v>
      </c>
      <c r="X590" s="238" t="str">
        <f>IF(OR(SP_ACQ_Lib[[#This Row],[Acquisition Tract No.]]="",SP_ACQ_Lib[[#This Row],[ACQ Document Type]]=""),0,CONCATENATE("COW-FRMP_TR-",SP_ACQ_Lib[[#This Row],[Acquisition Tract No.]]," ",SP_ACQ_Lib[[#This Row],[ACQ Document Type]]))</f>
        <v>COW-FRMP_TR-314 TITLE Tax Card</v>
      </c>
      <c r="Y590" s="239">
        <f>IF(OR(SP_ACQ_Lib[[#This Row],[File Name Convention]]=0,LEFT(SP_ACQ_Lib[[#This Row],[Name]],LEN(SP_ACQ_Lib[[#This Row],[File Name Convention]]))&lt;&gt;SP_ACQ_Lib[[#This Row],[File Name Convention]],ISERROR(SEARCH(SP_ACQ_Lib[[#This Row],[ACQ Document Type]],SP_ACQ_Lib[[#This Row],[Name]]))),1,0)</f>
        <v>0</v>
      </c>
    </row>
    <row r="591" spans="1:25" ht="15" x14ac:dyDescent="0.2">
      <c r="A591" s="157" t="str">
        <f>CONCATENATE(SP_ACQ_Lib[[#This Row],[Acquisition Tract No.]],"_",SP_ACQ_Lib[[#This Row],[ACQ Document Type]])</f>
        <v>315_APPRAISAL Appraisal Review</v>
      </c>
      <c r="B591" s="14" t="s">
        <v>6530</v>
      </c>
      <c r="C591" s="193" t="s">
        <v>58</v>
      </c>
      <c r="D591" s="12" t="s">
        <v>658</v>
      </c>
      <c r="E591" s="8" t="s">
        <v>1131</v>
      </c>
      <c r="F591" s="8" t="s">
        <v>4753</v>
      </c>
      <c r="G591" s="8" t="s">
        <v>4751</v>
      </c>
      <c r="H591" s="7" t="s">
        <v>592</v>
      </c>
      <c r="I591" s="16">
        <v>44013</v>
      </c>
      <c r="J591" s="16"/>
      <c r="K591" s="17">
        <v>13542</v>
      </c>
      <c r="L591" s="3"/>
      <c r="M591" s="8" t="s">
        <v>4206</v>
      </c>
      <c r="N591" s="11">
        <v>44013.759120370371</v>
      </c>
      <c r="O591" s="8" t="s">
        <v>4206</v>
      </c>
      <c r="P591" s="11">
        <v>44013.7422337963</v>
      </c>
      <c r="Q591" s="13">
        <v>17875</v>
      </c>
      <c r="R591" s="194" t="s">
        <v>594</v>
      </c>
      <c r="S591" s="14" t="s">
        <v>6593</v>
      </c>
      <c r="T591" s="163">
        <v>1327</v>
      </c>
      <c r="U591" s="164" t="str">
        <f>CONCATENATE(LEFT(SP_ACQ_Lib[[#This Row],[Tax Parcel ID]],7),"_",SP_ACQ_Lib[[#This Row],[ACQ Document Type]])</f>
        <v>R013044_APPRAISAL Appraisal Review</v>
      </c>
      <c r="V591" s="65" t="str">
        <f>INDEX(SP_AcqTract_DB[WCAD Tax Parcel ID],MATCH(SP_ACQ_Lib[[#This Row],[Acquisition Tract No.]],SP_AcqTract_DB[Acquisition Tract No.],0))</f>
        <v>R013044;#57</v>
      </c>
      <c r="W591" s="48" t="str">
        <f>INDEX(SP_TaxPar_DB[Acquisition Tract No.],MATCH(LEFT(SP_ACQ_Lib[[#This Row],[Tax Parcel ID]],7),SP_TaxPar_DB[Tax Parcel ID],0))</f>
        <v>315</v>
      </c>
      <c r="X591" s="238" t="str">
        <f>IF(OR(SP_ACQ_Lib[[#This Row],[Acquisition Tract No.]]="",SP_ACQ_Lib[[#This Row],[ACQ Document Type]]=""),0,CONCATENATE("COW-FRMP_TR-",SP_ACQ_Lib[[#This Row],[Acquisition Tract No.]]," ",SP_ACQ_Lib[[#This Row],[ACQ Document Type]]))</f>
        <v>COW-FRMP_TR-315 APPRAISAL Appraisal Review</v>
      </c>
      <c r="Y591" s="239">
        <f>IF(OR(SP_ACQ_Lib[[#This Row],[File Name Convention]]=0,LEFT(SP_ACQ_Lib[[#This Row],[Name]],LEN(SP_ACQ_Lib[[#This Row],[File Name Convention]]))&lt;&gt;SP_ACQ_Lib[[#This Row],[File Name Convention]],ISERROR(SEARCH(SP_ACQ_Lib[[#This Row],[ACQ Document Type]],SP_ACQ_Lib[[#This Row],[Name]]))),1,0)</f>
        <v>0</v>
      </c>
    </row>
    <row r="592" spans="1:25" ht="15" x14ac:dyDescent="0.2">
      <c r="A592" s="157" t="str">
        <f>CONCATENATE(SP_ACQ_Lib[[#This Row],[Acquisition Tract No.]],"_",SP_ACQ_Lib[[#This Row],[ACQ Document Type]])</f>
        <v>315_APPRAISAL Final Appraisal</v>
      </c>
      <c r="B592" s="14" t="s">
        <v>6332</v>
      </c>
      <c r="C592" s="193" t="s">
        <v>58</v>
      </c>
      <c r="D592" s="12" t="s">
        <v>658</v>
      </c>
      <c r="E592" s="8" t="s">
        <v>1131</v>
      </c>
      <c r="F592" s="8" t="s">
        <v>4755</v>
      </c>
      <c r="G592" s="8" t="s">
        <v>4754</v>
      </c>
      <c r="H592" s="7" t="s">
        <v>592</v>
      </c>
      <c r="I592" s="16">
        <v>43960</v>
      </c>
      <c r="J592" s="16"/>
      <c r="K592" s="17">
        <v>13542</v>
      </c>
      <c r="L592" s="3"/>
      <c r="M592" s="8" t="s">
        <v>4206</v>
      </c>
      <c r="N592" s="11">
        <v>44000.402245370373</v>
      </c>
      <c r="O592" s="8" t="s">
        <v>4206</v>
      </c>
      <c r="P592" s="11">
        <v>44000.400856481479</v>
      </c>
      <c r="Q592" s="13">
        <v>4885950</v>
      </c>
      <c r="R592" s="194" t="s">
        <v>594</v>
      </c>
      <c r="S592" s="14" t="s">
        <v>6401</v>
      </c>
      <c r="T592" s="163">
        <v>1224</v>
      </c>
      <c r="U592" s="164" t="str">
        <f>CONCATENATE(LEFT(SP_ACQ_Lib[[#This Row],[Tax Parcel ID]],7),"_",SP_ACQ_Lib[[#This Row],[ACQ Document Type]])</f>
        <v>R013044_APPRAISAL Final Appraisal</v>
      </c>
      <c r="V592" s="65" t="str">
        <f>INDEX(SP_AcqTract_DB[WCAD Tax Parcel ID],MATCH(SP_ACQ_Lib[[#This Row],[Acquisition Tract No.]],SP_AcqTract_DB[Acquisition Tract No.],0))</f>
        <v>R013044;#57</v>
      </c>
      <c r="W592" s="48" t="str">
        <f>INDEX(SP_TaxPar_DB[Acquisition Tract No.],MATCH(LEFT(SP_ACQ_Lib[[#This Row],[Tax Parcel ID]],7),SP_TaxPar_DB[Tax Parcel ID],0))</f>
        <v>315</v>
      </c>
      <c r="X592" s="238" t="str">
        <f>IF(OR(SP_ACQ_Lib[[#This Row],[Acquisition Tract No.]]="",SP_ACQ_Lib[[#This Row],[ACQ Document Type]]=""),0,CONCATENATE("COW-FRMP_TR-",SP_ACQ_Lib[[#This Row],[Acquisition Tract No.]]," ",SP_ACQ_Lib[[#This Row],[ACQ Document Type]]))</f>
        <v>COW-FRMP_TR-315 APPRAISAL Final Appraisal</v>
      </c>
      <c r="Y592" s="239">
        <f>IF(OR(SP_ACQ_Lib[[#This Row],[File Name Convention]]=0,LEFT(SP_ACQ_Lib[[#This Row],[Name]],LEN(SP_ACQ_Lib[[#This Row],[File Name Convention]]))&lt;&gt;SP_ACQ_Lib[[#This Row],[File Name Convention]],ISERROR(SEARCH(SP_ACQ_Lib[[#This Row],[ACQ Document Type]],SP_ACQ_Lib[[#This Row],[Name]]))),1,0)</f>
        <v>0</v>
      </c>
    </row>
    <row r="593" spans="1:25" ht="15" x14ac:dyDescent="0.2">
      <c r="A593" s="157" t="str">
        <f>CONCATENATE(SP_ACQ_Lib[[#This Row],[Acquisition Tract No.]],"_",SP_ACQ_Lib[[#This Row],[ACQ Document Type]])</f>
        <v>315_APPRAISAL Just Compensation Approval</v>
      </c>
      <c r="B593" s="14" t="s">
        <v>6531</v>
      </c>
      <c r="C593" s="193" t="s">
        <v>58</v>
      </c>
      <c r="D593" s="12" t="s">
        <v>658</v>
      </c>
      <c r="E593" s="8" t="s">
        <v>1131</v>
      </c>
      <c r="F593" s="8" t="s">
        <v>4828</v>
      </c>
      <c r="G593" s="8" t="s">
        <v>4827</v>
      </c>
      <c r="H593" s="7" t="s">
        <v>1749</v>
      </c>
      <c r="I593" s="16">
        <v>44012</v>
      </c>
      <c r="J593" s="16"/>
      <c r="K593" s="17">
        <v>13542</v>
      </c>
      <c r="L593" s="3"/>
      <c r="M593" s="8" t="s">
        <v>4206</v>
      </c>
      <c r="N593" s="11">
        <v>44012.540196759262</v>
      </c>
      <c r="O593" s="8" t="s">
        <v>4206</v>
      </c>
      <c r="P593" s="11">
        <v>44012.517604166664</v>
      </c>
      <c r="Q593" s="13">
        <v>173655</v>
      </c>
      <c r="R593" s="194" t="s">
        <v>594</v>
      </c>
      <c r="S593" s="14" t="s">
        <v>6594</v>
      </c>
      <c r="T593" s="163">
        <v>1313</v>
      </c>
      <c r="U593" s="164" t="str">
        <f>CONCATENATE(LEFT(SP_ACQ_Lib[[#This Row],[Tax Parcel ID]],7),"_",SP_ACQ_Lib[[#This Row],[ACQ Document Type]])</f>
        <v>R013044_APPRAISAL Just Compensation Approval</v>
      </c>
      <c r="V593" s="65" t="str">
        <f>INDEX(SP_AcqTract_DB[WCAD Tax Parcel ID],MATCH(SP_ACQ_Lib[[#This Row],[Acquisition Tract No.]],SP_AcqTract_DB[Acquisition Tract No.],0))</f>
        <v>R013044;#57</v>
      </c>
      <c r="W593" s="48" t="str">
        <f>INDEX(SP_TaxPar_DB[Acquisition Tract No.],MATCH(LEFT(SP_ACQ_Lib[[#This Row],[Tax Parcel ID]],7),SP_TaxPar_DB[Tax Parcel ID],0))</f>
        <v>315</v>
      </c>
      <c r="X593" s="238" t="str">
        <f>IF(OR(SP_ACQ_Lib[[#This Row],[Acquisition Tract No.]]="",SP_ACQ_Lib[[#This Row],[ACQ Document Type]]=""),0,CONCATENATE("COW-FRMP_TR-",SP_ACQ_Lib[[#This Row],[Acquisition Tract No.]]," ",SP_ACQ_Lib[[#This Row],[ACQ Document Type]]))</f>
        <v>COW-FRMP_TR-315 APPRAISAL Just Compensation Approval</v>
      </c>
      <c r="Y593" s="239">
        <f>IF(OR(SP_ACQ_Lib[[#This Row],[File Name Convention]]=0,LEFT(SP_ACQ_Lib[[#This Row],[Name]],LEN(SP_ACQ_Lib[[#This Row],[File Name Convention]]))&lt;&gt;SP_ACQ_Lib[[#This Row],[File Name Convention]],ISERROR(SEARCH(SP_ACQ_Lib[[#This Row],[ACQ Document Type]],SP_ACQ_Lib[[#This Row],[Name]]))),1,0)</f>
        <v>0</v>
      </c>
    </row>
    <row r="594" spans="1:25" ht="15" x14ac:dyDescent="0.2">
      <c r="A594" s="157" t="str">
        <f>CONCATENATE(SP_ACQ_Lib[[#This Row],[Acquisition Tract No.]],"_",SP_ACQ_Lib[[#This Row],[ACQ Document Type]])</f>
        <v>315_APPRAISAL Just Compensation Memo</v>
      </c>
      <c r="B594" s="14" t="s">
        <v>6333</v>
      </c>
      <c r="C594" s="193" t="s">
        <v>58</v>
      </c>
      <c r="D594" s="12" t="s">
        <v>658</v>
      </c>
      <c r="E594" s="8" t="s">
        <v>1131</v>
      </c>
      <c r="F594" s="8" t="s">
        <v>4757</v>
      </c>
      <c r="G594" s="8" t="s">
        <v>4756</v>
      </c>
      <c r="H594" s="7" t="s">
        <v>592</v>
      </c>
      <c r="I594" s="16">
        <v>43999</v>
      </c>
      <c r="J594" s="16">
        <v>43999</v>
      </c>
      <c r="K594" s="17">
        <v>13542</v>
      </c>
      <c r="L594" s="3"/>
      <c r="M594" s="8" t="s">
        <v>4206</v>
      </c>
      <c r="N594" s="11">
        <v>44000.435763888891</v>
      </c>
      <c r="O594" s="8" t="s">
        <v>4206</v>
      </c>
      <c r="P594" s="11">
        <v>44000.400868055556</v>
      </c>
      <c r="Q594" s="13">
        <v>23087</v>
      </c>
      <c r="R594" s="194" t="s">
        <v>594</v>
      </c>
      <c r="S594" s="14" t="s">
        <v>6402</v>
      </c>
      <c r="T594" s="163">
        <v>1225</v>
      </c>
      <c r="U594" s="164" t="str">
        <f>CONCATENATE(LEFT(SP_ACQ_Lib[[#This Row],[Tax Parcel ID]],7),"_",SP_ACQ_Lib[[#This Row],[ACQ Document Type]])</f>
        <v>R013044_APPRAISAL Just Compensation Memo</v>
      </c>
      <c r="V594" s="65" t="str">
        <f>INDEX(SP_AcqTract_DB[WCAD Tax Parcel ID],MATCH(SP_ACQ_Lib[[#This Row],[Acquisition Tract No.]],SP_AcqTract_DB[Acquisition Tract No.],0))</f>
        <v>R013044;#57</v>
      </c>
      <c r="W594" s="48" t="str">
        <f>INDEX(SP_TaxPar_DB[Acquisition Tract No.],MATCH(LEFT(SP_ACQ_Lib[[#This Row],[Tax Parcel ID]],7),SP_TaxPar_DB[Tax Parcel ID],0))</f>
        <v>315</v>
      </c>
      <c r="X594" s="238" t="str">
        <f>IF(OR(SP_ACQ_Lib[[#This Row],[Acquisition Tract No.]]="",SP_ACQ_Lib[[#This Row],[ACQ Document Type]]=""),0,CONCATENATE("COW-FRMP_TR-",SP_ACQ_Lib[[#This Row],[Acquisition Tract No.]]," ",SP_ACQ_Lib[[#This Row],[ACQ Document Type]]))</f>
        <v>COW-FRMP_TR-315 APPRAISAL Just Compensation Memo</v>
      </c>
      <c r="Y594" s="239">
        <f>IF(OR(SP_ACQ_Lib[[#This Row],[File Name Convention]]=0,LEFT(SP_ACQ_Lib[[#This Row],[Name]],LEN(SP_ACQ_Lib[[#This Row],[File Name Convention]]))&lt;&gt;SP_ACQ_Lib[[#This Row],[File Name Convention]],ISERROR(SEARCH(SP_ACQ_Lib[[#This Row],[ACQ Document Type]],SP_ACQ_Lib[[#This Row],[Name]]))),1,0)</f>
        <v>0</v>
      </c>
    </row>
    <row r="595" spans="1:25" ht="15" x14ac:dyDescent="0.2">
      <c r="A595" s="157" t="str">
        <f>CONCATENATE(SP_ACQ_Lib[[#This Row],[Acquisition Tract No.]],"_",SP_ACQ_Lib[[#This Row],[ACQ Document Type]])</f>
        <v>315_APPRAISAL USACOE Authorization to Proceed with Offer</v>
      </c>
      <c r="B595" s="14" t="s">
        <v>6334</v>
      </c>
      <c r="C595" s="193" t="s">
        <v>58</v>
      </c>
      <c r="D595" s="12" t="s">
        <v>658</v>
      </c>
      <c r="E595" s="8" t="s">
        <v>1131</v>
      </c>
      <c r="F595" s="8" t="s">
        <v>4959</v>
      </c>
      <c r="G595" s="8" t="s">
        <v>4958</v>
      </c>
      <c r="H595" s="7" t="s">
        <v>592</v>
      </c>
      <c r="I595" s="16">
        <v>43999</v>
      </c>
      <c r="J595" s="16">
        <v>43999</v>
      </c>
      <c r="K595" s="17">
        <v>13542</v>
      </c>
      <c r="L595" s="3"/>
      <c r="M595" s="8" t="s">
        <v>4206</v>
      </c>
      <c r="N595" s="11">
        <v>44000.43677083333</v>
      </c>
      <c r="O595" s="8" t="s">
        <v>4206</v>
      </c>
      <c r="P595" s="11">
        <v>44000.400868055556</v>
      </c>
      <c r="Q595" s="13">
        <v>418595</v>
      </c>
      <c r="R595" s="194" t="s">
        <v>594</v>
      </c>
      <c r="S595" s="14" t="s">
        <v>6403</v>
      </c>
      <c r="T595" s="163">
        <v>1226</v>
      </c>
      <c r="U595" s="164" t="str">
        <f>CONCATENATE(LEFT(SP_ACQ_Lib[[#This Row],[Tax Parcel ID]],7),"_",SP_ACQ_Lib[[#This Row],[ACQ Document Type]])</f>
        <v>R013044_APPRAISAL USACOE Authorization to Proceed with Offer</v>
      </c>
      <c r="V595" s="65" t="str">
        <f>INDEX(SP_AcqTract_DB[WCAD Tax Parcel ID],MATCH(SP_ACQ_Lib[[#This Row],[Acquisition Tract No.]],SP_AcqTract_DB[Acquisition Tract No.],0))</f>
        <v>R013044;#57</v>
      </c>
      <c r="W595" s="48" t="str">
        <f>INDEX(SP_TaxPar_DB[Acquisition Tract No.],MATCH(LEFT(SP_ACQ_Lib[[#This Row],[Tax Parcel ID]],7),SP_TaxPar_DB[Tax Parcel ID],0))</f>
        <v>315</v>
      </c>
      <c r="X595" s="238" t="str">
        <f>IF(OR(SP_ACQ_Lib[[#This Row],[Acquisition Tract No.]]="",SP_ACQ_Lib[[#This Row],[ACQ Document Type]]=""),0,CONCATENATE("COW-FRMP_TR-",SP_ACQ_Lib[[#This Row],[Acquisition Tract No.]]," ",SP_ACQ_Lib[[#This Row],[ACQ Document Type]]))</f>
        <v>COW-FRMP_TR-315 APPRAISAL USACOE Authorization to Proceed with Offer</v>
      </c>
      <c r="Y595" s="239">
        <f>IF(OR(SP_ACQ_Lib[[#This Row],[File Name Convention]]=0,LEFT(SP_ACQ_Lib[[#This Row],[Name]],LEN(SP_ACQ_Lib[[#This Row],[File Name Convention]]))&lt;&gt;SP_ACQ_Lib[[#This Row],[File Name Convention]],ISERROR(SEARCH(SP_ACQ_Lib[[#This Row],[ACQ Document Type]],SP_ACQ_Lib[[#This Row],[Name]]))),1,0)</f>
        <v>0</v>
      </c>
    </row>
    <row r="596" spans="1:25" ht="15" x14ac:dyDescent="0.2">
      <c r="A596" s="157" t="str">
        <f>CONCATENATE(SP_ACQ_Lib[[#This Row],[Acquisition Tract No.]],"_",SP_ACQ_Lib[[#This Row],[ACQ Document Type]])</f>
        <v>315_APPRAISAL USACOE Authorization to Proceed with Offer Approval</v>
      </c>
      <c r="B596" s="14" t="s">
        <v>6532</v>
      </c>
      <c r="C596" s="193" t="s">
        <v>58</v>
      </c>
      <c r="D596" s="12" t="s">
        <v>658</v>
      </c>
      <c r="E596" s="8" t="s">
        <v>1131</v>
      </c>
      <c r="F596" s="8" t="s">
        <v>4973</v>
      </c>
      <c r="G596" s="8" t="s">
        <v>4972</v>
      </c>
      <c r="H596" s="7" t="s">
        <v>1749</v>
      </c>
      <c r="I596" s="16">
        <v>44012</v>
      </c>
      <c r="J596" s="16"/>
      <c r="K596" s="17">
        <v>13542</v>
      </c>
      <c r="L596" s="3"/>
      <c r="M596" s="8" t="s">
        <v>4206</v>
      </c>
      <c r="N596" s="11">
        <v>44012.53324074074</v>
      </c>
      <c r="O596" s="8" t="s">
        <v>4206</v>
      </c>
      <c r="P596" s="11">
        <v>44012.517604166664</v>
      </c>
      <c r="Q596" s="13">
        <v>510748</v>
      </c>
      <c r="R596" s="194" t="s">
        <v>594</v>
      </c>
      <c r="S596" s="14" t="s">
        <v>6595</v>
      </c>
      <c r="T596" s="163">
        <v>1314</v>
      </c>
      <c r="U596" s="164" t="str">
        <f>CONCATENATE(LEFT(SP_ACQ_Lib[[#This Row],[Tax Parcel ID]],7),"_",SP_ACQ_Lib[[#This Row],[ACQ Document Type]])</f>
        <v>R013044_APPRAISAL USACOE Authorization to Proceed with Offer Approval</v>
      </c>
      <c r="V596" s="65" t="str">
        <f>INDEX(SP_AcqTract_DB[WCAD Tax Parcel ID],MATCH(SP_ACQ_Lib[[#This Row],[Acquisition Tract No.]],SP_AcqTract_DB[Acquisition Tract No.],0))</f>
        <v>R013044;#57</v>
      </c>
      <c r="W596" s="48" t="str">
        <f>INDEX(SP_TaxPar_DB[Acquisition Tract No.],MATCH(LEFT(SP_ACQ_Lib[[#This Row],[Tax Parcel ID]],7),SP_TaxPar_DB[Tax Parcel ID],0))</f>
        <v>315</v>
      </c>
      <c r="X596" s="238" t="str">
        <f>IF(OR(SP_ACQ_Lib[[#This Row],[Acquisition Tract No.]]="",SP_ACQ_Lib[[#This Row],[ACQ Document Type]]=""),0,CONCATENATE("COW-FRMP_TR-",SP_ACQ_Lib[[#This Row],[Acquisition Tract No.]]," ",SP_ACQ_Lib[[#This Row],[ACQ Document Type]]))</f>
        <v>COW-FRMP_TR-315 APPRAISAL USACOE Authorization to Proceed with Offer Approval</v>
      </c>
      <c r="Y596" s="239">
        <f>IF(OR(SP_ACQ_Lib[[#This Row],[File Name Convention]]=0,LEFT(SP_ACQ_Lib[[#This Row],[Name]],LEN(SP_ACQ_Lib[[#This Row],[File Name Convention]]))&lt;&gt;SP_ACQ_Lib[[#This Row],[File Name Convention]],ISERROR(SEARCH(SP_ACQ_Lib[[#This Row],[ACQ Document Type]],SP_ACQ_Lib[[#This Row],[Name]]))),1,0)</f>
        <v>0</v>
      </c>
    </row>
    <row r="597" spans="1:25" ht="15" x14ac:dyDescent="0.2">
      <c r="A597" s="157" t="str">
        <f>CONCATENATE(SP_ACQ_Lib[[#This Row],[Acquisition Tract No.]],"_",SP_ACQ_Lib[[#This Row],[ACQ Document Type]])</f>
        <v>315_CONTACT Initial Interview - Residential</v>
      </c>
      <c r="B597" s="14" t="s">
        <v>1577</v>
      </c>
      <c r="C597" s="193" t="s">
        <v>58</v>
      </c>
      <c r="D597" s="12" t="s">
        <v>658</v>
      </c>
      <c r="E597" s="8" t="s">
        <v>865</v>
      </c>
      <c r="F597" s="8" t="s">
        <v>866</v>
      </c>
      <c r="G597" s="8" t="s">
        <v>618</v>
      </c>
      <c r="H597" s="7" t="s">
        <v>592</v>
      </c>
      <c r="I597" s="16">
        <v>43685</v>
      </c>
      <c r="J597" s="16"/>
      <c r="K597" s="17"/>
      <c r="L597" s="3"/>
      <c r="M597" s="8" t="s">
        <v>23</v>
      </c>
      <c r="N597" s="11">
        <v>43770.449293981481</v>
      </c>
      <c r="O597" s="8" t="s">
        <v>4325</v>
      </c>
      <c r="P597" s="11">
        <v>43696.39230324074</v>
      </c>
      <c r="Q597" s="13">
        <v>348549</v>
      </c>
      <c r="R597" s="194" t="s">
        <v>594</v>
      </c>
      <c r="S597" s="14" t="s">
        <v>825</v>
      </c>
      <c r="T597" s="163">
        <v>97</v>
      </c>
      <c r="U597" s="164" t="str">
        <f>CONCATENATE(LEFT(SP_ACQ_Lib[[#This Row],[Tax Parcel ID]],7),"_",SP_ACQ_Lib[[#This Row],[ACQ Document Type]])</f>
        <v>R013044_CONTACT Initial Interview - Residential</v>
      </c>
      <c r="V597" s="65" t="str">
        <f>INDEX(SP_AcqTract_DB[WCAD Tax Parcel ID],MATCH(SP_ACQ_Lib[[#This Row],[Acquisition Tract No.]],SP_AcqTract_DB[Acquisition Tract No.],0))</f>
        <v>R013044;#57</v>
      </c>
      <c r="W597" s="48" t="str">
        <f>INDEX(SP_TaxPar_DB[Acquisition Tract No.],MATCH(LEFT(SP_ACQ_Lib[[#This Row],[Tax Parcel ID]],7),SP_TaxPar_DB[Tax Parcel ID],0))</f>
        <v>315</v>
      </c>
      <c r="X597" s="238" t="str">
        <f>IF(OR(SP_ACQ_Lib[[#This Row],[Acquisition Tract No.]]="",SP_ACQ_Lib[[#This Row],[ACQ Document Type]]=""),0,CONCATENATE("COW-FRMP_TR-",SP_ACQ_Lib[[#This Row],[Acquisition Tract No.]]," ",SP_ACQ_Lib[[#This Row],[ACQ Document Type]]))</f>
        <v>COW-FRMP_TR-315 CONTACT Initial Interview - Residential</v>
      </c>
      <c r="Y597" s="239">
        <f>IF(OR(SP_ACQ_Lib[[#This Row],[File Name Convention]]=0,LEFT(SP_ACQ_Lib[[#This Row],[Name]],LEN(SP_ACQ_Lib[[#This Row],[File Name Convention]]))&lt;&gt;SP_ACQ_Lib[[#This Row],[File Name Convention]],ISERROR(SEARCH(SP_ACQ_Lib[[#This Row],[ACQ Document Type]],SP_ACQ_Lib[[#This Row],[Name]]))),1,0)</f>
        <v>0</v>
      </c>
    </row>
    <row r="598" spans="1:25" ht="15" x14ac:dyDescent="0.2">
      <c r="A598" s="157" t="str">
        <f>CONCATENATE(SP_ACQ_Lib[[#This Row],[Acquisition Tract No.]],"_",SP_ACQ_Lib[[#This Row],[ACQ Document Type]])</f>
        <v>315_CONTACT Letter of Intent-HDR</v>
      </c>
      <c r="B598" s="14" t="s">
        <v>1578</v>
      </c>
      <c r="C598" s="193" t="s">
        <v>58</v>
      </c>
      <c r="D598" s="12" t="s">
        <v>658</v>
      </c>
      <c r="E598" s="8" t="s">
        <v>865</v>
      </c>
      <c r="F598" s="8" t="s">
        <v>1401</v>
      </c>
      <c r="G598" s="8" t="s">
        <v>1400</v>
      </c>
      <c r="H598" s="7" t="s">
        <v>592</v>
      </c>
      <c r="I598" s="16">
        <v>43765</v>
      </c>
      <c r="J598" s="16"/>
      <c r="K598" s="17"/>
      <c r="L598" s="3"/>
      <c r="M598" s="8" t="s">
        <v>23</v>
      </c>
      <c r="N598" s="11">
        <v>43770.449293981481</v>
      </c>
      <c r="O598" s="8" t="s">
        <v>1272</v>
      </c>
      <c r="P598" s="11">
        <v>43769.641099537039</v>
      </c>
      <c r="Q598" s="13">
        <v>352572</v>
      </c>
      <c r="R598" s="194" t="s">
        <v>594</v>
      </c>
      <c r="S598" s="14" t="s">
        <v>1658</v>
      </c>
      <c r="T598" s="163">
        <v>546</v>
      </c>
      <c r="U598" s="164" t="str">
        <f>CONCATENATE(LEFT(SP_ACQ_Lib[[#This Row],[Tax Parcel ID]],7),"_",SP_ACQ_Lib[[#This Row],[ACQ Document Type]])</f>
        <v>R013044_CONTACT Letter of Intent-HDR</v>
      </c>
      <c r="V598" s="65" t="str">
        <f>INDEX(SP_AcqTract_DB[WCAD Tax Parcel ID],MATCH(SP_ACQ_Lib[[#This Row],[Acquisition Tract No.]],SP_AcqTract_DB[Acquisition Tract No.],0))</f>
        <v>R013044;#57</v>
      </c>
      <c r="W598" s="48" t="str">
        <f>INDEX(SP_TaxPar_DB[Acquisition Tract No.],MATCH(LEFT(SP_ACQ_Lib[[#This Row],[Tax Parcel ID]],7),SP_TaxPar_DB[Tax Parcel ID],0))</f>
        <v>315</v>
      </c>
      <c r="X598" s="238" t="str">
        <f>IF(OR(SP_ACQ_Lib[[#This Row],[Acquisition Tract No.]]="",SP_ACQ_Lib[[#This Row],[ACQ Document Type]]=""),0,CONCATENATE("COW-FRMP_TR-",SP_ACQ_Lib[[#This Row],[Acquisition Tract No.]]," ",SP_ACQ_Lib[[#This Row],[ACQ Document Type]]))</f>
        <v>COW-FRMP_TR-315 CONTACT Letter of Intent-HDR</v>
      </c>
      <c r="Y598" s="239">
        <f>IF(OR(SP_ACQ_Lib[[#This Row],[File Name Convention]]=0,LEFT(SP_ACQ_Lib[[#This Row],[Name]],LEN(SP_ACQ_Lib[[#This Row],[File Name Convention]]))&lt;&gt;SP_ACQ_Lib[[#This Row],[File Name Convention]],ISERROR(SEARCH(SP_ACQ_Lib[[#This Row],[ACQ Document Type]],SP_ACQ_Lib[[#This Row],[Name]]))),1,0)</f>
        <v>0</v>
      </c>
    </row>
    <row r="599" spans="1:25" ht="15" x14ac:dyDescent="0.2">
      <c r="A599" s="157" t="str">
        <f>CONCATENATE(SP_ACQ_Lib[[#This Row],[Acquisition Tract No.]],"_",SP_ACQ_Lib[[#This Row],[ACQ Document Type]])</f>
        <v>315_CONTACT Negotiator Report</v>
      </c>
      <c r="B599" s="14" t="s">
        <v>3411</v>
      </c>
      <c r="C599" s="193" t="s">
        <v>58</v>
      </c>
      <c r="D599" s="12" t="s">
        <v>658</v>
      </c>
      <c r="E599" s="8" t="s">
        <v>865</v>
      </c>
      <c r="F599" s="8" t="s">
        <v>1068</v>
      </c>
      <c r="G599" s="8" t="s">
        <v>1067</v>
      </c>
      <c r="H599" s="7" t="s">
        <v>592</v>
      </c>
      <c r="I599" s="16"/>
      <c r="J599" s="16"/>
      <c r="K599" s="17"/>
      <c r="L599" s="3"/>
      <c r="M599" s="8" t="s">
        <v>1743</v>
      </c>
      <c r="N599" s="11">
        <v>44008.460902777777</v>
      </c>
      <c r="O599" s="8" t="s">
        <v>4207</v>
      </c>
      <c r="P599" s="11">
        <v>43728.566631944443</v>
      </c>
      <c r="Q599" s="13">
        <v>61422</v>
      </c>
      <c r="R599" s="194" t="s">
        <v>1069</v>
      </c>
      <c r="S599" s="14" t="s">
        <v>1111</v>
      </c>
      <c r="T599" s="163">
        <v>323</v>
      </c>
      <c r="U599" s="164" t="str">
        <f>CONCATENATE(LEFT(SP_ACQ_Lib[[#This Row],[Tax Parcel ID]],7),"_",SP_ACQ_Lib[[#This Row],[ACQ Document Type]])</f>
        <v>R013044_CONTACT Negotiator Report</v>
      </c>
      <c r="V599" s="65" t="str">
        <f>INDEX(SP_AcqTract_DB[WCAD Tax Parcel ID],MATCH(SP_ACQ_Lib[[#This Row],[Acquisition Tract No.]],SP_AcqTract_DB[Acquisition Tract No.],0))</f>
        <v>R013044;#57</v>
      </c>
      <c r="W599" s="48" t="str">
        <f>INDEX(SP_TaxPar_DB[Acquisition Tract No.],MATCH(LEFT(SP_ACQ_Lib[[#This Row],[Tax Parcel ID]],7),SP_TaxPar_DB[Tax Parcel ID],0))</f>
        <v>315</v>
      </c>
      <c r="X599" s="238" t="str">
        <f>IF(OR(SP_ACQ_Lib[[#This Row],[Acquisition Tract No.]]="",SP_ACQ_Lib[[#This Row],[ACQ Document Type]]=""),0,CONCATENATE("COW-FRMP_TR-",SP_ACQ_Lib[[#This Row],[Acquisition Tract No.]]," ",SP_ACQ_Lib[[#This Row],[ACQ Document Type]]))</f>
        <v>COW-FRMP_TR-315 CONTACT Negotiator Report</v>
      </c>
      <c r="Y599" s="239">
        <f>IF(OR(SP_ACQ_Lib[[#This Row],[File Name Convention]]=0,LEFT(SP_ACQ_Lib[[#This Row],[Name]],LEN(SP_ACQ_Lib[[#This Row],[File Name Convention]]))&lt;&gt;SP_ACQ_Lib[[#This Row],[File Name Convention]],ISERROR(SEARCH(SP_ACQ_Lib[[#This Row],[ACQ Document Type]],SP_ACQ_Lib[[#This Row],[Name]]))),1,0)</f>
        <v>0</v>
      </c>
    </row>
    <row r="600" spans="1:25" ht="15" x14ac:dyDescent="0.2">
      <c r="A600" s="157" t="str">
        <f>CONCATENATE(SP_ACQ_Lib[[#This Row],[Acquisition Tract No.]],"_",SP_ACQ_Lib[[#This Row],[ACQ Document Type]])</f>
        <v>315_NEGOTIATION Initial Offer Package</v>
      </c>
      <c r="B600" s="14" t="s">
        <v>6533</v>
      </c>
      <c r="C600" s="193" t="s">
        <v>58</v>
      </c>
      <c r="D600" s="12" t="s">
        <v>658</v>
      </c>
      <c r="E600" s="8" t="s">
        <v>1142</v>
      </c>
      <c r="F600" s="8" t="s">
        <v>1143</v>
      </c>
      <c r="G600" s="8" t="s">
        <v>1709</v>
      </c>
      <c r="H600" s="7" t="s">
        <v>592</v>
      </c>
      <c r="I600" s="16">
        <v>44019</v>
      </c>
      <c r="J600" s="16"/>
      <c r="K600" s="17">
        <v>13542</v>
      </c>
      <c r="L600" s="3"/>
      <c r="M600" s="8" t="s">
        <v>4206</v>
      </c>
      <c r="N600" s="11">
        <v>44020.36478009259</v>
      </c>
      <c r="O600" s="8" t="s">
        <v>4206</v>
      </c>
      <c r="P600" s="11">
        <v>44020.3596412037</v>
      </c>
      <c r="Q600" s="13">
        <v>8868602</v>
      </c>
      <c r="R600" s="194" t="s">
        <v>594</v>
      </c>
      <c r="S600" s="14" t="s">
        <v>6596</v>
      </c>
      <c r="T600" s="163">
        <v>1361</v>
      </c>
      <c r="U600" s="164" t="str">
        <f>CONCATENATE(LEFT(SP_ACQ_Lib[[#This Row],[Tax Parcel ID]],7),"_",SP_ACQ_Lib[[#This Row],[ACQ Document Type]])</f>
        <v>R013044_NEGOTIATION Initial Offer Package</v>
      </c>
      <c r="V600" s="65" t="str">
        <f>INDEX(SP_AcqTract_DB[WCAD Tax Parcel ID],MATCH(SP_ACQ_Lib[[#This Row],[Acquisition Tract No.]],SP_AcqTract_DB[Acquisition Tract No.],0))</f>
        <v>R013044;#57</v>
      </c>
      <c r="W600" s="48" t="str">
        <f>INDEX(SP_TaxPar_DB[Acquisition Tract No.],MATCH(LEFT(SP_ACQ_Lib[[#This Row],[Tax Parcel ID]],7),SP_TaxPar_DB[Tax Parcel ID],0))</f>
        <v>315</v>
      </c>
      <c r="X600" s="238" t="str">
        <f>IF(OR(SP_ACQ_Lib[[#This Row],[Acquisition Tract No.]]="",SP_ACQ_Lib[[#This Row],[ACQ Document Type]]=""),0,CONCATENATE("COW-FRMP_TR-",SP_ACQ_Lib[[#This Row],[Acquisition Tract No.]]," ",SP_ACQ_Lib[[#This Row],[ACQ Document Type]]))</f>
        <v>COW-FRMP_TR-315 NEGOTIATION Initial Offer Package</v>
      </c>
      <c r="Y600" s="239">
        <f>IF(OR(SP_ACQ_Lib[[#This Row],[File Name Convention]]=0,LEFT(SP_ACQ_Lib[[#This Row],[Name]],LEN(SP_ACQ_Lib[[#This Row],[File Name Convention]]))&lt;&gt;SP_ACQ_Lib[[#This Row],[File Name Convention]],ISERROR(SEARCH(SP_ACQ_Lib[[#This Row],[ACQ Document Type]],SP_ACQ_Lib[[#This Row],[Name]]))),1,0)</f>
        <v>0</v>
      </c>
    </row>
    <row r="601" spans="1:25" ht="15" x14ac:dyDescent="0.2">
      <c r="A601" s="157" t="str">
        <f>CONCATENATE(SP_ACQ_Lib[[#This Row],[Acquisition Tract No.]],"_",SP_ACQ_Lib[[#This Row],[ACQ Document Type]])</f>
        <v>315_NEGOTIATION Initial Offer Package CMRR</v>
      </c>
      <c r="B601" s="14" t="s">
        <v>6534</v>
      </c>
      <c r="C601" s="193" t="s">
        <v>58</v>
      </c>
      <c r="D601" s="12" t="s">
        <v>658</v>
      </c>
      <c r="E601" s="8" t="s">
        <v>1142</v>
      </c>
      <c r="F601" s="8" t="s">
        <v>1144</v>
      </c>
      <c r="G601" s="8" t="s">
        <v>1710</v>
      </c>
      <c r="H601" s="7" t="s">
        <v>592</v>
      </c>
      <c r="I601" s="16">
        <v>44020</v>
      </c>
      <c r="J601" s="16">
        <v>44025</v>
      </c>
      <c r="K601" s="17"/>
      <c r="L601" s="3"/>
      <c r="M601" s="8" t="s">
        <v>4206</v>
      </c>
      <c r="N601" s="11">
        <v>44025.557662037034</v>
      </c>
      <c r="O601" s="8" t="s">
        <v>4206</v>
      </c>
      <c r="P601" s="11">
        <v>44020.359548611108</v>
      </c>
      <c r="Q601" s="13">
        <v>1170477</v>
      </c>
      <c r="R601" s="194" t="s">
        <v>594</v>
      </c>
      <c r="S601" s="14" t="s">
        <v>6597</v>
      </c>
      <c r="T601" s="163">
        <v>1360</v>
      </c>
      <c r="U601" s="164" t="str">
        <f>CONCATENATE(LEFT(SP_ACQ_Lib[[#This Row],[Tax Parcel ID]],7),"_",SP_ACQ_Lib[[#This Row],[ACQ Document Type]])</f>
        <v>R013044_NEGOTIATION Initial Offer Package CMRR</v>
      </c>
      <c r="V601" s="65" t="str">
        <f>INDEX(SP_AcqTract_DB[WCAD Tax Parcel ID],MATCH(SP_ACQ_Lib[[#This Row],[Acquisition Tract No.]],SP_AcqTract_DB[Acquisition Tract No.],0))</f>
        <v>R013044;#57</v>
      </c>
      <c r="W601" s="48" t="str">
        <f>INDEX(SP_TaxPar_DB[Acquisition Tract No.],MATCH(LEFT(SP_ACQ_Lib[[#This Row],[Tax Parcel ID]],7),SP_TaxPar_DB[Tax Parcel ID],0))</f>
        <v>315</v>
      </c>
      <c r="X601" s="238" t="str">
        <f>IF(OR(SP_ACQ_Lib[[#This Row],[Acquisition Tract No.]]="",SP_ACQ_Lib[[#This Row],[ACQ Document Type]]=""),0,CONCATENATE("COW-FRMP_TR-",SP_ACQ_Lib[[#This Row],[Acquisition Tract No.]]," ",SP_ACQ_Lib[[#This Row],[ACQ Document Type]]))</f>
        <v>COW-FRMP_TR-315 NEGOTIATION Initial Offer Package CMRR</v>
      </c>
      <c r="Y601" s="239">
        <f>IF(OR(SP_ACQ_Lib[[#This Row],[File Name Convention]]=0,LEFT(SP_ACQ_Lib[[#This Row],[Name]],LEN(SP_ACQ_Lib[[#This Row],[File Name Convention]]))&lt;&gt;SP_ACQ_Lib[[#This Row],[File Name Convention]],ISERROR(SEARCH(SP_ACQ_Lib[[#This Row],[ACQ Document Type]],SP_ACQ_Lib[[#This Row],[Name]]))),1,0)</f>
        <v>0</v>
      </c>
    </row>
    <row r="602" spans="1:25" ht="15" x14ac:dyDescent="0.2">
      <c r="A602" s="157" t="str">
        <f>CONCATENATE(SP_ACQ_Lib[[#This Row],[Acquisition Tract No.]],"_",SP_ACQ_Lib[[#This Row],[ACQ Document Type]])</f>
        <v>315_NEGOTIATION Landowner Bill of Rights Letter</v>
      </c>
      <c r="B602" s="14" t="s">
        <v>3483</v>
      </c>
      <c r="C602" s="193" t="s">
        <v>58</v>
      </c>
      <c r="D602" s="12" t="s">
        <v>658</v>
      </c>
      <c r="E602" s="8" t="s">
        <v>1142</v>
      </c>
      <c r="F602" s="8" t="s">
        <v>1746</v>
      </c>
      <c r="G602" s="8" t="s">
        <v>1745</v>
      </c>
      <c r="H602" s="7" t="s">
        <v>592</v>
      </c>
      <c r="I602" s="16">
        <v>43748</v>
      </c>
      <c r="J602" s="16"/>
      <c r="K602" s="17"/>
      <c r="L602" s="3"/>
      <c r="M602" s="8" t="s">
        <v>4206</v>
      </c>
      <c r="N602" s="11">
        <v>43923.491400462961</v>
      </c>
      <c r="O602" s="8" t="s">
        <v>4325</v>
      </c>
      <c r="P602" s="11">
        <v>43752.529548611114</v>
      </c>
      <c r="Q602" s="13">
        <v>398742</v>
      </c>
      <c r="R602" s="194" t="s">
        <v>594</v>
      </c>
      <c r="S602" s="14" t="s">
        <v>1241</v>
      </c>
      <c r="T602" s="163">
        <v>454</v>
      </c>
      <c r="U602" s="164" t="str">
        <f>CONCATENATE(LEFT(SP_ACQ_Lib[[#This Row],[Tax Parcel ID]],7),"_",SP_ACQ_Lib[[#This Row],[ACQ Document Type]])</f>
        <v>R013044_NEGOTIATION Landowner Bill of Rights Letter</v>
      </c>
      <c r="V602" s="65" t="str">
        <f>INDEX(SP_AcqTract_DB[WCAD Tax Parcel ID],MATCH(SP_ACQ_Lib[[#This Row],[Acquisition Tract No.]],SP_AcqTract_DB[Acquisition Tract No.],0))</f>
        <v>R013044;#57</v>
      </c>
      <c r="W602" s="48" t="str">
        <f>INDEX(SP_TaxPar_DB[Acquisition Tract No.],MATCH(LEFT(SP_ACQ_Lib[[#This Row],[Tax Parcel ID]],7),SP_TaxPar_DB[Tax Parcel ID],0))</f>
        <v>315</v>
      </c>
      <c r="X602" s="238" t="str">
        <f>IF(OR(SP_ACQ_Lib[[#This Row],[Acquisition Tract No.]]="",SP_ACQ_Lib[[#This Row],[ACQ Document Type]]=""),0,CONCATENATE("COW-FRMP_TR-",SP_ACQ_Lib[[#This Row],[Acquisition Tract No.]]," ",SP_ACQ_Lib[[#This Row],[ACQ Document Type]]))</f>
        <v>COW-FRMP_TR-315 NEGOTIATION Landowner Bill of Rights Letter</v>
      </c>
      <c r="Y602" s="239">
        <f>IF(OR(SP_ACQ_Lib[[#This Row],[File Name Convention]]=0,LEFT(SP_ACQ_Lib[[#This Row],[Name]],LEN(SP_ACQ_Lib[[#This Row],[File Name Convention]]))&lt;&gt;SP_ACQ_Lib[[#This Row],[File Name Convention]],ISERROR(SEARCH(SP_ACQ_Lib[[#This Row],[ACQ Document Type]],SP_ACQ_Lib[[#This Row],[Name]]))),1,0)</f>
        <v>0</v>
      </c>
    </row>
    <row r="603" spans="1:25" ht="15" x14ac:dyDescent="0.2">
      <c r="A603" s="157" t="str">
        <f>CONCATENATE(SP_ACQ_Lib[[#This Row],[Acquisition Tract No.]],"_",SP_ACQ_Lib[[#This Row],[ACQ Document Type]])</f>
        <v>315_SURVEY Description-Plat_CITY</v>
      </c>
      <c r="B603" s="14" t="s">
        <v>3535</v>
      </c>
      <c r="C603" s="193" t="s">
        <v>58</v>
      </c>
      <c r="D603" s="12" t="s">
        <v>658</v>
      </c>
      <c r="E603" s="8" t="s">
        <v>858</v>
      </c>
      <c r="F603" s="8" t="s">
        <v>3503</v>
      </c>
      <c r="G603" s="8" t="s">
        <v>3502</v>
      </c>
      <c r="H603" s="7" t="s">
        <v>1749</v>
      </c>
      <c r="I603" s="16">
        <v>43958</v>
      </c>
      <c r="J603" s="16">
        <v>43999</v>
      </c>
      <c r="K603" s="17"/>
      <c r="L603" s="3" t="s">
        <v>6269</v>
      </c>
      <c r="M603" s="8" t="s">
        <v>4206</v>
      </c>
      <c r="N603" s="11">
        <v>43999.384062500001</v>
      </c>
      <c r="O603" s="8" t="s">
        <v>4206</v>
      </c>
      <c r="P603" s="11">
        <v>43886.641956018517</v>
      </c>
      <c r="Q603" s="13">
        <v>258197</v>
      </c>
      <c r="R603" s="194" t="s">
        <v>594</v>
      </c>
      <c r="S603" s="14" t="s">
        <v>3558</v>
      </c>
      <c r="T603" s="163">
        <v>739</v>
      </c>
      <c r="U603" s="164" t="str">
        <f>CONCATENATE(LEFT(SP_ACQ_Lib[[#This Row],[Tax Parcel ID]],7),"_",SP_ACQ_Lib[[#This Row],[ACQ Document Type]])</f>
        <v>R013044_SURVEY Description-Plat_CITY</v>
      </c>
      <c r="V603" s="65" t="str">
        <f>INDEX(SP_AcqTract_DB[WCAD Tax Parcel ID],MATCH(SP_ACQ_Lib[[#This Row],[Acquisition Tract No.]],SP_AcqTract_DB[Acquisition Tract No.],0))</f>
        <v>R013044;#57</v>
      </c>
      <c r="W603" s="48" t="str">
        <f>INDEX(SP_TaxPar_DB[Acquisition Tract No.],MATCH(LEFT(SP_ACQ_Lib[[#This Row],[Tax Parcel ID]],7),SP_TaxPar_DB[Tax Parcel ID],0))</f>
        <v>315</v>
      </c>
      <c r="X603" s="238" t="str">
        <f>IF(OR(SP_ACQ_Lib[[#This Row],[Acquisition Tract No.]]="",SP_ACQ_Lib[[#This Row],[ACQ Document Type]]=""),0,CONCATENATE("COW-FRMP_TR-",SP_ACQ_Lib[[#This Row],[Acquisition Tract No.]]," ",SP_ACQ_Lib[[#This Row],[ACQ Document Type]]))</f>
        <v>COW-FRMP_TR-315 SURVEY Description-Plat_CITY</v>
      </c>
      <c r="Y603" s="239">
        <f>IF(OR(SP_ACQ_Lib[[#This Row],[File Name Convention]]=0,LEFT(SP_ACQ_Lib[[#This Row],[Name]],LEN(SP_ACQ_Lib[[#This Row],[File Name Convention]]))&lt;&gt;SP_ACQ_Lib[[#This Row],[File Name Convention]],ISERROR(SEARCH(SP_ACQ_Lib[[#This Row],[ACQ Document Type]],SP_ACQ_Lib[[#This Row],[Name]]))),1,0)</f>
        <v>0</v>
      </c>
    </row>
    <row r="604" spans="1:25" ht="15" x14ac:dyDescent="0.2">
      <c r="A604" s="157" t="str">
        <f>CONCATENATE(SP_ACQ_Lib[[#This Row],[Acquisition Tract No.]],"_",SP_ACQ_Lib[[#This Row],[ACQ Document Type]])</f>
        <v>315_SURVEY Description-Plat_USACOE</v>
      </c>
      <c r="B604" s="14" t="s">
        <v>5056</v>
      </c>
      <c r="C604" s="193" t="s">
        <v>58</v>
      </c>
      <c r="D604" s="12" t="s">
        <v>658</v>
      </c>
      <c r="E604" s="8" t="s">
        <v>858</v>
      </c>
      <c r="F604" s="8" t="s">
        <v>3510</v>
      </c>
      <c r="G604" s="8" t="s">
        <v>3509</v>
      </c>
      <c r="H604" s="7" t="s">
        <v>592</v>
      </c>
      <c r="I604" s="16">
        <v>43958</v>
      </c>
      <c r="J604" s="16">
        <v>43999</v>
      </c>
      <c r="K604" s="17"/>
      <c r="L604" s="3" t="s">
        <v>6269</v>
      </c>
      <c r="M604" s="8" t="s">
        <v>4206</v>
      </c>
      <c r="N604" s="11">
        <v>43999.384502314817</v>
      </c>
      <c r="O604" s="8" t="s">
        <v>4206</v>
      </c>
      <c r="P604" s="11">
        <v>43958.480474537035</v>
      </c>
      <c r="Q604" s="13">
        <v>501913</v>
      </c>
      <c r="R604" s="194" t="s">
        <v>594</v>
      </c>
      <c r="S604" s="14" t="s">
        <v>5062</v>
      </c>
      <c r="T604" s="163">
        <v>869</v>
      </c>
      <c r="U604" s="164" t="str">
        <f>CONCATENATE(LEFT(SP_ACQ_Lib[[#This Row],[Tax Parcel ID]],7),"_",SP_ACQ_Lib[[#This Row],[ACQ Document Type]])</f>
        <v>R013044_SURVEY Description-Plat_USACOE</v>
      </c>
      <c r="V604" s="65" t="str">
        <f>INDEX(SP_AcqTract_DB[WCAD Tax Parcel ID],MATCH(SP_ACQ_Lib[[#This Row],[Acquisition Tract No.]],SP_AcqTract_DB[Acquisition Tract No.],0))</f>
        <v>R013044;#57</v>
      </c>
      <c r="W604" s="48" t="str">
        <f>INDEX(SP_TaxPar_DB[Acquisition Tract No.],MATCH(LEFT(SP_ACQ_Lib[[#This Row],[Tax Parcel ID]],7),SP_TaxPar_DB[Tax Parcel ID],0))</f>
        <v>315</v>
      </c>
      <c r="X604" s="238" t="str">
        <f>IF(OR(SP_ACQ_Lib[[#This Row],[Acquisition Tract No.]]="",SP_ACQ_Lib[[#This Row],[ACQ Document Type]]=""),0,CONCATENATE("COW-FRMP_TR-",SP_ACQ_Lib[[#This Row],[Acquisition Tract No.]]," ",SP_ACQ_Lib[[#This Row],[ACQ Document Type]]))</f>
        <v>COW-FRMP_TR-315 SURVEY Description-Plat_USACOE</v>
      </c>
      <c r="Y604" s="239">
        <f>IF(OR(SP_ACQ_Lib[[#This Row],[File Name Convention]]=0,LEFT(SP_ACQ_Lib[[#This Row],[Name]],LEN(SP_ACQ_Lib[[#This Row],[File Name Convention]]))&lt;&gt;SP_ACQ_Lib[[#This Row],[File Name Convention]],ISERROR(SEARCH(SP_ACQ_Lib[[#This Row],[ACQ Document Type]],SP_ACQ_Lib[[#This Row],[Name]]))),1,0)</f>
        <v>0</v>
      </c>
    </row>
    <row r="605" spans="1:25" ht="15" x14ac:dyDescent="0.2">
      <c r="A605" s="157" t="str">
        <f>CONCATENATE(SP_ACQ_Lib[[#This Row],[Acquisition Tract No.]],"_",SP_ACQ_Lib[[#This Row],[ACQ Document Type]])</f>
        <v>315_SURVEY Right-of-Entry</v>
      </c>
      <c r="B605" s="14" t="s">
        <v>4601</v>
      </c>
      <c r="C605" s="193" t="s">
        <v>58</v>
      </c>
      <c r="D605" s="12" t="s">
        <v>658</v>
      </c>
      <c r="E605" s="8" t="s">
        <v>858</v>
      </c>
      <c r="F605" s="8" t="s">
        <v>859</v>
      </c>
      <c r="G605" s="8" t="s">
        <v>591</v>
      </c>
      <c r="H605" s="7" t="s">
        <v>592</v>
      </c>
      <c r="I605" s="16">
        <v>43732</v>
      </c>
      <c r="J605" s="16"/>
      <c r="K605" s="17"/>
      <c r="L605" s="3"/>
      <c r="M605" s="8" t="s">
        <v>4206</v>
      </c>
      <c r="N605" s="11">
        <v>43922.382928240739</v>
      </c>
      <c r="O605" s="8" t="s">
        <v>4325</v>
      </c>
      <c r="P605" s="11">
        <v>43732.430451388886</v>
      </c>
      <c r="Q605" s="13">
        <v>1029357</v>
      </c>
      <c r="R605" s="194" t="s">
        <v>594</v>
      </c>
      <c r="S605" s="14" t="s">
        <v>1112</v>
      </c>
      <c r="T605" s="163">
        <v>265</v>
      </c>
      <c r="U605" s="164" t="str">
        <f>CONCATENATE(LEFT(SP_ACQ_Lib[[#This Row],[Tax Parcel ID]],7),"_",SP_ACQ_Lib[[#This Row],[ACQ Document Type]])</f>
        <v>R013044_SURVEY Right-of-Entry</v>
      </c>
      <c r="V605" s="65" t="str">
        <f>INDEX(SP_AcqTract_DB[WCAD Tax Parcel ID],MATCH(SP_ACQ_Lib[[#This Row],[Acquisition Tract No.]],SP_AcqTract_DB[Acquisition Tract No.],0))</f>
        <v>R013044;#57</v>
      </c>
      <c r="W605" s="48" t="str">
        <f>INDEX(SP_TaxPar_DB[Acquisition Tract No.],MATCH(LEFT(SP_ACQ_Lib[[#This Row],[Tax Parcel ID]],7),SP_TaxPar_DB[Tax Parcel ID],0))</f>
        <v>315</v>
      </c>
      <c r="X605" s="238" t="str">
        <f>IF(OR(SP_ACQ_Lib[[#This Row],[Acquisition Tract No.]]="",SP_ACQ_Lib[[#This Row],[ACQ Document Type]]=""),0,CONCATENATE("COW-FRMP_TR-",SP_ACQ_Lib[[#This Row],[Acquisition Tract No.]]," ",SP_ACQ_Lib[[#This Row],[ACQ Document Type]]))</f>
        <v>COW-FRMP_TR-315 SURVEY Right-of-Entry</v>
      </c>
      <c r="Y605" s="239">
        <f>IF(OR(SP_ACQ_Lib[[#This Row],[File Name Convention]]=0,LEFT(SP_ACQ_Lib[[#This Row],[Name]],LEN(SP_ACQ_Lib[[#This Row],[File Name Convention]]))&lt;&gt;SP_ACQ_Lib[[#This Row],[File Name Convention]],ISERROR(SEARCH(SP_ACQ_Lib[[#This Row],[ACQ Document Type]],SP_ACQ_Lib[[#This Row],[Name]]))),1,0)</f>
        <v>0</v>
      </c>
    </row>
    <row r="606" spans="1:25" ht="15" x14ac:dyDescent="0.2">
      <c r="A606" s="157" t="str">
        <f>CONCATENATE(SP_ACQ_Lib[[#This Row],[Acquisition Tract No.]],"_",SP_ACQ_Lib[[#This Row],[ACQ Document Type]])</f>
        <v>315_SURVEY Right-of-Entry CMRR</v>
      </c>
      <c r="B606" s="14" t="s">
        <v>3536</v>
      </c>
      <c r="C606" s="193" t="s">
        <v>58</v>
      </c>
      <c r="D606" s="12" t="s">
        <v>658</v>
      </c>
      <c r="E606" s="8" t="s">
        <v>858</v>
      </c>
      <c r="F606" s="8" t="s">
        <v>860</v>
      </c>
      <c r="G606" s="8" t="s">
        <v>598</v>
      </c>
      <c r="H606" s="7" t="s">
        <v>592</v>
      </c>
      <c r="I606" s="16">
        <v>43691</v>
      </c>
      <c r="J606" s="16">
        <v>43694</v>
      </c>
      <c r="K606" s="17"/>
      <c r="L606" s="3" t="s">
        <v>4566</v>
      </c>
      <c r="M606" s="8" t="s">
        <v>4206</v>
      </c>
      <c r="N606" s="11">
        <v>43922.412708333337</v>
      </c>
      <c r="O606" s="8" t="s">
        <v>4325</v>
      </c>
      <c r="P606" s="11">
        <v>43699.455694444441</v>
      </c>
      <c r="Q606" s="13">
        <v>755650</v>
      </c>
      <c r="R606" s="194" t="s">
        <v>594</v>
      </c>
      <c r="S606" s="14" t="s">
        <v>826</v>
      </c>
      <c r="T606" s="163">
        <v>124</v>
      </c>
      <c r="U606" s="164" t="str">
        <f>CONCATENATE(LEFT(SP_ACQ_Lib[[#This Row],[Tax Parcel ID]],7),"_",SP_ACQ_Lib[[#This Row],[ACQ Document Type]])</f>
        <v>R013044_SURVEY Right-of-Entry CMRR</v>
      </c>
      <c r="V606" s="65" t="str">
        <f>INDEX(SP_AcqTract_DB[WCAD Tax Parcel ID],MATCH(SP_ACQ_Lib[[#This Row],[Acquisition Tract No.]],SP_AcqTract_DB[Acquisition Tract No.],0))</f>
        <v>R013044;#57</v>
      </c>
      <c r="W606" s="48" t="str">
        <f>INDEX(SP_TaxPar_DB[Acquisition Tract No.],MATCH(LEFT(SP_ACQ_Lib[[#This Row],[Tax Parcel ID]],7),SP_TaxPar_DB[Tax Parcel ID],0))</f>
        <v>315</v>
      </c>
      <c r="X606" s="238" t="str">
        <f>IF(OR(SP_ACQ_Lib[[#This Row],[Acquisition Tract No.]]="",SP_ACQ_Lib[[#This Row],[ACQ Document Type]]=""),0,CONCATENATE("COW-FRMP_TR-",SP_ACQ_Lib[[#This Row],[Acquisition Tract No.]]," ",SP_ACQ_Lib[[#This Row],[ACQ Document Type]]))</f>
        <v>COW-FRMP_TR-315 SURVEY Right-of-Entry CMRR</v>
      </c>
      <c r="Y606" s="239">
        <f>IF(OR(SP_ACQ_Lib[[#This Row],[File Name Convention]]=0,LEFT(SP_ACQ_Lib[[#This Row],[Name]],LEN(SP_ACQ_Lib[[#This Row],[File Name Convention]]))&lt;&gt;SP_ACQ_Lib[[#This Row],[File Name Convention]],ISERROR(SEARCH(SP_ACQ_Lib[[#This Row],[ACQ Document Type]],SP_ACQ_Lib[[#This Row],[Name]]))),1,0)</f>
        <v>0</v>
      </c>
    </row>
    <row r="607" spans="1:25" ht="15" x14ac:dyDescent="0.2">
      <c r="A607" s="157" t="str">
        <f>CONCATENATE(SP_ACQ_Lib[[#This Row],[Acquisition Tract No.]],"_",SP_ACQ_Lib[[#This Row],[ACQ Document Type]])</f>
        <v>315_TITLE Commitment</v>
      </c>
      <c r="B607" s="14" t="s">
        <v>1579</v>
      </c>
      <c r="C607" s="193" t="s">
        <v>58</v>
      </c>
      <c r="D607" s="12" t="s">
        <v>658</v>
      </c>
      <c r="E607" s="8" t="s">
        <v>861</v>
      </c>
      <c r="F607" s="8" t="s">
        <v>862</v>
      </c>
      <c r="G607" s="8" t="s">
        <v>614</v>
      </c>
      <c r="H607" s="7" t="s">
        <v>592</v>
      </c>
      <c r="I607" s="16">
        <v>43889</v>
      </c>
      <c r="J607" s="16">
        <v>43902</v>
      </c>
      <c r="K607" s="17"/>
      <c r="L607" s="3" t="s">
        <v>4456</v>
      </c>
      <c r="M607" s="8" t="s">
        <v>4325</v>
      </c>
      <c r="N607" s="11">
        <v>43903.692824074074</v>
      </c>
      <c r="O607" s="8" t="s">
        <v>4326</v>
      </c>
      <c r="P607" s="11">
        <v>43705.485474537039</v>
      </c>
      <c r="Q607" s="13">
        <v>568296</v>
      </c>
      <c r="R607" s="194" t="s">
        <v>594</v>
      </c>
      <c r="S607" s="14" t="s">
        <v>827</v>
      </c>
      <c r="T607" s="163">
        <v>177</v>
      </c>
      <c r="U607" s="164" t="str">
        <f>CONCATENATE(LEFT(SP_ACQ_Lib[[#This Row],[Tax Parcel ID]],7),"_",SP_ACQ_Lib[[#This Row],[ACQ Document Type]])</f>
        <v>R013044_TITLE Commitment</v>
      </c>
      <c r="V607" s="65" t="str">
        <f>INDEX(SP_AcqTract_DB[WCAD Tax Parcel ID],MATCH(SP_ACQ_Lib[[#This Row],[Acquisition Tract No.]],SP_AcqTract_DB[Acquisition Tract No.],0))</f>
        <v>R013044;#57</v>
      </c>
      <c r="W607" s="48" t="str">
        <f>INDEX(SP_TaxPar_DB[Acquisition Tract No.],MATCH(LEFT(SP_ACQ_Lib[[#This Row],[Tax Parcel ID]],7),SP_TaxPar_DB[Tax Parcel ID],0))</f>
        <v>315</v>
      </c>
      <c r="X607" s="238" t="str">
        <f>IF(OR(SP_ACQ_Lib[[#This Row],[Acquisition Tract No.]]="",SP_ACQ_Lib[[#This Row],[ACQ Document Type]]=""),0,CONCATENATE("COW-FRMP_TR-",SP_ACQ_Lib[[#This Row],[Acquisition Tract No.]]," ",SP_ACQ_Lib[[#This Row],[ACQ Document Type]]))</f>
        <v>COW-FRMP_TR-315 TITLE Commitment</v>
      </c>
      <c r="Y607" s="239">
        <f>IF(OR(SP_ACQ_Lib[[#This Row],[File Name Convention]]=0,LEFT(SP_ACQ_Lib[[#This Row],[Name]],LEN(SP_ACQ_Lib[[#This Row],[File Name Convention]]))&lt;&gt;SP_ACQ_Lib[[#This Row],[File Name Convention]],ISERROR(SEARCH(SP_ACQ_Lib[[#This Row],[ACQ Document Type]],SP_ACQ_Lib[[#This Row],[Name]]))),1,0)</f>
        <v>0</v>
      </c>
    </row>
    <row r="608" spans="1:25" ht="15" x14ac:dyDescent="0.2">
      <c r="A608" s="157" t="str">
        <f>CONCATENATE(SP_ACQ_Lib[[#This Row],[Acquisition Tract No.]],"_",SP_ACQ_Lib[[#This Row],[ACQ Document Type]])</f>
        <v>315_TITLE Commitment Backup Docs</v>
      </c>
      <c r="B608" s="14" t="s">
        <v>1580</v>
      </c>
      <c r="C608" s="193" t="s">
        <v>58</v>
      </c>
      <c r="D608" s="12" t="s">
        <v>658</v>
      </c>
      <c r="E608" s="8" t="s">
        <v>861</v>
      </c>
      <c r="F608" s="8" t="s">
        <v>863</v>
      </c>
      <c r="G608" s="8" t="s">
        <v>616</v>
      </c>
      <c r="H608" s="7" t="s">
        <v>592</v>
      </c>
      <c r="I608" s="16"/>
      <c r="J608" s="16"/>
      <c r="K608" s="17"/>
      <c r="L608" s="3"/>
      <c r="M608" s="8" t="s">
        <v>4325</v>
      </c>
      <c r="N608" s="11">
        <v>43867.646296296298</v>
      </c>
      <c r="O608" s="8" t="s">
        <v>4326</v>
      </c>
      <c r="P608" s="11">
        <v>43705.485856481479</v>
      </c>
      <c r="Q608" s="13">
        <v>202717</v>
      </c>
      <c r="R608" s="194" t="s">
        <v>594</v>
      </c>
      <c r="S608" s="14" t="s">
        <v>828</v>
      </c>
      <c r="T608" s="163">
        <v>178</v>
      </c>
      <c r="U608" s="164" t="str">
        <f>CONCATENATE(LEFT(SP_ACQ_Lib[[#This Row],[Tax Parcel ID]],7),"_",SP_ACQ_Lib[[#This Row],[ACQ Document Type]])</f>
        <v>R013044_TITLE Commitment Backup Docs</v>
      </c>
      <c r="V608" s="65" t="str">
        <f>INDEX(SP_AcqTract_DB[WCAD Tax Parcel ID],MATCH(SP_ACQ_Lib[[#This Row],[Acquisition Tract No.]],SP_AcqTract_DB[Acquisition Tract No.],0))</f>
        <v>R013044;#57</v>
      </c>
      <c r="W608" s="48" t="str">
        <f>INDEX(SP_TaxPar_DB[Acquisition Tract No.],MATCH(LEFT(SP_ACQ_Lib[[#This Row],[Tax Parcel ID]],7),SP_TaxPar_DB[Tax Parcel ID],0))</f>
        <v>315</v>
      </c>
      <c r="X608" s="238" t="str">
        <f>IF(OR(SP_ACQ_Lib[[#This Row],[Acquisition Tract No.]]="",SP_ACQ_Lib[[#This Row],[ACQ Document Type]]=""),0,CONCATENATE("COW-FRMP_TR-",SP_ACQ_Lib[[#This Row],[Acquisition Tract No.]]," ",SP_ACQ_Lib[[#This Row],[ACQ Document Type]]))</f>
        <v>COW-FRMP_TR-315 TITLE Commitment Backup Docs</v>
      </c>
      <c r="Y608" s="239">
        <f>IF(OR(SP_ACQ_Lib[[#This Row],[File Name Convention]]=0,LEFT(SP_ACQ_Lib[[#This Row],[Name]],LEN(SP_ACQ_Lib[[#This Row],[File Name Convention]]))&lt;&gt;SP_ACQ_Lib[[#This Row],[File Name Convention]],ISERROR(SEARCH(SP_ACQ_Lib[[#This Row],[ACQ Document Type]],SP_ACQ_Lib[[#This Row],[Name]]))),1,0)</f>
        <v>0</v>
      </c>
    </row>
    <row r="609" spans="1:25" ht="15" x14ac:dyDescent="0.2">
      <c r="A609" s="157" t="str">
        <f>CONCATENATE(SP_ACQ_Lib[[#This Row],[Acquisition Tract No.]],"_",SP_ACQ_Lib[[#This Row],[ACQ Document Type]])</f>
        <v>315_TITLE Curative Plan</v>
      </c>
      <c r="B609" s="14" t="s">
        <v>1581</v>
      </c>
      <c r="C609" s="193" t="s">
        <v>58</v>
      </c>
      <c r="D609" s="12" t="s">
        <v>658</v>
      </c>
      <c r="E609" s="8" t="s">
        <v>861</v>
      </c>
      <c r="F609" s="8" t="s">
        <v>864</v>
      </c>
      <c r="G609" s="8" t="s">
        <v>617</v>
      </c>
      <c r="H609" s="7" t="s">
        <v>592</v>
      </c>
      <c r="I609" s="16">
        <v>43906</v>
      </c>
      <c r="J609" s="16"/>
      <c r="K609" s="17"/>
      <c r="L609" s="3"/>
      <c r="M609" s="8" t="s">
        <v>4325</v>
      </c>
      <c r="N609" s="11">
        <v>43906.66978009259</v>
      </c>
      <c r="O609" s="8" t="s">
        <v>4326</v>
      </c>
      <c r="P609" s="11">
        <v>43717.613078703704</v>
      </c>
      <c r="Q609" s="13">
        <v>35403</v>
      </c>
      <c r="R609" s="194" t="s">
        <v>594</v>
      </c>
      <c r="S609" s="14" t="s">
        <v>829</v>
      </c>
      <c r="T609" s="163">
        <v>227</v>
      </c>
      <c r="U609" s="164" t="str">
        <f>CONCATENATE(LEFT(SP_ACQ_Lib[[#This Row],[Tax Parcel ID]],7),"_",SP_ACQ_Lib[[#This Row],[ACQ Document Type]])</f>
        <v>R013044_TITLE Curative Plan</v>
      </c>
      <c r="V609" s="65" t="str">
        <f>INDEX(SP_AcqTract_DB[WCAD Tax Parcel ID],MATCH(SP_ACQ_Lib[[#This Row],[Acquisition Tract No.]],SP_AcqTract_DB[Acquisition Tract No.],0))</f>
        <v>R013044;#57</v>
      </c>
      <c r="W609" s="48" t="str">
        <f>INDEX(SP_TaxPar_DB[Acquisition Tract No.],MATCH(LEFT(SP_ACQ_Lib[[#This Row],[Tax Parcel ID]],7),SP_TaxPar_DB[Tax Parcel ID],0))</f>
        <v>315</v>
      </c>
      <c r="X609" s="238" t="str">
        <f>IF(OR(SP_ACQ_Lib[[#This Row],[Acquisition Tract No.]]="",SP_ACQ_Lib[[#This Row],[ACQ Document Type]]=""),0,CONCATENATE("COW-FRMP_TR-",SP_ACQ_Lib[[#This Row],[Acquisition Tract No.]]," ",SP_ACQ_Lib[[#This Row],[ACQ Document Type]]))</f>
        <v>COW-FRMP_TR-315 TITLE Curative Plan</v>
      </c>
      <c r="Y609" s="239">
        <f>IF(OR(SP_ACQ_Lib[[#This Row],[File Name Convention]]=0,LEFT(SP_ACQ_Lib[[#This Row],[Name]],LEN(SP_ACQ_Lib[[#This Row],[File Name Convention]]))&lt;&gt;SP_ACQ_Lib[[#This Row],[File Name Convention]],ISERROR(SEARCH(SP_ACQ_Lib[[#This Row],[ACQ Document Type]],SP_ACQ_Lib[[#This Row],[Name]]))),1,0)</f>
        <v>0</v>
      </c>
    </row>
    <row r="610" spans="1:25" ht="15" x14ac:dyDescent="0.2">
      <c r="A610" s="157" t="str">
        <f>CONCATENATE(SP_ACQ_Lib[[#This Row],[Acquisition Tract No.]],"_",SP_ACQ_Lib[[#This Row],[ACQ Document Type]])</f>
        <v>315_TITLE Tax Card</v>
      </c>
      <c r="B610" s="14" t="s">
        <v>3484</v>
      </c>
      <c r="C610" s="193" t="s">
        <v>58</v>
      </c>
      <c r="D610" s="12" t="s">
        <v>658</v>
      </c>
      <c r="E610" s="8" t="s">
        <v>861</v>
      </c>
      <c r="F610" s="8" t="s">
        <v>1150</v>
      </c>
      <c r="G610" s="8" t="s">
        <v>1149</v>
      </c>
      <c r="H610" s="7" t="s">
        <v>592</v>
      </c>
      <c r="I610" s="16"/>
      <c r="J610" s="16"/>
      <c r="K610" s="17"/>
      <c r="L610" s="3"/>
      <c r="M610" s="8" t="s">
        <v>4206</v>
      </c>
      <c r="N610" s="11">
        <v>43874.595138888886</v>
      </c>
      <c r="O610" s="8" t="s">
        <v>1272</v>
      </c>
      <c r="P610" s="11">
        <v>43817.479988425926</v>
      </c>
      <c r="Q610" s="13">
        <v>435865</v>
      </c>
      <c r="R610" s="194" t="s">
        <v>594</v>
      </c>
      <c r="S610" s="14" t="s">
        <v>1797</v>
      </c>
      <c r="T610" s="163">
        <v>659</v>
      </c>
      <c r="U610" s="164" t="str">
        <f>CONCATENATE(LEFT(SP_ACQ_Lib[[#This Row],[Tax Parcel ID]],7),"_",SP_ACQ_Lib[[#This Row],[ACQ Document Type]])</f>
        <v>R013044_TITLE Tax Card</v>
      </c>
      <c r="V610" s="65" t="str">
        <f>INDEX(SP_AcqTract_DB[WCAD Tax Parcel ID],MATCH(SP_ACQ_Lib[[#This Row],[Acquisition Tract No.]],SP_AcqTract_DB[Acquisition Tract No.],0))</f>
        <v>R013044;#57</v>
      </c>
      <c r="W610" s="48" t="str">
        <f>INDEX(SP_TaxPar_DB[Acquisition Tract No.],MATCH(LEFT(SP_ACQ_Lib[[#This Row],[Tax Parcel ID]],7),SP_TaxPar_DB[Tax Parcel ID],0))</f>
        <v>315</v>
      </c>
      <c r="X610" s="238" t="str">
        <f>IF(OR(SP_ACQ_Lib[[#This Row],[Acquisition Tract No.]]="",SP_ACQ_Lib[[#This Row],[ACQ Document Type]]=""),0,CONCATENATE("COW-FRMP_TR-",SP_ACQ_Lib[[#This Row],[Acquisition Tract No.]]," ",SP_ACQ_Lib[[#This Row],[ACQ Document Type]]))</f>
        <v>COW-FRMP_TR-315 TITLE Tax Card</v>
      </c>
      <c r="Y610" s="239">
        <f>IF(OR(SP_ACQ_Lib[[#This Row],[File Name Convention]]=0,LEFT(SP_ACQ_Lib[[#This Row],[Name]],LEN(SP_ACQ_Lib[[#This Row],[File Name Convention]]))&lt;&gt;SP_ACQ_Lib[[#This Row],[File Name Convention]],ISERROR(SEARCH(SP_ACQ_Lib[[#This Row],[ACQ Document Type]],SP_ACQ_Lib[[#This Row],[Name]]))),1,0)</f>
        <v>0</v>
      </c>
    </row>
    <row r="611" spans="1:25" ht="15" x14ac:dyDescent="0.2">
      <c r="A611" s="157" t="str">
        <f>CONCATENATE(SP_ACQ_Lib[[#This Row],[Acquisition Tract No.]],"_",SP_ACQ_Lib[[#This Row],[ACQ Document Type]])</f>
        <v>316_APPRAISAL Final Appraisal</v>
      </c>
      <c r="B611" s="14" t="s">
        <v>5857</v>
      </c>
      <c r="C611" s="193" t="s">
        <v>59</v>
      </c>
      <c r="D611" s="12" t="s">
        <v>659</v>
      </c>
      <c r="E611" s="8" t="s">
        <v>1131</v>
      </c>
      <c r="F611" s="8" t="s">
        <v>4755</v>
      </c>
      <c r="G611" s="8" t="s">
        <v>4754</v>
      </c>
      <c r="H611" s="7" t="s">
        <v>592</v>
      </c>
      <c r="I611" s="16">
        <v>43962</v>
      </c>
      <c r="J611" s="16">
        <v>43985</v>
      </c>
      <c r="K611" s="17">
        <v>7944</v>
      </c>
      <c r="L611" s="3"/>
      <c r="M611" s="8" t="s">
        <v>4206</v>
      </c>
      <c r="N611" s="11">
        <v>43990.544942129629</v>
      </c>
      <c r="O611" s="8" t="s">
        <v>4206</v>
      </c>
      <c r="P611" s="11">
        <v>43990.542673611111</v>
      </c>
      <c r="Q611" s="13">
        <v>9008236</v>
      </c>
      <c r="R611" s="194" t="s">
        <v>594</v>
      </c>
      <c r="S611" s="14" t="s">
        <v>5871</v>
      </c>
      <c r="T611" s="163">
        <v>1167</v>
      </c>
      <c r="U611" s="164" t="str">
        <f>CONCATENATE(LEFT(SP_ACQ_Lib[[#This Row],[Tax Parcel ID]],7),"_",SP_ACQ_Lib[[#This Row],[ACQ Document Type]])</f>
        <v>R026687_APPRAISAL Final Appraisal</v>
      </c>
      <c r="V611" s="65" t="str">
        <f>INDEX(SP_AcqTract_DB[WCAD Tax Parcel ID],MATCH(SP_ACQ_Lib[[#This Row],[Acquisition Tract No.]],SP_AcqTract_DB[Acquisition Tract No.],0))</f>
        <v>R026687;#58</v>
      </c>
      <c r="W611" s="48" t="str">
        <f>INDEX(SP_TaxPar_DB[Acquisition Tract No.],MATCH(LEFT(SP_ACQ_Lib[[#This Row],[Tax Parcel ID]],7),SP_TaxPar_DB[Tax Parcel ID],0))</f>
        <v>316</v>
      </c>
      <c r="X611" s="238" t="str">
        <f>IF(OR(SP_ACQ_Lib[[#This Row],[Acquisition Tract No.]]="",SP_ACQ_Lib[[#This Row],[ACQ Document Type]]=""),0,CONCATENATE("COW-FRMP_TR-",SP_ACQ_Lib[[#This Row],[Acquisition Tract No.]]," ",SP_ACQ_Lib[[#This Row],[ACQ Document Type]]))</f>
        <v>COW-FRMP_TR-316 APPRAISAL Final Appraisal</v>
      </c>
      <c r="Y611" s="239">
        <f>IF(OR(SP_ACQ_Lib[[#This Row],[File Name Convention]]=0,LEFT(SP_ACQ_Lib[[#This Row],[Name]],LEN(SP_ACQ_Lib[[#This Row],[File Name Convention]]))&lt;&gt;SP_ACQ_Lib[[#This Row],[File Name Convention]],ISERROR(SEARCH(SP_ACQ_Lib[[#This Row],[ACQ Document Type]],SP_ACQ_Lib[[#This Row],[Name]]))),1,0)</f>
        <v>0</v>
      </c>
    </row>
    <row r="612" spans="1:25" ht="15" x14ac:dyDescent="0.2">
      <c r="A612" s="157" t="str">
        <f>CONCATENATE(SP_ACQ_Lib[[#This Row],[Acquisition Tract No.]],"_",SP_ACQ_Lib[[#This Row],[ACQ Document Type]])</f>
        <v>316_APPRAISAL Just Compensation Memo</v>
      </c>
      <c r="B612" s="14" t="s">
        <v>5858</v>
      </c>
      <c r="C612" s="193" t="s">
        <v>59</v>
      </c>
      <c r="D612" s="12" t="s">
        <v>659</v>
      </c>
      <c r="E612" s="8" t="s">
        <v>1131</v>
      </c>
      <c r="F612" s="8" t="s">
        <v>4757</v>
      </c>
      <c r="G612" s="8" t="s">
        <v>4756</v>
      </c>
      <c r="H612" s="7" t="s">
        <v>592</v>
      </c>
      <c r="I612" s="16">
        <v>43990</v>
      </c>
      <c r="J612" s="16">
        <v>43990</v>
      </c>
      <c r="K612" s="17">
        <v>7944</v>
      </c>
      <c r="L612" s="3"/>
      <c r="M612" s="8" t="s">
        <v>4206</v>
      </c>
      <c r="N612" s="11">
        <v>43991.580914351849</v>
      </c>
      <c r="O612" s="8" t="s">
        <v>4206</v>
      </c>
      <c r="P612" s="11">
        <v>43990.542685185188</v>
      </c>
      <c r="Q612" s="13">
        <v>43009</v>
      </c>
      <c r="R612" s="194" t="s">
        <v>594</v>
      </c>
      <c r="S612" s="14" t="s">
        <v>5872</v>
      </c>
      <c r="T612" s="163">
        <v>1168</v>
      </c>
      <c r="U612" s="164" t="str">
        <f>CONCATENATE(LEFT(SP_ACQ_Lib[[#This Row],[Tax Parcel ID]],7),"_",SP_ACQ_Lib[[#This Row],[ACQ Document Type]])</f>
        <v>R026687_APPRAISAL Just Compensation Memo</v>
      </c>
      <c r="V612" s="65" t="str">
        <f>INDEX(SP_AcqTract_DB[WCAD Tax Parcel ID],MATCH(SP_ACQ_Lib[[#This Row],[Acquisition Tract No.]],SP_AcqTract_DB[Acquisition Tract No.],0))</f>
        <v>R026687;#58</v>
      </c>
      <c r="W612" s="48" t="str">
        <f>INDEX(SP_TaxPar_DB[Acquisition Tract No.],MATCH(LEFT(SP_ACQ_Lib[[#This Row],[Tax Parcel ID]],7),SP_TaxPar_DB[Tax Parcel ID],0))</f>
        <v>316</v>
      </c>
      <c r="X612" s="238" t="str">
        <f>IF(OR(SP_ACQ_Lib[[#This Row],[Acquisition Tract No.]]="",SP_ACQ_Lib[[#This Row],[ACQ Document Type]]=""),0,CONCATENATE("COW-FRMP_TR-",SP_ACQ_Lib[[#This Row],[Acquisition Tract No.]]," ",SP_ACQ_Lib[[#This Row],[ACQ Document Type]]))</f>
        <v>COW-FRMP_TR-316 APPRAISAL Just Compensation Memo</v>
      </c>
      <c r="Y612" s="239">
        <f>IF(OR(SP_ACQ_Lib[[#This Row],[File Name Convention]]=0,LEFT(SP_ACQ_Lib[[#This Row],[Name]],LEN(SP_ACQ_Lib[[#This Row],[File Name Convention]]))&lt;&gt;SP_ACQ_Lib[[#This Row],[File Name Convention]],ISERROR(SEARCH(SP_ACQ_Lib[[#This Row],[ACQ Document Type]],SP_ACQ_Lib[[#This Row],[Name]]))),1,0)</f>
        <v>0</v>
      </c>
    </row>
    <row r="613" spans="1:25" ht="15" x14ac:dyDescent="0.2">
      <c r="A613" s="157" t="str">
        <f>CONCATENATE(SP_ACQ_Lib[[#This Row],[Acquisition Tract No.]],"_",SP_ACQ_Lib[[#This Row],[ACQ Document Type]])</f>
        <v>316_APPRAISAL USACOE Authorization to Proceed with Offer</v>
      </c>
      <c r="B613" s="14" t="s">
        <v>5859</v>
      </c>
      <c r="C613" s="193" t="s">
        <v>59</v>
      </c>
      <c r="D613" s="12" t="s">
        <v>659</v>
      </c>
      <c r="E613" s="8" t="s">
        <v>1131</v>
      </c>
      <c r="F613" s="8" t="s">
        <v>4959</v>
      </c>
      <c r="G613" s="8" t="s">
        <v>4958</v>
      </c>
      <c r="H613" s="7" t="s">
        <v>592</v>
      </c>
      <c r="I613" s="16">
        <v>43990</v>
      </c>
      <c r="J613" s="16"/>
      <c r="K613" s="17">
        <v>7944</v>
      </c>
      <c r="L613" s="3"/>
      <c r="M613" s="8" t="s">
        <v>4206</v>
      </c>
      <c r="N613" s="11">
        <v>43990.545844907407</v>
      </c>
      <c r="O613" s="8" t="s">
        <v>4206</v>
      </c>
      <c r="P613" s="11">
        <v>43990.542685185188</v>
      </c>
      <c r="Q613" s="13">
        <v>418384</v>
      </c>
      <c r="R613" s="194" t="s">
        <v>594</v>
      </c>
      <c r="S613" s="14" t="s">
        <v>5873</v>
      </c>
      <c r="T613" s="163">
        <v>1169</v>
      </c>
      <c r="U613" s="164" t="str">
        <f>CONCATENATE(LEFT(SP_ACQ_Lib[[#This Row],[Tax Parcel ID]],7),"_",SP_ACQ_Lib[[#This Row],[ACQ Document Type]])</f>
        <v>R026687_APPRAISAL USACOE Authorization to Proceed with Offer</v>
      </c>
      <c r="V613" s="65" t="str">
        <f>INDEX(SP_AcqTract_DB[WCAD Tax Parcel ID],MATCH(SP_ACQ_Lib[[#This Row],[Acquisition Tract No.]],SP_AcqTract_DB[Acquisition Tract No.],0))</f>
        <v>R026687;#58</v>
      </c>
      <c r="W613" s="48" t="str">
        <f>INDEX(SP_TaxPar_DB[Acquisition Tract No.],MATCH(LEFT(SP_ACQ_Lib[[#This Row],[Tax Parcel ID]],7),SP_TaxPar_DB[Tax Parcel ID],0))</f>
        <v>316</v>
      </c>
      <c r="X613" s="238" t="str">
        <f>IF(OR(SP_ACQ_Lib[[#This Row],[Acquisition Tract No.]]="",SP_ACQ_Lib[[#This Row],[ACQ Document Type]]=""),0,CONCATENATE("COW-FRMP_TR-",SP_ACQ_Lib[[#This Row],[Acquisition Tract No.]]," ",SP_ACQ_Lib[[#This Row],[ACQ Document Type]]))</f>
        <v>COW-FRMP_TR-316 APPRAISAL USACOE Authorization to Proceed with Offer</v>
      </c>
      <c r="Y613" s="239">
        <f>IF(OR(SP_ACQ_Lib[[#This Row],[File Name Convention]]=0,LEFT(SP_ACQ_Lib[[#This Row],[Name]],LEN(SP_ACQ_Lib[[#This Row],[File Name Convention]]))&lt;&gt;SP_ACQ_Lib[[#This Row],[File Name Convention]],ISERROR(SEARCH(SP_ACQ_Lib[[#This Row],[ACQ Document Type]],SP_ACQ_Lib[[#This Row],[Name]]))),1,0)</f>
        <v>0</v>
      </c>
    </row>
    <row r="614" spans="1:25" ht="15" x14ac:dyDescent="0.2">
      <c r="A614" s="157" t="str">
        <f>CONCATENATE(SP_ACQ_Lib[[#This Row],[Acquisition Tract No.]],"_",SP_ACQ_Lib[[#This Row],[ACQ Document Type]])</f>
        <v>316_CONTACT Initial Interview - Residential</v>
      </c>
      <c r="B614" s="14" t="s">
        <v>1582</v>
      </c>
      <c r="C614" s="193" t="s">
        <v>59</v>
      </c>
      <c r="D614" s="12" t="s">
        <v>659</v>
      </c>
      <c r="E614" s="8" t="s">
        <v>865</v>
      </c>
      <c r="F614" s="8" t="s">
        <v>866</v>
      </c>
      <c r="G614" s="8" t="s">
        <v>618</v>
      </c>
      <c r="H614" s="7" t="s">
        <v>592</v>
      </c>
      <c r="I614" s="16">
        <v>43685</v>
      </c>
      <c r="J614" s="16"/>
      <c r="K614" s="17"/>
      <c r="L614" s="3"/>
      <c r="M614" s="8" t="s">
        <v>23</v>
      </c>
      <c r="N614" s="11">
        <v>43770.449305555558</v>
      </c>
      <c r="O614" s="8" t="s">
        <v>4325</v>
      </c>
      <c r="P614" s="11">
        <v>43696.392708333333</v>
      </c>
      <c r="Q614" s="13">
        <v>346853</v>
      </c>
      <c r="R614" s="194" t="s">
        <v>594</v>
      </c>
      <c r="S614" s="14" t="s">
        <v>830</v>
      </c>
      <c r="T614" s="163">
        <v>98</v>
      </c>
      <c r="U614" s="164" t="str">
        <f>CONCATENATE(LEFT(SP_ACQ_Lib[[#This Row],[Tax Parcel ID]],7),"_",SP_ACQ_Lib[[#This Row],[ACQ Document Type]])</f>
        <v>R026687_CONTACT Initial Interview - Residential</v>
      </c>
      <c r="V614" s="65" t="str">
        <f>INDEX(SP_AcqTract_DB[WCAD Tax Parcel ID],MATCH(SP_ACQ_Lib[[#This Row],[Acquisition Tract No.]],SP_AcqTract_DB[Acquisition Tract No.],0))</f>
        <v>R026687;#58</v>
      </c>
      <c r="W614" s="48" t="str">
        <f>INDEX(SP_TaxPar_DB[Acquisition Tract No.],MATCH(LEFT(SP_ACQ_Lib[[#This Row],[Tax Parcel ID]],7),SP_TaxPar_DB[Tax Parcel ID],0))</f>
        <v>316</v>
      </c>
      <c r="X614" s="238" t="str">
        <f>IF(OR(SP_ACQ_Lib[[#This Row],[Acquisition Tract No.]]="",SP_ACQ_Lib[[#This Row],[ACQ Document Type]]=""),0,CONCATENATE("COW-FRMP_TR-",SP_ACQ_Lib[[#This Row],[Acquisition Tract No.]]," ",SP_ACQ_Lib[[#This Row],[ACQ Document Type]]))</f>
        <v>COW-FRMP_TR-316 CONTACT Initial Interview - Residential</v>
      </c>
      <c r="Y614" s="239">
        <f>IF(OR(SP_ACQ_Lib[[#This Row],[File Name Convention]]=0,LEFT(SP_ACQ_Lib[[#This Row],[Name]],LEN(SP_ACQ_Lib[[#This Row],[File Name Convention]]))&lt;&gt;SP_ACQ_Lib[[#This Row],[File Name Convention]],ISERROR(SEARCH(SP_ACQ_Lib[[#This Row],[ACQ Document Type]],SP_ACQ_Lib[[#This Row],[Name]]))),1,0)</f>
        <v>0</v>
      </c>
    </row>
    <row r="615" spans="1:25" ht="15" x14ac:dyDescent="0.2">
      <c r="A615" s="157" t="str">
        <f>CONCATENATE(SP_ACQ_Lib[[#This Row],[Acquisition Tract No.]],"_",SP_ACQ_Lib[[#This Row],[ACQ Document Type]])</f>
        <v>316_CONTACT Letter of Intent-HDR</v>
      </c>
      <c r="B615" s="14" t="s">
        <v>1583</v>
      </c>
      <c r="C615" s="193" t="s">
        <v>59</v>
      </c>
      <c r="D615" s="12" t="s">
        <v>659</v>
      </c>
      <c r="E615" s="8" t="s">
        <v>865</v>
      </c>
      <c r="F615" s="8" t="s">
        <v>1401</v>
      </c>
      <c r="G615" s="8" t="s">
        <v>1400</v>
      </c>
      <c r="H615" s="7" t="s">
        <v>592</v>
      </c>
      <c r="I615" s="16">
        <v>43765</v>
      </c>
      <c r="J615" s="16"/>
      <c r="K615" s="17"/>
      <c r="L615" s="3"/>
      <c r="M615" s="8" t="s">
        <v>1402</v>
      </c>
      <c r="N615" s="11">
        <v>43782.366319444445</v>
      </c>
      <c r="O615" s="8" t="s">
        <v>1272</v>
      </c>
      <c r="P615" s="11">
        <v>43769.641099537039</v>
      </c>
      <c r="Q615" s="13">
        <v>425840</v>
      </c>
      <c r="R615" s="194" t="s">
        <v>594</v>
      </c>
      <c r="S615" s="14" t="s">
        <v>1659</v>
      </c>
      <c r="T615" s="163">
        <v>547</v>
      </c>
      <c r="U615" s="164" t="str">
        <f>CONCATENATE(LEFT(SP_ACQ_Lib[[#This Row],[Tax Parcel ID]],7),"_",SP_ACQ_Lib[[#This Row],[ACQ Document Type]])</f>
        <v>R026687_CONTACT Letter of Intent-HDR</v>
      </c>
      <c r="V615" s="65" t="str">
        <f>INDEX(SP_AcqTract_DB[WCAD Tax Parcel ID],MATCH(SP_ACQ_Lib[[#This Row],[Acquisition Tract No.]],SP_AcqTract_DB[Acquisition Tract No.],0))</f>
        <v>R026687;#58</v>
      </c>
      <c r="W615" s="48" t="str">
        <f>INDEX(SP_TaxPar_DB[Acquisition Tract No.],MATCH(LEFT(SP_ACQ_Lib[[#This Row],[Tax Parcel ID]],7),SP_TaxPar_DB[Tax Parcel ID],0))</f>
        <v>316</v>
      </c>
      <c r="X615" s="238" t="str">
        <f>IF(OR(SP_ACQ_Lib[[#This Row],[Acquisition Tract No.]]="",SP_ACQ_Lib[[#This Row],[ACQ Document Type]]=""),0,CONCATENATE("COW-FRMP_TR-",SP_ACQ_Lib[[#This Row],[Acquisition Tract No.]]," ",SP_ACQ_Lib[[#This Row],[ACQ Document Type]]))</f>
        <v>COW-FRMP_TR-316 CONTACT Letter of Intent-HDR</v>
      </c>
      <c r="Y615" s="239">
        <f>IF(OR(SP_ACQ_Lib[[#This Row],[File Name Convention]]=0,LEFT(SP_ACQ_Lib[[#This Row],[Name]],LEN(SP_ACQ_Lib[[#This Row],[File Name Convention]]))&lt;&gt;SP_ACQ_Lib[[#This Row],[File Name Convention]],ISERROR(SEARCH(SP_ACQ_Lib[[#This Row],[ACQ Document Type]],SP_ACQ_Lib[[#This Row],[Name]]))),1,0)</f>
        <v>0</v>
      </c>
    </row>
    <row r="616" spans="1:25" ht="15" x14ac:dyDescent="0.2">
      <c r="A616" s="157" t="str">
        <f>CONCATENATE(SP_ACQ_Lib[[#This Row],[Acquisition Tract No.]],"_",SP_ACQ_Lib[[#This Row],[ACQ Document Type]])</f>
        <v>316_CONTACT Negotiator Report</v>
      </c>
      <c r="B616" s="14" t="s">
        <v>3412</v>
      </c>
      <c r="C616" s="193" t="s">
        <v>59</v>
      </c>
      <c r="D616" s="12" t="s">
        <v>659</v>
      </c>
      <c r="E616" s="8" t="s">
        <v>865</v>
      </c>
      <c r="F616" s="8" t="s">
        <v>1068</v>
      </c>
      <c r="G616" s="8" t="s">
        <v>1067</v>
      </c>
      <c r="H616" s="7" t="s">
        <v>592</v>
      </c>
      <c r="I616" s="16"/>
      <c r="J616" s="16"/>
      <c r="K616" s="17"/>
      <c r="L616" s="3"/>
      <c r="M616" s="8" t="s">
        <v>1743</v>
      </c>
      <c r="N616" s="11">
        <v>43998.678819444445</v>
      </c>
      <c r="O616" s="8" t="s">
        <v>4207</v>
      </c>
      <c r="P616" s="11">
        <v>43738.432847222219</v>
      </c>
      <c r="Q616" s="13">
        <v>42553</v>
      </c>
      <c r="R616" s="194" t="s">
        <v>1069</v>
      </c>
      <c r="S616" s="14" t="s">
        <v>1113</v>
      </c>
      <c r="T616" s="163">
        <v>375</v>
      </c>
      <c r="U616" s="164" t="str">
        <f>CONCATENATE(LEFT(SP_ACQ_Lib[[#This Row],[Tax Parcel ID]],7),"_",SP_ACQ_Lib[[#This Row],[ACQ Document Type]])</f>
        <v>R026687_CONTACT Negotiator Report</v>
      </c>
      <c r="V616" s="65" t="str">
        <f>INDEX(SP_AcqTract_DB[WCAD Tax Parcel ID],MATCH(SP_ACQ_Lib[[#This Row],[Acquisition Tract No.]],SP_AcqTract_DB[Acquisition Tract No.],0))</f>
        <v>R026687;#58</v>
      </c>
      <c r="W616" s="48" t="str">
        <f>INDEX(SP_TaxPar_DB[Acquisition Tract No.],MATCH(LEFT(SP_ACQ_Lib[[#This Row],[Tax Parcel ID]],7),SP_TaxPar_DB[Tax Parcel ID],0))</f>
        <v>316</v>
      </c>
      <c r="X616" s="238" t="str">
        <f>IF(OR(SP_ACQ_Lib[[#This Row],[Acquisition Tract No.]]="",SP_ACQ_Lib[[#This Row],[ACQ Document Type]]=""),0,CONCATENATE("COW-FRMP_TR-",SP_ACQ_Lib[[#This Row],[Acquisition Tract No.]]," ",SP_ACQ_Lib[[#This Row],[ACQ Document Type]]))</f>
        <v>COW-FRMP_TR-316 CONTACT Negotiator Report</v>
      </c>
      <c r="Y616" s="239">
        <f>IF(OR(SP_ACQ_Lib[[#This Row],[File Name Convention]]=0,LEFT(SP_ACQ_Lib[[#This Row],[Name]],LEN(SP_ACQ_Lib[[#This Row],[File Name Convention]]))&lt;&gt;SP_ACQ_Lib[[#This Row],[File Name Convention]],ISERROR(SEARCH(SP_ACQ_Lib[[#This Row],[ACQ Document Type]],SP_ACQ_Lib[[#This Row],[Name]]))),1,0)</f>
        <v>0</v>
      </c>
    </row>
    <row r="617" spans="1:25" ht="15" x14ac:dyDescent="0.2">
      <c r="A617" s="157" t="str">
        <f>CONCATENATE(SP_ACQ_Lib[[#This Row],[Acquisition Tract No.]],"_",SP_ACQ_Lib[[#This Row],[ACQ Document Type]])</f>
        <v>316_NEGOTIATION Landowner Bill of Rights Letter</v>
      </c>
      <c r="B617" s="14" t="s">
        <v>3485</v>
      </c>
      <c r="C617" s="193" t="s">
        <v>59</v>
      </c>
      <c r="D617" s="12" t="s">
        <v>659</v>
      </c>
      <c r="E617" s="8" t="s">
        <v>1142</v>
      </c>
      <c r="F617" s="8" t="s">
        <v>1746</v>
      </c>
      <c r="G617" s="8" t="s">
        <v>1745</v>
      </c>
      <c r="H617" s="7" t="s">
        <v>592</v>
      </c>
      <c r="I617" s="16">
        <v>43748</v>
      </c>
      <c r="J617" s="16"/>
      <c r="K617" s="17"/>
      <c r="L617" s="3"/>
      <c r="M617" s="8" t="s">
        <v>4206</v>
      </c>
      <c r="N617" s="11">
        <v>43872.568171296298</v>
      </c>
      <c r="O617" s="8" t="s">
        <v>4325</v>
      </c>
      <c r="P617" s="11">
        <v>43752.5309375</v>
      </c>
      <c r="Q617" s="13">
        <v>362909</v>
      </c>
      <c r="R617" s="194" t="s">
        <v>594</v>
      </c>
      <c r="S617" s="14" t="s">
        <v>1242</v>
      </c>
      <c r="T617" s="163">
        <v>455</v>
      </c>
      <c r="U617" s="164" t="str">
        <f>CONCATENATE(LEFT(SP_ACQ_Lib[[#This Row],[Tax Parcel ID]],7),"_",SP_ACQ_Lib[[#This Row],[ACQ Document Type]])</f>
        <v>R026687_NEGOTIATION Landowner Bill of Rights Letter</v>
      </c>
      <c r="V617" s="65" t="str">
        <f>INDEX(SP_AcqTract_DB[WCAD Tax Parcel ID],MATCH(SP_ACQ_Lib[[#This Row],[Acquisition Tract No.]],SP_AcqTract_DB[Acquisition Tract No.],0))</f>
        <v>R026687;#58</v>
      </c>
      <c r="W617" s="48" t="str">
        <f>INDEX(SP_TaxPar_DB[Acquisition Tract No.],MATCH(LEFT(SP_ACQ_Lib[[#This Row],[Tax Parcel ID]],7),SP_TaxPar_DB[Tax Parcel ID],0))</f>
        <v>316</v>
      </c>
      <c r="X617" s="238" t="str">
        <f>IF(OR(SP_ACQ_Lib[[#This Row],[Acquisition Tract No.]]="",SP_ACQ_Lib[[#This Row],[ACQ Document Type]]=""),0,CONCATENATE("COW-FRMP_TR-",SP_ACQ_Lib[[#This Row],[Acquisition Tract No.]]," ",SP_ACQ_Lib[[#This Row],[ACQ Document Type]]))</f>
        <v>COW-FRMP_TR-316 NEGOTIATION Landowner Bill of Rights Letter</v>
      </c>
      <c r="Y617" s="239">
        <f>IF(OR(SP_ACQ_Lib[[#This Row],[File Name Convention]]=0,LEFT(SP_ACQ_Lib[[#This Row],[Name]],LEN(SP_ACQ_Lib[[#This Row],[File Name Convention]]))&lt;&gt;SP_ACQ_Lib[[#This Row],[File Name Convention]],ISERROR(SEARCH(SP_ACQ_Lib[[#This Row],[ACQ Document Type]],SP_ACQ_Lib[[#This Row],[Name]]))),1,0)</f>
        <v>0</v>
      </c>
    </row>
    <row r="618" spans="1:25" ht="15" x14ac:dyDescent="0.2">
      <c r="A618" s="157" t="str">
        <f>CONCATENATE(SP_ACQ_Lib[[#This Row],[Acquisition Tract No.]],"_",SP_ACQ_Lib[[#This Row],[ACQ Document Type]])</f>
        <v>316_SURVEY Description-Plat_CITY</v>
      </c>
      <c r="B618" s="14" t="s">
        <v>3537</v>
      </c>
      <c r="C618" s="193" t="s">
        <v>59</v>
      </c>
      <c r="D618" s="12" t="s">
        <v>659</v>
      </c>
      <c r="E618" s="8" t="s">
        <v>858</v>
      </c>
      <c r="F618" s="8" t="s">
        <v>3503</v>
      </c>
      <c r="G618" s="8" t="s">
        <v>3502</v>
      </c>
      <c r="H618" s="7" t="s">
        <v>1749</v>
      </c>
      <c r="I618" s="16">
        <v>43815</v>
      </c>
      <c r="J618" s="16">
        <v>43886</v>
      </c>
      <c r="K618" s="17"/>
      <c r="L618" s="3"/>
      <c r="M618" s="8" t="s">
        <v>4206</v>
      </c>
      <c r="N618" s="11">
        <v>43937.590636574074</v>
      </c>
      <c r="O618" s="8" t="s">
        <v>4206</v>
      </c>
      <c r="P618" s="11">
        <v>43886.641967592594</v>
      </c>
      <c r="Q618" s="13">
        <v>243270</v>
      </c>
      <c r="R618" s="194" t="s">
        <v>594</v>
      </c>
      <c r="S618" s="14" t="s">
        <v>3559</v>
      </c>
      <c r="T618" s="163">
        <v>740</v>
      </c>
      <c r="U618" s="164" t="str">
        <f>CONCATENATE(LEFT(SP_ACQ_Lib[[#This Row],[Tax Parcel ID]],7),"_",SP_ACQ_Lib[[#This Row],[ACQ Document Type]])</f>
        <v>R026687_SURVEY Description-Plat_CITY</v>
      </c>
      <c r="V618" s="65" t="str">
        <f>INDEX(SP_AcqTract_DB[WCAD Tax Parcel ID],MATCH(SP_ACQ_Lib[[#This Row],[Acquisition Tract No.]],SP_AcqTract_DB[Acquisition Tract No.],0))</f>
        <v>R026687;#58</v>
      </c>
      <c r="W618" s="48" t="str">
        <f>INDEX(SP_TaxPar_DB[Acquisition Tract No.],MATCH(LEFT(SP_ACQ_Lib[[#This Row],[Tax Parcel ID]],7),SP_TaxPar_DB[Tax Parcel ID],0))</f>
        <v>316</v>
      </c>
      <c r="X618" s="238" t="str">
        <f>IF(OR(SP_ACQ_Lib[[#This Row],[Acquisition Tract No.]]="",SP_ACQ_Lib[[#This Row],[ACQ Document Type]]=""),0,CONCATENATE("COW-FRMP_TR-",SP_ACQ_Lib[[#This Row],[Acquisition Tract No.]]," ",SP_ACQ_Lib[[#This Row],[ACQ Document Type]]))</f>
        <v>COW-FRMP_TR-316 SURVEY Description-Plat_CITY</v>
      </c>
      <c r="Y618" s="239">
        <f>IF(OR(SP_ACQ_Lib[[#This Row],[File Name Convention]]=0,LEFT(SP_ACQ_Lib[[#This Row],[Name]],LEN(SP_ACQ_Lib[[#This Row],[File Name Convention]]))&lt;&gt;SP_ACQ_Lib[[#This Row],[File Name Convention]],ISERROR(SEARCH(SP_ACQ_Lib[[#This Row],[ACQ Document Type]],SP_ACQ_Lib[[#This Row],[Name]]))),1,0)</f>
        <v>0</v>
      </c>
    </row>
    <row r="619" spans="1:25" ht="15" x14ac:dyDescent="0.2">
      <c r="A619" s="157" t="str">
        <f>CONCATENATE(SP_ACQ_Lib[[#This Row],[Acquisition Tract No.]],"_",SP_ACQ_Lib[[#This Row],[ACQ Document Type]])</f>
        <v>316_SURVEY Description-Plat_USACOE</v>
      </c>
      <c r="B619" s="14" t="s">
        <v>5057</v>
      </c>
      <c r="C619" s="193" t="s">
        <v>59</v>
      </c>
      <c r="D619" s="12" t="s">
        <v>659</v>
      </c>
      <c r="E619" s="8" t="s">
        <v>858</v>
      </c>
      <c r="F619" s="8" t="s">
        <v>3510</v>
      </c>
      <c r="G619" s="8" t="s">
        <v>3509</v>
      </c>
      <c r="H619" s="7" t="s">
        <v>592</v>
      </c>
      <c r="I619" s="16">
        <v>43815</v>
      </c>
      <c r="J619" s="16">
        <v>43958</v>
      </c>
      <c r="K619" s="17"/>
      <c r="L619" s="3"/>
      <c r="M619" s="8" t="s">
        <v>4206</v>
      </c>
      <c r="N619" s="11">
        <v>43958.483113425929</v>
      </c>
      <c r="O619" s="8" t="s">
        <v>4206</v>
      </c>
      <c r="P619" s="11">
        <v>43958.480486111112</v>
      </c>
      <c r="Q619" s="13">
        <v>240277</v>
      </c>
      <c r="R619" s="194" t="s">
        <v>594</v>
      </c>
      <c r="S619" s="14" t="s">
        <v>5063</v>
      </c>
      <c r="T619" s="163">
        <v>870</v>
      </c>
      <c r="U619" s="164" t="str">
        <f>CONCATENATE(LEFT(SP_ACQ_Lib[[#This Row],[Tax Parcel ID]],7),"_",SP_ACQ_Lib[[#This Row],[ACQ Document Type]])</f>
        <v>R026687_SURVEY Description-Plat_USACOE</v>
      </c>
      <c r="V619" s="65" t="str">
        <f>INDEX(SP_AcqTract_DB[WCAD Tax Parcel ID],MATCH(SP_ACQ_Lib[[#This Row],[Acquisition Tract No.]],SP_AcqTract_DB[Acquisition Tract No.],0))</f>
        <v>R026687;#58</v>
      </c>
      <c r="W619" s="48" t="str">
        <f>INDEX(SP_TaxPar_DB[Acquisition Tract No.],MATCH(LEFT(SP_ACQ_Lib[[#This Row],[Tax Parcel ID]],7),SP_TaxPar_DB[Tax Parcel ID],0))</f>
        <v>316</v>
      </c>
      <c r="X619" s="238" t="str">
        <f>IF(OR(SP_ACQ_Lib[[#This Row],[Acquisition Tract No.]]="",SP_ACQ_Lib[[#This Row],[ACQ Document Type]]=""),0,CONCATENATE("COW-FRMP_TR-",SP_ACQ_Lib[[#This Row],[Acquisition Tract No.]]," ",SP_ACQ_Lib[[#This Row],[ACQ Document Type]]))</f>
        <v>COW-FRMP_TR-316 SURVEY Description-Plat_USACOE</v>
      </c>
      <c r="Y619" s="239">
        <f>IF(OR(SP_ACQ_Lib[[#This Row],[File Name Convention]]=0,LEFT(SP_ACQ_Lib[[#This Row],[Name]],LEN(SP_ACQ_Lib[[#This Row],[File Name Convention]]))&lt;&gt;SP_ACQ_Lib[[#This Row],[File Name Convention]],ISERROR(SEARCH(SP_ACQ_Lib[[#This Row],[ACQ Document Type]],SP_ACQ_Lib[[#This Row],[Name]]))),1,0)</f>
        <v>0</v>
      </c>
    </row>
    <row r="620" spans="1:25" ht="15" x14ac:dyDescent="0.2">
      <c r="A620" s="157" t="str">
        <f>CONCATENATE(SP_ACQ_Lib[[#This Row],[Acquisition Tract No.]],"_",SP_ACQ_Lib[[#This Row],[ACQ Document Type]])</f>
        <v>316_SURVEY Right-of-Entry</v>
      </c>
      <c r="B620" s="14" t="s">
        <v>4602</v>
      </c>
      <c r="C620" s="193" t="s">
        <v>59</v>
      </c>
      <c r="D620" s="12" t="s">
        <v>659</v>
      </c>
      <c r="E620" s="8" t="s">
        <v>858</v>
      </c>
      <c r="F620" s="8" t="s">
        <v>859</v>
      </c>
      <c r="G620" s="8" t="s">
        <v>591</v>
      </c>
      <c r="H620" s="7" t="s">
        <v>592</v>
      </c>
      <c r="I620" s="16">
        <v>43717</v>
      </c>
      <c r="J620" s="16"/>
      <c r="K620" s="17"/>
      <c r="L620" s="3"/>
      <c r="M620" s="8" t="s">
        <v>4206</v>
      </c>
      <c r="N620" s="11">
        <v>43922.38175925926</v>
      </c>
      <c r="O620" s="8" t="s">
        <v>4325</v>
      </c>
      <c r="P620" s="11">
        <v>43718.35429398148</v>
      </c>
      <c r="Q620" s="13">
        <v>1890706</v>
      </c>
      <c r="R620" s="194" t="s">
        <v>594</v>
      </c>
      <c r="S620" s="14" t="s">
        <v>831</v>
      </c>
      <c r="T620" s="163">
        <v>228</v>
      </c>
      <c r="U620" s="164" t="str">
        <f>CONCATENATE(LEFT(SP_ACQ_Lib[[#This Row],[Tax Parcel ID]],7),"_",SP_ACQ_Lib[[#This Row],[ACQ Document Type]])</f>
        <v>R026687_SURVEY Right-of-Entry</v>
      </c>
      <c r="V620" s="65" t="str">
        <f>INDEX(SP_AcqTract_DB[WCAD Tax Parcel ID],MATCH(SP_ACQ_Lib[[#This Row],[Acquisition Tract No.]],SP_AcqTract_DB[Acquisition Tract No.],0))</f>
        <v>R026687;#58</v>
      </c>
      <c r="W620" s="48" t="str">
        <f>INDEX(SP_TaxPar_DB[Acquisition Tract No.],MATCH(LEFT(SP_ACQ_Lib[[#This Row],[Tax Parcel ID]],7),SP_TaxPar_DB[Tax Parcel ID],0))</f>
        <v>316</v>
      </c>
      <c r="X620" s="238" t="str">
        <f>IF(OR(SP_ACQ_Lib[[#This Row],[Acquisition Tract No.]]="",SP_ACQ_Lib[[#This Row],[ACQ Document Type]]=""),0,CONCATENATE("COW-FRMP_TR-",SP_ACQ_Lib[[#This Row],[Acquisition Tract No.]]," ",SP_ACQ_Lib[[#This Row],[ACQ Document Type]]))</f>
        <v>COW-FRMP_TR-316 SURVEY Right-of-Entry</v>
      </c>
      <c r="Y620" s="239">
        <f>IF(OR(SP_ACQ_Lib[[#This Row],[File Name Convention]]=0,LEFT(SP_ACQ_Lib[[#This Row],[Name]],LEN(SP_ACQ_Lib[[#This Row],[File Name Convention]]))&lt;&gt;SP_ACQ_Lib[[#This Row],[File Name Convention]],ISERROR(SEARCH(SP_ACQ_Lib[[#This Row],[ACQ Document Type]],SP_ACQ_Lib[[#This Row],[Name]]))),1,0)</f>
        <v>0</v>
      </c>
    </row>
    <row r="621" spans="1:25" ht="15" x14ac:dyDescent="0.2">
      <c r="A621" s="157" t="str">
        <f>CONCATENATE(SP_ACQ_Lib[[#This Row],[Acquisition Tract No.]],"_",SP_ACQ_Lib[[#This Row],[ACQ Document Type]])</f>
        <v>316_SURVEY Right-of-Entry CMRR</v>
      </c>
      <c r="B621" s="14" t="s">
        <v>4603</v>
      </c>
      <c r="C621" s="193" t="s">
        <v>59</v>
      </c>
      <c r="D621" s="12" t="s">
        <v>659</v>
      </c>
      <c r="E621" s="8" t="s">
        <v>858</v>
      </c>
      <c r="F621" s="8" t="s">
        <v>860</v>
      </c>
      <c r="G621" s="8" t="s">
        <v>598</v>
      </c>
      <c r="H621" s="7" t="s">
        <v>592</v>
      </c>
      <c r="I621" s="16">
        <v>43699</v>
      </c>
      <c r="J621" s="16">
        <v>43706</v>
      </c>
      <c r="K621" s="17"/>
      <c r="L621" s="3" t="s">
        <v>4567</v>
      </c>
      <c r="M621" s="8" t="s">
        <v>4206</v>
      </c>
      <c r="N621" s="11">
        <v>43923.481608796297</v>
      </c>
      <c r="O621" s="8" t="s">
        <v>4206</v>
      </c>
      <c r="P621" s="11">
        <v>43917.439606481479</v>
      </c>
      <c r="Q621" s="13">
        <v>1274684</v>
      </c>
      <c r="R621" s="194" t="s">
        <v>594</v>
      </c>
      <c r="S621" s="14" t="s">
        <v>4625</v>
      </c>
      <c r="T621" s="163">
        <v>794</v>
      </c>
      <c r="U621" s="164" t="str">
        <f>CONCATENATE(LEFT(SP_ACQ_Lib[[#This Row],[Tax Parcel ID]],7),"_",SP_ACQ_Lib[[#This Row],[ACQ Document Type]])</f>
        <v>R026687_SURVEY Right-of-Entry CMRR</v>
      </c>
      <c r="V621" s="65" t="str">
        <f>INDEX(SP_AcqTract_DB[WCAD Tax Parcel ID],MATCH(SP_ACQ_Lib[[#This Row],[Acquisition Tract No.]],SP_AcqTract_DB[Acquisition Tract No.],0))</f>
        <v>R026687;#58</v>
      </c>
      <c r="W621" s="48" t="str">
        <f>INDEX(SP_TaxPar_DB[Acquisition Tract No.],MATCH(LEFT(SP_ACQ_Lib[[#This Row],[Tax Parcel ID]],7),SP_TaxPar_DB[Tax Parcel ID],0))</f>
        <v>316</v>
      </c>
      <c r="X621" s="238" t="str">
        <f>IF(OR(SP_ACQ_Lib[[#This Row],[Acquisition Tract No.]]="",SP_ACQ_Lib[[#This Row],[ACQ Document Type]]=""),0,CONCATENATE("COW-FRMP_TR-",SP_ACQ_Lib[[#This Row],[Acquisition Tract No.]]," ",SP_ACQ_Lib[[#This Row],[ACQ Document Type]]))</f>
        <v>COW-FRMP_TR-316 SURVEY Right-of-Entry CMRR</v>
      </c>
      <c r="Y621" s="239">
        <f>IF(OR(SP_ACQ_Lib[[#This Row],[File Name Convention]]=0,LEFT(SP_ACQ_Lib[[#This Row],[Name]],LEN(SP_ACQ_Lib[[#This Row],[File Name Convention]]))&lt;&gt;SP_ACQ_Lib[[#This Row],[File Name Convention]],ISERROR(SEARCH(SP_ACQ_Lib[[#This Row],[ACQ Document Type]],SP_ACQ_Lib[[#This Row],[Name]]))),1,0)</f>
        <v>0</v>
      </c>
    </row>
    <row r="622" spans="1:25" ht="15" x14ac:dyDescent="0.2">
      <c r="A622" s="157" t="str">
        <f>CONCATENATE(SP_ACQ_Lib[[#This Row],[Acquisition Tract No.]],"_",SP_ACQ_Lib[[#This Row],[ACQ Document Type]])</f>
        <v>316_TITLE Commitment</v>
      </c>
      <c r="B622" s="14" t="s">
        <v>1584</v>
      </c>
      <c r="C622" s="193" t="s">
        <v>59</v>
      </c>
      <c r="D622" s="12" t="s">
        <v>659</v>
      </c>
      <c r="E622" s="8" t="s">
        <v>861</v>
      </c>
      <c r="F622" s="8" t="s">
        <v>862</v>
      </c>
      <c r="G622" s="8" t="s">
        <v>614</v>
      </c>
      <c r="H622" s="7" t="s">
        <v>592</v>
      </c>
      <c r="I622" s="16">
        <v>43686</v>
      </c>
      <c r="J622" s="16">
        <v>43700</v>
      </c>
      <c r="K622" s="17"/>
      <c r="L622" s="3"/>
      <c r="M622" s="8" t="s">
        <v>4206</v>
      </c>
      <c r="N622" s="11">
        <v>43915.404085648152</v>
      </c>
      <c r="O622" s="8" t="s">
        <v>4326</v>
      </c>
      <c r="P622" s="11">
        <v>43705.375162037039</v>
      </c>
      <c r="Q622" s="13">
        <v>242160</v>
      </c>
      <c r="R622" s="194" t="s">
        <v>594</v>
      </c>
      <c r="S622" s="14" t="s">
        <v>832</v>
      </c>
      <c r="T622" s="163">
        <v>169</v>
      </c>
      <c r="U622" s="164" t="str">
        <f>CONCATENATE(LEFT(SP_ACQ_Lib[[#This Row],[Tax Parcel ID]],7),"_",SP_ACQ_Lib[[#This Row],[ACQ Document Type]])</f>
        <v>R026687_TITLE Commitment</v>
      </c>
      <c r="V622" s="65" t="str">
        <f>INDEX(SP_AcqTract_DB[WCAD Tax Parcel ID],MATCH(SP_ACQ_Lib[[#This Row],[Acquisition Tract No.]],SP_AcqTract_DB[Acquisition Tract No.],0))</f>
        <v>R026687;#58</v>
      </c>
      <c r="W622" s="48" t="str">
        <f>INDEX(SP_TaxPar_DB[Acquisition Tract No.],MATCH(LEFT(SP_ACQ_Lib[[#This Row],[Tax Parcel ID]],7),SP_TaxPar_DB[Tax Parcel ID],0))</f>
        <v>316</v>
      </c>
      <c r="X622" s="238" t="str">
        <f>IF(OR(SP_ACQ_Lib[[#This Row],[Acquisition Tract No.]]="",SP_ACQ_Lib[[#This Row],[ACQ Document Type]]=""),0,CONCATENATE("COW-FRMP_TR-",SP_ACQ_Lib[[#This Row],[Acquisition Tract No.]]," ",SP_ACQ_Lib[[#This Row],[ACQ Document Type]]))</f>
        <v>COW-FRMP_TR-316 TITLE Commitment</v>
      </c>
      <c r="Y622" s="239">
        <f>IF(OR(SP_ACQ_Lib[[#This Row],[File Name Convention]]=0,LEFT(SP_ACQ_Lib[[#This Row],[Name]],LEN(SP_ACQ_Lib[[#This Row],[File Name Convention]]))&lt;&gt;SP_ACQ_Lib[[#This Row],[File Name Convention]],ISERROR(SEARCH(SP_ACQ_Lib[[#This Row],[ACQ Document Type]],SP_ACQ_Lib[[#This Row],[Name]]))),1,0)</f>
        <v>0</v>
      </c>
    </row>
    <row r="623" spans="1:25" ht="15" x14ac:dyDescent="0.2">
      <c r="A623" s="157" t="str">
        <f>CONCATENATE(SP_ACQ_Lib[[#This Row],[Acquisition Tract No.]],"_",SP_ACQ_Lib[[#This Row],[ACQ Document Type]])</f>
        <v>316_TITLE Commitment Backup Docs</v>
      </c>
      <c r="B623" s="14" t="s">
        <v>1585</v>
      </c>
      <c r="C623" s="193" t="s">
        <v>59</v>
      </c>
      <c r="D623" s="12" t="s">
        <v>659</v>
      </c>
      <c r="E623" s="8" t="s">
        <v>861</v>
      </c>
      <c r="F623" s="8" t="s">
        <v>863</v>
      </c>
      <c r="G623" s="8" t="s">
        <v>616</v>
      </c>
      <c r="H623" s="7" t="s">
        <v>592</v>
      </c>
      <c r="I623" s="16"/>
      <c r="J623" s="16"/>
      <c r="K623" s="17"/>
      <c r="L623" s="3"/>
      <c r="M623" s="8" t="s">
        <v>4325</v>
      </c>
      <c r="N623" s="11">
        <v>43802.649942129632</v>
      </c>
      <c r="O623" s="8" t="s">
        <v>4326</v>
      </c>
      <c r="P623" s="11">
        <v>43705.375787037039</v>
      </c>
      <c r="Q623" s="13">
        <v>107920</v>
      </c>
      <c r="R623" s="194" t="s">
        <v>594</v>
      </c>
      <c r="S623" s="14" t="s">
        <v>833</v>
      </c>
      <c r="T623" s="163">
        <v>170</v>
      </c>
      <c r="U623" s="164" t="str">
        <f>CONCATENATE(LEFT(SP_ACQ_Lib[[#This Row],[Tax Parcel ID]],7),"_",SP_ACQ_Lib[[#This Row],[ACQ Document Type]])</f>
        <v>R026687_TITLE Commitment Backup Docs</v>
      </c>
      <c r="V623" s="65" t="str">
        <f>INDEX(SP_AcqTract_DB[WCAD Tax Parcel ID],MATCH(SP_ACQ_Lib[[#This Row],[Acquisition Tract No.]],SP_AcqTract_DB[Acquisition Tract No.],0))</f>
        <v>R026687;#58</v>
      </c>
      <c r="W623" s="48" t="str">
        <f>INDEX(SP_TaxPar_DB[Acquisition Tract No.],MATCH(LEFT(SP_ACQ_Lib[[#This Row],[Tax Parcel ID]],7),SP_TaxPar_DB[Tax Parcel ID],0))</f>
        <v>316</v>
      </c>
      <c r="X623" s="238" t="str">
        <f>IF(OR(SP_ACQ_Lib[[#This Row],[Acquisition Tract No.]]="",SP_ACQ_Lib[[#This Row],[ACQ Document Type]]=""),0,CONCATENATE("COW-FRMP_TR-",SP_ACQ_Lib[[#This Row],[Acquisition Tract No.]]," ",SP_ACQ_Lib[[#This Row],[ACQ Document Type]]))</f>
        <v>COW-FRMP_TR-316 TITLE Commitment Backup Docs</v>
      </c>
      <c r="Y623" s="239">
        <f>IF(OR(SP_ACQ_Lib[[#This Row],[File Name Convention]]=0,LEFT(SP_ACQ_Lib[[#This Row],[Name]],LEN(SP_ACQ_Lib[[#This Row],[File Name Convention]]))&lt;&gt;SP_ACQ_Lib[[#This Row],[File Name Convention]],ISERROR(SEARCH(SP_ACQ_Lib[[#This Row],[ACQ Document Type]],SP_ACQ_Lib[[#This Row],[Name]]))),1,0)</f>
        <v>0</v>
      </c>
    </row>
    <row r="624" spans="1:25" ht="15" x14ac:dyDescent="0.2">
      <c r="A624" s="157" t="str">
        <f>CONCATENATE(SP_ACQ_Lib[[#This Row],[Acquisition Tract No.]],"_",SP_ACQ_Lib[[#This Row],[ACQ Document Type]])</f>
        <v>316_TITLE Curative Plan</v>
      </c>
      <c r="B624" s="14" t="s">
        <v>1586</v>
      </c>
      <c r="C624" s="193" t="s">
        <v>59</v>
      </c>
      <c r="D624" s="12" t="s">
        <v>659</v>
      </c>
      <c r="E624" s="8" t="s">
        <v>861</v>
      </c>
      <c r="F624" s="8" t="s">
        <v>864</v>
      </c>
      <c r="G624" s="8" t="s">
        <v>617</v>
      </c>
      <c r="H624" s="7" t="s">
        <v>592</v>
      </c>
      <c r="I624" s="16">
        <v>43685</v>
      </c>
      <c r="J624" s="16"/>
      <c r="K624" s="17"/>
      <c r="L624" s="3"/>
      <c r="M624" s="8" t="s">
        <v>4325</v>
      </c>
      <c r="N624" s="11">
        <v>43906.674432870372</v>
      </c>
      <c r="O624" s="8" t="s">
        <v>4326</v>
      </c>
      <c r="P624" s="11">
        <v>43719.415567129632</v>
      </c>
      <c r="Q624" s="13">
        <v>34572</v>
      </c>
      <c r="R624" s="194" t="s">
        <v>594</v>
      </c>
      <c r="S624" s="14" t="s">
        <v>834</v>
      </c>
      <c r="T624" s="163">
        <v>235</v>
      </c>
      <c r="U624" s="164" t="str">
        <f>CONCATENATE(LEFT(SP_ACQ_Lib[[#This Row],[Tax Parcel ID]],7),"_",SP_ACQ_Lib[[#This Row],[ACQ Document Type]])</f>
        <v>R026687_TITLE Curative Plan</v>
      </c>
      <c r="V624" s="65" t="str">
        <f>INDEX(SP_AcqTract_DB[WCAD Tax Parcel ID],MATCH(SP_ACQ_Lib[[#This Row],[Acquisition Tract No.]],SP_AcqTract_DB[Acquisition Tract No.],0))</f>
        <v>R026687;#58</v>
      </c>
      <c r="W624" s="48" t="str">
        <f>INDEX(SP_TaxPar_DB[Acquisition Tract No.],MATCH(LEFT(SP_ACQ_Lib[[#This Row],[Tax Parcel ID]],7),SP_TaxPar_DB[Tax Parcel ID],0))</f>
        <v>316</v>
      </c>
      <c r="X624" s="238" t="str">
        <f>IF(OR(SP_ACQ_Lib[[#This Row],[Acquisition Tract No.]]="",SP_ACQ_Lib[[#This Row],[ACQ Document Type]]=""),0,CONCATENATE("COW-FRMP_TR-",SP_ACQ_Lib[[#This Row],[Acquisition Tract No.]]," ",SP_ACQ_Lib[[#This Row],[ACQ Document Type]]))</f>
        <v>COW-FRMP_TR-316 TITLE Curative Plan</v>
      </c>
      <c r="Y624" s="239">
        <f>IF(OR(SP_ACQ_Lib[[#This Row],[File Name Convention]]=0,LEFT(SP_ACQ_Lib[[#This Row],[Name]],LEN(SP_ACQ_Lib[[#This Row],[File Name Convention]]))&lt;&gt;SP_ACQ_Lib[[#This Row],[File Name Convention]],ISERROR(SEARCH(SP_ACQ_Lib[[#This Row],[ACQ Document Type]],SP_ACQ_Lib[[#This Row],[Name]]))),1,0)</f>
        <v>0</v>
      </c>
    </row>
    <row r="625" spans="1:25" ht="15" x14ac:dyDescent="0.2">
      <c r="A625" s="157" t="str">
        <f>CONCATENATE(SP_ACQ_Lib[[#This Row],[Acquisition Tract No.]],"_",SP_ACQ_Lib[[#This Row],[ACQ Document Type]])</f>
        <v>316_TITLE Tax Card</v>
      </c>
      <c r="B625" s="14" t="s">
        <v>3486</v>
      </c>
      <c r="C625" s="193" t="s">
        <v>59</v>
      </c>
      <c r="D625" s="12" t="s">
        <v>659</v>
      </c>
      <c r="E625" s="8" t="s">
        <v>861</v>
      </c>
      <c r="F625" s="8" t="s">
        <v>1150</v>
      </c>
      <c r="G625" s="8" t="s">
        <v>1149</v>
      </c>
      <c r="H625" s="7" t="s">
        <v>592</v>
      </c>
      <c r="I625" s="16"/>
      <c r="J625" s="16"/>
      <c r="K625" s="17"/>
      <c r="L625" s="3"/>
      <c r="M625" s="8" t="s">
        <v>4206</v>
      </c>
      <c r="N625" s="11">
        <v>43874.595254629632</v>
      </c>
      <c r="O625" s="8" t="s">
        <v>1272</v>
      </c>
      <c r="P625" s="11">
        <v>43817.48</v>
      </c>
      <c r="Q625" s="13">
        <v>447081</v>
      </c>
      <c r="R625" s="194" t="s">
        <v>594</v>
      </c>
      <c r="S625" s="14" t="s">
        <v>1798</v>
      </c>
      <c r="T625" s="163">
        <v>660</v>
      </c>
      <c r="U625" s="164" t="str">
        <f>CONCATENATE(LEFT(SP_ACQ_Lib[[#This Row],[Tax Parcel ID]],7),"_",SP_ACQ_Lib[[#This Row],[ACQ Document Type]])</f>
        <v>R026687_TITLE Tax Card</v>
      </c>
      <c r="V625" s="65" t="str">
        <f>INDEX(SP_AcqTract_DB[WCAD Tax Parcel ID],MATCH(SP_ACQ_Lib[[#This Row],[Acquisition Tract No.]],SP_AcqTract_DB[Acquisition Tract No.],0))</f>
        <v>R026687;#58</v>
      </c>
      <c r="W625" s="48" t="str">
        <f>INDEX(SP_TaxPar_DB[Acquisition Tract No.],MATCH(LEFT(SP_ACQ_Lib[[#This Row],[Tax Parcel ID]],7),SP_TaxPar_DB[Tax Parcel ID],0))</f>
        <v>316</v>
      </c>
      <c r="X625" s="238" t="str">
        <f>IF(OR(SP_ACQ_Lib[[#This Row],[Acquisition Tract No.]]="",SP_ACQ_Lib[[#This Row],[ACQ Document Type]]=""),0,CONCATENATE("COW-FRMP_TR-",SP_ACQ_Lib[[#This Row],[Acquisition Tract No.]]," ",SP_ACQ_Lib[[#This Row],[ACQ Document Type]]))</f>
        <v>COW-FRMP_TR-316 TITLE Tax Card</v>
      </c>
      <c r="Y625" s="239">
        <f>IF(OR(SP_ACQ_Lib[[#This Row],[File Name Convention]]=0,LEFT(SP_ACQ_Lib[[#This Row],[Name]],LEN(SP_ACQ_Lib[[#This Row],[File Name Convention]]))&lt;&gt;SP_ACQ_Lib[[#This Row],[File Name Convention]],ISERROR(SEARCH(SP_ACQ_Lib[[#This Row],[ACQ Document Type]],SP_ACQ_Lib[[#This Row],[Name]]))),1,0)</f>
        <v>0</v>
      </c>
    </row>
    <row r="626" spans="1:25" ht="15" x14ac:dyDescent="0.2">
      <c r="A626" s="157" t="str">
        <f>CONCATENATE(SP_ACQ_Lib[[#This Row],[Acquisition Tract No.]],"_",SP_ACQ_Lib[[#This Row],[ACQ Document Type]])</f>
        <v>317_CONTACT Initial Interview - Residential</v>
      </c>
      <c r="B626" s="14" t="s">
        <v>1587</v>
      </c>
      <c r="C626" s="193" t="s">
        <v>60</v>
      </c>
      <c r="D626" s="12" t="s">
        <v>1010</v>
      </c>
      <c r="E626" s="8" t="s">
        <v>865</v>
      </c>
      <c r="F626" s="8" t="s">
        <v>866</v>
      </c>
      <c r="G626" s="8" t="s">
        <v>618</v>
      </c>
      <c r="H626" s="7" t="s">
        <v>592</v>
      </c>
      <c r="I626" s="16">
        <v>43685</v>
      </c>
      <c r="J626" s="16"/>
      <c r="K626" s="17"/>
      <c r="L626" s="3" t="s">
        <v>645</v>
      </c>
      <c r="M626" s="8" t="s">
        <v>4206</v>
      </c>
      <c r="N626" s="11">
        <v>43894.445115740738</v>
      </c>
      <c r="O626" s="8" t="s">
        <v>4325</v>
      </c>
      <c r="P626" s="11">
        <v>43696.385115740741</v>
      </c>
      <c r="Q626" s="13">
        <v>175337</v>
      </c>
      <c r="R626" s="194" t="s">
        <v>594</v>
      </c>
      <c r="S626" s="14" t="s">
        <v>835</v>
      </c>
      <c r="T626" s="163">
        <v>93</v>
      </c>
      <c r="U626" s="164" t="str">
        <f>CONCATENATE(LEFT(SP_ACQ_Lib[[#This Row],[Tax Parcel ID]],7),"_",SP_ACQ_Lib[[#This Row],[ACQ Document Type]])</f>
        <v>R026685_CONTACT Initial Interview - Residential</v>
      </c>
      <c r="V626" s="65" t="str">
        <f>INDEX(SP_AcqTract_DB[WCAD Tax Parcel ID],MATCH(SP_ACQ_Lib[[#This Row],[Acquisition Tract No.]],SP_AcqTract_DB[Acquisition Tract No.],0))</f>
        <v>R026685;#59;#R026691;#60;#R071959;#61</v>
      </c>
      <c r="W626" s="48" t="str">
        <f>INDEX(SP_TaxPar_DB[Acquisition Tract No.],MATCH(LEFT(SP_ACQ_Lib[[#This Row],[Tax Parcel ID]],7),SP_TaxPar_DB[Tax Parcel ID],0))</f>
        <v>317</v>
      </c>
      <c r="X626" s="238" t="str">
        <f>IF(OR(SP_ACQ_Lib[[#This Row],[Acquisition Tract No.]]="",SP_ACQ_Lib[[#This Row],[ACQ Document Type]]=""),0,CONCATENATE("COW-FRMP_TR-",SP_ACQ_Lib[[#This Row],[Acquisition Tract No.]]," ",SP_ACQ_Lib[[#This Row],[ACQ Document Type]]))</f>
        <v>COW-FRMP_TR-317 CONTACT Initial Interview - Residential</v>
      </c>
      <c r="Y626" s="239">
        <f>IF(OR(SP_ACQ_Lib[[#This Row],[File Name Convention]]=0,LEFT(SP_ACQ_Lib[[#This Row],[Name]],LEN(SP_ACQ_Lib[[#This Row],[File Name Convention]]))&lt;&gt;SP_ACQ_Lib[[#This Row],[File Name Convention]],ISERROR(SEARCH(SP_ACQ_Lib[[#This Row],[ACQ Document Type]],SP_ACQ_Lib[[#This Row],[Name]]))),1,0)</f>
        <v>0</v>
      </c>
    </row>
    <row r="627" spans="1:25" ht="15" x14ac:dyDescent="0.2">
      <c r="A627" s="157" t="str">
        <f>CONCATENATE(SP_ACQ_Lib[[#This Row],[Acquisition Tract No.]],"_",SP_ACQ_Lib[[#This Row],[ACQ Document Type]])</f>
        <v>317_CONTACT Initial Interview - Residential</v>
      </c>
      <c r="B627" s="14" t="s">
        <v>1588</v>
      </c>
      <c r="C627" s="193" t="s">
        <v>60</v>
      </c>
      <c r="D627" s="12" t="s">
        <v>1010</v>
      </c>
      <c r="E627" s="8" t="s">
        <v>865</v>
      </c>
      <c r="F627" s="8" t="s">
        <v>866</v>
      </c>
      <c r="G627" s="8" t="s">
        <v>618</v>
      </c>
      <c r="H627" s="7" t="s">
        <v>592</v>
      </c>
      <c r="I627" s="16">
        <v>43685</v>
      </c>
      <c r="J627" s="16"/>
      <c r="K627" s="17"/>
      <c r="L627" s="3" t="s">
        <v>647</v>
      </c>
      <c r="M627" s="8" t="s">
        <v>4206</v>
      </c>
      <c r="N627" s="11">
        <v>43894.447256944448</v>
      </c>
      <c r="O627" s="8" t="s">
        <v>4325</v>
      </c>
      <c r="P627" s="11">
        <v>43696.399178240739</v>
      </c>
      <c r="Q627" s="13">
        <v>177934</v>
      </c>
      <c r="R627" s="194" t="s">
        <v>594</v>
      </c>
      <c r="S627" s="14" t="s">
        <v>836</v>
      </c>
      <c r="T627" s="163">
        <v>103</v>
      </c>
      <c r="U627" s="164" t="str">
        <f>CONCATENATE(LEFT(SP_ACQ_Lib[[#This Row],[Tax Parcel ID]],7),"_",SP_ACQ_Lib[[#This Row],[ACQ Document Type]])</f>
        <v>R026685_CONTACT Initial Interview - Residential</v>
      </c>
      <c r="V627" s="65" t="str">
        <f>INDEX(SP_AcqTract_DB[WCAD Tax Parcel ID],MATCH(SP_ACQ_Lib[[#This Row],[Acquisition Tract No.]],SP_AcqTract_DB[Acquisition Tract No.],0))</f>
        <v>R026685;#59;#R026691;#60;#R071959;#61</v>
      </c>
      <c r="W627" s="48" t="str">
        <f>INDEX(SP_TaxPar_DB[Acquisition Tract No.],MATCH(LEFT(SP_ACQ_Lib[[#This Row],[Tax Parcel ID]],7),SP_TaxPar_DB[Tax Parcel ID],0))</f>
        <v>317</v>
      </c>
      <c r="X627" s="238" t="str">
        <f>IF(OR(SP_ACQ_Lib[[#This Row],[Acquisition Tract No.]]="",SP_ACQ_Lib[[#This Row],[ACQ Document Type]]=""),0,CONCATENATE("COW-FRMP_TR-",SP_ACQ_Lib[[#This Row],[Acquisition Tract No.]]," ",SP_ACQ_Lib[[#This Row],[ACQ Document Type]]))</f>
        <v>COW-FRMP_TR-317 CONTACT Initial Interview - Residential</v>
      </c>
      <c r="Y627" s="239">
        <f>IF(OR(SP_ACQ_Lib[[#This Row],[File Name Convention]]=0,LEFT(SP_ACQ_Lib[[#This Row],[Name]],LEN(SP_ACQ_Lib[[#This Row],[File Name Convention]]))&lt;&gt;SP_ACQ_Lib[[#This Row],[File Name Convention]],ISERROR(SEARCH(SP_ACQ_Lib[[#This Row],[ACQ Document Type]],SP_ACQ_Lib[[#This Row],[Name]]))),1,0)</f>
        <v>0</v>
      </c>
    </row>
    <row r="628" spans="1:25" ht="15" x14ac:dyDescent="0.2">
      <c r="A628" s="157" t="str">
        <f>CONCATENATE(SP_ACQ_Lib[[#This Row],[Acquisition Tract No.]],"_",SP_ACQ_Lib[[#This Row],[ACQ Document Type]])</f>
        <v>317_CONTACT Letter of Intent-HDR</v>
      </c>
      <c r="B628" s="14" t="s">
        <v>4484</v>
      </c>
      <c r="C628" s="193" t="s">
        <v>60</v>
      </c>
      <c r="D628" s="12" t="s">
        <v>1010</v>
      </c>
      <c r="E628" s="8" t="s">
        <v>865</v>
      </c>
      <c r="F628" s="8" t="s">
        <v>1401</v>
      </c>
      <c r="G628" s="8" t="s">
        <v>1400</v>
      </c>
      <c r="H628" s="7" t="s">
        <v>592</v>
      </c>
      <c r="I628" s="16">
        <v>43765</v>
      </c>
      <c r="J628" s="16"/>
      <c r="K628" s="17"/>
      <c r="L628" s="3" t="s">
        <v>4457</v>
      </c>
      <c r="M628" s="8" t="s">
        <v>4206</v>
      </c>
      <c r="N628" s="11">
        <v>43894.440729166665</v>
      </c>
      <c r="O628" s="8" t="s">
        <v>4206</v>
      </c>
      <c r="P628" s="11">
        <v>43894.430706018517</v>
      </c>
      <c r="Q628" s="13">
        <v>2935183</v>
      </c>
      <c r="R628" s="194" t="s">
        <v>594</v>
      </c>
      <c r="S628" s="14" t="s">
        <v>4513</v>
      </c>
      <c r="T628" s="163">
        <v>777</v>
      </c>
      <c r="U628" s="164" t="str">
        <f>CONCATENATE(LEFT(SP_ACQ_Lib[[#This Row],[Tax Parcel ID]],7),"_",SP_ACQ_Lib[[#This Row],[ACQ Document Type]])</f>
        <v>R026685_CONTACT Letter of Intent-HDR</v>
      </c>
      <c r="V628" s="65" t="str">
        <f>INDEX(SP_AcqTract_DB[WCAD Tax Parcel ID],MATCH(SP_ACQ_Lib[[#This Row],[Acquisition Tract No.]],SP_AcqTract_DB[Acquisition Tract No.],0))</f>
        <v>R026685;#59;#R026691;#60;#R071959;#61</v>
      </c>
      <c r="W628" s="48" t="str">
        <f>INDEX(SP_TaxPar_DB[Acquisition Tract No.],MATCH(LEFT(SP_ACQ_Lib[[#This Row],[Tax Parcel ID]],7),SP_TaxPar_DB[Tax Parcel ID],0))</f>
        <v>317</v>
      </c>
      <c r="X628" s="238" t="str">
        <f>IF(OR(SP_ACQ_Lib[[#This Row],[Acquisition Tract No.]]="",SP_ACQ_Lib[[#This Row],[ACQ Document Type]]=""),0,CONCATENATE("COW-FRMP_TR-",SP_ACQ_Lib[[#This Row],[Acquisition Tract No.]]," ",SP_ACQ_Lib[[#This Row],[ACQ Document Type]]))</f>
        <v>COW-FRMP_TR-317 CONTACT Letter of Intent-HDR</v>
      </c>
      <c r="Y628" s="239">
        <f>IF(OR(SP_ACQ_Lib[[#This Row],[File Name Convention]]=0,LEFT(SP_ACQ_Lib[[#This Row],[Name]],LEN(SP_ACQ_Lib[[#This Row],[File Name Convention]]))&lt;&gt;SP_ACQ_Lib[[#This Row],[File Name Convention]],ISERROR(SEARCH(SP_ACQ_Lib[[#This Row],[ACQ Document Type]],SP_ACQ_Lib[[#This Row],[Name]]))),1,0)</f>
        <v>0</v>
      </c>
    </row>
    <row r="629" spans="1:25" ht="15" x14ac:dyDescent="0.2">
      <c r="A629" s="157" t="str">
        <f>CONCATENATE(SP_ACQ_Lib[[#This Row],[Acquisition Tract No.]],"_",SP_ACQ_Lib[[#This Row],[ACQ Document Type]])</f>
        <v>317_CONTACT Negotiator Report</v>
      </c>
      <c r="B629" s="14" t="s">
        <v>3413</v>
      </c>
      <c r="C629" s="193" t="s">
        <v>60</v>
      </c>
      <c r="D629" s="12" t="s">
        <v>1010</v>
      </c>
      <c r="E629" s="8" t="s">
        <v>865</v>
      </c>
      <c r="F629" s="8" t="s">
        <v>1068</v>
      </c>
      <c r="G629" s="8" t="s">
        <v>1067</v>
      </c>
      <c r="H629" s="7" t="s">
        <v>592</v>
      </c>
      <c r="I629" s="16"/>
      <c r="J629" s="16"/>
      <c r="K629" s="17"/>
      <c r="L629" s="3"/>
      <c r="M629" s="8" t="s">
        <v>1743</v>
      </c>
      <c r="N629" s="11">
        <v>43998.68136574074</v>
      </c>
      <c r="O629" s="8" t="s">
        <v>4325</v>
      </c>
      <c r="P629" s="11">
        <v>43732.607824074075</v>
      </c>
      <c r="Q629" s="13">
        <v>73515</v>
      </c>
      <c r="R629" s="194" t="s">
        <v>1069</v>
      </c>
      <c r="S629" s="14" t="s">
        <v>1114</v>
      </c>
      <c r="T629" s="163">
        <v>325</v>
      </c>
      <c r="U629" s="164" t="str">
        <f>CONCATENATE(LEFT(SP_ACQ_Lib[[#This Row],[Tax Parcel ID]],7),"_",SP_ACQ_Lib[[#This Row],[ACQ Document Type]])</f>
        <v>R026685_CONTACT Negotiator Report</v>
      </c>
      <c r="V629" s="65" t="str">
        <f>INDEX(SP_AcqTract_DB[WCAD Tax Parcel ID],MATCH(SP_ACQ_Lib[[#This Row],[Acquisition Tract No.]],SP_AcqTract_DB[Acquisition Tract No.],0))</f>
        <v>R026685;#59;#R026691;#60;#R071959;#61</v>
      </c>
      <c r="W629" s="48" t="str">
        <f>INDEX(SP_TaxPar_DB[Acquisition Tract No.],MATCH(LEFT(SP_ACQ_Lib[[#This Row],[Tax Parcel ID]],7),SP_TaxPar_DB[Tax Parcel ID],0))</f>
        <v>317</v>
      </c>
      <c r="X629" s="238" t="str">
        <f>IF(OR(SP_ACQ_Lib[[#This Row],[Acquisition Tract No.]]="",SP_ACQ_Lib[[#This Row],[ACQ Document Type]]=""),0,CONCATENATE("COW-FRMP_TR-",SP_ACQ_Lib[[#This Row],[Acquisition Tract No.]]," ",SP_ACQ_Lib[[#This Row],[ACQ Document Type]]))</f>
        <v>COW-FRMP_TR-317 CONTACT Negotiator Report</v>
      </c>
      <c r="Y629" s="239">
        <f>IF(OR(SP_ACQ_Lib[[#This Row],[File Name Convention]]=0,LEFT(SP_ACQ_Lib[[#This Row],[Name]],LEN(SP_ACQ_Lib[[#This Row],[File Name Convention]]))&lt;&gt;SP_ACQ_Lib[[#This Row],[File Name Convention]],ISERROR(SEARCH(SP_ACQ_Lib[[#This Row],[ACQ Document Type]],SP_ACQ_Lib[[#This Row],[Name]]))),1,0)</f>
        <v>0</v>
      </c>
    </row>
    <row r="630" spans="1:25" ht="15" x14ac:dyDescent="0.2">
      <c r="A630" s="157" t="str">
        <f>CONCATENATE(SP_ACQ_Lib[[#This Row],[Acquisition Tract No.]],"_",SP_ACQ_Lib[[#This Row],[ACQ Document Type]])</f>
        <v>317_NEGOTIATION Landowner Bill of Rights Letter</v>
      </c>
      <c r="B630" s="14" t="s">
        <v>3487</v>
      </c>
      <c r="C630" s="193" t="s">
        <v>60</v>
      </c>
      <c r="D630" s="12" t="s">
        <v>1010</v>
      </c>
      <c r="E630" s="8" t="s">
        <v>1142</v>
      </c>
      <c r="F630" s="8" t="s">
        <v>1746</v>
      </c>
      <c r="G630" s="8" t="s">
        <v>1745</v>
      </c>
      <c r="H630" s="7" t="s">
        <v>592</v>
      </c>
      <c r="I630" s="16">
        <v>43748</v>
      </c>
      <c r="J630" s="16"/>
      <c r="K630" s="17"/>
      <c r="L630" s="3"/>
      <c r="M630" s="8" t="s">
        <v>4206</v>
      </c>
      <c r="N630" s="11">
        <v>43894.44798611111</v>
      </c>
      <c r="O630" s="8" t="s">
        <v>4325</v>
      </c>
      <c r="P630" s="11">
        <v>43752.532199074078</v>
      </c>
      <c r="Q630" s="13">
        <v>361040</v>
      </c>
      <c r="R630" s="194" t="s">
        <v>594</v>
      </c>
      <c r="S630" s="14" t="s">
        <v>1243</v>
      </c>
      <c r="T630" s="163">
        <v>456</v>
      </c>
      <c r="U630" s="164" t="str">
        <f>CONCATENATE(LEFT(SP_ACQ_Lib[[#This Row],[Tax Parcel ID]],7),"_",SP_ACQ_Lib[[#This Row],[ACQ Document Type]])</f>
        <v>R026685_NEGOTIATION Landowner Bill of Rights Letter</v>
      </c>
      <c r="V630" s="65" t="str">
        <f>INDEX(SP_AcqTract_DB[WCAD Tax Parcel ID],MATCH(SP_ACQ_Lib[[#This Row],[Acquisition Tract No.]],SP_AcqTract_DB[Acquisition Tract No.],0))</f>
        <v>R026685;#59;#R026691;#60;#R071959;#61</v>
      </c>
      <c r="W630" s="48" t="str">
        <f>INDEX(SP_TaxPar_DB[Acquisition Tract No.],MATCH(LEFT(SP_ACQ_Lib[[#This Row],[Tax Parcel ID]],7),SP_TaxPar_DB[Tax Parcel ID],0))</f>
        <v>317</v>
      </c>
      <c r="X630" s="238" t="str">
        <f>IF(OR(SP_ACQ_Lib[[#This Row],[Acquisition Tract No.]]="",SP_ACQ_Lib[[#This Row],[ACQ Document Type]]=""),0,CONCATENATE("COW-FRMP_TR-",SP_ACQ_Lib[[#This Row],[Acquisition Tract No.]]," ",SP_ACQ_Lib[[#This Row],[ACQ Document Type]]))</f>
        <v>COW-FRMP_TR-317 NEGOTIATION Landowner Bill of Rights Letter</v>
      </c>
      <c r="Y630" s="239">
        <f>IF(OR(SP_ACQ_Lib[[#This Row],[File Name Convention]]=0,LEFT(SP_ACQ_Lib[[#This Row],[Name]],LEN(SP_ACQ_Lib[[#This Row],[File Name Convention]]))&lt;&gt;SP_ACQ_Lib[[#This Row],[File Name Convention]],ISERROR(SEARCH(SP_ACQ_Lib[[#This Row],[ACQ Document Type]],SP_ACQ_Lib[[#This Row],[Name]]))),1,0)</f>
        <v>0</v>
      </c>
    </row>
    <row r="631" spans="1:25" ht="15" x14ac:dyDescent="0.2">
      <c r="A631" s="157" t="str">
        <f>CONCATENATE(SP_ACQ_Lib[[#This Row],[Acquisition Tract No.]],"_",SP_ACQ_Lib[[#This Row],[ACQ Document Type]])</f>
        <v>317_SURVEY Description-Plat_CITY</v>
      </c>
      <c r="B631" s="14" t="s">
        <v>4701</v>
      </c>
      <c r="C631" s="193" t="s">
        <v>60</v>
      </c>
      <c r="D631" s="12" t="s">
        <v>1010</v>
      </c>
      <c r="E631" s="8" t="s">
        <v>858</v>
      </c>
      <c r="F631" s="8" t="s">
        <v>3503</v>
      </c>
      <c r="G631" s="8" t="s">
        <v>3502</v>
      </c>
      <c r="H631" s="7" t="s">
        <v>1749</v>
      </c>
      <c r="I631" s="16">
        <v>43840</v>
      </c>
      <c r="J631" s="16">
        <v>43926</v>
      </c>
      <c r="K631" s="17"/>
      <c r="L631" s="3"/>
      <c r="M631" s="8" t="s">
        <v>4206</v>
      </c>
      <c r="N631" s="11">
        <v>43937.590775462966</v>
      </c>
      <c r="O631" s="8" t="s">
        <v>4206</v>
      </c>
      <c r="P631" s="11">
        <v>43927.600601851853</v>
      </c>
      <c r="Q631" s="13">
        <v>308015</v>
      </c>
      <c r="R631" s="194" t="s">
        <v>594</v>
      </c>
      <c r="S631" s="14" t="s">
        <v>4705</v>
      </c>
      <c r="T631" s="163">
        <v>805</v>
      </c>
      <c r="U631" s="164" t="str">
        <f>CONCATENATE(LEFT(SP_ACQ_Lib[[#This Row],[Tax Parcel ID]],7),"_",SP_ACQ_Lib[[#This Row],[ACQ Document Type]])</f>
        <v>R026685_SURVEY Description-Plat_CITY</v>
      </c>
      <c r="V631" s="65" t="str">
        <f>INDEX(SP_AcqTract_DB[WCAD Tax Parcel ID],MATCH(SP_ACQ_Lib[[#This Row],[Acquisition Tract No.]],SP_AcqTract_DB[Acquisition Tract No.],0))</f>
        <v>R026685;#59;#R026691;#60;#R071959;#61</v>
      </c>
      <c r="W631" s="48" t="str">
        <f>INDEX(SP_TaxPar_DB[Acquisition Tract No.],MATCH(LEFT(SP_ACQ_Lib[[#This Row],[Tax Parcel ID]],7),SP_TaxPar_DB[Tax Parcel ID],0))</f>
        <v>317</v>
      </c>
      <c r="X631" s="238" t="str">
        <f>IF(OR(SP_ACQ_Lib[[#This Row],[Acquisition Tract No.]]="",SP_ACQ_Lib[[#This Row],[ACQ Document Type]]=""),0,CONCATENATE("COW-FRMP_TR-",SP_ACQ_Lib[[#This Row],[Acquisition Tract No.]]," ",SP_ACQ_Lib[[#This Row],[ACQ Document Type]]))</f>
        <v>COW-FRMP_TR-317 SURVEY Description-Plat_CITY</v>
      </c>
      <c r="Y631" s="239">
        <f>IF(OR(SP_ACQ_Lib[[#This Row],[File Name Convention]]=0,LEFT(SP_ACQ_Lib[[#This Row],[Name]],LEN(SP_ACQ_Lib[[#This Row],[File Name Convention]]))&lt;&gt;SP_ACQ_Lib[[#This Row],[File Name Convention]],ISERROR(SEARCH(SP_ACQ_Lib[[#This Row],[ACQ Document Type]],SP_ACQ_Lib[[#This Row],[Name]]))),1,0)</f>
        <v>0</v>
      </c>
    </row>
    <row r="632" spans="1:25" ht="15" x14ac:dyDescent="0.2">
      <c r="A632" s="157" t="str">
        <f>CONCATENATE(SP_ACQ_Lib[[#This Row],[Acquisition Tract No.]],"_",SP_ACQ_Lib[[#This Row],[ACQ Document Type]])</f>
        <v>317_SURVEY Description-Plat_USACOE</v>
      </c>
      <c r="B632" s="14" t="s">
        <v>6033</v>
      </c>
      <c r="C632" s="193" t="s">
        <v>60</v>
      </c>
      <c r="D632" s="12" t="s">
        <v>1010</v>
      </c>
      <c r="E632" s="8" t="s">
        <v>858</v>
      </c>
      <c r="F632" s="8" t="s">
        <v>3510</v>
      </c>
      <c r="G632" s="8" t="s">
        <v>3509</v>
      </c>
      <c r="H632" s="7" t="s">
        <v>592</v>
      </c>
      <c r="I632" s="16">
        <v>43991</v>
      </c>
      <c r="J632" s="16">
        <v>43993</v>
      </c>
      <c r="K632" s="17"/>
      <c r="L632" s="3"/>
      <c r="M632" s="8" t="s">
        <v>4206</v>
      </c>
      <c r="N632" s="11">
        <v>43994.375960648147</v>
      </c>
      <c r="O632" s="8" t="s">
        <v>4206</v>
      </c>
      <c r="P632" s="11">
        <v>43994.366712962961</v>
      </c>
      <c r="Q632" s="13">
        <v>632257</v>
      </c>
      <c r="R632" s="194" t="s">
        <v>594</v>
      </c>
      <c r="S632" s="14" t="s">
        <v>6054</v>
      </c>
      <c r="T632" s="163">
        <v>1195</v>
      </c>
      <c r="U632" s="164" t="str">
        <f>CONCATENATE(LEFT(SP_ACQ_Lib[[#This Row],[Tax Parcel ID]],7),"_",SP_ACQ_Lib[[#This Row],[ACQ Document Type]])</f>
        <v>R026685_SURVEY Description-Plat_USACOE</v>
      </c>
      <c r="V632" s="65" t="str">
        <f>INDEX(SP_AcqTract_DB[WCAD Tax Parcel ID],MATCH(SP_ACQ_Lib[[#This Row],[Acquisition Tract No.]],SP_AcqTract_DB[Acquisition Tract No.],0))</f>
        <v>R026685;#59;#R026691;#60;#R071959;#61</v>
      </c>
      <c r="W632" s="48" t="str">
        <f>INDEX(SP_TaxPar_DB[Acquisition Tract No.],MATCH(LEFT(SP_ACQ_Lib[[#This Row],[Tax Parcel ID]],7),SP_TaxPar_DB[Tax Parcel ID],0))</f>
        <v>317</v>
      </c>
      <c r="X632" s="238" t="str">
        <f>IF(OR(SP_ACQ_Lib[[#This Row],[Acquisition Tract No.]]="",SP_ACQ_Lib[[#This Row],[ACQ Document Type]]=""),0,CONCATENATE("COW-FRMP_TR-",SP_ACQ_Lib[[#This Row],[Acquisition Tract No.]]," ",SP_ACQ_Lib[[#This Row],[ACQ Document Type]]))</f>
        <v>COW-FRMP_TR-317 SURVEY Description-Plat_USACOE</v>
      </c>
      <c r="Y632" s="239">
        <f>IF(OR(SP_ACQ_Lib[[#This Row],[File Name Convention]]=0,LEFT(SP_ACQ_Lib[[#This Row],[Name]],LEN(SP_ACQ_Lib[[#This Row],[File Name Convention]]))&lt;&gt;SP_ACQ_Lib[[#This Row],[File Name Convention]],ISERROR(SEARCH(SP_ACQ_Lib[[#This Row],[ACQ Document Type]],SP_ACQ_Lib[[#This Row],[Name]]))),1,0)</f>
        <v>0</v>
      </c>
    </row>
    <row r="633" spans="1:25" ht="15" x14ac:dyDescent="0.2">
      <c r="A633" s="157" t="str">
        <f>CONCATENATE(SP_ACQ_Lib[[#This Row],[Acquisition Tract No.]],"_",SP_ACQ_Lib[[#This Row],[ACQ Document Type]])</f>
        <v>317_SURVEY Right-of-Entry</v>
      </c>
      <c r="B633" s="14" t="s">
        <v>4485</v>
      </c>
      <c r="C633" s="193" t="s">
        <v>60</v>
      </c>
      <c r="D633" s="12" t="s">
        <v>1010</v>
      </c>
      <c r="E633" s="8" t="s">
        <v>858</v>
      </c>
      <c r="F633" s="8" t="s">
        <v>859</v>
      </c>
      <c r="G633" s="8" t="s">
        <v>591</v>
      </c>
      <c r="H633" s="7" t="s">
        <v>592</v>
      </c>
      <c r="I633" s="16">
        <v>43685</v>
      </c>
      <c r="J633" s="16"/>
      <c r="K633" s="17"/>
      <c r="L633" s="3" t="s">
        <v>4448</v>
      </c>
      <c r="M633" s="8" t="s">
        <v>4206</v>
      </c>
      <c r="N633" s="11">
        <v>43894.442881944444</v>
      </c>
      <c r="O633" s="8" t="s">
        <v>4206</v>
      </c>
      <c r="P633" s="11">
        <v>43894.442256944443</v>
      </c>
      <c r="Q633" s="13">
        <v>2541934</v>
      </c>
      <c r="R633" s="194" t="s">
        <v>594</v>
      </c>
      <c r="S633" s="14" t="s">
        <v>4514</v>
      </c>
      <c r="T633" s="163">
        <v>778</v>
      </c>
      <c r="U633" s="164" t="str">
        <f>CONCATENATE(LEFT(SP_ACQ_Lib[[#This Row],[Tax Parcel ID]],7),"_",SP_ACQ_Lib[[#This Row],[ACQ Document Type]])</f>
        <v>R026685_SURVEY Right-of-Entry</v>
      </c>
      <c r="V633" s="65" t="str">
        <f>INDEX(SP_AcqTract_DB[WCAD Tax Parcel ID],MATCH(SP_ACQ_Lib[[#This Row],[Acquisition Tract No.]],SP_AcqTract_DB[Acquisition Tract No.],0))</f>
        <v>R026685;#59;#R026691;#60;#R071959;#61</v>
      </c>
      <c r="W633" s="48" t="str">
        <f>INDEX(SP_TaxPar_DB[Acquisition Tract No.],MATCH(LEFT(SP_ACQ_Lib[[#This Row],[Tax Parcel ID]],7),SP_TaxPar_DB[Tax Parcel ID],0))</f>
        <v>317</v>
      </c>
      <c r="X633" s="238" t="str">
        <f>IF(OR(SP_ACQ_Lib[[#This Row],[Acquisition Tract No.]]="",SP_ACQ_Lib[[#This Row],[ACQ Document Type]]=""),0,CONCATENATE("COW-FRMP_TR-",SP_ACQ_Lib[[#This Row],[Acquisition Tract No.]]," ",SP_ACQ_Lib[[#This Row],[ACQ Document Type]]))</f>
        <v>COW-FRMP_TR-317 SURVEY Right-of-Entry</v>
      </c>
      <c r="Y633" s="239">
        <f>IF(OR(SP_ACQ_Lib[[#This Row],[File Name Convention]]=0,LEFT(SP_ACQ_Lib[[#This Row],[Name]],LEN(SP_ACQ_Lib[[#This Row],[File Name Convention]]))&lt;&gt;SP_ACQ_Lib[[#This Row],[File Name Convention]],ISERROR(SEARCH(SP_ACQ_Lib[[#This Row],[ACQ Document Type]],SP_ACQ_Lib[[#This Row],[Name]]))),1,0)</f>
        <v>0</v>
      </c>
    </row>
    <row r="634" spans="1:25" ht="15" x14ac:dyDescent="0.2">
      <c r="A634" s="157" t="str">
        <f>CONCATENATE(SP_ACQ_Lib[[#This Row],[Acquisition Tract No.]],"_",SP_ACQ_Lib[[#This Row],[ACQ Document Type]])</f>
        <v>317_SURVEY Right-of-Entry CMRR</v>
      </c>
      <c r="B634" s="14" t="s">
        <v>1589</v>
      </c>
      <c r="C634" s="193" t="s">
        <v>60</v>
      </c>
      <c r="D634" s="12" t="s">
        <v>1010</v>
      </c>
      <c r="E634" s="8" t="s">
        <v>858</v>
      </c>
      <c r="F634" s="8" t="s">
        <v>860</v>
      </c>
      <c r="G634" s="8" t="s">
        <v>598</v>
      </c>
      <c r="H634" s="7" t="s">
        <v>592</v>
      </c>
      <c r="I634" s="16">
        <v>43680</v>
      </c>
      <c r="J634" s="16"/>
      <c r="K634" s="17"/>
      <c r="L634" s="3" t="s">
        <v>3516</v>
      </c>
      <c r="M634" s="8" t="s">
        <v>4206</v>
      </c>
      <c r="N634" s="11">
        <v>43894.428171296298</v>
      </c>
      <c r="O634" s="8" t="s">
        <v>4207</v>
      </c>
      <c r="P634" s="11">
        <v>43693.352500000001</v>
      </c>
      <c r="Q634" s="13">
        <v>145618</v>
      </c>
      <c r="R634" s="194" t="s">
        <v>594</v>
      </c>
      <c r="S634" s="14" t="s">
        <v>837</v>
      </c>
      <c r="T634" s="163">
        <v>82</v>
      </c>
      <c r="U634" s="164" t="str">
        <f>CONCATENATE(LEFT(SP_ACQ_Lib[[#This Row],[Tax Parcel ID]],7),"_",SP_ACQ_Lib[[#This Row],[ACQ Document Type]])</f>
        <v>R026685_SURVEY Right-of-Entry CMRR</v>
      </c>
      <c r="V634" s="65" t="str">
        <f>INDEX(SP_AcqTract_DB[WCAD Tax Parcel ID],MATCH(SP_ACQ_Lib[[#This Row],[Acquisition Tract No.]],SP_AcqTract_DB[Acquisition Tract No.],0))</f>
        <v>R026685;#59;#R026691;#60;#R071959;#61</v>
      </c>
      <c r="W634" s="48" t="str">
        <f>INDEX(SP_TaxPar_DB[Acquisition Tract No.],MATCH(LEFT(SP_ACQ_Lib[[#This Row],[Tax Parcel ID]],7),SP_TaxPar_DB[Tax Parcel ID],0))</f>
        <v>317</v>
      </c>
      <c r="X634" s="238" t="str">
        <f>IF(OR(SP_ACQ_Lib[[#This Row],[Acquisition Tract No.]]="",SP_ACQ_Lib[[#This Row],[ACQ Document Type]]=""),0,CONCATENATE("COW-FRMP_TR-",SP_ACQ_Lib[[#This Row],[Acquisition Tract No.]]," ",SP_ACQ_Lib[[#This Row],[ACQ Document Type]]))</f>
        <v>COW-FRMP_TR-317 SURVEY Right-of-Entry CMRR</v>
      </c>
      <c r="Y634" s="239">
        <f>IF(OR(SP_ACQ_Lib[[#This Row],[File Name Convention]]=0,LEFT(SP_ACQ_Lib[[#This Row],[Name]],LEN(SP_ACQ_Lib[[#This Row],[File Name Convention]]))&lt;&gt;SP_ACQ_Lib[[#This Row],[File Name Convention]],ISERROR(SEARCH(SP_ACQ_Lib[[#This Row],[ACQ Document Type]],SP_ACQ_Lib[[#This Row],[Name]]))),1,0)</f>
        <v>0</v>
      </c>
    </row>
    <row r="635" spans="1:25" ht="15" x14ac:dyDescent="0.2">
      <c r="A635" s="157" t="str">
        <f>CONCATENATE(SP_ACQ_Lib[[#This Row],[Acquisition Tract No.]],"_",SP_ACQ_Lib[[#This Row],[ACQ Document Type]])</f>
        <v>317_TITLE Commitment</v>
      </c>
      <c r="B635" s="14" t="s">
        <v>1590</v>
      </c>
      <c r="C635" s="193" t="s">
        <v>60</v>
      </c>
      <c r="D635" s="12" t="s">
        <v>1010</v>
      </c>
      <c r="E635" s="8" t="s">
        <v>861</v>
      </c>
      <c r="F635" s="8" t="s">
        <v>862</v>
      </c>
      <c r="G635" s="8" t="s">
        <v>614</v>
      </c>
      <c r="H635" s="7" t="s">
        <v>592</v>
      </c>
      <c r="I635" s="16">
        <v>43917</v>
      </c>
      <c r="J635" s="16">
        <v>43928</v>
      </c>
      <c r="K635" s="17"/>
      <c r="L635" s="3" t="s">
        <v>4710</v>
      </c>
      <c r="M635" s="8" t="s">
        <v>4325</v>
      </c>
      <c r="N635" s="11">
        <v>43929.367129629631</v>
      </c>
      <c r="O635" s="8" t="s">
        <v>4326</v>
      </c>
      <c r="P635" s="11">
        <v>43713.477337962962</v>
      </c>
      <c r="Q635" s="13">
        <v>528359</v>
      </c>
      <c r="R635" s="194" t="s">
        <v>594</v>
      </c>
      <c r="S635" s="14" t="s">
        <v>838</v>
      </c>
      <c r="T635" s="163">
        <v>210</v>
      </c>
      <c r="U635" s="164" t="str">
        <f>CONCATENATE(LEFT(SP_ACQ_Lib[[#This Row],[Tax Parcel ID]],7),"_",SP_ACQ_Lib[[#This Row],[ACQ Document Type]])</f>
        <v>R026685_TITLE Commitment</v>
      </c>
      <c r="V635" s="65" t="str">
        <f>INDEX(SP_AcqTract_DB[WCAD Tax Parcel ID],MATCH(SP_ACQ_Lib[[#This Row],[Acquisition Tract No.]],SP_AcqTract_DB[Acquisition Tract No.],0))</f>
        <v>R026685;#59;#R026691;#60;#R071959;#61</v>
      </c>
      <c r="W635" s="48" t="str">
        <f>INDEX(SP_TaxPar_DB[Acquisition Tract No.],MATCH(LEFT(SP_ACQ_Lib[[#This Row],[Tax Parcel ID]],7),SP_TaxPar_DB[Tax Parcel ID],0))</f>
        <v>317</v>
      </c>
      <c r="X635" s="238" t="str">
        <f>IF(OR(SP_ACQ_Lib[[#This Row],[Acquisition Tract No.]]="",SP_ACQ_Lib[[#This Row],[ACQ Document Type]]=""),0,CONCATENATE("COW-FRMP_TR-",SP_ACQ_Lib[[#This Row],[Acquisition Tract No.]]," ",SP_ACQ_Lib[[#This Row],[ACQ Document Type]]))</f>
        <v>COW-FRMP_TR-317 TITLE Commitment</v>
      </c>
      <c r="Y635" s="239">
        <f>IF(OR(SP_ACQ_Lib[[#This Row],[File Name Convention]]=0,LEFT(SP_ACQ_Lib[[#This Row],[Name]],LEN(SP_ACQ_Lib[[#This Row],[File Name Convention]]))&lt;&gt;SP_ACQ_Lib[[#This Row],[File Name Convention]],ISERROR(SEARCH(SP_ACQ_Lib[[#This Row],[ACQ Document Type]],SP_ACQ_Lib[[#This Row],[Name]]))),1,0)</f>
        <v>0</v>
      </c>
    </row>
    <row r="636" spans="1:25" ht="15" x14ac:dyDescent="0.2">
      <c r="A636" s="157" t="str">
        <f>CONCATENATE(SP_ACQ_Lib[[#This Row],[Acquisition Tract No.]],"_",SP_ACQ_Lib[[#This Row],[ACQ Document Type]])</f>
        <v>317_TITLE Commitment Backup Docs</v>
      </c>
      <c r="B636" s="14" t="s">
        <v>1591</v>
      </c>
      <c r="C636" s="193" t="s">
        <v>60</v>
      </c>
      <c r="D636" s="12" t="s">
        <v>1010</v>
      </c>
      <c r="E636" s="8" t="s">
        <v>861</v>
      </c>
      <c r="F636" s="8" t="s">
        <v>863</v>
      </c>
      <c r="G636" s="8" t="s">
        <v>616</v>
      </c>
      <c r="H636" s="7" t="s">
        <v>592</v>
      </c>
      <c r="I636" s="16"/>
      <c r="J636" s="16"/>
      <c r="K636" s="17"/>
      <c r="L636" s="3"/>
      <c r="M636" s="8" t="s">
        <v>4206</v>
      </c>
      <c r="N636" s="11">
        <v>43894.44902777778</v>
      </c>
      <c r="O636" s="8" t="s">
        <v>4326</v>
      </c>
      <c r="P636" s="11">
        <v>43713.478032407409</v>
      </c>
      <c r="Q636" s="13">
        <v>1264640</v>
      </c>
      <c r="R636" s="194" t="s">
        <v>594</v>
      </c>
      <c r="S636" s="14" t="s">
        <v>839</v>
      </c>
      <c r="T636" s="163">
        <v>211</v>
      </c>
      <c r="U636" s="164" t="str">
        <f>CONCATENATE(LEFT(SP_ACQ_Lib[[#This Row],[Tax Parcel ID]],7),"_",SP_ACQ_Lib[[#This Row],[ACQ Document Type]])</f>
        <v>R026685_TITLE Commitment Backup Docs</v>
      </c>
      <c r="V636" s="65" t="str">
        <f>INDEX(SP_AcqTract_DB[WCAD Tax Parcel ID],MATCH(SP_ACQ_Lib[[#This Row],[Acquisition Tract No.]],SP_AcqTract_DB[Acquisition Tract No.],0))</f>
        <v>R026685;#59;#R026691;#60;#R071959;#61</v>
      </c>
      <c r="W636" s="48" t="str">
        <f>INDEX(SP_TaxPar_DB[Acquisition Tract No.],MATCH(LEFT(SP_ACQ_Lib[[#This Row],[Tax Parcel ID]],7),SP_TaxPar_DB[Tax Parcel ID],0))</f>
        <v>317</v>
      </c>
      <c r="X636" s="238" t="str">
        <f>IF(OR(SP_ACQ_Lib[[#This Row],[Acquisition Tract No.]]="",SP_ACQ_Lib[[#This Row],[ACQ Document Type]]=""),0,CONCATENATE("COW-FRMP_TR-",SP_ACQ_Lib[[#This Row],[Acquisition Tract No.]]," ",SP_ACQ_Lib[[#This Row],[ACQ Document Type]]))</f>
        <v>COW-FRMP_TR-317 TITLE Commitment Backup Docs</v>
      </c>
      <c r="Y636" s="239">
        <f>IF(OR(SP_ACQ_Lib[[#This Row],[File Name Convention]]=0,LEFT(SP_ACQ_Lib[[#This Row],[Name]],LEN(SP_ACQ_Lib[[#This Row],[File Name Convention]]))&lt;&gt;SP_ACQ_Lib[[#This Row],[File Name Convention]],ISERROR(SEARCH(SP_ACQ_Lib[[#This Row],[ACQ Document Type]],SP_ACQ_Lib[[#This Row],[Name]]))),1,0)</f>
        <v>0</v>
      </c>
    </row>
    <row r="637" spans="1:25" ht="15" x14ac:dyDescent="0.2">
      <c r="A637" s="157" t="str">
        <f>CONCATENATE(SP_ACQ_Lib[[#This Row],[Acquisition Tract No.]],"_",SP_ACQ_Lib[[#This Row],[ACQ Document Type]])</f>
        <v>317_TITLE Curative Plan</v>
      </c>
      <c r="B637" s="14" t="s">
        <v>1592</v>
      </c>
      <c r="C637" s="193" t="s">
        <v>60</v>
      </c>
      <c r="D637" s="12" t="s">
        <v>1010</v>
      </c>
      <c r="E637" s="8" t="s">
        <v>861</v>
      </c>
      <c r="F637" s="8" t="s">
        <v>864</v>
      </c>
      <c r="G637" s="8" t="s">
        <v>617</v>
      </c>
      <c r="H637" s="7" t="s">
        <v>592</v>
      </c>
      <c r="I637" s="16">
        <v>43815</v>
      </c>
      <c r="J637" s="16"/>
      <c r="K637" s="17"/>
      <c r="L637" s="3"/>
      <c r="M637" s="8" t="s">
        <v>4325</v>
      </c>
      <c r="N637" s="11">
        <v>43929.365891203706</v>
      </c>
      <c r="O637" s="8" t="s">
        <v>4326</v>
      </c>
      <c r="P637" s="11">
        <v>43746.36787037037</v>
      </c>
      <c r="Q637" s="13">
        <v>35678</v>
      </c>
      <c r="R637" s="194" t="s">
        <v>594</v>
      </c>
      <c r="S637" s="14" t="s">
        <v>1244</v>
      </c>
      <c r="T637" s="163">
        <v>409</v>
      </c>
      <c r="U637" s="164" t="str">
        <f>CONCATENATE(LEFT(SP_ACQ_Lib[[#This Row],[Tax Parcel ID]],7),"_",SP_ACQ_Lib[[#This Row],[ACQ Document Type]])</f>
        <v>R026685_TITLE Curative Plan</v>
      </c>
      <c r="V637" s="65" t="str">
        <f>INDEX(SP_AcqTract_DB[WCAD Tax Parcel ID],MATCH(SP_ACQ_Lib[[#This Row],[Acquisition Tract No.]],SP_AcqTract_DB[Acquisition Tract No.],0))</f>
        <v>R026685;#59;#R026691;#60;#R071959;#61</v>
      </c>
      <c r="W637" s="48" t="str">
        <f>INDEX(SP_TaxPar_DB[Acquisition Tract No.],MATCH(LEFT(SP_ACQ_Lib[[#This Row],[Tax Parcel ID]],7),SP_TaxPar_DB[Tax Parcel ID],0))</f>
        <v>317</v>
      </c>
      <c r="X637" s="238" t="str">
        <f>IF(OR(SP_ACQ_Lib[[#This Row],[Acquisition Tract No.]]="",SP_ACQ_Lib[[#This Row],[ACQ Document Type]]=""),0,CONCATENATE("COW-FRMP_TR-",SP_ACQ_Lib[[#This Row],[Acquisition Tract No.]]," ",SP_ACQ_Lib[[#This Row],[ACQ Document Type]]))</f>
        <v>COW-FRMP_TR-317 TITLE Curative Plan</v>
      </c>
      <c r="Y637" s="239">
        <f>IF(OR(SP_ACQ_Lib[[#This Row],[File Name Convention]]=0,LEFT(SP_ACQ_Lib[[#This Row],[Name]],LEN(SP_ACQ_Lib[[#This Row],[File Name Convention]]))&lt;&gt;SP_ACQ_Lib[[#This Row],[File Name Convention]],ISERROR(SEARCH(SP_ACQ_Lib[[#This Row],[ACQ Document Type]],SP_ACQ_Lib[[#This Row],[Name]]))),1,0)</f>
        <v>0</v>
      </c>
    </row>
    <row r="638" spans="1:25" ht="15" x14ac:dyDescent="0.2">
      <c r="A638" s="157" t="str">
        <f>CONCATENATE(SP_ACQ_Lib[[#This Row],[Acquisition Tract No.]],"_",SP_ACQ_Lib[[#This Row],[ACQ Document Type]])</f>
        <v>317_TITLE Tax Card</v>
      </c>
      <c r="B638" s="14" t="s">
        <v>4486</v>
      </c>
      <c r="C638" s="193" t="s">
        <v>60</v>
      </c>
      <c r="D638" s="12" t="s">
        <v>1010</v>
      </c>
      <c r="E638" s="8" t="s">
        <v>861</v>
      </c>
      <c r="F638" s="8" t="s">
        <v>1150</v>
      </c>
      <c r="G638" s="8" t="s">
        <v>1149</v>
      </c>
      <c r="H638" s="7" t="s">
        <v>592</v>
      </c>
      <c r="I638" s="16"/>
      <c r="J638" s="16"/>
      <c r="K638" s="17"/>
      <c r="L638" s="3" t="s">
        <v>4448</v>
      </c>
      <c r="M638" s="8" t="s">
        <v>4206</v>
      </c>
      <c r="N638" s="11">
        <v>43894.451273148145</v>
      </c>
      <c r="O638" s="8" t="s">
        <v>4206</v>
      </c>
      <c r="P638" s="11">
        <v>43894.450567129628</v>
      </c>
      <c r="Q638" s="13">
        <v>936976</v>
      </c>
      <c r="R638" s="194" t="s">
        <v>594</v>
      </c>
      <c r="S638" s="14" t="s">
        <v>4515</v>
      </c>
      <c r="T638" s="163">
        <v>779</v>
      </c>
      <c r="U638" s="164" t="str">
        <f>CONCATENATE(LEFT(SP_ACQ_Lib[[#This Row],[Tax Parcel ID]],7),"_",SP_ACQ_Lib[[#This Row],[ACQ Document Type]])</f>
        <v>R026685_TITLE Tax Card</v>
      </c>
      <c r="V638" s="65" t="str">
        <f>INDEX(SP_AcqTract_DB[WCAD Tax Parcel ID],MATCH(SP_ACQ_Lib[[#This Row],[Acquisition Tract No.]],SP_AcqTract_DB[Acquisition Tract No.],0))</f>
        <v>R026685;#59;#R026691;#60;#R071959;#61</v>
      </c>
      <c r="W638" s="48" t="str">
        <f>INDEX(SP_TaxPar_DB[Acquisition Tract No.],MATCH(LEFT(SP_ACQ_Lib[[#This Row],[Tax Parcel ID]],7),SP_TaxPar_DB[Tax Parcel ID],0))</f>
        <v>317</v>
      </c>
      <c r="X638" s="238" t="str">
        <f>IF(OR(SP_ACQ_Lib[[#This Row],[Acquisition Tract No.]]="",SP_ACQ_Lib[[#This Row],[ACQ Document Type]]=""),0,CONCATENATE("COW-FRMP_TR-",SP_ACQ_Lib[[#This Row],[Acquisition Tract No.]]," ",SP_ACQ_Lib[[#This Row],[ACQ Document Type]]))</f>
        <v>COW-FRMP_TR-317 TITLE Tax Card</v>
      </c>
      <c r="Y638" s="239">
        <f>IF(OR(SP_ACQ_Lib[[#This Row],[File Name Convention]]=0,LEFT(SP_ACQ_Lib[[#This Row],[Name]],LEN(SP_ACQ_Lib[[#This Row],[File Name Convention]]))&lt;&gt;SP_ACQ_Lib[[#This Row],[File Name Convention]],ISERROR(SEARCH(SP_ACQ_Lib[[#This Row],[ACQ Document Type]],SP_ACQ_Lib[[#This Row],[Name]]))),1,0)</f>
        <v>0</v>
      </c>
    </row>
    <row r="639" spans="1:25" ht="15" x14ac:dyDescent="0.2">
      <c r="A639" s="157" t="str">
        <f>CONCATENATE(SP_ACQ_Lib[[#This Row],[Acquisition Tract No.]],"_",SP_ACQ_Lib[[#This Row],[ACQ Document Type]])</f>
        <v>319_APPRAISAL Final Appraisal</v>
      </c>
      <c r="B639" s="14" t="s">
        <v>6710</v>
      </c>
      <c r="C639" s="193" t="s">
        <v>61</v>
      </c>
      <c r="D639" s="12" t="s">
        <v>660</v>
      </c>
      <c r="E639" s="8" t="s">
        <v>1131</v>
      </c>
      <c r="F639" s="8" t="s">
        <v>4755</v>
      </c>
      <c r="G639" s="8" t="s">
        <v>4754</v>
      </c>
      <c r="H639" s="7" t="s">
        <v>592</v>
      </c>
      <c r="I639" s="16">
        <v>43960</v>
      </c>
      <c r="J639" s="16"/>
      <c r="K639" s="17">
        <v>41360</v>
      </c>
      <c r="L639" s="3"/>
      <c r="M639" s="8" t="s">
        <v>4206</v>
      </c>
      <c r="N639" s="11">
        <v>44022.557905092595</v>
      </c>
      <c r="O639" s="8" t="s">
        <v>4206</v>
      </c>
      <c r="P639" s="11">
        <v>44022.552245370367</v>
      </c>
      <c r="Q639" s="13">
        <v>5405322</v>
      </c>
      <c r="R639" s="194" t="s">
        <v>594</v>
      </c>
      <c r="S639" s="14" t="s">
        <v>6713</v>
      </c>
      <c r="T639" s="163">
        <v>1380</v>
      </c>
      <c r="U639" s="164" t="str">
        <f>CONCATENATE(LEFT(SP_ACQ_Lib[[#This Row],[Tax Parcel ID]],7),"_",SP_ACQ_Lib[[#This Row],[ACQ Document Type]])</f>
        <v>R026694_APPRAISAL Final Appraisal</v>
      </c>
      <c r="V639" s="65" t="str">
        <f>INDEX(SP_AcqTract_DB[WCAD Tax Parcel ID],MATCH(SP_ACQ_Lib[[#This Row],[Acquisition Tract No.]],SP_AcqTract_DB[Acquisition Tract No.],0))</f>
        <v>R026694;#62</v>
      </c>
      <c r="W639" s="48" t="str">
        <f>INDEX(SP_TaxPar_DB[Acquisition Tract No.],MATCH(LEFT(SP_ACQ_Lib[[#This Row],[Tax Parcel ID]],7),SP_TaxPar_DB[Tax Parcel ID],0))</f>
        <v>319</v>
      </c>
      <c r="X639" s="238" t="str">
        <f>IF(OR(SP_ACQ_Lib[[#This Row],[Acquisition Tract No.]]="",SP_ACQ_Lib[[#This Row],[ACQ Document Type]]=""),0,CONCATENATE("COW-FRMP_TR-",SP_ACQ_Lib[[#This Row],[Acquisition Tract No.]]," ",SP_ACQ_Lib[[#This Row],[ACQ Document Type]]))</f>
        <v>COW-FRMP_TR-319 APPRAISAL Final Appraisal</v>
      </c>
      <c r="Y639" s="239">
        <f>IF(OR(SP_ACQ_Lib[[#This Row],[File Name Convention]]=0,LEFT(SP_ACQ_Lib[[#This Row],[Name]],LEN(SP_ACQ_Lib[[#This Row],[File Name Convention]]))&lt;&gt;SP_ACQ_Lib[[#This Row],[File Name Convention]],ISERROR(SEARCH(SP_ACQ_Lib[[#This Row],[ACQ Document Type]],SP_ACQ_Lib[[#This Row],[Name]]))),1,0)</f>
        <v>0</v>
      </c>
    </row>
    <row r="640" spans="1:25" ht="15" x14ac:dyDescent="0.2">
      <c r="A640" s="157" t="str">
        <f>CONCATENATE(SP_ACQ_Lib[[#This Row],[Acquisition Tract No.]],"_",SP_ACQ_Lib[[#This Row],[ACQ Document Type]])</f>
        <v>319_APPRAISAL Just Compensation Memo</v>
      </c>
      <c r="B640" s="14" t="s">
        <v>6711</v>
      </c>
      <c r="C640" s="193" t="s">
        <v>61</v>
      </c>
      <c r="D640" s="12" t="s">
        <v>660</v>
      </c>
      <c r="E640" s="8" t="s">
        <v>1131</v>
      </c>
      <c r="F640" s="8" t="s">
        <v>4757</v>
      </c>
      <c r="G640" s="8" t="s">
        <v>4756</v>
      </c>
      <c r="H640" s="7" t="s">
        <v>592</v>
      </c>
      <c r="I640" s="16">
        <v>44022</v>
      </c>
      <c r="J640" s="16">
        <v>44025</v>
      </c>
      <c r="K640" s="17">
        <v>41360</v>
      </c>
      <c r="L640" s="3"/>
      <c r="M640" s="8" t="s">
        <v>4206</v>
      </c>
      <c r="N640" s="11">
        <v>44025.412581018521</v>
      </c>
      <c r="O640" s="8" t="s">
        <v>4206</v>
      </c>
      <c r="P640" s="11">
        <v>44022.552245370367</v>
      </c>
      <c r="Q640" s="13">
        <v>23058</v>
      </c>
      <c r="R640" s="194" t="s">
        <v>594</v>
      </c>
      <c r="S640" s="14" t="s">
        <v>6714</v>
      </c>
      <c r="T640" s="163">
        <v>1381</v>
      </c>
      <c r="U640" s="164" t="str">
        <f>CONCATENATE(LEFT(SP_ACQ_Lib[[#This Row],[Tax Parcel ID]],7),"_",SP_ACQ_Lib[[#This Row],[ACQ Document Type]])</f>
        <v>R026694_APPRAISAL Just Compensation Memo</v>
      </c>
      <c r="V640" s="65" t="str">
        <f>INDEX(SP_AcqTract_DB[WCAD Tax Parcel ID],MATCH(SP_ACQ_Lib[[#This Row],[Acquisition Tract No.]],SP_AcqTract_DB[Acquisition Tract No.],0))</f>
        <v>R026694;#62</v>
      </c>
      <c r="W640" s="48" t="str">
        <f>INDEX(SP_TaxPar_DB[Acquisition Tract No.],MATCH(LEFT(SP_ACQ_Lib[[#This Row],[Tax Parcel ID]],7),SP_TaxPar_DB[Tax Parcel ID],0))</f>
        <v>319</v>
      </c>
      <c r="X640" s="238" t="str">
        <f>IF(OR(SP_ACQ_Lib[[#This Row],[Acquisition Tract No.]]="",SP_ACQ_Lib[[#This Row],[ACQ Document Type]]=""),0,CONCATENATE("COW-FRMP_TR-",SP_ACQ_Lib[[#This Row],[Acquisition Tract No.]]," ",SP_ACQ_Lib[[#This Row],[ACQ Document Type]]))</f>
        <v>COW-FRMP_TR-319 APPRAISAL Just Compensation Memo</v>
      </c>
      <c r="Y640" s="239">
        <f>IF(OR(SP_ACQ_Lib[[#This Row],[File Name Convention]]=0,LEFT(SP_ACQ_Lib[[#This Row],[Name]],LEN(SP_ACQ_Lib[[#This Row],[File Name Convention]]))&lt;&gt;SP_ACQ_Lib[[#This Row],[File Name Convention]],ISERROR(SEARCH(SP_ACQ_Lib[[#This Row],[ACQ Document Type]],SP_ACQ_Lib[[#This Row],[Name]]))),1,0)</f>
        <v>0</v>
      </c>
    </row>
    <row r="641" spans="1:25" ht="15" x14ac:dyDescent="0.2">
      <c r="A641" s="157" t="str">
        <f>CONCATENATE(SP_ACQ_Lib[[#This Row],[Acquisition Tract No.]],"_",SP_ACQ_Lib[[#This Row],[ACQ Document Type]])</f>
        <v>319_APPRAISAL USACOE Authorization to Proceed with Offer</v>
      </c>
      <c r="B641" s="14" t="s">
        <v>6712</v>
      </c>
      <c r="C641" s="193" t="s">
        <v>61</v>
      </c>
      <c r="D641" s="12" t="s">
        <v>660</v>
      </c>
      <c r="E641" s="8" t="s">
        <v>1131</v>
      </c>
      <c r="F641" s="8" t="s">
        <v>4959</v>
      </c>
      <c r="G641" s="8" t="s">
        <v>4958</v>
      </c>
      <c r="H641" s="7" t="s">
        <v>592</v>
      </c>
      <c r="I641" s="16">
        <v>44022</v>
      </c>
      <c r="J641" s="16">
        <v>44025</v>
      </c>
      <c r="K641" s="17">
        <v>41360</v>
      </c>
      <c r="L641" s="3"/>
      <c r="M641" s="8" t="s">
        <v>4206</v>
      </c>
      <c r="N641" s="11">
        <v>44025.412719907406</v>
      </c>
      <c r="O641" s="8" t="s">
        <v>4206</v>
      </c>
      <c r="P641" s="11">
        <v>44022.552268518521</v>
      </c>
      <c r="Q641" s="13">
        <v>420773</v>
      </c>
      <c r="R641" s="194" t="s">
        <v>594</v>
      </c>
      <c r="S641" s="14" t="s">
        <v>6715</v>
      </c>
      <c r="T641" s="163">
        <v>1382</v>
      </c>
      <c r="U641" s="164" t="str">
        <f>CONCATENATE(LEFT(SP_ACQ_Lib[[#This Row],[Tax Parcel ID]],7),"_",SP_ACQ_Lib[[#This Row],[ACQ Document Type]])</f>
        <v>R026694_APPRAISAL USACOE Authorization to Proceed with Offer</v>
      </c>
      <c r="V641" s="65" t="str">
        <f>INDEX(SP_AcqTract_DB[WCAD Tax Parcel ID],MATCH(SP_ACQ_Lib[[#This Row],[Acquisition Tract No.]],SP_AcqTract_DB[Acquisition Tract No.],0))</f>
        <v>R026694;#62</v>
      </c>
      <c r="W641" s="48" t="str">
        <f>INDEX(SP_TaxPar_DB[Acquisition Tract No.],MATCH(LEFT(SP_ACQ_Lib[[#This Row],[Tax Parcel ID]],7),SP_TaxPar_DB[Tax Parcel ID],0))</f>
        <v>319</v>
      </c>
      <c r="X641" s="238" t="str">
        <f>IF(OR(SP_ACQ_Lib[[#This Row],[Acquisition Tract No.]]="",SP_ACQ_Lib[[#This Row],[ACQ Document Type]]=""),0,CONCATENATE("COW-FRMP_TR-",SP_ACQ_Lib[[#This Row],[Acquisition Tract No.]]," ",SP_ACQ_Lib[[#This Row],[ACQ Document Type]]))</f>
        <v>COW-FRMP_TR-319 APPRAISAL USACOE Authorization to Proceed with Offer</v>
      </c>
      <c r="Y641" s="239">
        <f>IF(OR(SP_ACQ_Lib[[#This Row],[File Name Convention]]=0,LEFT(SP_ACQ_Lib[[#This Row],[Name]],LEN(SP_ACQ_Lib[[#This Row],[File Name Convention]]))&lt;&gt;SP_ACQ_Lib[[#This Row],[File Name Convention]],ISERROR(SEARCH(SP_ACQ_Lib[[#This Row],[ACQ Document Type]],SP_ACQ_Lib[[#This Row],[Name]]))),1,0)</f>
        <v>0</v>
      </c>
    </row>
    <row r="642" spans="1:25" ht="15" x14ac:dyDescent="0.2">
      <c r="A642" s="157" t="str">
        <f>CONCATENATE(SP_ACQ_Lib[[#This Row],[Acquisition Tract No.]],"_",SP_ACQ_Lib[[#This Row],[ACQ Document Type]])</f>
        <v>319_CONTACT Letter of Intent-HDR</v>
      </c>
      <c r="B642" s="14" t="s">
        <v>1593</v>
      </c>
      <c r="C642" s="193" t="s">
        <v>61</v>
      </c>
      <c r="D642" s="12" t="s">
        <v>660</v>
      </c>
      <c r="E642" s="8" t="s">
        <v>865</v>
      </c>
      <c r="F642" s="8" t="s">
        <v>1401</v>
      </c>
      <c r="G642" s="8" t="s">
        <v>1400</v>
      </c>
      <c r="H642" s="7" t="s">
        <v>592</v>
      </c>
      <c r="I642" s="16">
        <v>43765</v>
      </c>
      <c r="J642" s="16"/>
      <c r="K642" s="17"/>
      <c r="L642" s="3"/>
      <c r="M642" s="8" t="s">
        <v>23</v>
      </c>
      <c r="N642" s="11">
        <v>43770.450231481482</v>
      </c>
      <c r="O642" s="8" t="s">
        <v>1272</v>
      </c>
      <c r="P642" s="11">
        <v>43769.648020833331</v>
      </c>
      <c r="Q642" s="13">
        <v>352589</v>
      </c>
      <c r="R642" s="194" t="s">
        <v>594</v>
      </c>
      <c r="S642" s="14" t="s">
        <v>1660</v>
      </c>
      <c r="T642" s="163">
        <v>562</v>
      </c>
      <c r="U642" s="164" t="str">
        <f>CONCATENATE(LEFT(SP_ACQ_Lib[[#This Row],[Tax Parcel ID]],7),"_",SP_ACQ_Lib[[#This Row],[ACQ Document Type]])</f>
        <v>R026694_CONTACT Letter of Intent-HDR</v>
      </c>
      <c r="V642" s="65" t="str">
        <f>INDEX(SP_AcqTract_DB[WCAD Tax Parcel ID],MATCH(SP_ACQ_Lib[[#This Row],[Acquisition Tract No.]],SP_AcqTract_DB[Acquisition Tract No.],0))</f>
        <v>R026694;#62</v>
      </c>
      <c r="W642" s="48" t="str">
        <f>INDEX(SP_TaxPar_DB[Acquisition Tract No.],MATCH(LEFT(SP_ACQ_Lib[[#This Row],[Tax Parcel ID]],7),SP_TaxPar_DB[Tax Parcel ID],0))</f>
        <v>319</v>
      </c>
      <c r="X642" s="238" t="str">
        <f>IF(OR(SP_ACQ_Lib[[#This Row],[Acquisition Tract No.]]="",SP_ACQ_Lib[[#This Row],[ACQ Document Type]]=""),0,CONCATENATE("COW-FRMP_TR-",SP_ACQ_Lib[[#This Row],[Acquisition Tract No.]]," ",SP_ACQ_Lib[[#This Row],[ACQ Document Type]]))</f>
        <v>COW-FRMP_TR-319 CONTACT Letter of Intent-HDR</v>
      </c>
      <c r="Y642" s="239">
        <f>IF(OR(SP_ACQ_Lib[[#This Row],[File Name Convention]]=0,LEFT(SP_ACQ_Lib[[#This Row],[Name]],LEN(SP_ACQ_Lib[[#This Row],[File Name Convention]]))&lt;&gt;SP_ACQ_Lib[[#This Row],[File Name Convention]],ISERROR(SEARCH(SP_ACQ_Lib[[#This Row],[ACQ Document Type]],SP_ACQ_Lib[[#This Row],[Name]]))),1,0)</f>
        <v>0</v>
      </c>
    </row>
    <row r="643" spans="1:25" ht="15" x14ac:dyDescent="0.2">
      <c r="A643" s="157" t="str">
        <f>CONCATENATE(SP_ACQ_Lib[[#This Row],[Acquisition Tract No.]],"_",SP_ACQ_Lib[[#This Row],[ACQ Document Type]])</f>
        <v>319_CONTACT Negotiator Report</v>
      </c>
      <c r="B643" s="14" t="s">
        <v>3414</v>
      </c>
      <c r="C643" s="193" t="s">
        <v>61</v>
      </c>
      <c r="D643" s="12" t="s">
        <v>660</v>
      </c>
      <c r="E643" s="8" t="s">
        <v>865</v>
      </c>
      <c r="F643" s="8" t="s">
        <v>1068</v>
      </c>
      <c r="G643" s="8" t="s">
        <v>1067</v>
      </c>
      <c r="H643" s="7" t="s">
        <v>592</v>
      </c>
      <c r="I643" s="16"/>
      <c r="J643" s="16"/>
      <c r="K643" s="17"/>
      <c r="L643" s="3"/>
      <c r="M643" s="8" t="s">
        <v>4206</v>
      </c>
      <c r="N643" s="11">
        <v>43872.547638888886</v>
      </c>
      <c r="O643" s="8" t="s">
        <v>4207</v>
      </c>
      <c r="P643" s="11">
        <v>43738.432847222219</v>
      </c>
      <c r="Q643" s="13">
        <v>58738</v>
      </c>
      <c r="R643" s="194" t="s">
        <v>1069</v>
      </c>
      <c r="S643" s="14" t="s">
        <v>1115</v>
      </c>
      <c r="T643" s="163">
        <v>376</v>
      </c>
      <c r="U643" s="164" t="str">
        <f>CONCATENATE(LEFT(SP_ACQ_Lib[[#This Row],[Tax Parcel ID]],7),"_",SP_ACQ_Lib[[#This Row],[ACQ Document Type]])</f>
        <v>R026694_CONTACT Negotiator Report</v>
      </c>
      <c r="V643" s="65" t="str">
        <f>INDEX(SP_AcqTract_DB[WCAD Tax Parcel ID],MATCH(SP_ACQ_Lib[[#This Row],[Acquisition Tract No.]],SP_AcqTract_DB[Acquisition Tract No.],0))</f>
        <v>R026694;#62</v>
      </c>
      <c r="W643" s="48" t="str">
        <f>INDEX(SP_TaxPar_DB[Acquisition Tract No.],MATCH(LEFT(SP_ACQ_Lib[[#This Row],[Tax Parcel ID]],7),SP_TaxPar_DB[Tax Parcel ID],0))</f>
        <v>319</v>
      </c>
      <c r="X643" s="238" t="str">
        <f>IF(OR(SP_ACQ_Lib[[#This Row],[Acquisition Tract No.]]="",SP_ACQ_Lib[[#This Row],[ACQ Document Type]]=""),0,CONCATENATE("COW-FRMP_TR-",SP_ACQ_Lib[[#This Row],[Acquisition Tract No.]]," ",SP_ACQ_Lib[[#This Row],[ACQ Document Type]]))</f>
        <v>COW-FRMP_TR-319 CONTACT Negotiator Report</v>
      </c>
      <c r="Y643" s="239">
        <f>IF(OR(SP_ACQ_Lib[[#This Row],[File Name Convention]]=0,LEFT(SP_ACQ_Lib[[#This Row],[Name]],LEN(SP_ACQ_Lib[[#This Row],[File Name Convention]]))&lt;&gt;SP_ACQ_Lib[[#This Row],[File Name Convention]],ISERROR(SEARCH(SP_ACQ_Lib[[#This Row],[ACQ Document Type]],SP_ACQ_Lib[[#This Row],[Name]]))),1,0)</f>
        <v>0</v>
      </c>
    </row>
    <row r="644" spans="1:25" ht="15" x14ac:dyDescent="0.2">
      <c r="A644" s="157" t="str">
        <f>CONCATENATE(SP_ACQ_Lib[[#This Row],[Acquisition Tract No.]],"_",SP_ACQ_Lib[[#This Row],[ACQ Document Type]])</f>
        <v>319_NEGOTIATION Landowner Bill of Rights Letter</v>
      </c>
      <c r="B644" s="14" t="s">
        <v>3488</v>
      </c>
      <c r="C644" s="193" t="s">
        <v>61</v>
      </c>
      <c r="D644" s="12" t="s">
        <v>660</v>
      </c>
      <c r="E644" s="8" t="s">
        <v>1142</v>
      </c>
      <c r="F644" s="8" t="s">
        <v>1746</v>
      </c>
      <c r="G644" s="8" t="s">
        <v>1745</v>
      </c>
      <c r="H644" s="7" t="s">
        <v>592</v>
      </c>
      <c r="I644" s="16">
        <v>43748</v>
      </c>
      <c r="J644" s="16"/>
      <c r="K644" s="17"/>
      <c r="L644" s="3"/>
      <c r="M644" s="8" t="s">
        <v>4206</v>
      </c>
      <c r="N644" s="11">
        <v>43872.568912037037</v>
      </c>
      <c r="O644" s="8" t="s">
        <v>4325</v>
      </c>
      <c r="P644" s="11">
        <v>43752.533599537041</v>
      </c>
      <c r="Q644" s="13">
        <v>343648</v>
      </c>
      <c r="R644" s="194" t="s">
        <v>594</v>
      </c>
      <c r="S644" s="14" t="s">
        <v>1245</v>
      </c>
      <c r="T644" s="163">
        <v>457</v>
      </c>
      <c r="U644" s="164" t="str">
        <f>CONCATENATE(LEFT(SP_ACQ_Lib[[#This Row],[Tax Parcel ID]],7),"_",SP_ACQ_Lib[[#This Row],[ACQ Document Type]])</f>
        <v>R026694_NEGOTIATION Landowner Bill of Rights Letter</v>
      </c>
      <c r="V644" s="65" t="str">
        <f>INDEX(SP_AcqTract_DB[WCAD Tax Parcel ID],MATCH(SP_ACQ_Lib[[#This Row],[Acquisition Tract No.]],SP_AcqTract_DB[Acquisition Tract No.],0))</f>
        <v>R026694;#62</v>
      </c>
      <c r="W644" s="48" t="str">
        <f>INDEX(SP_TaxPar_DB[Acquisition Tract No.],MATCH(LEFT(SP_ACQ_Lib[[#This Row],[Tax Parcel ID]],7),SP_TaxPar_DB[Tax Parcel ID],0))</f>
        <v>319</v>
      </c>
      <c r="X644" s="238" t="str">
        <f>IF(OR(SP_ACQ_Lib[[#This Row],[Acquisition Tract No.]]="",SP_ACQ_Lib[[#This Row],[ACQ Document Type]]=""),0,CONCATENATE("COW-FRMP_TR-",SP_ACQ_Lib[[#This Row],[Acquisition Tract No.]]," ",SP_ACQ_Lib[[#This Row],[ACQ Document Type]]))</f>
        <v>COW-FRMP_TR-319 NEGOTIATION Landowner Bill of Rights Letter</v>
      </c>
      <c r="Y644" s="239">
        <f>IF(OR(SP_ACQ_Lib[[#This Row],[File Name Convention]]=0,LEFT(SP_ACQ_Lib[[#This Row],[Name]],LEN(SP_ACQ_Lib[[#This Row],[File Name Convention]]))&lt;&gt;SP_ACQ_Lib[[#This Row],[File Name Convention]],ISERROR(SEARCH(SP_ACQ_Lib[[#This Row],[ACQ Document Type]],SP_ACQ_Lib[[#This Row],[Name]]))),1,0)</f>
        <v>0</v>
      </c>
    </row>
    <row r="645" spans="1:25" ht="15" x14ac:dyDescent="0.2">
      <c r="A645" s="157" t="str">
        <f>CONCATENATE(SP_ACQ_Lib[[#This Row],[Acquisition Tract No.]],"_",SP_ACQ_Lib[[#This Row],[ACQ Document Type]])</f>
        <v>319_SURVEY Description-Plat_CITY</v>
      </c>
      <c r="B645" s="14" t="s">
        <v>3538</v>
      </c>
      <c r="C645" s="193" t="s">
        <v>61</v>
      </c>
      <c r="D645" s="12" t="s">
        <v>660</v>
      </c>
      <c r="E645" s="8" t="s">
        <v>858</v>
      </c>
      <c r="F645" s="8" t="s">
        <v>3503</v>
      </c>
      <c r="G645" s="8" t="s">
        <v>3502</v>
      </c>
      <c r="H645" s="7" t="s">
        <v>1749</v>
      </c>
      <c r="I645" s="16">
        <v>44012</v>
      </c>
      <c r="J645" s="16">
        <v>44019</v>
      </c>
      <c r="K645" s="17"/>
      <c r="L645" s="3"/>
      <c r="M645" s="8" t="s">
        <v>4206</v>
      </c>
      <c r="N645" s="11">
        <v>44019.410925925928</v>
      </c>
      <c r="O645" s="8" t="s">
        <v>4206</v>
      </c>
      <c r="P645" s="11">
        <v>43886.641979166663</v>
      </c>
      <c r="Q645" s="13">
        <v>267094</v>
      </c>
      <c r="R645" s="194" t="s">
        <v>594</v>
      </c>
      <c r="S645" s="14" t="s">
        <v>3560</v>
      </c>
      <c r="T645" s="163">
        <v>741</v>
      </c>
      <c r="U645" s="164" t="str">
        <f>CONCATENATE(LEFT(SP_ACQ_Lib[[#This Row],[Tax Parcel ID]],7),"_",SP_ACQ_Lib[[#This Row],[ACQ Document Type]])</f>
        <v>R026694_SURVEY Description-Plat_CITY</v>
      </c>
      <c r="V645" s="65" t="str">
        <f>INDEX(SP_AcqTract_DB[WCAD Tax Parcel ID],MATCH(SP_ACQ_Lib[[#This Row],[Acquisition Tract No.]],SP_AcqTract_DB[Acquisition Tract No.],0))</f>
        <v>R026694;#62</v>
      </c>
      <c r="W645" s="48" t="str">
        <f>INDEX(SP_TaxPar_DB[Acquisition Tract No.],MATCH(LEFT(SP_ACQ_Lib[[#This Row],[Tax Parcel ID]],7),SP_TaxPar_DB[Tax Parcel ID],0))</f>
        <v>319</v>
      </c>
      <c r="X645" s="238" t="str">
        <f>IF(OR(SP_ACQ_Lib[[#This Row],[Acquisition Tract No.]]="",SP_ACQ_Lib[[#This Row],[ACQ Document Type]]=""),0,CONCATENATE("COW-FRMP_TR-",SP_ACQ_Lib[[#This Row],[Acquisition Tract No.]]," ",SP_ACQ_Lib[[#This Row],[ACQ Document Type]]))</f>
        <v>COW-FRMP_TR-319 SURVEY Description-Plat_CITY</v>
      </c>
      <c r="Y645" s="239">
        <f>IF(OR(SP_ACQ_Lib[[#This Row],[File Name Convention]]=0,LEFT(SP_ACQ_Lib[[#This Row],[Name]],LEN(SP_ACQ_Lib[[#This Row],[File Name Convention]]))&lt;&gt;SP_ACQ_Lib[[#This Row],[File Name Convention]],ISERROR(SEARCH(SP_ACQ_Lib[[#This Row],[ACQ Document Type]],SP_ACQ_Lib[[#This Row],[Name]]))),1,0)</f>
        <v>0</v>
      </c>
    </row>
    <row r="646" spans="1:25" ht="15" x14ac:dyDescent="0.2">
      <c r="A646" s="157" t="str">
        <f>CONCATENATE(SP_ACQ_Lib[[#This Row],[Acquisition Tract No.]],"_",SP_ACQ_Lib[[#This Row],[ACQ Document Type]])</f>
        <v>319_SURVEY Description-Plat_USACOE</v>
      </c>
      <c r="B646" s="14" t="s">
        <v>6034</v>
      </c>
      <c r="C646" s="193" t="s">
        <v>61</v>
      </c>
      <c r="D646" s="12" t="s">
        <v>660</v>
      </c>
      <c r="E646" s="8" t="s">
        <v>858</v>
      </c>
      <c r="F646" s="8" t="s">
        <v>3510</v>
      </c>
      <c r="G646" s="8" t="s">
        <v>3509</v>
      </c>
      <c r="H646" s="7" t="s">
        <v>592</v>
      </c>
      <c r="I646" s="16">
        <v>43991</v>
      </c>
      <c r="J646" s="16">
        <v>43993</v>
      </c>
      <c r="K646" s="17"/>
      <c r="L646" s="3"/>
      <c r="M646" s="8" t="s">
        <v>4206</v>
      </c>
      <c r="N646" s="11">
        <v>43994.376539351855</v>
      </c>
      <c r="O646" s="8" t="s">
        <v>4206</v>
      </c>
      <c r="P646" s="11">
        <v>43994.366724537038</v>
      </c>
      <c r="Q646" s="13">
        <v>552217</v>
      </c>
      <c r="R646" s="194" t="s">
        <v>594</v>
      </c>
      <c r="S646" s="14" t="s">
        <v>6055</v>
      </c>
      <c r="T646" s="163">
        <v>1196</v>
      </c>
      <c r="U646" s="164" t="str">
        <f>CONCATENATE(LEFT(SP_ACQ_Lib[[#This Row],[Tax Parcel ID]],7),"_",SP_ACQ_Lib[[#This Row],[ACQ Document Type]])</f>
        <v>R026694_SURVEY Description-Plat_USACOE</v>
      </c>
      <c r="V646" s="65" t="str">
        <f>INDEX(SP_AcqTract_DB[WCAD Tax Parcel ID],MATCH(SP_ACQ_Lib[[#This Row],[Acquisition Tract No.]],SP_AcqTract_DB[Acquisition Tract No.],0))</f>
        <v>R026694;#62</v>
      </c>
      <c r="W646" s="48" t="str">
        <f>INDEX(SP_TaxPar_DB[Acquisition Tract No.],MATCH(LEFT(SP_ACQ_Lib[[#This Row],[Tax Parcel ID]],7),SP_TaxPar_DB[Tax Parcel ID],0))</f>
        <v>319</v>
      </c>
      <c r="X646" s="238" t="str">
        <f>IF(OR(SP_ACQ_Lib[[#This Row],[Acquisition Tract No.]]="",SP_ACQ_Lib[[#This Row],[ACQ Document Type]]=""),0,CONCATENATE("COW-FRMP_TR-",SP_ACQ_Lib[[#This Row],[Acquisition Tract No.]]," ",SP_ACQ_Lib[[#This Row],[ACQ Document Type]]))</f>
        <v>COW-FRMP_TR-319 SURVEY Description-Plat_USACOE</v>
      </c>
      <c r="Y646" s="239">
        <f>IF(OR(SP_ACQ_Lib[[#This Row],[File Name Convention]]=0,LEFT(SP_ACQ_Lib[[#This Row],[Name]],LEN(SP_ACQ_Lib[[#This Row],[File Name Convention]]))&lt;&gt;SP_ACQ_Lib[[#This Row],[File Name Convention]],ISERROR(SEARCH(SP_ACQ_Lib[[#This Row],[ACQ Document Type]],SP_ACQ_Lib[[#This Row],[Name]]))),1,0)</f>
        <v>0</v>
      </c>
    </row>
    <row r="647" spans="1:25" ht="15" x14ac:dyDescent="0.2">
      <c r="A647" s="157" t="str">
        <f>CONCATENATE(SP_ACQ_Lib[[#This Row],[Acquisition Tract No.]],"_",SP_ACQ_Lib[[#This Row],[ACQ Document Type]])</f>
        <v>319_SURVEY Right-of-Entry</v>
      </c>
      <c r="B647" s="14" t="s">
        <v>4604</v>
      </c>
      <c r="C647" s="193" t="s">
        <v>61</v>
      </c>
      <c r="D647" s="12" t="s">
        <v>660</v>
      </c>
      <c r="E647" s="8" t="s">
        <v>858</v>
      </c>
      <c r="F647" s="8" t="s">
        <v>859</v>
      </c>
      <c r="G647" s="8" t="s">
        <v>591</v>
      </c>
      <c r="H647" s="7" t="s">
        <v>592</v>
      </c>
      <c r="I647" s="16">
        <v>43685</v>
      </c>
      <c r="J647" s="16"/>
      <c r="K647" s="17"/>
      <c r="L647" s="3"/>
      <c r="M647" s="8" t="s">
        <v>4206</v>
      </c>
      <c r="N647" s="11">
        <v>43922.381550925929</v>
      </c>
      <c r="O647" s="8" t="s">
        <v>4207</v>
      </c>
      <c r="P647" s="11">
        <v>43691.671319444446</v>
      </c>
      <c r="Q647" s="13">
        <v>918909</v>
      </c>
      <c r="R647" s="194" t="s">
        <v>594</v>
      </c>
      <c r="S647" s="14" t="s">
        <v>840</v>
      </c>
      <c r="T647" s="163">
        <v>74</v>
      </c>
      <c r="U647" s="164" t="str">
        <f>CONCATENATE(LEFT(SP_ACQ_Lib[[#This Row],[Tax Parcel ID]],7),"_",SP_ACQ_Lib[[#This Row],[ACQ Document Type]])</f>
        <v>R026694_SURVEY Right-of-Entry</v>
      </c>
      <c r="V647" s="65" t="str">
        <f>INDEX(SP_AcqTract_DB[WCAD Tax Parcel ID],MATCH(SP_ACQ_Lib[[#This Row],[Acquisition Tract No.]],SP_AcqTract_DB[Acquisition Tract No.],0))</f>
        <v>R026694;#62</v>
      </c>
      <c r="W647" s="48" t="str">
        <f>INDEX(SP_TaxPar_DB[Acquisition Tract No.],MATCH(LEFT(SP_ACQ_Lib[[#This Row],[Tax Parcel ID]],7),SP_TaxPar_DB[Tax Parcel ID],0))</f>
        <v>319</v>
      </c>
      <c r="X647" s="238" t="str">
        <f>IF(OR(SP_ACQ_Lib[[#This Row],[Acquisition Tract No.]]="",SP_ACQ_Lib[[#This Row],[ACQ Document Type]]=""),0,CONCATENATE("COW-FRMP_TR-",SP_ACQ_Lib[[#This Row],[Acquisition Tract No.]]," ",SP_ACQ_Lib[[#This Row],[ACQ Document Type]]))</f>
        <v>COW-FRMP_TR-319 SURVEY Right-of-Entry</v>
      </c>
      <c r="Y647" s="239">
        <f>IF(OR(SP_ACQ_Lib[[#This Row],[File Name Convention]]=0,LEFT(SP_ACQ_Lib[[#This Row],[Name]],LEN(SP_ACQ_Lib[[#This Row],[File Name Convention]]))&lt;&gt;SP_ACQ_Lib[[#This Row],[File Name Convention]],ISERROR(SEARCH(SP_ACQ_Lib[[#This Row],[ACQ Document Type]],SP_ACQ_Lib[[#This Row],[Name]]))),1,0)</f>
        <v>0</v>
      </c>
    </row>
    <row r="648" spans="1:25" ht="15" x14ac:dyDescent="0.2">
      <c r="A648" s="157" t="str">
        <f>CONCATENATE(SP_ACQ_Lib[[#This Row],[Acquisition Tract No.]],"_",SP_ACQ_Lib[[#This Row],[ACQ Document Type]])</f>
        <v>319_TITLE Commitment</v>
      </c>
      <c r="B648" s="14" t="s">
        <v>1594</v>
      </c>
      <c r="C648" s="193" t="s">
        <v>61</v>
      </c>
      <c r="D648" s="12" t="s">
        <v>660</v>
      </c>
      <c r="E648" s="8" t="s">
        <v>861</v>
      </c>
      <c r="F648" s="8" t="s">
        <v>862</v>
      </c>
      <c r="G648" s="8" t="s">
        <v>614</v>
      </c>
      <c r="H648" s="7" t="s">
        <v>592</v>
      </c>
      <c r="I648" s="16">
        <v>43980</v>
      </c>
      <c r="J648" s="16">
        <v>43991</v>
      </c>
      <c r="K648" s="17">
        <v>6305</v>
      </c>
      <c r="L648" s="3" t="s">
        <v>661</v>
      </c>
      <c r="M648" s="8" t="s">
        <v>4325</v>
      </c>
      <c r="N648" s="11">
        <v>43991.556956018518</v>
      </c>
      <c r="O648" s="8" t="s">
        <v>4325</v>
      </c>
      <c r="P648" s="11">
        <v>43700.442939814813</v>
      </c>
      <c r="Q648" s="13">
        <v>445038</v>
      </c>
      <c r="R648" s="194" t="s">
        <v>594</v>
      </c>
      <c r="S648" s="14" t="s">
        <v>841</v>
      </c>
      <c r="T648" s="163">
        <v>150</v>
      </c>
      <c r="U648" s="164" t="str">
        <f>CONCATENATE(LEFT(SP_ACQ_Lib[[#This Row],[Tax Parcel ID]],7),"_",SP_ACQ_Lib[[#This Row],[ACQ Document Type]])</f>
        <v>R026694_TITLE Commitment</v>
      </c>
      <c r="V648" s="65" t="str">
        <f>INDEX(SP_AcqTract_DB[WCAD Tax Parcel ID],MATCH(SP_ACQ_Lib[[#This Row],[Acquisition Tract No.]],SP_AcqTract_DB[Acquisition Tract No.],0))</f>
        <v>R026694;#62</v>
      </c>
      <c r="W648" s="48" t="str">
        <f>INDEX(SP_TaxPar_DB[Acquisition Tract No.],MATCH(LEFT(SP_ACQ_Lib[[#This Row],[Tax Parcel ID]],7),SP_TaxPar_DB[Tax Parcel ID],0))</f>
        <v>319</v>
      </c>
      <c r="X648" s="238" t="str">
        <f>IF(OR(SP_ACQ_Lib[[#This Row],[Acquisition Tract No.]]="",SP_ACQ_Lib[[#This Row],[ACQ Document Type]]=""),0,CONCATENATE("COW-FRMP_TR-",SP_ACQ_Lib[[#This Row],[Acquisition Tract No.]]," ",SP_ACQ_Lib[[#This Row],[ACQ Document Type]]))</f>
        <v>COW-FRMP_TR-319 TITLE Commitment</v>
      </c>
      <c r="Y648" s="239">
        <f>IF(OR(SP_ACQ_Lib[[#This Row],[File Name Convention]]=0,LEFT(SP_ACQ_Lib[[#This Row],[Name]],LEN(SP_ACQ_Lib[[#This Row],[File Name Convention]]))&lt;&gt;SP_ACQ_Lib[[#This Row],[File Name Convention]],ISERROR(SEARCH(SP_ACQ_Lib[[#This Row],[ACQ Document Type]],SP_ACQ_Lib[[#This Row],[Name]]))),1,0)</f>
        <v>0</v>
      </c>
    </row>
    <row r="649" spans="1:25" ht="15" x14ac:dyDescent="0.2">
      <c r="A649" s="157" t="str">
        <f>CONCATENATE(SP_ACQ_Lib[[#This Row],[Acquisition Tract No.]],"_",SP_ACQ_Lib[[#This Row],[ACQ Document Type]])</f>
        <v>319_TITLE Commitment Backup Docs</v>
      </c>
      <c r="B649" s="14" t="s">
        <v>1595</v>
      </c>
      <c r="C649" s="193" t="s">
        <v>61</v>
      </c>
      <c r="D649" s="12" t="s">
        <v>660</v>
      </c>
      <c r="E649" s="8" t="s">
        <v>861</v>
      </c>
      <c r="F649" s="8" t="s">
        <v>863</v>
      </c>
      <c r="G649" s="8" t="s">
        <v>616</v>
      </c>
      <c r="H649" s="7" t="s">
        <v>592</v>
      </c>
      <c r="I649" s="16"/>
      <c r="J649" s="16"/>
      <c r="K649" s="17"/>
      <c r="L649" s="3"/>
      <c r="M649" s="8" t="s">
        <v>4325</v>
      </c>
      <c r="N649" s="11">
        <v>43803.454861111109</v>
      </c>
      <c r="O649" s="8" t="s">
        <v>4325</v>
      </c>
      <c r="P649" s="11">
        <v>43700.44771990741</v>
      </c>
      <c r="Q649" s="13">
        <v>247149</v>
      </c>
      <c r="R649" s="194" t="s">
        <v>594</v>
      </c>
      <c r="S649" s="14" t="s">
        <v>842</v>
      </c>
      <c r="T649" s="163">
        <v>151</v>
      </c>
      <c r="U649" s="164" t="str">
        <f>CONCATENATE(LEFT(SP_ACQ_Lib[[#This Row],[Tax Parcel ID]],7),"_",SP_ACQ_Lib[[#This Row],[ACQ Document Type]])</f>
        <v>R026694_TITLE Commitment Backup Docs</v>
      </c>
      <c r="V649" s="65" t="str">
        <f>INDEX(SP_AcqTract_DB[WCAD Tax Parcel ID],MATCH(SP_ACQ_Lib[[#This Row],[Acquisition Tract No.]],SP_AcqTract_DB[Acquisition Tract No.],0))</f>
        <v>R026694;#62</v>
      </c>
      <c r="W649" s="48" t="str">
        <f>INDEX(SP_TaxPar_DB[Acquisition Tract No.],MATCH(LEFT(SP_ACQ_Lib[[#This Row],[Tax Parcel ID]],7),SP_TaxPar_DB[Tax Parcel ID],0))</f>
        <v>319</v>
      </c>
      <c r="X649" s="238" t="str">
        <f>IF(OR(SP_ACQ_Lib[[#This Row],[Acquisition Tract No.]]="",SP_ACQ_Lib[[#This Row],[ACQ Document Type]]=""),0,CONCATENATE("COW-FRMP_TR-",SP_ACQ_Lib[[#This Row],[Acquisition Tract No.]]," ",SP_ACQ_Lib[[#This Row],[ACQ Document Type]]))</f>
        <v>COW-FRMP_TR-319 TITLE Commitment Backup Docs</v>
      </c>
      <c r="Y649" s="239">
        <f>IF(OR(SP_ACQ_Lib[[#This Row],[File Name Convention]]=0,LEFT(SP_ACQ_Lib[[#This Row],[Name]],LEN(SP_ACQ_Lib[[#This Row],[File Name Convention]]))&lt;&gt;SP_ACQ_Lib[[#This Row],[File Name Convention]],ISERROR(SEARCH(SP_ACQ_Lib[[#This Row],[ACQ Document Type]],SP_ACQ_Lib[[#This Row],[Name]]))),1,0)</f>
        <v>0</v>
      </c>
    </row>
    <row r="650" spans="1:25" ht="15" x14ac:dyDescent="0.2">
      <c r="A650" s="157" t="str">
        <f>CONCATENATE(SP_ACQ_Lib[[#This Row],[Acquisition Tract No.]],"_",SP_ACQ_Lib[[#This Row],[ACQ Document Type]])</f>
        <v>319_TITLE Curative Plan</v>
      </c>
      <c r="B650" s="14" t="s">
        <v>1596</v>
      </c>
      <c r="C650" s="193" t="s">
        <v>61</v>
      </c>
      <c r="D650" s="12" t="s">
        <v>660</v>
      </c>
      <c r="E650" s="8" t="s">
        <v>861</v>
      </c>
      <c r="F650" s="8" t="s">
        <v>864</v>
      </c>
      <c r="G650" s="8" t="s">
        <v>617</v>
      </c>
      <c r="H650" s="7" t="s">
        <v>592</v>
      </c>
      <c r="I650" s="16">
        <v>43815</v>
      </c>
      <c r="J650" s="16"/>
      <c r="K650" s="17"/>
      <c r="L650" s="3"/>
      <c r="M650" s="8" t="s">
        <v>4325</v>
      </c>
      <c r="N650" s="11">
        <v>43991.555150462962</v>
      </c>
      <c r="O650" s="8" t="s">
        <v>4326</v>
      </c>
      <c r="P650" s="11">
        <v>43746.377939814818</v>
      </c>
      <c r="Q650" s="13">
        <v>36599</v>
      </c>
      <c r="R650" s="194" t="s">
        <v>594</v>
      </c>
      <c r="S650" s="14" t="s">
        <v>1246</v>
      </c>
      <c r="T650" s="163">
        <v>410</v>
      </c>
      <c r="U650" s="164" t="str">
        <f>CONCATENATE(LEFT(SP_ACQ_Lib[[#This Row],[Tax Parcel ID]],7),"_",SP_ACQ_Lib[[#This Row],[ACQ Document Type]])</f>
        <v>R026694_TITLE Curative Plan</v>
      </c>
      <c r="V650" s="65" t="str">
        <f>INDEX(SP_AcqTract_DB[WCAD Tax Parcel ID],MATCH(SP_ACQ_Lib[[#This Row],[Acquisition Tract No.]],SP_AcqTract_DB[Acquisition Tract No.],0))</f>
        <v>R026694;#62</v>
      </c>
      <c r="W650" s="48" t="str">
        <f>INDEX(SP_TaxPar_DB[Acquisition Tract No.],MATCH(LEFT(SP_ACQ_Lib[[#This Row],[Tax Parcel ID]],7),SP_TaxPar_DB[Tax Parcel ID],0))</f>
        <v>319</v>
      </c>
      <c r="X650" s="238" t="str">
        <f>IF(OR(SP_ACQ_Lib[[#This Row],[Acquisition Tract No.]]="",SP_ACQ_Lib[[#This Row],[ACQ Document Type]]=""),0,CONCATENATE("COW-FRMP_TR-",SP_ACQ_Lib[[#This Row],[Acquisition Tract No.]]," ",SP_ACQ_Lib[[#This Row],[ACQ Document Type]]))</f>
        <v>COW-FRMP_TR-319 TITLE Curative Plan</v>
      </c>
      <c r="Y650" s="239">
        <f>IF(OR(SP_ACQ_Lib[[#This Row],[File Name Convention]]=0,LEFT(SP_ACQ_Lib[[#This Row],[Name]],LEN(SP_ACQ_Lib[[#This Row],[File Name Convention]]))&lt;&gt;SP_ACQ_Lib[[#This Row],[File Name Convention]],ISERROR(SEARCH(SP_ACQ_Lib[[#This Row],[ACQ Document Type]],SP_ACQ_Lib[[#This Row],[Name]]))),1,0)</f>
        <v>0</v>
      </c>
    </row>
    <row r="651" spans="1:25" ht="15" x14ac:dyDescent="0.2">
      <c r="A651" s="157" t="str">
        <f>CONCATENATE(SP_ACQ_Lib[[#This Row],[Acquisition Tract No.]],"_",SP_ACQ_Lib[[#This Row],[ACQ Document Type]])</f>
        <v>319_TITLE Tax Card</v>
      </c>
      <c r="B651" s="14" t="s">
        <v>3489</v>
      </c>
      <c r="C651" s="193" t="s">
        <v>61</v>
      </c>
      <c r="D651" s="12" t="s">
        <v>660</v>
      </c>
      <c r="E651" s="8" t="s">
        <v>861</v>
      </c>
      <c r="F651" s="8" t="s">
        <v>1150</v>
      </c>
      <c r="G651" s="8" t="s">
        <v>1149</v>
      </c>
      <c r="H651" s="7" t="s">
        <v>592</v>
      </c>
      <c r="I651" s="16"/>
      <c r="J651" s="16"/>
      <c r="K651" s="17"/>
      <c r="L651" s="3"/>
      <c r="M651" s="8" t="s">
        <v>4206</v>
      </c>
      <c r="N651" s="11">
        <v>43874.595659722225</v>
      </c>
      <c r="O651" s="8" t="s">
        <v>1272</v>
      </c>
      <c r="P651" s="11">
        <v>43817.480034722219</v>
      </c>
      <c r="Q651" s="13">
        <v>545687</v>
      </c>
      <c r="R651" s="194" t="s">
        <v>594</v>
      </c>
      <c r="S651" s="14" t="s">
        <v>1799</v>
      </c>
      <c r="T651" s="163">
        <v>664</v>
      </c>
      <c r="U651" s="164" t="str">
        <f>CONCATENATE(LEFT(SP_ACQ_Lib[[#This Row],[Tax Parcel ID]],7),"_",SP_ACQ_Lib[[#This Row],[ACQ Document Type]])</f>
        <v>R026694_TITLE Tax Card</v>
      </c>
      <c r="V651" s="65" t="str">
        <f>INDEX(SP_AcqTract_DB[WCAD Tax Parcel ID],MATCH(SP_ACQ_Lib[[#This Row],[Acquisition Tract No.]],SP_AcqTract_DB[Acquisition Tract No.],0))</f>
        <v>R026694;#62</v>
      </c>
      <c r="W651" s="48" t="str">
        <f>INDEX(SP_TaxPar_DB[Acquisition Tract No.],MATCH(LEFT(SP_ACQ_Lib[[#This Row],[Tax Parcel ID]],7),SP_TaxPar_DB[Tax Parcel ID],0))</f>
        <v>319</v>
      </c>
      <c r="X651" s="238" t="str">
        <f>IF(OR(SP_ACQ_Lib[[#This Row],[Acquisition Tract No.]]="",SP_ACQ_Lib[[#This Row],[ACQ Document Type]]=""),0,CONCATENATE("COW-FRMP_TR-",SP_ACQ_Lib[[#This Row],[Acquisition Tract No.]]," ",SP_ACQ_Lib[[#This Row],[ACQ Document Type]]))</f>
        <v>COW-FRMP_TR-319 TITLE Tax Card</v>
      </c>
      <c r="Y651" s="239">
        <f>IF(OR(SP_ACQ_Lib[[#This Row],[File Name Convention]]=0,LEFT(SP_ACQ_Lib[[#This Row],[Name]],LEN(SP_ACQ_Lib[[#This Row],[File Name Convention]]))&lt;&gt;SP_ACQ_Lib[[#This Row],[File Name Convention]],ISERROR(SEARCH(SP_ACQ_Lib[[#This Row],[ACQ Document Type]],SP_ACQ_Lib[[#This Row],[Name]]))),1,0)</f>
        <v>0</v>
      </c>
    </row>
    <row r="652" spans="1:25" ht="15" x14ac:dyDescent="0.2">
      <c r="A652" s="157" t="str">
        <f>CONCATENATE(SP_ACQ_Lib[[#This Row],[Acquisition Tract No.]],"_",SP_ACQ_Lib[[#This Row],[ACQ Document Type]])</f>
        <v>320_CONTACT Initial Interview - Residential</v>
      </c>
      <c r="B652" s="14" t="s">
        <v>1597</v>
      </c>
      <c r="C652" s="193" t="s">
        <v>62</v>
      </c>
      <c r="D652" s="12" t="s">
        <v>663</v>
      </c>
      <c r="E652" s="8" t="s">
        <v>865</v>
      </c>
      <c r="F652" s="8" t="s">
        <v>866</v>
      </c>
      <c r="G652" s="8" t="s">
        <v>618</v>
      </c>
      <c r="H652" s="7" t="s">
        <v>592</v>
      </c>
      <c r="I652" s="16">
        <v>43685</v>
      </c>
      <c r="J652" s="16"/>
      <c r="K652" s="17"/>
      <c r="L652" s="3" t="s">
        <v>662</v>
      </c>
      <c r="M652" s="8" t="s">
        <v>23</v>
      </c>
      <c r="N652" s="11">
        <v>43770.450231481482</v>
      </c>
      <c r="O652" s="8" t="s">
        <v>4325</v>
      </c>
      <c r="P652" s="11">
        <v>43696.402731481481</v>
      </c>
      <c r="Q652" s="13">
        <v>173951</v>
      </c>
      <c r="R652" s="194" t="s">
        <v>594</v>
      </c>
      <c r="S652" s="14" t="s">
        <v>843</v>
      </c>
      <c r="T652" s="163">
        <v>105</v>
      </c>
      <c r="U652" s="164" t="str">
        <f>CONCATENATE(LEFT(SP_ACQ_Lib[[#This Row],[Tax Parcel ID]],7),"_",SP_ACQ_Lib[[#This Row],[ACQ Document Type]])</f>
        <v>R056956_CONTACT Initial Interview - Residential</v>
      </c>
      <c r="V652" s="65" t="str">
        <f>INDEX(SP_AcqTract_DB[WCAD Tax Parcel ID],MATCH(SP_ACQ_Lib[[#This Row],[Acquisition Tract No.]],SP_AcqTract_DB[Acquisition Tract No.],0))</f>
        <v>R056956;#63</v>
      </c>
      <c r="W652" s="48" t="str">
        <f>INDEX(SP_TaxPar_DB[Acquisition Tract No.],MATCH(LEFT(SP_ACQ_Lib[[#This Row],[Tax Parcel ID]],7),SP_TaxPar_DB[Tax Parcel ID],0))</f>
        <v>320</v>
      </c>
      <c r="X652" s="238" t="str">
        <f>IF(OR(SP_ACQ_Lib[[#This Row],[Acquisition Tract No.]]="",SP_ACQ_Lib[[#This Row],[ACQ Document Type]]=""),0,CONCATENATE("COW-FRMP_TR-",SP_ACQ_Lib[[#This Row],[Acquisition Tract No.]]," ",SP_ACQ_Lib[[#This Row],[ACQ Document Type]]))</f>
        <v>COW-FRMP_TR-320 CONTACT Initial Interview - Residential</v>
      </c>
      <c r="Y652" s="239">
        <f>IF(OR(SP_ACQ_Lib[[#This Row],[File Name Convention]]=0,LEFT(SP_ACQ_Lib[[#This Row],[Name]],LEN(SP_ACQ_Lib[[#This Row],[File Name Convention]]))&lt;&gt;SP_ACQ_Lib[[#This Row],[File Name Convention]],ISERROR(SEARCH(SP_ACQ_Lib[[#This Row],[ACQ Document Type]],SP_ACQ_Lib[[#This Row],[Name]]))),1,0)</f>
        <v>0</v>
      </c>
    </row>
    <row r="653" spans="1:25" ht="15" x14ac:dyDescent="0.2">
      <c r="A653" s="157" t="str">
        <f>CONCATENATE(SP_ACQ_Lib[[#This Row],[Acquisition Tract No.]],"_",SP_ACQ_Lib[[#This Row],[ACQ Document Type]])</f>
        <v>320_CONTACT Letter of Intent-HDR</v>
      </c>
      <c r="B653" s="14" t="s">
        <v>1598</v>
      </c>
      <c r="C653" s="193" t="s">
        <v>62</v>
      </c>
      <c r="D653" s="12" t="s">
        <v>663</v>
      </c>
      <c r="E653" s="8" t="s">
        <v>865</v>
      </c>
      <c r="F653" s="8" t="s">
        <v>1401</v>
      </c>
      <c r="G653" s="8" t="s">
        <v>1400</v>
      </c>
      <c r="H653" s="7" t="s">
        <v>592</v>
      </c>
      <c r="I653" s="16">
        <v>43765</v>
      </c>
      <c r="J653" s="16"/>
      <c r="K653" s="17"/>
      <c r="L653" s="3"/>
      <c r="M653" s="8" t="s">
        <v>23</v>
      </c>
      <c r="N653" s="11">
        <v>43770.450243055559</v>
      </c>
      <c r="O653" s="8" t="s">
        <v>1272</v>
      </c>
      <c r="P653" s="11">
        <v>43769.648020833331</v>
      </c>
      <c r="Q653" s="13">
        <v>352853</v>
      </c>
      <c r="R653" s="194" t="s">
        <v>594</v>
      </c>
      <c r="S653" s="14" t="s">
        <v>1661</v>
      </c>
      <c r="T653" s="163">
        <v>563</v>
      </c>
      <c r="U653" s="164" t="str">
        <f>CONCATENATE(LEFT(SP_ACQ_Lib[[#This Row],[Tax Parcel ID]],7),"_",SP_ACQ_Lib[[#This Row],[ACQ Document Type]])</f>
        <v>R056956_CONTACT Letter of Intent-HDR</v>
      </c>
      <c r="V653" s="65" t="str">
        <f>INDEX(SP_AcqTract_DB[WCAD Tax Parcel ID],MATCH(SP_ACQ_Lib[[#This Row],[Acquisition Tract No.]],SP_AcqTract_DB[Acquisition Tract No.],0))</f>
        <v>R056956;#63</v>
      </c>
      <c r="W653" s="48" t="str">
        <f>INDEX(SP_TaxPar_DB[Acquisition Tract No.],MATCH(LEFT(SP_ACQ_Lib[[#This Row],[Tax Parcel ID]],7),SP_TaxPar_DB[Tax Parcel ID],0))</f>
        <v>320</v>
      </c>
      <c r="X653" s="238" t="str">
        <f>IF(OR(SP_ACQ_Lib[[#This Row],[Acquisition Tract No.]]="",SP_ACQ_Lib[[#This Row],[ACQ Document Type]]=""),0,CONCATENATE("COW-FRMP_TR-",SP_ACQ_Lib[[#This Row],[Acquisition Tract No.]]," ",SP_ACQ_Lib[[#This Row],[ACQ Document Type]]))</f>
        <v>COW-FRMP_TR-320 CONTACT Letter of Intent-HDR</v>
      </c>
      <c r="Y653" s="239">
        <f>IF(OR(SP_ACQ_Lib[[#This Row],[File Name Convention]]=0,LEFT(SP_ACQ_Lib[[#This Row],[Name]],LEN(SP_ACQ_Lib[[#This Row],[File Name Convention]]))&lt;&gt;SP_ACQ_Lib[[#This Row],[File Name Convention]],ISERROR(SEARCH(SP_ACQ_Lib[[#This Row],[ACQ Document Type]],SP_ACQ_Lib[[#This Row],[Name]]))),1,0)</f>
        <v>0</v>
      </c>
    </row>
    <row r="654" spans="1:25" ht="15" x14ac:dyDescent="0.2">
      <c r="A654" s="157" t="str">
        <f>CONCATENATE(SP_ACQ_Lib[[#This Row],[Acquisition Tract No.]],"_",SP_ACQ_Lib[[#This Row],[ACQ Document Type]])</f>
        <v>320_CONTACT Negotiator Report</v>
      </c>
      <c r="B654" s="14" t="s">
        <v>3415</v>
      </c>
      <c r="C654" s="193" t="s">
        <v>62</v>
      </c>
      <c r="D654" s="12" t="s">
        <v>663</v>
      </c>
      <c r="E654" s="8" t="s">
        <v>865</v>
      </c>
      <c r="F654" s="8" t="s">
        <v>1068</v>
      </c>
      <c r="G654" s="8" t="s">
        <v>1067</v>
      </c>
      <c r="H654" s="7" t="s">
        <v>592</v>
      </c>
      <c r="I654" s="16"/>
      <c r="J654" s="16"/>
      <c r="K654" s="17"/>
      <c r="L654" s="3"/>
      <c r="M654" s="8" t="s">
        <v>4206</v>
      </c>
      <c r="N654" s="11">
        <v>43872.547743055555</v>
      </c>
      <c r="O654" s="8" t="s">
        <v>4207</v>
      </c>
      <c r="P654" s="11">
        <v>43738.432858796295</v>
      </c>
      <c r="Q654" s="13">
        <v>58135</v>
      </c>
      <c r="R654" s="194" t="s">
        <v>1069</v>
      </c>
      <c r="S654" s="14" t="s">
        <v>1116</v>
      </c>
      <c r="T654" s="163">
        <v>377</v>
      </c>
      <c r="U654" s="164" t="str">
        <f>CONCATENATE(LEFT(SP_ACQ_Lib[[#This Row],[Tax Parcel ID]],7),"_",SP_ACQ_Lib[[#This Row],[ACQ Document Type]])</f>
        <v>R056956_CONTACT Negotiator Report</v>
      </c>
      <c r="V654" s="65" t="str">
        <f>INDEX(SP_AcqTract_DB[WCAD Tax Parcel ID],MATCH(SP_ACQ_Lib[[#This Row],[Acquisition Tract No.]],SP_AcqTract_DB[Acquisition Tract No.],0))</f>
        <v>R056956;#63</v>
      </c>
      <c r="W654" s="48" t="str">
        <f>INDEX(SP_TaxPar_DB[Acquisition Tract No.],MATCH(LEFT(SP_ACQ_Lib[[#This Row],[Tax Parcel ID]],7),SP_TaxPar_DB[Tax Parcel ID],0))</f>
        <v>320</v>
      </c>
      <c r="X654" s="238" t="str">
        <f>IF(OR(SP_ACQ_Lib[[#This Row],[Acquisition Tract No.]]="",SP_ACQ_Lib[[#This Row],[ACQ Document Type]]=""),0,CONCATENATE("COW-FRMP_TR-",SP_ACQ_Lib[[#This Row],[Acquisition Tract No.]]," ",SP_ACQ_Lib[[#This Row],[ACQ Document Type]]))</f>
        <v>COW-FRMP_TR-320 CONTACT Negotiator Report</v>
      </c>
      <c r="Y654" s="239">
        <f>IF(OR(SP_ACQ_Lib[[#This Row],[File Name Convention]]=0,LEFT(SP_ACQ_Lib[[#This Row],[Name]],LEN(SP_ACQ_Lib[[#This Row],[File Name Convention]]))&lt;&gt;SP_ACQ_Lib[[#This Row],[File Name Convention]],ISERROR(SEARCH(SP_ACQ_Lib[[#This Row],[ACQ Document Type]],SP_ACQ_Lib[[#This Row],[Name]]))),1,0)</f>
        <v>0</v>
      </c>
    </row>
    <row r="655" spans="1:25" ht="15" x14ac:dyDescent="0.2">
      <c r="A655" s="157" t="str">
        <f>CONCATENATE(SP_ACQ_Lib[[#This Row],[Acquisition Tract No.]],"_",SP_ACQ_Lib[[#This Row],[ACQ Document Type]])</f>
        <v>320_CONTACT Pre-Appraisal Contact with Owner</v>
      </c>
      <c r="B655" s="14" t="s">
        <v>3416</v>
      </c>
      <c r="C655" s="193" t="s">
        <v>62</v>
      </c>
      <c r="D655" s="12" t="s">
        <v>663</v>
      </c>
      <c r="E655" s="8" t="s">
        <v>865</v>
      </c>
      <c r="F655" s="8" t="s">
        <v>1748</v>
      </c>
      <c r="G655" s="8" t="s">
        <v>1747</v>
      </c>
      <c r="H655" s="7" t="s">
        <v>592</v>
      </c>
      <c r="I655" s="16">
        <v>43788</v>
      </c>
      <c r="J655" s="16"/>
      <c r="K655" s="17"/>
      <c r="L655" s="3"/>
      <c r="M655" s="8" t="s">
        <v>4206</v>
      </c>
      <c r="N655" s="11">
        <v>43872.549710648149</v>
      </c>
      <c r="O655" s="8" t="s">
        <v>1272</v>
      </c>
      <c r="P655" s="11">
        <v>43822.641504629632</v>
      </c>
      <c r="Q655" s="13">
        <v>1688438</v>
      </c>
      <c r="R655" s="194" t="s">
        <v>594</v>
      </c>
      <c r="S655" s="14" t="s">
        <v>1800</v>
      </c>
      <c r="T655" s="163">
        <v>681</v>
      </c>
      <c r="U655" s="164" t="str">
        <f>CONCATENATE(LEFT(SP_ACQ_Lib[[#This Row],[Tax Parcel ID]],7),"_",SP_ACQ_Lib[[#This Row],[ACQ Document Type]])</f>
        <v>R056956_CONTACT Pre-Appraisal Contact with Owner</v>
      </c>
      <c r="V655" s="65" t="str">
        <f>INDEX(SP_AcqTract_DB[WCAD Tax Parcel ID],MATCH(SP_ACQ_Lib[[#This Row],[Acquisition Tract No.]],SP_AcqTract_DB[Acquisition Tract No.],0))</f>
        <v>R056956;#63</v>
      </c>
      <c r="W655" s="48" t="str">
        <f>INDEX(SP_TaxPar_DB[Acquisition Tract No.],MATCH(LEFT(SP_ACQ_Lib[[#This Row],[Tax Parcel ID]],7),SP_TaxPar_DB[Tax Parcel ID],0))</f>
        <v>320</v>
      </c>
      <c r="X655" s="238" t="str">
        <f>IF(OR(SP_ACQ_Lib[[#This Row],[Acquisition Tract No.]]="",SP_ACQ_Lib[[#This Row],[ACQ Document Type]]=""),0,CONCATENATE("COW-FRMP_TR-",SP_ACQ_Lib[[#This Row],[Acquisition Tract No.]]," ",SP_ACQ_Lib[[#This Row],[ACQ Document Type]]))</f>
        <v>COW-FRMP_TR-320 CONTACT Pre-Appraisal Contact with Owner</v>
      </c>
      <c r="Y655" s="239">
        <f>IF(OR(SP_ACQ_Lib[[#This Row],[File Name Convention]]=0,LEFT(SP_ACQ_Lib[[#This Row],[Name]],LEN(SP_ACQ_Lib[[#This Row],[File Name Convention]]))&lt;&gt;SP_ACQ_Lib[[#This Row],[File Name Convention]],ISERROR(SEARCH(SP_ACQ_Lib[[#This Row],[ACQ Document Type]],SP_ACQ_Lib[[#This Row],[Name]]))),1,0)</f>
        <v>0</v>
      </c>
    </row>
    <row r="656" spans="1:25" ht="15" x14ac:dyDescent="0.2">
      <c r="A656" s="157" t="str">
        <f>CONCATENATE(SP_ACQ_Lib[[#This Row],[Acquisition Tract No.]],"_",SP_ACQ_Lib[[#This Row],[ACQ Document Type]])</f>
        <v>320_NEGOTIATION Landowner Bill of Rights Letter</v>
      </c>
      <c r="B656" s="14" t="s">
        <v>3490</v>
      </c>
      <c r="C656" s="193" t="s">
        <v>62</v>
      </c>
      <c r="D656" s="12" t="s">
        <v>663</v>
      </c>
      <c r="E656" s="8" t="s">
        <v>1142</v>
      </c>
      <c r="F656" s="8" t="s">
        <v>1746</v>
      </c>
      <c r="G656" s="8" t="s">
        <v>1745</v>
      </c>
      <c r="H656" s="7" t="s">
        <v>592</v>
      </c>
      <c r="I656" s="16">
        <v>43748</v>
      </c>
      <c r="J656" s="16"/>
      <c r="K656" s="17"/>
      <c r="L656" s="3"/>
      <c r="M656" s="8" t="s">
        <v>4206</v>
      </c>
      <c r="N656" s="11">
        <v>43872.569282407407</v>
      </c>
      <c r="O656" s="8" t="s">
        <v>4325</v>
      </c>
      <c r="P656" s="11">
        <v>43752.534849537034</v>
      </c>
      <c r="Q656" s="13">
        <v>340942</v>
      </c>
      <c r="R656" s="194" t="s">
        <v>594</v>
      </c>
      <c r="S656" s="14" t="s">
        <v>1247</v>
      </c>
      <c r="T656" s="163">
        <v>458</v>
      </c>
      <c r="U656" s="164" t="str">
        <f>CONCATENATE(LEFT(SP_ACQ_Lib[[#This Row],[Tax Parcel ID]],7),"_",SP_ACQ_Lib[[#This Row],[ACQ Document Type]])</f>
        <v>R056956_NEGOTIATION Landowner Bill of Rights Letter</v>
      </c>
      <c r="V656" s="65" t="str">
        <f>INDEX(SP_AcqTract_DB[WCAD Tax Parcel ID],MATCH(SP_ACQ_Lib[[#This Row],[Acquisition Tract No.]],SP_AcqTract_DB[Acquisition Tract No.],0))</f>
        <v>R056956;#63</v>
      </c>
      <c r="W656" s="48" t="str">
        <f>INDEX(SP_TaxPar_DB[Acquisition Tract No.],MATCH(LEFT(SP_ACQ_Lib[[#This Row],[Tax Parcel ID]],7),SP_TaxPar_DB[Tax Parcel ID],0))</f>
        <v>320</v>
      </c>
      <c r="X656" s="238" t="str">
        <f>IF(OR(SP_ACQ_Lib[[#This Row],[Acquisition Tract No.]]="",SP_ACQ_Lib[[#This Row],[ACQ Document Type]]=""),0,CONCATENATE("COW-FRMP_TR-",SP_ACQ_Lib[[#This Row],[Acquisition Tract No.]]," ",SP_ACQ_Lib[[#This Row],[ACQ Document Type]]))</f>
        <v>COW-FRMP_TR-320 NEGOTIATION Landowner Bill of Rights Letter</v>
      </c>
      <c r="Y656" s="239">
        <f>IF(OR(SP_ACQ_Lib[[#This Row],[File Name Convention]]=0,LEFT(SP_ACQ_Lib[[#This Row],[Name]],LEN(SP_ACQ_Lib[[#This Row],[File Name Convention]]))&lt;&gt;SP_ACQ_Lib[[#This Row],[File Name Convention]],ISERROR(SEARCH(SP_ACQ_Lib[[#This Row],[ACQ Document Type]],SP_ACQ_Lib[[#This Row],[Name]]))),1,0)</f>
        <v>0</v>
      </c>
    </row>
    <row r="657" spans="1:25" ht="15" x14ac:dyDescent="0.2">
      <c r="A657" s="157" t="str">
        <f>CONCATENATE(SP_ACQ_Lib[[#This Row],[Acquisition Tract No.]],"_",SP_ACQ_Lib[[#This Row],[ACQ Document Type]])</f>
        <v>320_SURVEY Description-Plat_CITY</v>
      </c>
      <c r="B657" s="14" t="s">
        <v>3539</v>
      </c>
      <c r="C657" s="193" t="s">
        <v>62</v>
      </c>
      <c r="D657" s="12" t="s">
        <v>663</v>
      </c>
      <c r="E657" s="8" t="s">
        <v>858</v>
      </c>
      <c r="F657" s="8" t="s">
        <v>3503</v>
      </c>
      <c r="G657" s="8" t="s">
        <v>3502</v>
      </c>
      <c r="H657" s="7" t="s">
        <v>1749</v>
      </c>
      <c r="I657" s="16">
        <v>43859</v>
      </c>
      <c r="J657" s="16">
        <v>43886</v>
      </c>
      <c r="K657" s="17"/>
      <c r="L657" s="3"/>
      <c r="M657" s="8" t="s">
        <v>4206</v>
      </c>
      <c r="N657" s="11">
        <v>43937.59138888889</v>
      </c>
      <c r="O657" s="8" t="s">
        <v>4206</v>
      </c>
      <c r="P657" s="11">
        <v>43886.641979166663</v>
      </c>
      <c r="Q657" s="13">
        <v>281890</v>
      </c>
      <c r="R657" s="194" t="s">
        <v>594</v>
      </c>
      <c r="S657" s="14" t="s">
        <v>3561</v>
      </c>
      <c r="T657" s="163">
        <v>742</v>
      </c>
      <c r="U657" s="164" t="str">
        <f>CONCATENATE(LEFT(SP_ACQ_Lib[[#This Row],[Tax Parcel ID]],7),"_",SP_ACQ_Lib[[#This Row],[ACQ Document Type]])</f>
        <v>R056956_SURVEY Description-Plat_CITY</v>
      </c>
      <c r="V657" s="65" t="str">
        <f>INDEX(SP_AcqTract_DB[WCAD Tax Parcel ID],MATCH(SP_ACQ_Lib[[#This Row],[Acquisition Tract No.]],SP_AcqTract_DB[Acquisition Tract No.],0))</f>
        <v>R056956;#63</v>
      </c>
      <c r="W657" s="48" t="str">
        <f>INDEX(SP_TaxPar_DB[Acquisition Tract No.],MATCH(LEFT(SP_ACQ_Lib[[#This Row],[Tax Parcel ID]],7),SP_TaxPar_DB[Tax Parcel ID],0))</f>
        <v>320</v>
      </c>
      <c r="X657" s="238" t="str">
        <f>IF(OR(SP_ACQ_Lib[[#This Row],[Acquisition Tract No.]]="",SP_ACQ_Lib[[#This Row],[ACQ Document Type]]=""),0,CONCATENATE("COW-FRMP_TR-",SP_ACQ_Lib[[#This Row],[Acquisition Tract No.]]," ",SP_ACQ_Lib[[#This Row],[ACQ Document Type]]))</f>
        <v>COW-FRMP_TR-320 SURVEY Description-Plat_CITY</v>
      </c>
      <c r="Y657" s="239">
        <f>IF(OR(SP_ACQ_Lib[[#This Row],[File Name Convention]]=0,LEFT(SP_ACQ_Lib[[#This Row],[Name]],LEN(SP_ACQ_Lib[[#This Row],[File Name Convention]]))&lt;&gt;SP_ACQ_Lib[[#This Row],[File Name Convention]],ISERROR(SEARCH(SP_ACQ_Lib[[#This Row],[ACQ Document Type]],SP_ACQ_Lib[[#This Row],[Name]]))),1,0)</f>
        <v>0</v>
      </c>
    </row>
    <row r="658" spans="1:25" ht="15" x14ac:dyDescent="0.2">
      <c r="A658" s="157" t="str">
        <f>CONCATENATE(SP_ACQ_Lib[[#This Row],[Acquisition Tract No.]],"_",SP_ACQ_Lib[[#This Row],[ACQ Document Type]])</f>
        <v>320_SURVEY Description-Plat_USACOE</v>
      </c>
      <c r="B658" s="14" t="s">
        <v>4992</v>
      </c>
      <c r="C658" s="193" t="s">
        <v>62</v>
      </c>
      <c r="D658" s="12" t="s">
        <v>663</v>
      </c>
      <c r="E658" s="8" t="s">
        <v>858</v>
      </c>
      <c r="F658" s="8" t="s">
        <v>3510</v>
      </c>
      <c r="G658" s="8" t="s">
        <v>3509</v>
      </c>
      <c r="H658" s="7" t="s">
        <v>592</v>
      </c>
      <c r="I658" s="16">
        <v>43859</v>
      </c>
      <c r="J658" s="16">
        <v>43948</v>
      </c>
      <c r="K658" s="17"/>
      <c r="L658" s="3"/>
      <c r="M658" s="8" t="s">
        <v>4206</v>
      </c>
      <c r="N658" s="11">
        <v>43949.813819444447</v>
      </c>
      <c r="O658" s="8" t="s">
        <v>4206</v>
      </c>
      <c r="P658" s="11">
        <v>43949.798125000001</v>
      </c>
      <c r="Q658" s="13">
        <v>528031</v>
      </c>
      <c r="R658" s="194" t="s">
        <v>594</v>
      </c>
      <c r="S658" s="14" t="s">
        <v>5011</v>
      </c>
      <c r="T658" s="163">
        <v>851</v>
      </c>
      <c r="U658" s="164" t="str">
        <f>CONCATENATE(LEFT(SP_ACQ_Lib[[#This Row],[Tax Parcel ID]],7),"_",SP_ACQ_Lib[[#This Row],[ACQ Document Type]])</f>
        <v>R056956_SURVEY Description-Plat_USACOE</v>
      </c>
      <c r="V658" s="65" t="str">
        <f>INDEX(SP_AcqTract_DB[WCAD Tax Parcel ID],MATCH(SP_ACQ_Lib[[#This Row],[Acquisition Tract No.]],SP_AcqTract_DB[Acquisition Tract No.],0))</f>
        <v>R056956;#63</v>
      </c>
      <c r="W658" s="48" t="str">
        <f>INDEX(SP_TaxPar_DB[Acquisition Tract No.],MATCH(LEFT(SP_ACQ_Lib[[#This Row],[Tax Parcel ID]],7),SP_TaxPar_DB[Tax Parcel ID],0))</f>
        <v>320</v>
      </c>
      <c r="X658" s="238" t="str">
        <f>IF(OR(SP_ACQ_Lib[[#This Row],[Acquisition Tract No.]]="",SP_ACQ_Lib[[#This Row],[ACQ Document Type]]=""),0,CONCATENATE("COW-FRMP_TR-",SP_ACQ_Lib[[#This Row],[Acquisition Tract No.]]," ",SP_ACQ_Lib[[#This Row],[ACQ Document Type]]))</f>
        <v>COW-FRMP_TR-320 SURVEY Description-Plat_USACOE</v>
      </c>
      <c r="Y658" s="239">
        <f>IF(OR(SP_ACQ_Lib[[#This Row],[File Name Convention]]=0,LEFT(SP_ACQ_Lib[[#This Row],[Name]],LEN(SP_ACQ_Lib[[#This Row],[File Name Convention]]))&lt;&gt;SP_ACQ_Lib[[#This Row],[File Name Convention]],ISERROR(SEARCH(SP_ACQ_Lib[[#This Row],[ACQ Document Type]],SP_ACQ_Lib[[#This Row],[Name]]))),1,0)</f>
        <v>0</v>
      </c>
    </row>
    <row r="659" spans="1:25" ht="15" x14ac:dyDescent="0.2">
      <c r="A659" s="157" t="str">
        <f>CONCATENATE(SP_ACQ_Lib[[#This Row],[Acquisition Tract No.]],"_",SP_ACQ_Lib[[#This Row],[ACQ Document Type]])</f>
        <v>320_SURVEY Right-of-Entry</v>
      </c>
      <c r="B659" s="14" t="s">
        <v>4605</v>
      </c>
      <c r="C659" s="193" t="s">
        <v>62</v>
      </c>
      <c r="D659" s="12" t="s">
        <v>663</v>
      </c>
      <c r="E659" s="8" t="s">
        <v>858</v>
      </c>
      <c r="F659" s="8" t="s">
        <v>859</v>
      </c>
      <c r="G659" s="8" t="s">
        <v>591</v>
      </c>
      <c r="H659" s="7" t="s">
        <v>592</v>
      </c>
      <c r="I659" s="16">
        <v>43689</v>
      </c>
      <c r="J659" s="16"/>
      <c r="K659" s="17"/>
      <c r="L659" s="3"/>
      <c r="M659" s="8" t="s">
        <v>4206</v>
      </c>
      <c r="N659" s="11">
        <v>43922.381377314814</v>
      </c>
      <c r="O659" s="8" t="s">
        <v>4207</v>
      </c>
      <c r="P659" s="11">
        <v>43691.671342592592</v>
      </c>
      <c r="Q659" s="13">
        <v>934666</v>
      </c>
      <c r="R659" s="194" t="s">
        <v>594</v>
      </c>
      <c r="S659" s="14" t="s">
        <v>844</v>
      </c>
      <c r="T659" s="163">
        <v>77</v>
      </c>
      <c r="U659" s="164" t="str">
        <f>CONCATENATE(LEFT(SP_ACQ_Lib[[#This Row],[Tax Parcel ID]],7),"_",SP_ACQ_Lib[[#This Row],[ACQ Document Type]])</f>
        <v>R056956_SURVEY Right-of-Entry</v>
      </c>
      <c r="V659" s="65" t="str">
        <f>INDEX(SP_AcqTract_DB[WCAD Tax Parcel ID],MATCH(SP_ACQ_Lib[[#This Row],[Acquisition Tract No.]],SP_AcqTract_DB[Acquisition Tract No.],0))</f>
        <v>R056956;#63</v>
      </c>
      <c r="W659" s="48" t="str">
        <f>INDEX(SP_TaxPar_DB[Acquisition Tract No.],MATCH(LEFT(SP_ACQ_Lib[[#This Row],[Tax Parcel ID]],7),SP_TaxPar_DB[Tax Parcel ID],0))</f>
        <v>320</v>
      </c>
      <c r="X659" s="238" t="str">
        <f>IF(OR(SP_ACQ_Lib[[#This Row],[Acquisition Tract No.]]="",SP_ACQ_Lib[[#This Row],[ACQ Document Type]]=""),0,CONCATENATE("COW-FRMP_TR-",SP_ACQ_Lib[[#This Row],[Acquisition Tract No.]]," ",SP_ACQ_Lib[[#This Row],[ACQ Document Type]]))</f>
        <v>COW-FRMP_TR-320 SURVEY Right-of-Entry</v>
      </c>
      <c r="Y659" s="239">
        <f>IF(OR(SP_ACQ_Lib[[#This Row],[File Name Convention]]=0,LEFT(SP_ACQ_Lib[[#This Row],[Name]],LEN(SP_ACQ_Lib[[#This Row],[File Name Convention]]))&lt;&gt;SP_ACQ_Lib[[#This Row],[File Name Convention]],ISERROR(SEARCH(SP_ACQ_Lib[[#This Row],[ACQ Document Type]],SP_ACQ_Lib[[#This Row],[Name]]))),1,0)</f>
        <v>0</v>
      </c>
    </row>
    <row r="660" spans="1:25" ht="15" x14ac:dyDescent="0.2">
      <c r="A660" s="157" t="str">
        <f>CONCATENATE(SP_ACQ_Lib[[#This Row],[Acquisition Tract No.]],"_",SP_ACQ_Lib[[#This Row],[ACQ Document Type]])</f>
        <v>320_TITLE Commitment</v>
      </c>
      <c r="B660" s="14" t="s">
        <v>1599</v>
      </c>
      <c r="C660" s="193" t="s">
        <v>62</v>
      </c>
      <c r="D660" s="12" t="s">
        <v>663</v>
      </c>
      <c r="E660" s="8" t="s">
        <v>861</v>
      </c>
      <c r="F660" s="8" t="s">
        <v>862</v>
      </c>
      <c r="G660" s="8" t="s">
        <v>614</v>
      </c>
      <c r="H660" s="7" t="s">
        <v>592</v>
      </c>
      <c r="I660" s="16">
        <v>43986</v>
      </c>
      <c r="J660" s="16">
        <v>43994</v>
      </c>
      <c r="K660" s="17"/>
      <c r="L660" s="3" t="s">
        <v>6234</v>
      </c>
      <c r="M660" s="8" t="s">
        <v>4325</v>
      </c>
      <c r="N660" s="11">
        <v>43994.619826388887</v>
      </c>
      <c r="O660" s="8" t="s">
        <v>4326</v>
      </c>
      <c r="P660" s="11">
        <v>43719.427499999998</v>
      </c>
      <c r="Q660" s="13">
        <v>573491</v>
      </c>
      <c r="R660" s="194" t="s">
        <v>594</v>
      </c>
      <c r="S660" s="14" t="s">
        <v>845</v>
      </c>
      <c r="T660" s="163">
        <v>236</v>
      </c>
      <c r="U660" s="164" t="str">
        <f>CONCATENATE(LEFT(SP_ACQ_Lib[[#This Row],[Tax Parcel ID]],7),"_",SP_ACQ_Lib[[#This Row],[ACQ Document Type]])</f>
        <v>R056956_TITLE Commitment</v>
      </c>
      <c r="V660" s="65" t="str">
        <f>INDEX(SP_AcqTract_DB[WCAD Tax Parcel ID],MATCH(SP_ACQ_Lib[[#This Row],[Acquisition Tract No.]],SP_AcqTract_DB[Acquisition Tract No.],0))</f>
        <v>R056956;#63</v>
      </c>
      <c r="W660" s="48" t="str">
        <f>INDEX(SP_TaxPar_DB[Acquisition Tract No.],MATCH(LEFT(SP_ACQ_Lib[[#This Row],[Tax Parcel ID]],7),SP_TaxPar_DB[Tax Parcel ID],0))</f>
        <v>320</v>
      </c>
      <c r="X660" s="238" t="str">
        <f>IF(OR(SP_ACQ_Lib[[#This Row],[Acquisition Tract No.]]="",SP_ACQ_Lib[[#This Row],[ACQ Document Type]]=""),0,CONCATENATE("COW-FRMP_TR-",SP_ACQ_Lib[[#This Row],[Acquisition Tract No.]]," ",SP_ACQ_Lib[[#This Row],[ACQ Document Type]]))</f>
        <v>COW-FRMP_TR-320 TITLE Commitment</v>
      </c>
      <c r="Y660" s="239">
        <f>IF(OR(SP_ACQ_Lib[[#This Row],[File Name Convention]]=0,LEFT(SP_ACQ_Lib[[#This Row],[Name]],LEN(SP_ACQ_Lib[[#This Row],[File Name Convention]]))&lt;&gt;SP_ACQ_Lib[[#This Row],[File Name Convention]],ISERROR(SEARCH(SP_ACQ_Lib[[#This Row],[ACQ Document Type]],SP_ACQ_Lib[[#This Row],[Name]]))),1,0)</f>
        <v>0</v>
      </c>
    </row>
    <row r="661" spans="1:25" ht="15" x14ac:dyDescent="0.2">
      <c r="A661" s="157" t="str">
        <f>CONCATENATE(SP_ACQ_Lib[[#This Row],[Acquisition Tract No.]],"_",SP_ACQ_Lib[[#This Row],[ACQ Document Type]])</f>
        <v>320_TITLE Commitment Backup Docs</v>
      </c>
      <c r="B661" s="14" t="s">
        <v>1600</v>
      </c>
      <c r="C661" s="193" t="s">
        <v>62</v>
      </c>
      <c r="D661" s="12" t="s">
        <v>663</v>
      </c>
      <c r="E661" s="8" t="s">
        <v>861</v>
      </c>
      <c r="F661" s="8" t="s">
        <v>863</v>
      </c>
      <c r="G661" s="8" t="s">
        <v>616</v>
      </c>
      <c r="H661" s="7" t="s">
        <v>592</v>
      </c>
      <c r="I661" s="16"/>
      <c r="J661" s="16"/>
      <c r="K661" s="17"/>
      <c r="L661" s="3"/>
      <c r="M661" s="8" t="s">
        <v>4325</v>
      </c>
      <c r="N661" s="11">
        <v>43803.462187500001</v>
      </c>
      <c r="O661" s="8" t="s">
        <v>4326</v>
      </c>
      <c r="P661" s="11">
        <v>43719.428101851852</v>
      </c>
      <c r="Q661" s="13">
        <v>297532</v>
      </c>
      <c r="R661" s="194" t="s">
        <v>594</v>
      </c>
      <c r="S661" s="14" t="s">
        <v>846</v>
      </c>
      <c r="T661" s="163">
        <v>237</v>
      </c>
      <c r="U661" s="164" t="str">
        <f>CONCATENATE(LEFT(SP_ACQ_Lib[[#This Row],[Tax Parcel ID]],7),"_",SP_ACQ_Lib[[#This Row],[ACQ Document Type]])</f>
        <v>R056956_TITLE Commitment Backup Docs</v>
      </c>
      <c r="V661" s="65" t="str">
        <f>INDEX(SP_AcqTract_DB[WCAD Tax Parcel ID],MATCH(SP_ACQ_Lib[[#This Row],[Acquisition Tract No.]],SP_AcqTract_DB[Acquisition Tract No.],0))</f>
        <v>R056956;#63</v>
      </c>
      <c r="W661" s="48" t="str">
        <f>INDEX(SP_TaxPar_DB[Acquisition Tract No.],MATCH(LEFT(SP_ACQ_Lib[[#This Row],[Tax Parcel ID]],7),SP_TaxPar_DB[Tax Parcel ID],0))</f>
        <v>320</v>
      </c>
      <c r="X661" s="238" t="str">
        <f>IF(OR(SP_ACQ_Lib[[#This Row],[Acquisition Tract No.]]="",SP_ACQ_Lib[[#This Row],[ACQ Document Type]]=""),0,CONCATENATE("COW-FRMP_TR-",SP_ACQ_Lib[[#This Row],[Acquisition Tract No.]]," ",SP_ACQ_Lib[[#This Row],[ACQ Document Type]]))</f>
        <v>COW-FRMP_TR-320 TITLE Commitment Backup Docs</v>
      </c>
      <c r="Y661" s="239">
        <f>IF(OR(SP_ACQ_Lib[[#This Row],[File Name Convention]]=0,LEFT(SP_ACQ_Lib[[#This Row],[Name]],LEN(SP_ACQ_Lib[[#This Row],[File Name Convention]]))&lt;&gt;SP_ACQ_Lib[[#This Row],[File Name Convention]],ISERROR(SEARCH(SP_ACQ_Lib[[#This Row],[ACQ Document Type]],SP_ACQ_Lib[[#This Row],[Name]]))),1,0)</f>
        <v>0</v>
      </c>
    </row>
    <row r="662" spans="1:25" ht="15" x14ac:dyDescent="0.2">
      <c r="A662" s="157" t="str">
        <f>CONCATENATE(SP_ACQ_Lib[[#This Row],[Acquisition Tract No.]],"_",SP_ACQ_Lib[[#This Row],[ACQ Document Type]])</f>
        <v>320_TITLE Curative Plan</v>
      </c>
      <c r="B662" s="14" t="s">
        <v>1601</v>
      </c>
      <c r="C662" s="193" t="s">
        <v>62</v>
      </c>
      <c r="D662" s="12" t="s">
        <v>663</v>
      </c>
      <c r="E662" s="8" t="s">
        <v>861</v>
      </c>
      <c r="F662" s="8" t="s">
        <v>864</v>
      </c>
      <c r="G662" s="8" t="s">
        <v>617</v>
      </c>
      <c r="H662" s="7" t="s">
        <v>592</v>
      </c>
      <c r="I662" s="16">
        <v>43815</v>
      </c>
      <c r="J662" s="16"/>
      <c r="K662" s="17"/>
      <c r="L662" s="3"/>
      <c r="M662" s="8" t="s">
        <v>4325</v>
      </c>
      <c r="N662" s="11">
        <v>43994.618657407409</v>
      </c>
      <c r="O662" s="8" t="s">
        <v>4326</v>
      </c>
      <c r="P662" s="11">
        <v>43746.38685185185</v>
      </c>
      <c r="Q662" s="13">
        <v>36109</v>
      </c>
      <c r="R662" s="194" t="s">
        <v>594</v>
      </c>
      <c r="S662" s="14" t="s">
        <v>1248</v>
      </c>
      <c r="T662" s="163">
        <v>411</v>
      </c>
      <c r="U662" s="164" t="str">
        <f>CONCATENATE(LEFT(SP_ACQ_Lib[[#This Row],[Tax Parcel ID]],7),"_",SP_ACQ_Lib[[#This Row],[ACQ Document Type]])</f>
        <v>R056956_TITLE Curative Plan</v>
      </c>
      <c r="V662" s="65" t="str">
        <f>INDEX(SP_AcqTract_DB[WCAD Tax Parcel ID],MATCH(SP_ACQ_Lib[[#This Row],[Acquisition Tract No.]],SP_AcqTract_DB[Acquisition Tract No.],0))</f>
        <v>R056956;#63</v>
      </c>
      <c r="W662" s="48" t="str">
        <f>INDEX(SP_TaxPar_DB[Acquisition Tract No.],MATCH(LEFT(SP_ACQ_Lib[[#This Row],[Tax Parcel ID]],7),SP_TaxPar_DB[Tax Parcel ID],0))</f>
        <v>320</v>
      </c>
      <c r="X662" s="238" t="str">
        <f>IF(OR(SP_ACQ_Lib[[#This Row],[Acquisition Tract No.]]="",SP_ACQ_Lib[[#This Row],[ACQ Document Type]]=""),0,CONCATENATE("COW-FRMP_TR-",SP_ACQ_Lib[[#This Row],[Acquisition Tract No.]]," ",SP_ACQ_Lib[[#This Row],[ACQ Document Type]]))</f>
        <v>COW-FRMP_TR-320 TITLE Curative Plan</v>
      </c>
      <c r="Y662" s="239">
        <f>IF(OR(SP_ACQ_Lib[[#This Row],[File Name Convention]]=0,LEFT(SP_ACQ_Lib[[#This Row],[Name]],LEN(SP_ACQ_Lib[[#This Row],[File Name Convention]]))&lt;&gt;SP_ACQ_Lib[[#This Row],[File Name Convention]],ISERROR(SEARCH(SP_ACQ_Lib[[#This Row],[ACQ Document Type]],SP_ACQ_Lib[[#This Row],[Name]]))),1,0)</f>
        <v>0</v>
      </c>
    </row>
    <row r="663" spans="1:25" ht="15" x14ac:dyDescent="0.2">
      <c r="A663" s="157" t="str">
        <f>CONCATENATE(SP_ACQ_Lib[[#This Row],[Acquisition Tract No.]],"_",SP_ACQ_Lib[[#This Row],[ACQ Document Type]])</f>
        <v>320_TITLE Tax Card</v>
      </c>
      <c r="B663" s="14" t="s">
        <v>3491</v>
      </c>
      <c r="C663" s="193" t="s">
        <v>62</v>
      </c>
      <c r="D663" s="12" t="s">
        <v>663</v>
      </c>
      <c r="E663" s="8" t="s">
        <v>861</v>
      </c>
      <c r="F663" s="8" t="s">
        <v>1150</v>
      </c>
      <c r="G663" s="8" t="s">
        <v>1149</v>
      </c>
      <c r="H663" s="7" t="s">
        <v>592</v>
      </c>
      <c r="I663" s="16"/>
      <c r="J663" s="16"/>
      <c r="K663" s="17"/>
      <c r="L663" s="3"/>
      <c r="M663" s="8" t="s">
        <v>4206</v>
      </c>
      <c r="N663" s="11">
        <v>43874.595775462964</v>
      </c>
      <c r="O663" s="8" t="s">
        <v>1272</v>
      </c>
      <c r="P663" s="11">
        <v>43817.480046296296</v>
      </c>
      <c r="Q663" s="13">
        <v>626553</v>
      </c>
      <c r="R663" s="194" t="s">
        <v>594</v>
      </c>
      <c r="S663" s="14" t="s">
        <v>1801</v>
      </c>
      <c r="T663" s="163">
        <v>665</v>
      </c>
      <c r="U663" s="164" t="str">
        <f>CONCATENATE(LEFT(SP_ACQ_Lib[[#This Row],[Tax Parcel ID]],7),"_",SP_ACQ_Lib[[#This Row],[ACQ Document Type]])</f>
        <v>R056956_TITLE Tax Card</v>
      </c>
      <c r="V663" s="65" t="str">
        <f>INDEX(SP_AcqTract_DB[WCAD Tax Parcel ID],MATCH(SP_ACQ_Lib[[#This Row],[Acquisition Tract No.]],SP_AcqTract_DB[Acquisition Tract No.],0))</f>
        <v>R056956;#63</v>
      </c>
      <c r="W663" s="48" t="str">
        <f>INDEX(SP_TaxPar_DB[Acquisition Tract No.],MATCH(LEFT(SP_ACQ_Lib[[#This Row],[Tax Parcel ID]],7),SP_TaxPar_DB[Tax Parcel ID],0))</f>
        <v>320</v>
      </c>
      <c r="X663" s="238" t="str">
        <f>IF(OR(SP_ACQ_Lib[[#This Row],[Acquisition Tract No.]]="",SP_ACQ_Lib[[#This Row],[ACQ Document Type]]=""),0,CONCATENATE("COW-FRMP_TR-",SP_ACQ_Lib[[#This Row],[Acquisition Tract No.]]," ",SP_ACQ_Lib[[#This Row],[ACQ Document Type]]))</f>
        <v>COW-FRMP_TR-320 TITLE Tax Card</v>
      </c>
      <c r="Y663" s="239">
        <f>IF(OR(SP_ACQ_Lib[[#This Row],[File Name Convention]]=0,LEFT(SP_ACQ_Lib[[#This Row],[Name]],LEN(SP_ACQ_Lib[[#This Row],[File Name Convention]]))&lt;&gt;SP_ACQ_Lib[[#This Row],[File Name Convention]],ISERROR(SEARCH(SP_ACQ_Lib[[#This Row],[ACQ Document Type]],SP_ACQ_Lib[[#This Row],[Name]]))),1,0)</f>
        <v>0</v>
      </c>
    </row>
    <row r="664" spans="1:25" ht="15" x14ac:dyDescent="0.2">
      <c r="A664" s="157" t="str">
        <f>CONCATENATE(SP_ACQ_Lib[[#This Row],[Acquisition Tract No.]],"_",SP_ACQ_Lib[[#This Row],[ACQ Document Type]])</f>
        <v>321_CONTACT Negotiator Report</v>
      </c>
      <c r="B664" s="14" t="s">
        <v>3417</v>
      </c>
      <c r="C664" s="193" t="s">
        <v>63</v>
      </c>
      <c r="D664" s="12" t="s">
        <v>1284</v>
      </c>
      <c r="E664" s="8" t="s">
        <v>865</v>
      </c>
      <c r="F664" s="8" t="s">
        <v>1068</v>
      </c>
      <c r="G664" s="8" t="s">
        <v>1067</v>
      </c>
      <c r="H664" s="7" t="s">
        <v>592</v>
      </c>
      <c r="I664" s="16"/>
      <c r="J664" s="16"/>
      <c r="K664" s="17"/>
      <c r="L664" s="3"/>
      <c r="M664" s="8" t="s">
        <v>4206</v>
      </c>
      <c r="N664" s="11">
        <v>43872.54787037037</v>
      </c>
      <c r="O664" s="8" t="s">
        <v>4207</v>
      </c>
      <c r="P664" s="11">
        <v>43738.432858796295</v>
      </c>
      <c r="Q664" s="13">
        <v>58615</v>
      </c>
      <c r="R664" s="194" t="s">
        <v>1069</v>
      </c>
      <c r="S664" s="14" t="s">
        <v>1117</v>
      </c>
      <c r="T664" s="163">
        <v>378</v>
      </c>
      <c r="U664" s="164" t="str">
        <f>CONCATENATE(LEFT(SP_ACQ_Lib[[#This Row],[Tax Parcel ID]],7),"_",SP_ACQ_Lib[[#This Row],[ACQ Document Type]])</f>
        <v>R026697_CONTACT Negotiator Report</v>
      </c>
      <c r="V664" s="65" t="str">
        <f>INDEX(SP_AcqTract_DB[WCAD Tax Parcel ID],MATCH(SP_ACQ_Lib[[#This Row],[Acquisition Tract No.]],SP_AcqTract_DB[Acquisition Tract No.],0))</f>
        <v>R026697;#64;#UNKN003;#19</v>
      </c>
      <c r="W664" s="48" t="str">
        <f>INDEX(SP_TaxPar_DB[Acquisition Tract No.],MATCH(LEFT(SP_ACQ_Lib[[#This Row],[Tax Parcel ID]],7),SP_TaxPar_DB[Tax Parcel ID],0))</f>
        <v>321</v>
      </c>
      <c r="X664" s="238" t="str">
        <f>IF(OR(SP_ACQ_Lib[[#This Row],[Acquisition Tract No.]]="",SP_ACQ_Lib[[#This Row],[ACQ Document Type]]=""),0,CONCATENATE("COW-FRMP_TR-",SP_ACQ_Lib[[#This Row],[Acquisition Tract No.]]," ",SP_ACQ_Lib[[#This Row],[ACQ Document Type]]))</f>
        <v>COW-FRMP_TR-321 CONTACT Negotiator Report</v>
      </c>
      <c r="Y664" s="239">
        <f>IF(OR(SP_ACQ_Lib[[#This Row],[File Name Convention]]=0,LEFT(SP_ACQ_Lib[[#This Row],[Name]],LEN(SP_ACQ_Lib[[#This Row],[File Name Convention]]))&lt;&gt;SP_ACQ_Lib[[#This Row],[File Name Convention]],ISERROR(SEARCH(SP_ACQ_Lib[[#This Row],[ACQ Document Type]],SP_ACQ_Lib[[#This Row],[Name]]))),1,0)</f>
        <v>0</v>
      </c>
    </row>
    <row r="665" spans="1:25" ht="15" x14ac:dyDescent="0.2">
      <c r="A665" s="157" t="str">
        <f>CONCATENATE(SP_ACQ_Lib[[#This Row],[Acquisition Tract No.]],"_",SP_ACQ_Lib[[#This Row],[ACQ Document Type]])</f>
        <v>321_NEGOTIATION Landowner Bill of Rights Letter</v>
      </c>
      <c r="B665" s="14" t="s">
        <v>3492</v>
      </c>
      <c r="C665" s="193" t="s">
        <v>63</v>
      </c>
      <c r="D665" s="12" t="s">
        <v>1284</v>
      </c>
      <c r="E665" s="8" t="s">
        <v>1142</v>
      </c>
      <c r="F665" s="8" t="s">
        <v>1746</v>
      </c>
      <c r="G665" s="8" t="s">
        <v>1745</v>
      </c>
      <c r="H665" s="7" t="s">
        <v>592</v>
      </c>
      <c r="I665" s="16">
        <v>43748</v>
      </c>
      <c r="J665" s="16"/>
      <c r="K665" s="17"/>
      <c r="L665" s="3"/>
      <c r="M665" s="8" t="s">
        <v>4205</v>
      </c>
      <c r="N665" s="11">
        <v>43893.417488425926</v>
      </c>
      <c r="O665" s="8" t="s">
        <v>4325</v>
      </c>
      <c r="P665" s="11">
        <v>43752.536226851851</v>
      </c>
      <c r="Q665" s="13">
        <v>347338</v>
      </c>
      <c r="R665" s="194" t="s">
        <v>594</v>
      </c>
      <c r="S665" s="14" t="s">
        <v>1249</v>
      </c>
      <c r="T665" s="163">
        <v>459</v>
      </c>
      <c r="U665" s="164" t="str">
        <f>CONCATENATE(LEFT(SP_ACQ_Lib[[#This Row],[Tax Parcel ID]],7),"_",SP_ACQ_Lib[[#This Row],[ACQ Document Type]])</f>
        <v>R026697_NEGOTIATION Landowner Bill of Rights Letter</v>
      </c>
      <c r="V665" s="65" t="str">
        <f>INDEX(SP_AcqTract_DB[WCAD Tax Parcel ID],MATCH(SP_ACQ_Lib[[#This Row],[Acquisition Tract No.]],SP_AcqTract_DB[Acquisition Tract No.],0))</f>
        <v>R026697;#64;#UNKN003;#19</v>
      </c>
      <c r="W665" s="48" t="str">
        <f>INDEX(SP_TaxPar_DB[Acquisition Tract No.],MATCH(LEFT(SP_ACQ_Lib[[#This Row],[Tax Parcel ID]],7),SP_TaxPar_DB[Tax Parcel ID],0))</f>
        <v>321</v>
      </c>
      <c r="X665" s="238" t="str">
        <f>IF(OR(SP_ACQ_Lib[[#This Row],[Acquisition Tract No.]]="",SP_ACQ_Lib[[#This Row],[ACQ Document Type]]=""),0,CONCATENATE("COW-FRMP_TR-",SP_ACQ_Lib[[#This Row],[Acquisition Tract No.]]," ",SP_ACQ_Lib[[#This Row],[ACQ Document Type]]))</f>
        <v>COW-FRMP_TR-321 NEGOTIATION Landowner Bill of Rights Letter</v>
      </c>
      <c r="Y665" s="239">
        <f>IF(OR(SP_ACQ_Lib[[#This Row],[File Name Convention]]=0,LEFT(SP_ACQ_Lib[[#This Row],[Name]],LEN(SP_ACQ_Lib[[#This Row],[File Name Convention]]))&lt;&gt;SP_ACQ_Lib[[#This Row],[File Name Convention]],ISERROR(SEARCH(SP_ACQ_Lib[[#This Row],[ACQ Document Type]],SP_ACQ_Lib[[#This Row],[Name]]))),1,0)</f>
        <v>0</v>
      </c>
    </row>
    <row r="666" spans="1:25" ht="15" x14ac:dyDescent="0.2">
      <c r="A666" s="157" t="str">
        <f>CONCATENATE(SP_ACQ_Lib[[#This Row],[Acquisition Tract No.]],"_",SP_ACQ_Lib[[#This Row],[ACQ Document Type]])</f>
        <v>321_SURVEY Description-Plat_USACOE</v>
      </c>
      <c r="B666" s="14" t="s">
        <v>6035</v>
      </c>
      <c r="C666" s="193" t="s">
        <v>63</v>
      </c>
      <c r="D666" s="12" t="s">
        <v>1284</v>
      </c>
      <c r="E666" s="8" t="s">
        <v>858</v>
      </c>
      <c r="F666" s="8" t="s">
        <v>3510</v>
      </c>
      <c r="G666" s="8" t="s">
        <v>3509</v>
      </c>
      <c r="H666" s="7" t="s">
        <v>592</v>
      </c>
      <c r="I666" s="16">
        <v>43991</v>
      </c>
      <c r="J666" s="16">
        <v>43993</v>
      </c>
      <c r="K666" s="17"/>
      <c r="L666" s="3"/>
      <c r="M666" s="8" t="s">
        <v>4206</v>
      </c>
      <c r="N666" s="11">
        <v>43994.377210648148</v>
      </c>
      <c r="O666" s="8" t="s">
        <v>4206</v>
      </c>
      <c r="P666" s="11">
        <v>43994.366736111115</v>
      </c>
      <c r="Q666" s="13">
        <v>844010</v>
      </c>
      <c r="R666" s="194" t="s">
        <v>594</v>
      </c>
      <c r="S666" s="14" t="s">
        <v>6056</v>
      </c>
      <c r="T666" s="163">
        <v>1197</v>
      </c>
      <c r="U666" s="164" t="str">
        <f>CONCATENATE(LEFT(SP_ACQ_Lib[[#This Row],[Tax Parcel ID]],7),"_",SP_ACQ_Lib[[#This Row],[ACQ Document Type]])</f>
        <v>R026697_SURVEY Description-Plat_USACOE</v>
      </c>
      <c r="V666" s="65" t="str">
        <f>INDEX(SP_AcqTract_DB[WCAD Tax Parcel ID],MATCH(SP_ACQ_Lib[[#This Row],[Acquisition Tract No.]],SP_AcqTract_DB[Acquisition Tract No.],0))</f>
        <v>R026697;#64;#UNKN003;#19</v>
      </c>
      <c r="W666" s="48" t="str">
        <f>INDEX(SP_TaxPar_DB[Acquisition Tract No.],MATCH(LEFT(SP_ACQ_Lib[[#This Row],[Tax Parcel ID]],7),SP_TaxPar_DB[Tax Parcel ID],0))</f>
        <v>321</v>
      </c>
      <c r="X666" s="238" t="str">
        <f>IF(OR(SP_ACQ_Lib[[#This Row],[Acquisition Tract No.]]="",SP_ACQ_Lib[[#This Row],[ACQ Document Type]]=""),0,CONCATENATE("COW-FRMP_TR-",SP_ACQ_Lib[[#This Row],[Acquisition Tract No.]]," ",SP_ACQ_Lib[[#This Row],[ACQ Document Type]]))</f>
        <v>COW-FRMP_TR-321 SURVEY Description-Plat_USACOE</v>
      </c>
      <c r="Y666" s="239">
        <f>IF(OR(SP_ACQ_Lib[[#This Row],[File Name Convention]]=0,LEFT(SP_ACQ_Lib[[#This Row],[Name]],LEN(SP_ACQ_Lib[[#This Row],[File Name Convention]]))&lt;&gt;SP_ACQ_Lib[[#This Row],[File Name Convention]],ISERROR(SEARCH(SP_ACQ_Lib[[#This Row],[ACQ Document Type]],SP_ACQ_Lib[[#This Row],[Name]]))),1,0)</f>
        <v>0</v>
      </c>
    </row>
    <row r="667" spans="1:25" ht="15" x14ac:dyDescent="0.2">
      <c r="A667" s="157" t="str">
        <f>CONCATENATE(SP_ACQ_Lib[[#This Row],[Acquisition Tract No.]],"_",SP_ACQ_Lib[[#This Row],[ACQ Document Type]])</f>
        <v>321_TITLE Commitment</v>
      </c>
      <c r="B667" s="14" t="s">
        <v>1602</v>
      </c>
      <c r="C667" s="193" t="s">
        <v>63</v>
      </c>
      <c r="D667" s="12" t="s">
        <v>1284</v>
      </c>
      <c r="E667" s="8" t="s">
        <v>861</v>
      </c>
      <c r="F667" s="8" t="s">
        <v>862</v>
      </c>
      <c r="G667" s="8" t="s">
        <v>614</v>
      </c>
      <c r="H667" s="7" t="s">
        <v>592</v>
      </c>
      <c r="I667" s="16">
        <v>43707</v>
      </c>
      <c r="J667" s="16">
        <v>43714</v>
      </c>
      <c r="K667" s="17"/>
      <c r="L667" s="3"/>
      <c r="M667" s="8" t="s">
        <v>4206</v>
      </c>
      <c r="N667" s="11">
        <v>43915.413391203707</v>
      </c>
      <c r="O667" s="8" t="s">
        <v>4326</v>
      </c>
      <c r="P667" s="11">
        <v>43717.327453703707</v>
      </c>
      <c r="Q667" s="13">
        <v>252129</v>
      </c>
      <c r="R667" s="194" t="s">
        <v>594</v>
      </c>
      <c r="S667" s="14" t="s">
        <v>847</v>
      </c>
      <c r="T667" s="163">
        <v>212</v>
      </c>
      <c r="U667" s="164" t="str">
        <f>CONCATENATE(LEFT(SP_ACQ_Lib[[#This Row],[Tax Parcel ID]],7),"_",SP_ACQ_Lib[[#This Row],[ACQ Document Type]])</f>
        <v>R026697_TITLE Commitment</v>
      </c>
      <c r="V667" s="65" t="str">
        <f>INDEX(SP_AcqTract_DB[WCAD Tax Parcel ID],MATCH(SP_ACQ_Lib[[#This Row],[Acquisition Tract No.]],SP_AcqTract_DB[Acquisition Tract No.],0))</f>
        <v>R026697;#64;#UNKN003;#19</v>
      </c>
      <c r="W667" s="48" t="str">
        <f>INDEX(SP_TaxPar_DB[Acquisition Tract No.],MATCH(LEFT(SP_ACQ_Lib[[#This Row],[Tax Parcel ID]],7),SP_TaxPar_DB[Tax Parcel ID],0))</f>
        <v>321</v>
      </c>
      <c r="X667" s="238" t="str">
        <f>IF(OR(SP_ACQ_Lib[[#This Row],[Acquisition Tract No.]]="",SP_ACQ_Lib[[#This Row],[ACQ Document Type]]=""),0,CONCATENATE("COW-FRMP_TR-",SP_ACQ_Lib[[#This Row],[Acquisition Tract No.]]," ",SP_ACQ_Lib[[#This Row],[ACQ Document Type]]))</f>
        <v>COW-FRMP_TR-321 TITLE Commitment</v>
      </c>
      <c r="Y667" s="239">
        <f>IF(OR(SP_ACQ_Lib[[#This Row],[File Name Convention]]=0,LEFT(SP_ACQ_Lib[[#This Row],[Name]],LEN(SP_ACQ_Lib[[#This Row],[File Name Convention]]))&lt;&gt;SP_ACQ_Lib[[#This Row],[File Name Convention]],ISERROR(SEARCH(SP_ACQ_Lib[[#This Row],[ACQ Document Type]],SP_ACQ_Lib[[#This Row],[Name]]))),1,0)</f>
        <v>0</v>
      </c>
    </row>
    <row r="668" spans="1:25" ht="15" x14ac:dyDescent="0.2">
      <c r="A668" s="157" t="str">
        <f>CONCATENATE(SP_ACQ_Lib[[#This Row],[Acquisition Tract No.]],"_",SP_ACQ_Lib[[#This Row],[ACQ Document Type]])</f>
        <v>321_TITLE Commitment Backup Docs</v>
      </c>
      <c r="B668" s="14" t="s">
        <v>1603</v>
      </c>
      <c r="C668" s="193" t="s">
        <v>63</v>
      </c>
      <c r="D668" s="12" t="s">
        <v>1284</v>
      </c>
      <c r="E668" s="8" t="s">
        <v>861</v>
      </c>
      <c r="F668" s="8" t="s">
        <v>863</v>
      </c>
      <c r="G668" s="8" t="s">
        <v>616</v>
      </c>
      <c r="H668" s="7" t="s">
        <v>592</v>
      </c>
      <c r="I668" s="16"/>
      <c r="J668" s="16"/>
      <c r="K668" s="17"/>
      <c r="L668" s="3"/>
      <c r="M668" s="8" t="s">
        <v>4325</v>
      </c>
      <c r="N668" s="11">
        <v>43803.464270833334</v>
      </c>
      <c r="O668" s="8" t="s">
        <v>4326</v>
      </c>
      <c r="P668" s="11">
        <v>43717.328217592592</v>
      </c>
      <c r="Q668" s="13">
        <v>175194</v>
      </c>
      <c r="R668" s="194" t="s">
        <v>594</v>
      </c>
      <c r="S668" s="14" t="s">
        <v>848</v>
      </c>
      <c r="T668" s="163">
        <v>213</v>
      </c>
      <c r="U668" s="164" t="str">
        <f>CONCATENATE(LEFT(SP_ACQ_Lib[[#This Row],[Tax Parcel ID]],7),"_",SP_ACQ_Lib[[#This Row],[ACQ Document Type]])</f>
        <v>R026697_TITLE Commitment Backup Docs</v>
      </c>
      <c r="V668" s="65" t="str">
        <f>INDEX(SP_AcqTract_DB[WCAD Tax Parcel ID],MATCH(SP_ACQ_Lib[[#This Row],[Acquisition Tract No.]],SP_AcqTract_DB[Acquisition Tract No.],0))</f>
        <v>R026697;#64;#UNKN003;#19</v>
      </c>
      <c r="W668" s="48" t="str">
        <f>INDEX(SP_TaxPar_DB[Acquisition Tract No.],MATCH(LEFT(SP_ACQ_Lib[[#This Row],[Tax Parcel ID]],7),SP_TaxPar_DB[Tax Parcel ID],0))</f>
        <v>321</v>
      </c>
      <c r="X668" s="238" t="str">
        <f>IF(OR(SP_ACQ_Lib[[#This Row],[Acquisition Tract No.]]="",SP_ACQ_Lib[[#This Row],[ACQ Document Type]]=""),0,CONCATENATE("COW-FRMP_TR-",SP_ACQ_Lib[[#This Row],[Acquisition Tract No.]]," ",SP_ACQ_Lib[[#This Row],[ACQ Document Type]]))</f>
        <v>COW-FRMP_TR-321 TITLE Commitment Backup Docs</v>
      </c>
      <c r="Y668" s="239">
        <f>IF(OR(SP_ACQ_Lib[[#This Row],[File Name Convention]]=0,LEFT(SP_ACQ_Lib[[#This Row],[Name]],LEN(SP_ACQ_Lib[[#This Row],[File Name Convention]]))&lt;&gt;SP_ACQ_Lib[[#This Row],[File Name Convention]],ISERROR(SEARCH(SP_ACQ_Lib[[#This Row],[ACQ Document Type]],SP_ACQ_Lib[[#This Row],[Name]]))),1,0)</f>
        <v>0</v>
      </c>
    </row>
    <row r="669" spans="1:25" ht="15" x14ac:dyDescent="0.2">
      <c r="A669" s="157" t="str">
        <f>CONCATENATE(SP_ACQ_Lib[[#This Row],[Acquisition Tract No.]],"_",SP_ACQ_Lib[[#This Row],[ACQ Document Type]])</f>
        <v>321_TITLE Curative Plan</v>
      </c>
      <c r="B669" s="14" t="s">
        <v>1604</v>
      </c>
      <c r="C669" s="193" t="s">
        <v>63</v>
      </c>
      <c r="D669" s="12" t="s">
        <v>1284</v>
      </c>
      <c r="E669" s="8" t="s">
        <v>861</v>
      </c>
      <c r="F669" s="8" t="s">
        <v>864</v>
      </c>
      <c r="G669" s="8" t="s">
        <v>617</v>
      </c>
      <c r="H669" s="7" t="s">
        <v>592</v>
      </c>
      <c r="I669" s="16">
        <v>43719</v>
      </c>
      <c r="J669" s="16"/>
      <c r="K669" s="17"/>
      <c r="L669" s="3"/>
      <c r="M669" s="8" t="s">
        <v>4206</v>
      </c>
      <c r="N669" s="11">
        <v>43879.538194444445</v>
      </c>
      <c r="O669" s="8" t="s">
        <v>4326</v>
      </c>
      <c r="P669" s="11">
        <v>43719.435706018521</v>
      </c>
      <c r="Q669" s="13">
        <v>44428</v>
      </c>
      <c r="R669" s="194" t="s">
        <v>594</v>
      </c>
      <c r="S669" s="14" t="s">
        <v>849</v>
      </c>
      <c r="T669" s="163">
        <v>239</v>
      </c>
      <c r="U669" s="164" t="str">
        <f>CONCATENATE(LEFT(SP_ACQ_Lib[[#This Row],[Tax Parcel ID]],7),"_",SP_ACQ_Lib[[#This Row],[ACQ Document Type]])</f>
        <v>R026697_TITLE Curative Plan</v>
      </c>
      <c r="V669" s="65" t="str">
        <f>INDEX(SP_AcqTract_DB[WCAD Tax Parcel ID],MATCH(SP_ACQ_Lib[[#This Row],[Acquisition Tract No.]],SP_AcqTract_DB[Acquisition Tract No.],0))</f>
        <v>R026697;#64;#UNKN003;#19</v>
      </c>
      <c r="W669" s="48" t="str">
        <f>INDEX(SP_TaxPar_DB[Acquisition Tract No.],MATCH(LEFT(SP_ACQ_Lib[[#This Row],[Tax Parcel ID]],7),SP_TaxPar_DB[Tax Parcel ID],0))</f>
        <v>321</v>
      </c>
      <c r="X669" s="238" t="str">
        <f>IF(OR(SP_ACQ_Lib[[#This Row],[Acquisition Tract No.]]="",SP_ACQ_Lib[[#This Row],[ACQ Document Type]]=""),0,CONCATENATE("COW-FRMP_TR-",SP_ACQ_Lib[[#This Row],[Acquisition Tract No.]]," ",SP_ACQ_Lib[[#This Row],[ACQ Document Type]]))</f>
        <v>COW-FRMP_TR-321 TITLE Curative Plan</v>
      </c>
      <c r="Y669" s="239">
        <f>IF(OR(SP_ACQ_Lib[[#This Row],[File Name Convention]]=0,LEFT(SP_ACQ_Lib[[#This Row],[Name]],LEN(SP_ACQ_Lib[[#This Row],[File Name Convention]]))&lt;&gt;SP_ACQ_Lib[[#This Row],[File Name Convention]],ISERROR(SEARCH(SP_ACQ_Lib[[#This Row],[ACQ Document Type]],SP_ACQ_Lib[[#This Row],[Name]]))),1,0)</f>
        <v>0</v>
      </c>
    </row>
    <row r="670" spans="1:25" ht="15" x14ac:dyDescent="0.2">
      <c r="A670" s="157" t="str">
        <f>CONCATENATE(SP_ACQ_Lib[[#This Row],[Acquisition Tract No.]],"_",SP_ACQ_Lib[[#This Row],[ACQ Document Type]])</f>
        <v>321_TITLE Tax Card</v>
      </c>
      <c r="B670" s="14" t="s">
        <v>3493</v>
      </c>
      <c r="C670" s="193" t="s">
        <v>63</v>
      </c>
      <c r="D670" s="12" t="s">
        <v>1284</v>
      </c>
      <c r="E670" s="8" t="s">
        <v>861</v>
      </c>
      <c r="F670" s="8" t="s">
        <v>1150</v>
      </c>
      <c r="G670" s="8" t="s">
        <v>1149</v>
      </c>
      <c r="H670" s="7" t="s">
        <v>592</v>
      </c>
      <c r="I670" s="16"/>
      <c r="J670" s="16"/>
      <c r="K670" s="17"/>
      <c r="L670" s="3"/>
      <c r="M670" s="8" t="s">
        <v>4205</v>
      </c>
      <c r="N670" s="11">
        <v>43893.417685185188</v>
      </c>
      <c r="O670" s="8" t="s">
        <v>1272</v>
      </c>
      <c r="P670" s="11">
        <v>43817.480046296296</v>
      </c>
      <c r="Q670" s="13">
        <v>701205</v>
      </c>
      <c r="R670" s="194" t="s">
        <v>594</v>
      </c>
      <c r="S670" s="14" t="s">
        <v>1802</v>
      </c>
      <c r="T670" s="163">
        <v>666</v>
      </c>
      <c r="U670" s="164" t="str">
        <f>CONCATENATE(LEFT(SP_ACQ_Lib[[#This Row],[Tax Parcel ID]],7),"_",SP_ACQ_Lib[[#This Row],[ACQ Document Type]])</f>
        <v>R026697_TITLE Tax Card</v>
      </c>
      <c r="V670" s="65" t="str">
        <f>INDEX(SP_AcqTract_DB[WCAD Tax Parcel ID],MATCH(SP_ACQ_Lib[[#This Row],[Acquisition Tract No.]],SP_AcqTract_DB[Acquisition Tract No.],0))</f>
        <v>R026697;#64;#UNKN003;#19</v>
      </c>
      <c r="W670" s="48" t="str">
        <f>INDEX(SP_TaxPar_DB[Acquisition Tract No.],MATCH(LEFT(SP_ACQ_Lib[[#This Row],[Tax Parcel ID]],7),SP_TaxPar_DB[Tax Parcel ID],0))</f>
        <v>321</v>
      </c>
      <c r="X670" s="238" t="str">
        <f>IF(OR(SP_ACQ_Lib[[#This Row],[Acquisition Tract No.]]="",SP_ACQ_Lib[[#This Row],[ACQ Document Type]]=""),0,CONCATENATE("COW-FRMP_TR-",SP_ACQ_Lib[[#This Row],[Acquisition Tract No.]]," ",SP_ACQ_Lib[[#This Row],[ACQ Document Type]]))</f>
        <v>COW-FRMP_TR-321 TITLE Tax Card</v>
      </c>
      <c r="Y670" s="239">
        <f>IF(OR(SP_ACQ_Lib[[#This Row],[File Name Convention]]=0,LEFT(SP_ACQ_Lib[[#This Row],[Name]],LEN(SP_ACQ_Lib[[#This Row],[File Name Convention]]))&lt;&gt;SP_ACQ_Lib[[#This Row],[File Name Convention]],ISERROR(SEARCH(SP_ACQ_Lib[[#This Row],[ACQ Document Type]],SP_ACQ_Lib[[#This Row],[Name]]))),1,0)</f>
        <v>0</v>
      </c>
    </row>
    <row r="671" spans="1:25" ht="15" x14ac:dyDescent="0.2">
      <c r="A671" s="157" t="str">
        <f>CONCATENATE(SP_ACQ_Lib[[#This Row],[Acquisition Tract No.]],"_",SP_ACQ_Lib[[#This Row],[ACQ Document Type]])</f>
        <v>322_CONTACT Letter of Intent-HDR</v>
      </c>
      <c r="B671" s="14" t="s">
        <v>5546</v>
      </c>
      <c r="C671" s="193" t="s">
        <v>4568</v>
      </c>
      <c r="D671" s="12" t="s">
        <v>1066</v>
      </c>
      <c r="E671" s="8" t="s">
        <v>865</v>
      </c>
      <c r="F671" s="8" t="s">
        <v>1401</v>
      </c>
      <c r="G671" s="8" t="s">
        <v>1400</v>
      </c>
      <c r="H671" s="7" t="s">
        <v>592</v>
      </c>
      <c r="I671" s="16">
        <v>43812</v>
      </c>
      <c r="J671" s="16"/>
      <c r="K671" s="17"/>
      <c r="L671" s="3" t="s">
        <v>5534</v>
      </c>
      <c r="M671" s="8" t="s">
        <v>4206</v>
      </c>
      <c r="N671" s="11">
        <v>43983.526412037034</v>
      </c>
      <c r="O671" s="8" t="s">
        <v>1377</v>
      </c>
      <c r="P671" s="11">
        <v>43823.672962962963</v>
      </c>
      <c r="Q671" s="13">
        <v>195101</v>
      </c>
      <c r="R671" s="194" t="s">
        <v>594</v>
      </c>
      <c r="S671" s="14" t="s">
        <v>1804</v>
      </c>
      <c r="T671" s="163">
        <v>704</v>
      </c>
      <c r="U671" s="164" t="str">
        <f>CONCATENATE(LEFT(SP_ACQ_Lib[[#This Row],[Tax Parcel ID]],7),"_",SP_ACQ_Lib[[#This Row],[ACQ Document Type]])</f>
        <v>R055352_CONTACT Letter of Intent-HDR</v>
      </c>
      <c r="V671" s="65" t="str">
        <f>INDEX(SP_AcqTract_DB[WCAD Tax Parcel ID],MATCH(SP_ACQ_Lib[[#This Row],[Acquisition Tract No.]],SP_AcqTract_DB[Acquisition Tract No.],0))</f>
        <v>R055352;#89</v>
      </c>
      <c r="W671" s="48" t="str">
        <f>INDEX(SP_TaxPar_DB[Acquisition Tract No.],MATCH(LEFT(SP_ACQ_Lib[[#This Row],[Tax Parcel ID]],7),SP_TaxPar_DB[Tax Parcel ID],0))</f>
        <v>322</v>
      </c>
      <c r="X671" s="238" t="str">
        <f>IF(OR(SP_ACQ_Lib[[#This Row],[Acquisition Tract No.]]="",SP_ACQ_Lib[[#This Row],[ACQ Document Type]]=""),0,CONCATENATE("COW-FRMP_TR-",SP_ACQ_Lib[[#This Row],[Acquisition Tract No.]]," ",SP_ACQ_Lib[[#This Row],[ACQ Document Type]]))</f>
        <v>COW-FRMP_TR-322 CONTACT Letter of Intent-HDR</v>
      </c>
      <c r="Y671" s="239">
        <f>IF(OR(SP_ACQ_Lib[[#This Row],[File Name Convention]]=0,LEFT(SP_ACQ_Lib[[#This Row],[Name]],LEN(SP_ACQ_Lib[[#This Row],[File Name Convention]]))&lt;&gt;SP_ACQ_Lib[[#This Row],[File Name Convention]],ISERROR(SEARCH(SP_ACQ_Lib[[#This Row],[ACQ Document Type]],SP_ACQ_Lib[[#This Row],[Name]]))),1,0)</f>
        <v>0</v>
      </c>
    </row>
    <row r="672" spans="1:25" ht="15" x14ac:dyDescent="0.2">
      <c r="A672" s="157" t="str">
        <f>CONCATENATE(SP_ACQ_Lib[[#This Row],[Acquisition Tract No.]],"_",SP_ACQ_Lib[[#This Row],[ACQ Document Type]])</f>
        <v>322_NEGOTIATION Landowner Bill of Rights Letter</v>
      </c>
      <c r="B672" s="14" t="s">
        <v>5547</v>
      </c>
      <c r="C672" s="193" t="s">
        <v>4568</v>
      </c>
      <c r="D672" s="12" t="s">
        <v>1066</v>
      </c>
      <c r="E672" s="8" t="s">
        <v>1142</v>
      </c>
      <c r="F672" s="8" t="s">
        <v>1746</v>
      </c>
      <c r="G672" s="8" t="s">
        <v>1745</v>
      </c>
      <c r="H672" s="7" t="s">
        <v>592</v>
      </c>
      <c r="I672" s="16">
        <v>43810</v>
      </c>
      <c r="J672" s="16">
        <v>43815</v>
      </c>
      <c r="K672" s="17"/>
      <c r="L672" s="3" t="s">
        <v>5534</v>
      </c>
      <c r="M672" s="8" t="s">
        <v>4206</v>
      </c>
      <c r="N672" s="11">
        <v>43983.526724537034</v>
      </c>
      <c r="O672" s="8" t="s">
        <v>4325</v>
      </c>
      <c r="P672" s="11">
        <v>43810.38082175926</v>
      </c>
      <c r="Q672" s="13">
        <v>1588780</v>
      </c>
      <c r="R672" s="194" t="s">
        <v>594</v>
      </c>
      <c r="S672" s="14" t="s">
        <v>1805</v>
      </c>
      <c r="T672" s="163">
        <v>570</v>
      </c>
      <c r="U672" s="164" t="str">
        <f>CONCATENATE(LEFT(SP_ACQ_Lib[[#This Row],[Tax Parcel ID]],7),"_",SP_ACQ_Lib[[#This Row],[ACQ Document Type]])</f>
        <v>R055352_NEGOTIATION Landowner Bill of Rights Letter</v>
      </c>
      <c r="V672" s="65" t="str">
        <f>INDEX(SP_AcqTract_DB[WCAD Tax Parcel ID],MATCH(SP_ACQ_Lib[[#This Row],[Acquisition Tract No.]],SP_AcqTract_DB[Acquisition Tract No.],0))</f>
        <v>R055352;#89</v>
      </c>
      <c r="W672" s="48" t="str">
        <f>INDEX(SP_TaxPar_DB[Acquisition Tract No.],MATCH(LEFT(SP_ACQ_Lib[[#This Row],[Tax Parcel ID]],7),SP_TaxPar_DB[Tax Parcel ID],0))</f>
        <v>322</v>
      </c>
      <c r="X672" s="238" t="str">
        <f>IF(OR(SP_ACQ_Lib[[#This Row],[Acquisition Tract No.]]="",SP_ACQ_Lib[[#This Row],[ACQ Document Type]]=""),0,CONCATENATE("COW-FRMP_TR-",SP_ACQ_Lib[[#This Row],[Acquisition Tract No.]]," ",SP_ACQ_Lib[[#This Row],[ACQ Document Type]]))</f>
        <v>COW-FRMP_TR-322 NEGOTIATION Landowner Bill of Rights Letter</v>
      </c>
      <c r="Y672" s="239">
        <f>IF(OR(SP_ACQ_Lib[[#This Row],[File Name Convention]]=0,LEFT(SP_ACQ_Lib[[#This Row],[Name]],LEN(SP_ACQ_Lib[[#This Row],[File Name Convention]]))&lt;&gt;SP_ACQ_Lib[[#This Row],[File Name Convention]],ISERROR(SEARCH(SP_ACQ_Lib[[#This Row],[ACQ Document Type]],SP_ACQ_Lib[[#This Row],[Name]]))),1,0)</f>
        <v>0</v>
      </c>
    </row>
    <row r="673" spans="1:25" ht="15" x14ac:dyDescent="0.2">
      <c r="A673" s="157" t="str">
        <f>CONCATENATE(SP_ACQ_Lib[[#This Row],[Acquisition Tract No.]],"_",SP_ACQ_Lib[[#This Row],[ACQ Document Type]])</f>
        <v>322_SURVEY Right-of-Entry CMRR</v>
      </c>
      <c r="B673" s="14" t="s">
        <v>4606</v>
      </c>
      <c r="C673" s="193" t="s">
        <v>4568</v>
      </c>
      <c r="D673" s="12" t="s">
        <v>1066</v>
      </c>
      <c r="E673" s="8" t="s">
        <v>858</v>
      </c>
      <c r="F673" s="8" t="s">
        <v>860</v>
      </c>
      <c r="G673" s="8" t="s">
        <v>598</v>
      </c>
      <c r="H673" s="7" t="s">
        <v>592</v>
      </c>
      <c r="I673" s="16">
        <v>43810</v>
      </c>
      <c r="J673" s="16">
        <v>43815</v>
      </c>
      <c r="K673" s="17"/>
      <c r="L673" s="3"/>
      <c r="M673" s="8" t="s">
        <v>4206</v>
      </c>
      <c r="N673" s="11">
        <v>43917.41741898148</v>
      </c>
      <c r="O673" s="8" t="s">
        <v>4325</v>
      </c>
      <c r="P673" s="11">
        <v>43812.611064814817</v>
      </c>
      <c r="Q673" s="13">
        <v>5142156</v>
      </c>
      <c r="R673" s="194" t="s">
        <v>594</v>
      </c>
      <c r="S673" s="14" t="s">
        <v>1806</v>
      </c>
      <c r="T673" s="163">
        <v>572</v>
      </c>
      <c r="U673" s="164" t="str">
        <f>CONCATENATE(LEFT(SP_ACQ_Lib[[#This Row],[Tax Parcel ID]],7),"_",SP_ACQ_Lib[[#This Row],[ACQ Document Type]])</f>
        <v>R055352_SURVEY Right-of-Entry CMRR</v>
      </c>
      <c r="V673" s="65" t="str">
        <f>INDEX(SP_AcqTract_DB[WCAD Tax Parcel ID],MATCH(SP_ACQ_Lib[[#This Row],[Acquisition Tract No.]],SP_AcqTract_DB[Acquisition Tract No.],0))</f>
        <v>R055352;#89</v>
      </c>
      <c r="W673" s="48" t="str">
        <f>INDEX(SP_TaxPar_DB[Acquisition Tract No.],MATCH(LEFT(SP_ACQ_Lib[[#This Row],[Tax Parcel ID]],7),SP_TaxPar_DB[Tax Parcel ID],0))</f>
        <v>322</v>
      </c>
      <c r="X673" s="238" t="str">
        <f>IF(OR(SP_ACQ_Lib[[#This Row],[Acquisition Tract No.]]="",SP_ACQ_Lib[[#This Row],[ACQ Document Type]]=""),0,CONCATENATE("COW-FRMP_TR-",SP_ACQ_Lib[[#This Row],[Acquisition Tract No.]]," ",SP_ACQ_Lib[[#This Row],[ACQ Document Type]]))</f>
        <v>COW-FRMP_TR-322 SURVEY Right-of-Entry CMRR</v>
      </c>
      <c r="Y673" s="239">
        <f>IF(OR(SP_ACQ_Lib[[#This Row],[File Name Convention]]=0,LEFT(SP_ACQ_Lib[[#This Row],[Name]],LEN(SP_ACQ_Lib[[#This Row],[File Name Convention]]))&lt;&gt;SP_ACQ_Lib[[#This Row],[File Name Convention]],ISERROR(SEARCH(SP_ACQ_Lib[[#This Row],[ACQ Document Type]],SP_ACQ_Lib[[#This Row],[Name]]))),1,0)</f>
        <v>0</v>
      </c>
    </row>
    <row r="674" spans="1:25" ht="15" x14ac:dyDescent="0.2">
      <c r="A674" s="157" t="str">
        <f>CONCATENATE(SP_ACQ_Lib[[#This Row],[Acquisition Tract No.]],"_",SP_ACQ_Lib[[#This Row],[ACQ Document Type]])</f>
        <v>322_TITLE Commitment</v>
      </c>
      <c r="B674" s="14" t="s">
        <v>5548</v>
      </c>
      <c r="C674" s="193" t="s">
        <v>4568</v>
      </c>
      <c r="D674" s="12" t="s">
        <v>1066</v>
      </c>
      <c r="E674" s="8" t="s">
        <v>861</v>
      </c>
      <c r="F674" s="8" t="s">
        <v>862</v>
      </c>
      <c r="G674" s="8" t="s">
        <v>614</v>
      </c>
      <c r="H674" s="7" t="s">
        <v>5128</v>
      </c>
      <c r="I674" s="16">
        <v>43728</v>
      </c>
      <c r="J674" s="16">
        <v>43738</v>
      </c>
      <c r="K674" s="17"/>
      <c r="L674" s="3" t="s">
        <v>5534</v>
      </c>
      <c r="M674" s="8" t="s">
        <v>4325</v>
      </c>
      <c r="N674" s="11">
        <v>44019.617615740739</v>
      </c>
      <c r="O674" s="8" t="s">
        <v>4326</v>
      </c>
      <c r="P674" s="11">
        <v>43739.379791666666</v>
      </c>
      <c r="Q674" s="13">
        <v>263527</v>
      </c>
      <c r="R674" s="194" t="s">
        <v>594</v>
      </c>
      <c r="S674" s="14" t="s">
        <v>1072</v>
      </c>
      <c r="T674" s="163">
        <v>381</v>
      </c>
      <c r="U674" s="164" t="str">
        <f>CONCATENATE(LEFT(SP_ACQ_Lib[[#This Row],[Tax Parcel ID]],7),"_",SP_ACQ_Lib[[#This Row],[ACQ Document Type]])</f>
        <v>R055352_TITLE Commitment</v>
      </c>
      <c r="V674" s="65" t="str">
        <f>INDEX(SP_AcqTract_DB[WCAD Tax Parcel ID],MATCH(SP_ACQ_Lib[[#This Row],[Acquisition Tract No.]],SP_AcqTract_DB[Acquisition Tract No.],0))</f>
        <v>R055352;#89</v>
      </c>
      <c r="W674" s="48" t="str">
        <f>INDEX(SP_TaxPar_DB[Acquisition Tract No.],MATCH(LEFT(SP_ACQ_Lib[[#This Row],[Tax Parcel ID]],7),SP_TaxPar_DB[Tax Parcel ID],0))</f>
        <v>322</v>
      </c>
      <c r="X674" s="238" t="str">
        <f>IF(OR(SP_ACQ_Lib[[#This Row],[Acquisition Tract No.]]="",SP_ACQ_Lib[[#This Row],[ACQ Document Type]]=""),0,CONCATENATE("COW-FRMP_TR-",SP_ACQ_Lib[[#This Row],[Acquisition Tract No.]]," ",SP_ACQ_Lib[[#This Row],[ACQ Document Type]]))</f>
        <v>COW-FRMP_TR-322 TITLE Commitment</v>
      </c>
      <c r="Y674" s="239">
        <f>IF(OR(SP_ACQ_Lib[[#This Row],[File Name Convention]]=0,LEFT(SP_ACQ_Lib[[#This Row],[Name]],LEN(SP_ACQ_Lib[[#This Row],[File Name Convention]]))&lt;&gt;SP_ACQ_Lib[[#This Row],[File Name Convention]],ISERROR(SEARCH(SP_ACQ_Lib[[#This Row],[ACQ Document Type]],SP_ACQ_Lib[[#This Row],[Name]]))),1,0)</f>
        <v>0</v>
      </c>
    </row>
    <row r="675" spans="1:25" ht="15" x14ac:dyDescent="0.2">
      <c r="A675" s="157" t="str">
        <f>CONCATENATE(SP_ACQ_Lib[[#This Row],[Acquisition Tract No.]],"_",SP_ACQ_Lib[[#This Row],[ACQ Document Type]])</f>
        <v>322_TITLE Commitment</v>
      </c>
      <c r="B675" s="14" t="s">
        <v>6535</v>
      </c>
      <c r="C675" s="193" t="s">
        <v>4568</v>
      </c>
      <c r="D675" s="12" t="s">
        <v>1066</v>
      </c>
      <c r="E675" s="8" t="s">
        <v>861</v>
      </c>
      <c r="F675" s="8" t="s">
        <v>862</v>
      </c>
      <c r="G675" s="8" t="s">
        <v>614</v>
      </c>
      <c r="H675" s="7" t="s">
        <v>592</v>
      </c>
      <c r="I675" s="16">
        <v>44008</v>
      </c>
      <c r="J675" s="16">
        <v>44019</v>
      </c>
      <c r="K675" s="17"/>
      <c r="L675" s="3" t="s">
        <v>6482</v>
      </c>
      <c r="M675" s="8" t="s">
        <v>4325</v>
      </c>
      <c r="N675" s="11">
        <v>44019.617465277777</v>
      </c>
      <c r="O675" s="8" t="s">
        <v>4325</v>
      </c>
      <c r="P675" s="11">
        <v>44019.616620370369</v>
      </c>
      <c r="Q675" s="13">
        <v>1949816</v>
      </c>
      <c r="R675" s="194" t="s">
        <v>594</v>
      </c>
      <c r="S675" s="14" t="s">
        <v>6598</v>
      </c>
      <c r="T675" s="163">
        <v>1356</v>
      </c>
      <c r="U675" s="164" t="str">
        <f>CONCATENATE(LEFT(SP_ACQ_Lib[[#This Row],[Tax Parcel ID]],7),"_",SP_ACQ_Lib[[#This Row],[ACQ Document Type]])</f>
        <v>R055352_TITLE Commitment</v>
      </c>
      <c r="V675" s="65" t="str">
        <f>INDEX(SP_AcqTract_DB[WCAD Tax Parcel ID],MATCH(SP_ACQ_Lib[[#This Row],[Acquisition Tract No.]],SP_AcqTract_DB[Acquisition Tract No.],0))</f>
        <v>R055352;#89</v>
      </c>
      <c r="W675" s="48" t="str">
        <f>INDEX(SP_TaxPar_DB[Acquisition Tract No.],MATCH(LEFT(SP_ACQ_Lib[[#This Row],[Tax Parcel ID]],7),SP_TaxPar_DB[Tax Parcel ID],0))</f>
        <v>322</v>
      </c>
      <c r="X675" s="238" t="str">
        <f>IF(OR(SP_ACQ_Lib[[#This Row],[Acquisition Tract No.]]="",SP_ACQ_Lib[[#This Row],[ACQ Document Type]]=""),0,CONCATENATE("COW-FRMP_TR-",SP_ACQ_Lib[[#This Row],[Acquisition Tract No.]]," ",SP_ACQ_Lib[[#This Row],[ACQ Document Type]]))</f>
        <v>COW-FRMP_TR-322 TITLE Commitment</v>
      </c>
      <c r="Y675" s="239">
        <f>IF(OR(SP_ACQ_Lib[[#This Row],[File Name Convention]]=0,LEFT(SP_ACQ_Lib[[#This Row],[Name]],LEN(SP_ACQ_Lib[[#This Row],[File Name Convention]]))&lt;&gt;SP_ACQ_Lib[[#This Row],[File Name Convention]],ISERROR(SEARCH(SP_ACQ_Lib[[#This Row],[ACQ Document Type]],SP_ACQ_Lib[[#This Row],[Name]]))),1,0)</f>
        <v>1</v>
      </c>
    </row>
    <row r="676" spans="1:25" ht="15" x14ac:dyDescent="0.2">
      <c r="A676" s="157" t="str">
        <f>CONCATENATE(SP_ACQ_Lib[[#This Row],[Acquisition Tract No.]],"_",SP_ACQ_Lib[[#This Row],[ACQ Document Type]])</f>
        <v>322_TITLE Commitment Backup Docs</v>
      </c>
      <c r="B676" s="14" t="s">
        <v>5549</v>
      </c>
      <c r="C676" s="193" t="s">
        <v>4568</v>
      </c>
      <c r="D676" s="12" t="s">
        <v>1066</v>
      </c>
      <c r="E676" s="8" t="s">
        <v>861</v>
      </c>
      <c r="F676" s="8" t="s">
        <v>863</v>
      </c>
      <c r="G676" s="8" t="s">
        <v>616</v>
      </c>
      <c r="H676" s="7" t="s">
        <v>592</v>
      </c>
      <c r="I676" s="16"/>
      <c r="J676" s="16"/>
      <c r="K676" s="17"/>
      <c r="L676" s="3" t="s">
        <v>5534</v>
      </c>
      <c r="M676" s="8" t="s">
        <v>4206</v>
      </c>
      <c r="N676" s="11">
        <v>43983.527326388888</v>
      </c>
      <c r="O676" s="8" t="s">
        <v>4325</v>
      </c>
      <c r="P676" s="11">
        <v>43867.638148148151</v>
      </c>
      <c r="Q676" s="13">
        <v>1366621</v>
      </c>
      <c r="R676" s="194" t="s">
        <v>594</v>
      </c>
      <c r="S676" s="14" t="s">
        <v>3360</v>
      </c>
      <c r="T676" s="163">
        <v>722</v>
      </c>
      <c r="U676" s="164" t="str">
        <f>CONCATENATE(LEFT(SP_ACQ_Lib[[#This Row],[Tax Parcel ID]],7),"_",SP_ACQ_Lib[[#This Row],[ACQ Document Type]])</f>
        <v>R055352_TITLE Commitment Backup Docs</v>
      </c>
      <c r="V676" s="65" t="str">
        <f>INDEX(SP_AcqTract_DB[WCAD Tax Parcel ID],MATCH(SP_ACQ_Lib[[#This Row],[Acquisition Tract No.]],SP_AcqTract_DB[Acquisition Tract No.],0))</f>
        <v>R055352;#89</v>
      </c>
      <c r="W676" s="48" t="str">
        <f>INDEX(SP_TaxPar_DB[Acquisition Tract No.],MATCH(LEFT(SP_ACQ_Lib[[#This Row],[Tax Parcel ID]],7),SP_TaxPar_DB[Tax Parcel ID],0))</f>
        <v>322</v>
      </c>
      <c r="X676" s="238" t="str">
        <f>IF(OR(SP_ACQ_Lib[[#This Row],[Acquisition Tract No.]]="",SP_ACQ_Lib[[#This Row],[ACQ Document Type]]=""),0,CONCATENATE("COW-FRMP_TR-",SP_ACQ_Lib[[#This Row],[Acquisition Tract No.]]," ",SP_ACQ_Lib[[#This Row],[ACQ Document Type]]))</f>
        <v>COW-FRMP_TR-322 TITLE Commitment Backup Docs</v>
      </c>
      <c r="Y676" s="239">
        <f>IF(OR(SP_ACQ_Lib[[#This Row],[File Name Convention]]=0,LEFT(SP_ACQ_Lib[[#This Row],[Name]],LEN(SP_ACQ_Lib[[#This Row],[File Name Convention]]))&lt;&gt;SP_ACQ_Lib[[#This Row],[File Name Convention]],ISERROR(SEARCH(SP_ACQ_Lib[[#This Row],[ACQ Document Type]],SP_ACQ_Lib[[#This Row],[Name]]))),1,0)</f>
        <v>0</v>
      </c>
    </row>
    <row r="677" spans="1:25" ht="15" x14ac:dyDescent="0.2">
      <c r="A677" s="157" t="str">
        <f>CONCATENATE(SP_ACQ_Lib[[#This Row],[Acquisition Tract No.]],"_",SP_ACQ_Lib[[#This Row],[ACQ Document Type]])</f>
        <v>322_TITLE Curative Plan</v>
      </c>
      <c r="B677" s="14" t="s">
        <v>6536</v>
      </c>
      <c r="C677" s="193" t="s">
        <v>4568</v>
      </c>
      <c r="D677" s="12" t="s">
        <v>1066</v>
      </c>
      <c r="E677" s="8" t="s">
        <v>861</v>
      </c>
      <c r="F677" s="8" t="s">
        <v>864</v>
      </c>
      <c r="G677" s="8" t="s">
        <v>617</v>
      </c>
      <c r="H677" s="7" t="s">
        <v>592</v>
      </c>
      <c r="I677" s="16">
        <v>44019</v>
      </c>
      <c r="J677" s="16"/>
      <c r="K677" s="17"/>
      <c r="L677" s="3"/>
      <c r="M677" s="8" t="s">
        <v>4325</v>
      </c>
      <c r="N677" s="11">
        <v>44019.6250462963</v>
      </c>
      <c r="O677" s="8" t="s">
        <v>4325</v>
      </c>
      <c r="P677" s="11">
        <v>44019.624432870369</v>
      </c>
      <c r="Q677" s="13">
        <v>39487</v>
      </c>
      <c r="R677" s="194" t="s">
        <v>594</v>
      </c>
      <c r="S677" s="14" t="s">
        <v>6599</v>
      </c>
      <c r="T677" s="163">
        <v>1357</v>
      </c>
      <c r="U677" s="164" t="str">
        <f>CONCATENATE(LEFT(SP_ACQ_Lib[[#This Row],[Tax Parcel ID]],7),"_",SP_ACQ_Lib[[#This Row],[ACQ Document Type]])</f>
        <v>R055352_TITLE Curative Plan</v>
      </c>
      <c r="V677" s="65" t="str">
        <f>INDEX(SP_AcqTract_DB[WCAD Tax Parcel ID],MATCH(SP_ACQ_Lib[[#This Row],[Acquisition Tract No.]],SP_AcqTract_DB[Acquisition Tract No.],0))</f>
        <v>R055352;#89</v>
      </c>
      <c r="W677" s="48" t="str">
        <f>INDEX(SP_TaxPar_DB[Acquisition Tract No.],MATCH(LEFT(SP_ACQ_Lib[[#This Row],[Tax Parcel ID]],7),SP_TaxPar_DB[Tax Parcel ID],0))</f>
        <v>322</v>
      </c>
      <c r="X677" s="238" t="str">
        <f>IF(OR(SP_ACQ_Lib[[#This Row],[Acquisition Tract No.]]="",SP_ACQ_Lib[[#This Row],[ACQ Document Type]]=""),0,CONCATENATE("COW-FRMP_TR-",SP_ACQ_Lib[[#This Row],[Acquisition Tract No.]]," ",SP_ACQ_Lib[[#This Row],[ACQ Document Type]]))</f>
        <v>COW-FRMP_TR-322 TITLE Curative Plan</v>
      </c>
      <c r="Y677" s="239">
        <f>IF(OR(SP_ACQ_Lib[[#This Row],[File Name Convention]]=0,LEFT(SP_ACQ_Lib[[#This Row],[Name]],LEN(SP_ACQ_Lib[[#This Row],[File Name Convention]]))&lt;&gt;SP_ACQ_Lib[[#This Row],[File Name Convention]],ISERROR(SEARCH(SP_ACQ_Lib[[#This Row],[ACQ Document Type]],SP_ACQ_Lib[[#This Row],[Name]]))),1,0)</f>
        <v>0</v>
      </c>
    </row>
    <row r="678" spans="1:25" ht="15" x14ac:dyDescent="0.2">
      <c r="A678" s="157" t="str">
        <f>CONCATENATE(SP_ACQ_Lib[[#This Row],[Acquisition Tract No.]],"_",SP_ACQ_Lib[[#This Row],[ACQ Document Type]])</f>
        <v>322_TITLE SOS Business Organization Inquiry</v>
      </c>
      <c r="B678" s="14" t="s">
        <v>5550</v>
      </c>
      <c r="C678" s="193" t="s">
        <v>4568</v>
      </c>
      <c r="D678" s="12" t="s">
        <v>1066</v>
      </c>
      <c r="E678" s="8" t="s">
        <v>861</v>
      </c>
      <c r="F678" s="8" t="s">
        <v>1148</v>
      </c>
      <c r="G678" s="8" t="s">
        <v>1147</v>
      </c>
      <c r="H678" s="7" t="s">
        <v>592</v>
      </c>
      <c r="I678" s="16">
        <v>43922</v>
      </c>
      <c r="J678" s="16"/>
      <c r="K678" s="17"/>
      <c r="L678" s="3" t="s">
        <v>5534</v>
      </c>
      <c r="M678" s="8" t="s">
        <v>4206</v>
      </c>
      <c r="N678" s="11">
        <v>43983.528541666667</v>
      </c>
      <c r="O678" s="8" t="s">
        <v>4325</v>
      </c>
      <c r="P678" s="11">
        <v>43922.553668981483</v>
      </c>
      <c r="Q678" s="13">
        <v>354506</v>
      </c>
      <c r="R678" s="194" t="s">
        <v>594</v>
      </c>
      <c r="S678" s="14" t="s">
        <v>4626</v>
      </c>
      <c r="T678" s="163">
        <v>803</v>
      </c>
      <c r="U678" s="164" t="str">
        <f>CONCATENATE(LEFT(SP_ACQ_Lib[[#This Row],[Tax Parcel ID]],7),"_",SP_ACQ_Lib[[#This Row],[ACQ Document Type]])</f>
        <v>R055352_TITLE SOS Business Organization Inquiry</v>
      </c>
      <c r="V678" s="65" t="str">
        <f>INDEX(SP_AcqTract_DB[WCAD Tax Parcel ID],MATCH(SP_ACQ_Lib[[#This Row],[Acquisition Tract No.]],SP_AcqTract_DB[Acquisition Tract No.],0))</f>
        <v>R055352;#89</v>
      </c>
      <c r="W678" s="48" t="str">
        <f>INDEX(SP_TaxPar_DB[Acquisition Tract No.],MATCH(LEFT(SP_ACQ_Lib[[#This Row],[Tax Parcel ID]],7),SP_TaxPar_DB[Tax Parcel ID],0))</f>
        <v>322</v>
      </c>
      <c r="X678" s="238" t="str">
        <f>IF(OR(SP_ACQ_Lib[[#This Row],[Acquisition Tract No.]]="",SP_ACQ_Lib[[#This Row],[ACQ Document Type]]=""),0,CONCATENATE("COW-FRMP_TR-",SP_ACQ_Lib[[#This Row],[Acquisition Tract No.]]," ",SP_ACQ_Lib[[#This Row],[ACQ Document Type]]))</f>
        <v>COW-FRMP_TR-322 TITLE SOS Business Organization Inquiry</v>
      </c>
      <c r="Y678" s="239">
        <f>IF(OR(SP_ACQ_Lib[[#This Row],[File Name Convention]]=0,LEFT(SP_ACQ_Lib[[#This Row],[Name]],LEN(SP_ACQ_Lib[[#This Row],[File Name Convention]]))&lt;&gt;SP_ACQ_Lib[[#This Row],[File Name Convention]],ISERROR(SEARCH(SP_ACQ_Lib[[#This Row],[ACQ Document Type]],SP_ACQ_Lib[[#This Row],[Name]]))),1,0)</f>
        <v>0</v>
      </c>
    </row>
    <row r="679" spans="1:25" ht="15" x14ac:dyDescent="0.2">
      <c r="A679" s="157" t="str">
        <f>CONCATENATE(SP_ACQ_Lib[[#This Row],[Acquisition Tract No.]],"_",SP_ACQ_Lib[[#This Row],[ACQ Document Type]])</f>
        <v>323_SURVEY Description-Plat_USACOE</v>
      </c>
      <c r="B679" s="14" t="s">
        <v>6537</v>
      </c>
      <c r="C679" s="193" t="s">
        <v>4719</v>
      </c>
      <c r="D679" s="12" t="s">
        <v>22</v>
      </c>
      <c r="E679" s="8" t="s">
        <v>858</v>
      </c>
      <c r="F679" s="8" t="s">
        <v>3510</v>
      </c>
      <c r="G679" s="8" t="s">
        <v>3509</v>
      </c>
      <c r="H679" s="7" t="s">
        <v>592</v>
      </c>
      <c r="I679" s="16">
        <v>43991</v>
      </c>
      <c r="J679" s="16">
        <v>44014</v>
      </c>
      <c r="K679" s="17"/>
      <c r="L679" s="3"/>
      <c r="M679" s="8" t="s">
        <v>4206</v>
      </c>
      <c r="N679" s="11">
        <v>44017.652557870373</v>
      </c>
      <c r="O679" s="8" t="s">
        <v>4206</v>
      </c>
      <c r="P679" s="11">
        <v>44017.651712962965</v>
      </c>
      <c r="Q679" s="13">
        <v>278781</v>
      </c>
      <c r="R679" s="194" t="s">
        <v>594</v>
      </c>
      <c r="S679" s="14" t="s">
        <v>6600</v>
      </c>
      <c r="T679" s="163">
        <v>1330</v>
      </c>
      <c r="U679" s="164" t="str">
        <f>CONCATENATE(LEFT(SP_ACQ_Lib[[#This Row],[Tax Parcel ID]],7),"_",SP_ACQ_Lib[[#This Row],[ACQ Document Type]])</f>
        <v>_SURVEY Description-Plat_USACOE</v>
      </c>
      <c r="V679" s="65" t="str">
        <f>INDEX(SP_AcqTract_DB[WCAD Tax Parcel ID],MATCH(SP_ACQ_Lib[[#This Row],[Acquisition Tract No.]],SP_AcqTract_DB[Acquisition Tract No.],0))</f>
        <v/>
      </c>
      <c r="W679" s="48" t="e">
        <f>INDEX(SP_TaxPar_DB[Acquisition Tract No.],MATCH(LEFT(SP_ACQ_Lib[[#This Row],[Tax Parcel ID]],7),SP_TaxPar_DB[Tax Parcel ID],0))</f>
        <v>#N/A</v>
      </c>
      <c r="X679" s="238" t="str">
        <f>IF(OR(SP_ACQ_Lib[[#This Row],[Acquisition Tract No.]]="",SP_ACQ_Lib[[#This Row],[ACQ Document Type]]=""),0,CONCATENATE("COW-FRMP_TR-",SP_ACQ_Lib[[#This Row],[Acquisition Tract No.]]," ",SP_ACQ_Lib[[#This Row],[ACQ Document Type]]))</f>
        <v>COW-FRMP_TR-323 SURVEY Description-Plat_USACOE</v>
      </c>
      <c r="Y679" s="239">
        <f>IF(OR(SP_ACQ_Lib[[#This Row],[File Name Convention]]=0,LEFT(SP_ACQ_Lib[[#This Row],[Name]],LEN(SP_ACQ_Lib[[#This Row],[File Name Convention]]))&lt;&gt;SP_ACQ_Lib[[#This Row],[File Name Convention]],ISERROR(SEARCH(SP_ACQ_Lib[[#This Row],[ACQ Document Type]],SP_ACQ_Lib[[#This Row],[Name]]))),1,0)</f>
        <v>0</v>
      </c>
    </row>
    <row r="680" spans="1:25" ht="15" x14ac:dyDescent="0.2">
      <c r="A680" s="157" t="str">
        <f>CONCATENATE(SP_ACQ_Lib[[#This Row],[Acquisition Tract No.]],"_",SP_ACQ_Lib[[#This Row],[ACQ Document Type]])</f>
        <v>324_SURVEY Description-Plat_USACOE</v>
      </c>
      <c r="B680" s="14" t="s">
        <v>6538</v>
      </c>
      <c r="C680" s="193" t="s">
        <v>4722</v>
      </c>
      <c r="D680" s="12" t="s">
        <v>22</v>
      </c>
      <c r="E680" s="8" t="s">
        <v>858</v>
      </c>
      <c r="F680" s="8" t="s">
        <v>3510</v>
      </c>
      <c r="G680" s="8" t="s">
        <v>3509</v>
      </c>
      <c r="H680" s="7" t="s">
        <v>592</v>
      </c>
      <c r="I680" s="16">
        <v>43991</v>
      </c>
      <c r="J680" s="16">
        <v>44014</v>
      </c>
      <c r="K680" s="17"/>
      <c r="L680" s="3"/>
      <c r="M680" s="8" t="s">
        <v>4206</v>
      </c>
      <c r="N680" s="11">
        <v>44017.653009259258</v>
      </c>
      <c r="O680" s="8" t="s">
        <v>4206</v>
      </c>
      <c r="P680" s="11">
        <v>44017.651736111111</v>
      </c>
      <c r="Q680" s="13">
        <v>292851</v>
      </c>
      <c r="R680" s="194" t="s">
        <v>594</v>
      </c>
      <c r="S680" s="14" t="s">
        <v>6601</v>
      </c>
      <c r="T680" s="163">
        <v>1331</v>
      </c>
      <c r="U680" s="164" t="str">
        <f>CONCATENATE(LEFT(SP_ACQ_Lib[[#This Row],[Tax Parcel ID]],7),"_",SP_ACQ_Lib[[#This Row],[ACQ Document Type]])</f>
        <v>_SURVEY Description-Plat_USACOE</v>
      </c>
      <c r="V680" s="65" t="str">
        <f>INDEX(SP_AcqTract_DB[WCAD Tax Parcel ID],MATCH(SP_ACQ_Lib[[#This Row],[Acquisition Tract No.]],SP_AcqTract_DB[Acquisition Tract No.],0))</f>
        <v/>
      </c>
      <c r="W680" s="48" t="e">
        <f>INDEX(SP_TaxPar_DB[Acquisition Tract No.],MATCH(LEFT(SP_ACQ_Lib[[#This Row],[Tax Parcel ID]],7),SP_TaxPar_DB[Tax Parcel ID],0))</f>
        <v>#N/A</v>
      </c>
      <c r="X680" s="238" t="str">
        <f>IF(OR(SP_ACQ_Lib[[#This Row],[Acquisition Tract No.]]="",SP_ACQ_Lib[[#This Row],[ACQ Document Type]]=""),0,CONCATENATE("COW-FRMP_TR-",SP_ACQ_Lib[[#This Row],[Acquisition Tract No.]]," ",SP_ACQ_Lib[[#This Row],[ACQ Document Type]]))</f>
        <v>COW-FRMP_TR-324 SURVEY Description-Plat_USACOE</v>
      </c>
      <c r="Y680" s="239">
        <f>IF(OR(SP_ACQ_Lib[[#This Row],[File Name Convention]]=0,LEFT(SP_ACQ_Lib[[#This Row],[Name]],LEN(SP_ACQ_Lib[[#This Row],[File Name Convention]]))&lt;&gt;SP_ACQ_Lib[[#This Row],[File Name Convention]],ISERROR(SEARCH(SP_ACQ_Lib[[#This Row],[ACQ Document Type]],SP_ACQ_Lib[[#This Row],[Name]]))),1,0)</f>
        <v>0</v>
      </c>
    </row>
    <row r="681" spans="1:25" ht="15" x14ac:dyDescent="0.2">
      <c r="A681" s="157" t="str">
        <f>CONCATENATE(SP_ACQ_Lib[[#This Row],[Acquisition Tract No.]],"_",SP_ACQ_Lib[[#This Row],[ACQ Document Type]])</f>
        <v>325_SURVEY Description-Plat_USACOE</v>
      </c>
      <c r="B681" s="14" t="s">
        <v>6036</v>
      </c>
      <c r="C681" s="193" t="s">
        <v>4724</v>
      </c>
      <c r="D681" s="12" t="s">
        <v>22</v>
      </c>
      <c r="E681" s="8" t="s">
        <v>858</v>
      </c>
      <c r="F681" s="8" t="s">
        <v>3510</v>
      </c>
      <c r="G681" s="8" t="s">
        <v>3509</v>
      </c>
      <c r="H681" s="7" t="s">
        <v>592</v>
      </c>
      <c r="I681" s="16">
        <v>43991</v>
      </c>
      <c r="J681" s="16">
        <v>43993</v>
      </c>
      <c r="K681" s="17"/>
      <c r="L681" s="3"/>
      <c r="M681" s="8" t="s">
        <v>4206</v>
      </c>
      <c r="N681" s="11">
        <v>43994.377638888887</v>
      </c>
      <c r="O681" s="8" t="s">
        <v>4206</v>
      </c>
      <c r="P681" s="11">
        <v>43994.366759259261</v>
      </c>
      <c r="Q681" s="13">
        <v>317744</v>
      </c>
      <c r="R681" s="194" t="s">
        <v>594</v>
      </c>
      <c r="S681" s="14" t="s">
        <v>6057</v>
      </c>
      <c r="T681" s="163">
        <v>1198</v>
      </c>
      <c r="U681" s="164" t="str">
        <f>CONCATENATE(LEFT(SP_ACQ_Lib[[#This Row],[Tax Parcel ID]],7),"_",SP_ACQ_Lib[[#This Row],[ACQ Document Type]])</f>
        <v>_SURVEY Description-Plat_USACOE</v>
      </c>
      <c r="V681" s="65" t="str">
        <f>INDEX(SP_AcqTract_DB[WCAD Tax Parcel ID],MATCH(SP_ACQ_Lib[[#This Row],[Acquisition Tract No.]],SP_AcqTract_DB[Acquisition Tract No.],0))</f>
        <v/>
      </c>
      <c r="W681" s="48" t="e">
        <f>INDEX(SP_TaxPar_DB[Acquisition Tract No.],MATCH(LEFT(SP_ACQ_Lib[[#This Row],[Tax Parcel ID]],7),SP_TaxPar_DB[Tax Parcel ID],0))</f>
        <v>#N/A</v>
      </c>
      <c r="X681" s="238" t="str">
        <f>IF(OR(SP_ACQ_Lib[[#This Row],[Acquisition Tract No.]]="",SP_ACQ_Lib[[#This Row],[ACQ Document Type]]=""),0,CONCATENATE("COW-FRMP_TR-",SP_ACQ_Lib[[#This Row],[Acquisition Tract No.]]," ",SP_ACQ_Lib[[#This Row],[ACQ Document Type]]))</f>
        <v>COW-FRMP_TR-325 SURVEY Description-Plat_USACOE</v>
      </c>
      <c r="Y681" s="239">
        <f>IF(OR(SP_ACQ_Lib[[#This Row],[File Name Convention]]=0,LEFT(SP_ACQ_Lib[[#This Row],[Name]],LEN(SP_ACQ_Lib[[#This Row],[File Name Convention]]))&lt;&gt;SP_ACQ_Lib[[#This Row],[File Name Convention]],ISERROR(SEARCH(SP_ACQ_Lib[[#This Row],[ACQ Document Type]],SP_ACQ_Lib[[#This Row],[Name]]))),1,0)</f>
        <v>0</v>
      </c>
    </row>
    <row r="682" spans="1:25" ht="15" x14ac:dyDescent="0.2">
      <c r="A682" s="157" t="str">
        <f>CONCATENATE(SP_ACQ_Lib[[#This Row],[Acquisition Tract No.]],"_",SP_ACQ_Lib[[#This Row],[ACQ Document Type]])</f>
        <v>326_APPRAISAL Just Compensation Approval</v>
      </c>
      <c r="B682" s="14" t="s">
        <v>5884</v>
      </c>
      <c r="C682" s="193" t="s">
        <v>5883</v>
      </c>
      <c r="D682" s="12" t="s">
        <v>667</v>
      </c>
      <c r="E682" s="8" t="s">
        <v>1131</v>
      </c>
      <c r="F682" s="8" t="s">
        <v>4828</v>
      </c>
      <c r="G682" s="8" t="s">
        <v>4827</v>
      </c>
      <c r="H682" s="7" t="s">
        <v>608</v>
      </c>
      <c r="I682" s="16"/>
      <c r="J682" s="16"/>
      <c r="K682" s="17">
        <v>75000</v>
      </c>
      <c r="L682" s="3" t="s">
        <v>5908</v>
      </c>
      <c r="M682" s="8" t="s">
        <v>4206</v>
      </c>
      <c r="N682" s="11">
        <v>43991.581967592596</v>
      </c>
      <c r="O682" s="8" t="s">
        <v>4206</v>
      </c>
      <c r="P682" s="11">
        <v>43944.615706018521</v>
      </c>
      <c r="Q682" s="13">
        <v>172971</v>
      </c>
      <c r="R682" s="194" t="s">
        <v>594</v>
      </c>
      <c r="S682" s="14" t="s">
        <v>4954</v>
      </c>
      <c r="T682" s="163">
        <v>829</v>
      </c>
      <c r="U682" s="164" t="str">
        <f>CONCATENATE(LEFT(SP_ACQ_Lib[[#This Row],[Tax Parcel ID]],7),"_",SP_ACQ_Lib[[#This Row],[ACQ Document Type]])</f>
        <v>R026696_APPRAISAL Just Compensation Approval</v>
      </c>
      <c r="V682" s="65" t="str">
        <f>INDEX(SP_AcqTract_DB[WCAD Tax Parcel ID],MATCH(SP_ACQ_Lib[[#This Row],[Acquisition Tract No.]],SP_AcqTract_DB[Acquisition Tract No.],0))</f>
        <v>R026696;#84</v>
      </c>
      <c r="W682" s="48" t="str">
        <f>INDEX(SP_TaxPar_DB[Acquisition Tract No.],MATCH(LEFT(SP_ACQ_Lib[[#This Row],[Tax Parcel ID]],7),SP_TaxPar_DB[Tax Parcel ID],0))</f>
        <v>326</v>
      </c>
      <c r="X682" s="238" t="str">
        <f>IF(OR(SP_ACQ_Lib[[#This Row],[Acquisition Tract No.]]="",SP_ACQ_Lib[[#This Row],[ACQ Document Type]]=""),0,CONCATENATE("COW-FRMP_TR-",SP_ACQ_Lib[[#This Row],[Acquisition Tract No.]]," ",SP_ACQ_Lib[[#This Row],[ACQ Document Type]]))</f>
        <v>COW-FRMP_TR-326 APPRAISAL Just Compensation Approval</v>
      </c>
      <c r="Y682" s="239">
        <f>IF(OR(SP_ACQ_Lib[[#This Row],[File Name Convention]]=0,LEFT(SP_ACQ_Lib[[#This Row],[Name]],LEN(SP_ACQ_Lib[[#This Row],[File Name Convention]]))&lt;&gt;SP_ACQ_Lib[[#This Row],[File Name Convention]],ISERROR(SEARCH(SP_ACQ_Lib[[#This Row],[ACQ Document Type]],SP_ACQ_Lib[[#This Row],[Name]]))),1,0)</f>
        <v>0</v>
      </c>
    </row>
    <row r="683" spans="1:25" ht="15" x14ac:dyDescent="0.2">
      <c r="A683" s="157" t="str">
        <f>CONCATENATE(SP_ACQ_Lib[[#This Row],[Acquisition Tract No.]],"_",SP_ACQ_Lib[[#This Row],[ACQ Document Type]])</f>
        <v>326_CONTACT Letter of Intent-HDR</v>
      </c>
      <c r="B683" s="14" t="s">
        <v>5885</v>
      </c>
      <c r="C683" s="193" t="s">
        <v>5883</v>
      </c>
      <c r="D683" s="12" t="s">
        <v>667</v>
      </c>
      <c r="E683" s="8" t="s">
        <v>865</v>
      </c>
      <c r="F683" s="8" t="s">
        <v>1401</v>
      </c>
      <c r="G683" s="8" t="s">
        <v>1400</v>
      </c>
      <c r="H683" s="7" t="s">
        <v>592</v>
      </c>
      <c r="I683" s="16">
        <v>43765</v>
      </c>
      <c r="J683" s="16"/>
      <c r="K683" s="17"/>
      <c r="L683" s="3"/>
      <c r="M683" s="8" t="s">
        <v>4206</v>
      </c>
      <c r="N683" s="11">
        <v>43990.956793981481</v>
      </c>
      <c r="O683" s="8" t="s">
        <v>1377</v>
      </c>
      <c r="P683" s="11">
        <v>43769.643310185187</v>
      </c>
      <c r="Q683" s="13">
        <v>352521</v>
      </c>
      <c r="R683" s="194" t="s">
        <v>594</v>
      </c>
      <c r="S683" s="14" t="s">
        <v>1663</v>
      </c>
      <c r="T683" s="163">
        <v>551</v>
      </c>
      <c r="U683" s="164" t="str">
        <f>CONCATENATE(LEFT(SP_ACQ_Lib[[#This Row],[Tax Parcel ID]],7),"_",SP_ACQ_Lib[[#This Row],[ACQ Document Type]])</f>
        <v>R026696_CONTACT Letter of Intent-HDR</v>
      </c>
      <c r="V683" s="65" t="str">
        <f>INDEX(SP_AcqTract_DB[WCAD Tax Parcel ID],MATCH(SP_ACQ_Lib[[#This Row],[Acquisition Tract No.]],SP_AcqTract_DB[Acquisition Tract No.],0))</f>
        <v>R026696;#84</v>
      </c>
      <c r="W683" s="48" t="str">
        <f>INDEX(SP_TaxPar_DB[Acquisition Tract No.],MATCH(LEFT(SP_ACQ_Lib[[#This Row],[Tax Parcel ID]],7),SP_TaxPar_DB[Tax Parcel ID],0))</f>
        <v>326</v>
      </c>
      <c r="X683" s="238" t="str">
        <f>IF(OR(SP_ACQ_Lib[[#This Row],[Acquisition Tract No.]]="",SP_ACQ_Lib[[#This Row],[ACQ Document Type]]=""),0,CONCATENATE("COW-FRMP_TR-",SP_ACQ_Lib[[#This Row],[Acquisition Tract No.]]," ",SP_ACQ_Lib[[#This Row],[ACQ Document Type]]))</f>
        <v>COW-FRMP_TR-326 CONTACT Letter of Intent-HDR</v>
      </c>
      <c r="Y683" s="239">
        <f>IF(OR(SP_ACQ_Lib[[#This Row],[File Name Convention]]=0,LEFT(SP_ACQ_Lib[[#This Row],[Name]],LEN(SP_ACQ_Lib[[#This Row],[File Name Convention]]))&lt;&gt;SP_ACQ_Lib[[#This Row],[File Name Convention]],ISERROR(SEARCH(SP_ACQ_Lib[[#This Row],[ACQ Document Type]],SP_ACQ_Lib[[#This Row],[Name]]))),1,0)</f>
        <v>0</v>
      </c>
    </row>
    <row r="684" spans="1:25" ht="15" x14ac:dyDescent="0.2">
      <c r="A684" s="157" t="str">
        <f>CONCATENATE(SP_ACQ_Lib[[#This Row],[Acquisition Tract No.]],"_",SP_ACQ_Lib[[#This Row],[ACQ Document Type]])</f>
        <v>326_CONTACT Negotiator Report</v>
      </c>
      <c r="B684" s="14" t="s">
        <v>5886</v>
      </c>
      <c r="C684" s="193" t="s">
        <v>5883</v>
      </c>
      <c r="D684" s="12" t="s">
        <v>667</v>
      </c>
      <c r="E684" s="8" t="s">
        <v>865</v>
      </c>
      <c r="F684" s="8" t="s">
        <v>1068</v>
      </c>
      <c r="G684" s="8" t="s">
        <v>1067</v>
      </c>
      <c r="H684" s="7" t="s">
        <v>592</v>
      </c>
      <c r="I684" s="16"/>
      <c r="J684" s="16"/>
      <c r="K684" s="17"/>
      <c r="L684" s="3"/>
      <c r="M684" s="8" t="s">
        <v>1744</v>
      </c>
      <c r="N684" s="11">
        <v>44020.80164351852</v>
      </c>
      <c r="O684" s="8" t="s">
        <v>4207</v>
      </c>
      <c r="P684" s="11">
        <v>43738.432870370372</v>
      </c>
      <c r="Q684" s="13">
        <v>64311</v>
      </c>
      <c r="R684" s="194" t="s">
        <v>1069</v>
      </c>
      <c r="S684" s="14" t="s">
        <v>1119</v>
      </c>
      <c r="T684" s="163">
        <v>380</v>
      </c>
      <c r="U684" s="164" t="str">
        <f>CONCATENATE(LEFT(SP_ACQ_Lib[[#This Row],[Tax Parcel ID]],7),"_",SP_ACQ_Lib[[#This Row],[ACQ Document Type]])</f>
        <v>R026696_CONTACT Negotiator Report</v>
      </c>
      <c r="V684" s="65" t="str">
        <f>INDEX(SP_AcqTract_DB[WCAD Tax Parcel ID],MATCH(SP_ACQ_Lib[[#This Row],[Acquisition Tract No.]],SP_AcqTract_DB[Acquisition Tract No.],0))</f>
        <v>R026696;#84</v>
      </c>
      <c r="W684" s="48" t="str">
        <f>INDEX(SP_TaxPar_DB[Acquisition Tract No.],MATCH(LEFT(SP_ACQ_Lib[[#This Row],[Tax Parcel ID]],7),SP_TaxPar_DB[Tax Parcel ID],0))</f>
        <v>326</v>
      </c>
      <c r="X684" s="238" t="str">
        <f>IF(OR(SP_ACQ_Lib[[#This Row],[Acquisition Tract No.]]="",SP_ACQ_Lib[[#This Row],[ACQ Document Type]]=""),0,CONCATENATE("COW-FRMP_TR-",SP_ACQ_Lib[[#This Row],[Acquisition Tract No.]]," ",SP_ACQ_Lib[[#This Row],[ACQ Document Type]]))</f>
        <v>COW-FRMP_TR-326 CONTACT Negotiator Report</v>
      </c>
      <c r="Y684" s="239">
        <f>IF(OR(SP_ACQ_Lib[[#This Row],[File Name Convention]]=0,LEFT(SP_ACQ_Lib[[#This Row],[Name]],LEN(SP_ACQ_Lib[[#This Row],[File Name Convention]]))&lt;&gt;SP_ACQ_Lib[[#This Row],[File Name Convention]],ISERROR(SEARCH(SP_ACQ_Lib[[#This Row],[ACQ Document Type]],SP_ACQ_Lib[[#This Row],[Name]]))),1,0)</f>
        <v>0</v>
      </c>
    </row>
    <row r="685" spans="1:25" ht="15" x14ac:dyDescent="0.2">
      <c r="A685" s="157" t="str">
        <f>CONCATENATE(SP_ACQ_Lib[[#This Row],[Acquisition Tract No.]],"_",SP_ACQ_Lib[[#This Row],[ACQ Document Type]])</f>
        <v>326_NEGOTIATION Landowner Bill of Rights Letter</v>
      </c>
      <c r="B685" s="14" t="s">
        <v>5887</v>
      </c>
      <c r="C685" s="193" t="s">
        <v>5883</v>
      </c>
      <c r="D685" s="12" t="s">
        <v>667</v>
      </c>
      <c r="E685" s="8" t="s">
        <v>1142</v>
      </c>
      <c r="F685" s="8" t="s">
        <v>1746</v>
      </c>
      <c r="G685" s="8" t="s">
        <v>1745</v>
      </c>
      <c r="H685" s="7" t="s">
        <v>592</v>
      </c>
      <c r="I685" s="16">
        <v>43748</v>
      </c>
      <c r="J685" s="16"/>
      <c r="K685" s="17"/>
      <c r="L685" s="3"/>
      <c r="M685" s="8" t="s">
        <v>4206</v>
      </c>
      <c r="N685" s="11">
        <v>43990.95716435185</v>
      </c>
      <c r="O685" s="8" t="s">
        <v>4325</v>
      </c>
      <c r="P685" s="11">
        <v>43752.539074074077</v>
      </c>
      <c r="Q685" s="13">
        <v>349813</v>
      </c>
      <c r="R685" s="194" t="s">
        <v>594</v>
      </c>
      <c r="S685" s="14" t="s">
        <v>1252</v>
      </c>
      <c r="T685" s="163">
        <v>461</v>
      </c>
      <c r="U685" s="164" t="str">
        <f>CONCATENATE(LEFT(SP_ACQ_Lib[[#This Row],[Tax Parcel ID]],7),"_",SP_ACQ_Lib[[#This Row],[ACQ Document Type]])</f>
        <v>R026696_NEGOTIATION Landowner Bill of Rights Letter</v>
      </c>
      <c r="V685" s="65" t="str">
        <f>INDEX(SP_AcqTract_DB[WCAD Tax Parcel ID],MATCH(SP_ACQ_Lib[[#This Row],[Acquisition Tract No.]],SP_AcqTract_DB[Acquisition Tract No.],0))</f>
        <v>R026696;#84</v>
      </c>
      <c r="W685" s="48" t="str">
        <f>INDEX(SP_TaxPar_DB[Acquisition Tract No.],MATCH(LEFT(SP_ACQ_Lib[[#This Row],[Tax Parcel ID]],7),SP_TaxPar_DB[Tax Parcel ID],0))</f>
        <v>326</v>
      </c>
      <c r="X685" s="238" t="str">
        <f>IF(OR(SP_ACQ_Lib[[#This Row],[Acquisition Tract No.]]="",SP_ACQ_Lib[[#This Row],[ACQ Document Type]]=""),0,CONCATENATE("COW-FRMP_TR-",SP_ACQ_Lib[[#This Row],[Acquisition Tract No.]]," ",SP_ACQ_Lib[[#This Row],[ACQ Document Type]]))</f>
        <v>COW-FRMP_TR-326 NEGOTIATION Landowner Bill of Rights Letter</v>
      </c>
      <c r="Y685" s="239">
        <f>IF(OR(SP_ACQ_Lib[[#This Row],[File Name Convention]]=0,LEFT(SP_ACQ_Lib[[#This Row],[Name]],LEN(SP_ACQ_Lib[[#This Row],[File Name Convention]]))&lt;&gt;SP_ACQ_Lib[[#This Row],[File Name Convention]],ISERROR(SEARCH(SP_ACQ_Lib[[#This Row],[ACQ Document Type]],SP_ACQ_Lib[[#This Row],[Name]]))),1,0)</f>
        <v>0</v>
      </c>
    </row>
    <row r="686" spans="1:25" ht="15" x14ac:dyDescent="0.2">
      <c r="A686" s="157" t="str">
        <f>CONCATENATE(SP_ACQ_Lib[[#This Row],[Acquisition Tract No.]],"_",SP_ACQ_Lib[[#This Row],[ACQ Document Type]])</f>
        <v>326_SURVEY Description-Plat_CITY</v>
      </c>
      <c r="B686" s="14" t="s">
        <v>5888</v>
      </c>
      <c r="C686" s="193" t="s">
        <v>5883</v>
      </c>
      <c r="D686" s="12" t="s">
        <v>667</v>
      </c>
      <c r="E686" s="8" t="s">
        <v>858</v>
      </c>
      <c r="F686" s="8" t="s">
        <v>3503</v>
      </c>
      <c r="G686" s="8" t="s">
        <v>3502</v>
      </c>
      <c r="H686" s="7" t="s">
        <v>1749</v>
      </c>
      <c r="I686" s="16">
        <v>43783</v>
      </c>
      <c r="J686" s="16">
        <v>43515</v>
      </c>
      <c r="K686" s="17"/>
      <c r="L686" s="3"/>
      <c r="M686" s="8" t="s">
        <v>4206</v>
      </c>
      <c r="N686" s="11">
        <v>43990.957511574074</v>
      </c>
      <c r="O686" s="8" t="s">
        <v>4205</v>
      </c>
      <c r="P686" s="11">
        <v>43881.574513888889</v>
      </c>
      <c r="Q686" s="13">
        <v>271391</v>
      </c>
      <c r="R686" s="194" t="s">
        <v>594</v>
      </c>
      <c r="S686" s="14" t="s">
        <v>3507</v>
      </c>
      <c r="T686" s="163">
        <v>725</v>
      </c>
      <c r="U686" s="164" t="str">
        <f>CONCATENATE(LEFT(SP_ACQ_Lib[[#This Row],[Tax Parcel ID]],7),"_",SP_ACQ_Lib[[#This Row],[ACQ Document Type]])</f>
        <v>R026696_SURVEY Description-Plat_CITY</v>
      </c>
      <c r="V686" s="65" t="str">
        <f>INDEX(SP_AcqTract_DB[WCAD Tax Parcel ID],MATCH(SP_ACQ_Lib[[#This Row],[Acquisition Tract No.]],SP_AcqTract_DB[Acquisition Tract No.],0))</f>
        <v>R026696;#84</v>
      </c>
      <c r="W686" s="48" t="str">
        <f>INDEX(SP_TaxPar_DB[Acquisition Tract No.],MATCH(LEFT(SP_ACQ_Lib[[#This Row],[Tax Parcel ID]],7),SP_TaxPar_DB[Tax Parcel ID],0))</f>
        <v>326</v>
      </c>
      <c r="X686" s="238" t="str">
        <f>IF(OR(SP_ACQ_Lib[[#This Row],[Acquisition Tract No.]]="",SP_ACQ_Lib[[#This Row],[ACQ Document Type]]=""),0,CONCATENATE("COW-FRMP_TR-",SP_ACQ_Lib[[#This Row],[Acquisition Tract No.]]," ",SP_ACQ_Lib[[#This Row],[ACQ Document Type]]))</f>
        <v>COW-FRMP_TR-326 SURVEY Description-Plat_CITY</v>
      </c>
      <c r="Y686" s="239">
        <f>IF(OR(SP_ACQ_Lib[[#This Row],[File Name Convention]]=0,LEFT(SP_ACQ_Lib[[#This Row],[Name]],LEN(SP_ACQ_Lib[[#This Row],[File Name Convention]]))&lt;&gt;SP_ACQ_Lib[[#This Row],[File Name Convention]],ISERROR(SEARCH(SP_ACQ_Lib[[#This Row],[ACQ Document Type]],SP_ACQ_Lib[[#This Row],[Name]]))),1,0)</f>
        <v>0</v>
      </c>
    </row>
    <row r="687" spans="1:25" ht="15" x14ac:dyDescent="0.2">
      <c r="A687" s="157" t="str">
        <f>CONCATENATE(SP_ACQ_Lib[[#This Row],[Acquisition Tract No.]],"_",SP_ACQ_Lib[[#This Row],[ACQ Document Type]])</f>
        <v>326_SURVEY Right-of-Entry</v>
      </c>
      <c r="B687" s="14" t="s">
        <v>5889</v>
      </c>
      <c r="C687" s="193" t="s">
        <v>5883</v>
      </c>
      <c r="D687" s="12" t="s">
        <v>667</v>
      </c>
      <c r="E687" s="8" t="s">
        <v>858</v>
      </c>
      <c r="F687" s="8" t="s">
        <v>859</v>
      </c>
      <c r="G687" s="8" t="s">
        <v>591</v>
      </c>
      <c r="H687" s="7" t="s">
        <v>592</v>
      </c>
      <c r="I687" s="16">
        <v>43697</v>
      </c>
      <c r="J687" s="16"/>
      <c r="K687" s="17"/>
      <c r="L687" s="3" t="s">
        <v>666</v>
      </c>
      <c r="M687" s="8" t="s">
        <v>4206</v>
      </c>
      <c r="N687" s="11">
        <v>43990.957673611112</v>
      </c>
      <c r="O687" s="8" t="s">
        <v>4325</v>
      </c>
      <c r="P687" s="11">
        <v>43704.706076388888</v>
      </c>
      <c r="Q687" s="13">
        <v>996989</v>
      </c>
      <c r="R687" s="194" t="s">
        <v>594</v>
      </c>
      <c r="S687" s="14" t="s">
        <v>853</v>
      </c>
      <c r="T687" s="163">
        <v>165</v>
      </c>
      <c r="U687" s="164" t="str">
        <f>CONCATENATE(LEFT(SP_ACQ_Lib[[#This Row],[Tax Parcel ID]],7),"_",SP_ACQ_Lib[[#This Row],[ACQ Document Type]])</f>
        <v>R026696_SURVEY Right-of-Entry</v>
      </c>
      <c r="V687" s="65" t="str">
        <f>INDEX(SP_AcqTract_DB[WCAD Tax Parcel ID],MATCH(SP_ACQ_Lib[[#This Row],[Acquisition Tract No.]],SP_AcqTract_DB[Acquisition Tract No.],0))</f>
        <v>R026696;#84</v>
      </c>
      <c r="W687" s="48" t="str">
        <f>INDEX(SP_TaxPar_DB[Acquisition Tract No.],MATCH(LEFT(SP_ACQ_Lib[[#This Row],[Tax Parcel ID]],7),SP_TaxPar_DB[Tax Parcel ID],0))</f>
        <v>326</v>
      </c>
      <c r="X687" s="238" t="str">
        <f>IF(OR(SP_ACQ_Lib[[#This Row],[Acquisition Tract No.]]="",SP_ACQ_Lib[[#This Row],[ACQ Document Type]]=""),0,CONCATENATE("COW-FRMP_TR-",SP_ACQ_Lib[[#This Row],[Acquisition Tract No.]]," ",SP_ACQ_Lib[[#This Row],[ACQ Document Type]]))</f>
        <v>COW-FRMP_TR-326 SURVEY Right-of-Entry</v>
      </c>
      <c r="Y687" s="239">
        <f>IF(OR(SP_ACQ_Lib[[#This Row],[File Name Convention]]=0,LEFT(SP_ACQ_Lib[[#This Row],[Name]],LEN(SP_ACQ_Lib[[#This Row],[File Name Convention]]))&lt;&gt;SP_ACQ_Lib[[#This Row],[File Name Convention]],ISERROR(SEARCH(SP_ACQ_Lib[[#This Row],[ACQ Document Type]],SP_ACQ_Lib[[#This Row],[Name]]))),1,0)</f>
        <v>0</v>
      </c>
    </row>
    <row r="688" spans="1:25" ht="15" x14ac:dyDescent="0.2">
      <c r="A688" s="157" t="str">
        <f>CONCATENATE(SP_ACQ_Lib[[#This Row],[Acquisition Tract No.]],"_",SP_ACQ_Lib[[#This Row],[ACQ Document Type]])</f>
        <v>326_TITLE Commitment</v>
      </c>
      <c r="B688" s="14" t="s">
        <v>5890</v>
      </c>
      <c r="C688" s="193" t="s">
        <v>5883</v>
      </c>
      <c r="D688" s="12" t="s">
        <v>667</v>
      </c>
      <c r="E688" s="8" t="s">
        <v>861</v>
      </c>
      <c r="F688" s="8" t="s">
        <v>862</v>
      </c>
      <c r="G688" s="8" t="s">
        <v>614</v>
      </c>
      <c r="H688" s="7" t="s">
        <v>592</v>
      </c>
      <c r="I688" s="16">
        <v>43893</v>
      </c>
      <c r="J688" s="16">
        <v>43917</v>
      </c>
      <c r="K688" s="17"/>
      <c r="L688" s="3" t="s">
        <v>4570</v>
      </c>
      <c r="M688" s="8" t="s">
        <v>4206</v>
      </c>
      <c r="N688" s="11">
        <v>43990.957870370374</v>
      </c>
      <c r="O688" s="8" t="s">
        <v>4326</v>
      </c>
      <c r="P688" s="11">
        <v>43718.480185185188</v>
      </c>
      <c r="Q688" s="13">
        <v>458527</v>
      </c>
      <c r="R688" s="194" t="s">
        <v>594</v>
      </c>
      <c r="S688" s="14" t="s">
        <v>854</v>
      </c>
      <c r="T688" s="163">
        <v>232</v>
      </c>
      <c r="U688" s="164" t="str">
        <f>CONCATENATE(LEFT(SP_ACQ_Lib[[#This Row],[Tax Parcel ID]],7),"_",SP_ACQ_Lib[[#This Row],[ACQ Document Type]])</f>
        <v>R026696_TITLE Commitment</v>
      </c>
      <c r="V688" s="65" t="str">
        <f>INDEX(SP_AcqTract_DB[WCAD Tax Parcel ID],MATCH(SP_ACQ_Lib[[#This Row],[Acquisition Tract No.]],SP_AcqTract_DB[Acquisition Tract No.],0))</f>
        <v>R026696;#84</v>
      </c>
      <c r="W688" s="48" t="str">
        <f>INDEX(SP_TaxPar_DB[Acquisition Tract No.],MATCH(LEFT(SP_ACQ_Lib[[#This Row],[Tax Parcel ID]],7),SP_TaxPar_DB[Tax Parcel ID],0))</f>
        <v>326</v>
      </c>
      <c r="X688" s="238" t="str">
        <f>IF(OR(SP_ACQ_Lib[[#This Row],[Acquisition Tract No.]]="",SP_ACQ_Lib[[#This Row],[ACQ Document Type]]=""),0,CONCATENATE("COW-FRMP_TR-",SP_ACQ_Lib[[#This Row],[Acquisition Tract No.]]," ",SP_ACQ_Lib[[#This Row],[ACQ Document Type]]))</f>
        <v>COW-FRMP_TR-326 TITLE Commitment</v>
      </c>
      <c r="Y688" s="239">
        <f>IF(OR(SP_ACQ_Lib[[#This Row],[File Name Convention]]=0,LEFT(SP_ACQ_Lib[[#This Row],[Name]],LEN(SP_ACQ_Lib[[#This Row],[File Name Convention]]))&lt;&gt;SP_ACQ_Lib[[#This Row],[File Name Convention]],ISERROR(SEARCH(SP_ACQ_Lib[[#This Row],[ACQ Document Type]],SP_ACQ_Lib[[#This Row],[Name]]))),1,0)</f>
        <v>0</v>
      </c>
    </row>
    <row r="689" spans="1:25" ht="15" x14ac:dyDescent="0.2">
      <c r="A689" s="157" t="str">
        <f>CONCATENATE(SP_ACQ_Lib[[#This Row],[Acquisition Tract No.]],"_",SP_ACQ_Lib[[#This Row],[ACQ Document Type]])</f>
        <v>326_TITLE Commitment Backup Docs</v>
      </c>
      <c r="B689" s="14" t="s">
        <v>5891</v>
      </c>
      <c r="C689" s="193" t="s">
        <v>5883</v>
      </c>
      <c r="D689" s="12" t="s">
        <v>667</v>
      </c>
      <c r="E689" s="8" t="s">
        <v>861</v>
      </c>
      <c r="F689" s="8" t="s">
        <v>863</v>
      </c>
      <c r="G689" s="8" t="s">
        <v>616</v>
      </c>
      <c r="H689" s="7" t="s">
        <v>592</v>
      </c>
      <c r="I689" s="16"/>
      <c r="J689" s="16"/>
      <c r="K689" s="17"/>
      <c r="L689" s="3"/>
      <c r="M689" s="8" t="s">
        <v>4206</v>
      </c>
      <c r="N689" s="11">
        <v>43990.958020833335</v>
      </c>
      <c r="O689" s="8" t="s">
        <v>4326</v>
      </c>
      <c r="P689" s="11">
        <v>43718.480682870373</v>
      </c>
      <c r="Q689" s="13">
        <v>287062</v>
      </c>
      <c r="R689" s="194" t="s">
        <v>594</v>
      </c>
      <c r="S689" s="14" t="s">
        <v>855</v>
      </c>
      <c r="T689" s="163">
        <v>233</v>
      </c>
      <c r="U689" s="164" t="str">
        <f>CONCATENATE(LEFT(SP_ACQ_Lib[[#This Row],[Tax Parcel ID]],7),"_",SP_ACQ_Lib[[#This Row],[ACQ Document Type]])</f>
        <v>R026696_TITLE Commitment Backup Docs</v>
      </c>
      <c r="V689" s="65" t="str">
        <f>INDEX(SP_AcqTract_DB[WCAD Tax Parcel ID],MATCH(SP_ACQ_Lib[[#This Row],[Acquisition Tract No.]],SP_AcqTract_DB[Acquisition Tract No.],0))</f>
        <v>R026696;#84</v>
      </c>
      <c r="W689" s="48" t="str">
        <f>INDEX(SP_TaxPar_DB[Acquisition Tract No.],MATCH(LEFT(SP_ACQ_Lib[[#This Row],[Tax Parcel ID]],7),SP_TaxPar_DB[Tax Parcel ID],0))</f>
        <v>326</v>
      </c>
      <c r="X689" s="238" t="str">
        <f>IF(OR(SP_ACQ_Lib[[#This Row],[Acquisition Tract No.]]="",SP_ACQ_Lib[[#This Row],[ACQ Document Type]]=""),0,CONCATENATE("COW-FRMP_TR-",SP_ACQ_Lib[[#This Row],[Acquisition Tract No.]]," ",SP_ACQ_Lib[[#This Row],[ACQ Document Type]]))</f>
        <v>COW-FRMP_TR-326 TITLE Commitment Backup Docs</v>
      </c>
      <c r="Y689" s="239">
        <f>IF(OR(SP_ACQ_Lib[[#This Row],[File Name Convention]]=0,LEFT(SP_ACQ_Lib[[#This Row],[Name]],LEN(SP_ACQ_Lib[[#This Row],[File Name Convention]]))&lt;&gt;SP_ACQ_Lib[[#This Row],[File Name Convention]],ISERROR(SEARCH(SP_ACQ_Lib[[#This Row],[ACQ Document Type]],SP_ACQ_Lib[[#This Row],[Name]]))),1,0)</f>
        <v>0</v>
      </c>
    </row>
    <row r="690" spans="1:25" ht="15" x14ac:dyDescent="0.2">
      <c r="A690" s="157" t="str">
        <f>CONCATENATE(SP_ACQ_Lib[[#This Row],[Acquisition Tract No.]],"_",SP_ACQ_Lib[[#This Row],[ACQ Document Type]])</f>
        <v>326_TITLE Curative Plan</v>
      </c>
      <c r="B690" s="14" t="s">
        <v>5892</v>
      </c>
      <c r="C690" s="193" t="s">
        <v>5883</v>
      </c>
      <c r="D690" s="12" t="s">
        <v>667</v>
      </c>
      <c r="E690" s="8" t="s">
        <v>861</v>
      </c>
      <c r="F690" s="8" t="s">
        <v>864</v>
      </c>
      <c r="G690" s="8" t="s">
        <v>617</v>
      </c>
      <c r="H690" s="7" t="s">
        <v>592</v>
      </c>
      <c r="I690" s="16">
        <v>43816</v>
      </c>
      <c r="J690" s="16"/>
      <c r="K690" s="17"/>
      <c r="L690" s="3"/>
      <c r="M690" s="8" t="s">
        <v>4206</v>
      </c>
      <c r="N690" s="11">
        <v>43990.958668981482</v>
      </c>
      <c r="O690" s="8" t="s">
        <v>4326</v>
      </c>
      <c r="P690" s="11">
        <v>43746.391469907408</v>
      </c>
      <c r="Q690" s="13">
        <v>38305</v>
      </c>
      <c r="R690" s="194" t="s">
        <v>594</v>
      </c>
      <c r="S690" s="14" t="s">
        <v>1253</v>
      </c>
      <c r="T690" s="163">
        <v>413</v>
      </c>
      <c r="U690" s="164" t="str">
        <f>CONCATENATE(LEFT(SP_ACQ_Lib[[#This Row],[Tax Parcel ID]],7),"_",SP_ACQ_Lib[[#This Row],[ACQ Document Type]])</f>
        <v>R026696_TITLE Curative Plan</v>
      </c>
      <c r="V690" s="65" t="str">
        <f>INDEX(SP_AcqTract_DB[WCAD Tax Parcel ID],MATCH(SP_ACQ_Lib[[#This Row],[Acquisition Tract No.]],SP_AcqTract_DB[Acquisition Tract No.],0))</f>
        <v>R026696;#84</v>
      </c>
      <c r="W690" s="48" t="str">
        <f>INDEX(SP_TaxPar_DB[Acquisition Tract No.],MATCH(LEFT(SP_ACQ_Lib[[#This Row],[Tax Parcel ID]],7),SP_TaxPar_DB[Tax Parcel ID],0))</f>
        <v>326</v>
      </c>
      <c r="X690" s="238" t="str">
        <f>IF(OR(SP_ACQ_Lib[[#This Row],[Acquisition Tract No.]]="",SP_ACQ_Lib[[#This Row],[ACQ Document Type]]=""),0,CONCATENATE("COW-FRMP_TR-",SP_ACQ_Lib[[#This Row],[Acquisition Tract No.]]," ",SP_ACQ_Lib[[#This Row],[ACQ Document Type]]))</f>
        <v>COW-FRMP_TR-326 TITLE Curative Plan</v>
      </c>
      <c r="Y690" s="239">
        <f>IF(OR(SP_ACQ_Lib[[#This Row],[File Name Convention]]=0,LEFT(SP_ACQ_Lib[[#This Row],[Name]],LEN(SP_ACQ_Lib[[#This Row],[File Name Convention]]))&lt;&gt;SP_ACQ_Lib[[#This Row],[File Name Convention]],ISERROR(SEARCH(SP_ACQ_Lib[[#This Row],[ACQ Document Type]],SP_ACQ_Lib[[#This Row],[Name]]))),1,0)</f>
        <v>0</v>
      </c>
    </row>
    <row r="691" spans="1:25" ht="15" x14ac:dyDescent="0.2">
      <c r="A691" s="157" t="str">
        <f>CONCATENATE(SP_ACQ_Lib[[#This Row],[Acquisition Tract No.]],"_",SP_ACQ_Lib[[#This Row],[ACQ Document Type]])</f>
        <v>421A_APPRAISAL Appraisal Review</v>
      </c>
      <c r="B691" s="14" t="s">
        <v>4758</v>
      </c>
      <c r="C691" s="193" t="s">
        <v>227</v>
      </c>
      <c r="D691" s="12" t="s">
        <v>665</v>
      </c>
      <c r="E691" s="8" t="s">
        <v>1131</v>
      </c>
      <c r="F691" s="8" t="s">
        <v>4753</v>
      </c>
      <c r="G691" s="8" t="s">
        <v>4751</v>
      </c>
      <c r="H691" s="7" t="s">
        <v>592</v>
      </c>
      <c r="I691" s="16">
        <v>43922</v>
      </c>
      <c r="J691" s="16"/>
      <c r="K691" s="17">
        <v>65500</v>
      </c>
      <c r="L691" s="3" t="s">
        <v>4752</v>
      </c>
      <c r="M691" s="8" t="s">
        <v>4206</v>
      </c>
      <c r="N691" s="11">
        <v>43936.362187500003</v>
      </c>
      <c r="O691" s="8" t="s">
        <v>4206</v>
      </c>
      <c r="P691" s="11">
        <v>43936.358900462961</v>
      </c>
      <c r="Q691" s="13">
        <v>726851</v>
      </c>
      <c r="R691" s="194" t="s">
        <v>594</v>
      </c>
      <c r="S691" s="14" t="s">
        <v>4761</v>
      </c>
      <c r="T691" s="163">
        <v>810</v>
      </c>
      <c r="U691" s="164" t="str">
        <f>CONCATENATE(LEFT(SP_ACQ_Lib[[#This Row],[Tax Parcel ID]],7),"_",SP_ACQ_Lib[[#This Row],[ACQ Document Type]])</f>
        <v>R056955_APPRAISAL Appraisal Review</v>
      </c>
      <c r="V691" s="65" t="str">
        <f>INDEX(SP_AcqTract_DB[WCAD Tax Parcel ID],MATCH(SP_ACQ_Lib[[#This Row],[Acquisition Tract No.]],SP_AcqTract_DB[Acquisition Tract No.],0))</f>
        <v>R056955;#85</v>
      </c>
      <c r="W691" s="48" t="str">
        <f>INDEX(SP_TaxPar_DB[Acquisition Tract No.],MATCH(LEFT(SP_ACQ_Lib[[#This Row],[Tax Parcel ID]],7),SP_TaxPar_DB[Tax Parcel ID],0))</f>
        <v>421A</v>
      </c>
      <c r="X691" s="238" t="str">
        <f>IF(OR(SP_ACQ_Lib[[#This Row],[Acquisition Tract No.]]="",SP_ACQ_Lib[[#This Row],[ACQ Document Type]]=""),0,CONCATENATE("COW-FRMP_TR-",SP_ACQ_Lib[[#This Row],[Acquisition Tract No.]]," ",SP_ACQ_Lib[[#This Row],[ACQ Document Type]]))</f>
        <v>COW-FRMP_TR-421A APPRAISAL Appraisal Review</v>
      </c>
      <c r="Y691" s="239">
        <f>IF(OR(SP_ACQ_Lib[[#This Row],[File Name Convention]]=0,LEFT(SP_ACQ_Lib[[#This Row],[Name]],LEN(SP_ACQ_Lib[[#This Row],[File Name Convention]]))&lt;&gt;SP_ACQ_Lib[[#This Row],[File Name Convention]],ISERROR(SEARCH(SP_ACQ_Lib[[#This Row],[ACQ Document Type]],SP_ACQ_Lib[[#This Row],[Name]]))),1,0)</f>
        <v>0</v>
      </c>
    </row>
    <row r="692" spans="1:25" ht="15" x14ac:dyDescent="0.2">
      <c r="A692" s="157" t="str">
        <f>CONCATENATE(SP_ACQ_Lib[[#This Row],[Acquisition Tract No.]],"_",SP_ACQ_Lib[[#This Row],[ACQ Document Type]])</f>
        <v>421A_APPRAISAL Final Appraisal</v>
      </c>
      <c r="B692" s="14" t="s">
        <v>4759</v>
      </c>
      <c r="C692" s="193" t="s">
        <v>227</v>
      </c>
      <c r="D692" s="12" t="s">
        <v>665</v>
      </c>
      <c r="E692" s="8" t="s">
        <v>1131</v>
      </c>
      <c r="F692" s="8" t="s">
        <v>4755</v>
      </c>
      <c r="G692" s="8" t="s">
        <v>4754</v>
      </c>
      <c r="H692" s="7" t="s">
        <v>592</v>
      </c>
      <c r="I692" s="16">
        <v>43912</v>
      </c>
      <c r="J692" s="16"/>
      <c r="K692" s="17">
        <v>65500</v>
      </c>
      <c r="L692" s="3"/>
      <c r="M692" s="8" t="s">
        <v>4206</v>
      </c>
      <c r="N692" s="11">
        <v>43936.364247685182</v>
      </c>
      <c r="O692" s="8" t="s">
        <v>4206</v>
      </c>
      <c r="P692" s="11">
        <v>43936.3590625</v>
      </c>
      <c r="Q692" s="13">
        <v>8569172</v>
      </c>
      <c r="R692" s="194" t="s">
        <v>594</v>
      </c>
      <c r="S692" s="14" t="s">
        <v>4762</v>
      </c>
      <c r="T692" s="163">
        <v>811</v>
      </c>
      <c r="U692" s="164" t="str">
        <f>CONCATENATE(LEFT(SP_ACQ_Lib[[#This Row],[Tax Parcel ID]],7),"_",SP_ACQ_Lib[[#This Row],[ACQ Document Type]])</f>
        <v>R056955_APPRAISAL Final Appraisal</v>
      </c>
      <c r="V692" s="65" t="str">
        <f>INDEX(SP_AcqTract_DB[WCAD Tax Parcel ID],MATCH(SP_ACQ_Lib[[#This Row],[Acquisition Tract No.]],SP_AcqTract_DB[Acquisition Tract No.],0))</f>
        <v>R056955;#85</v>
      </c>
      <c r="W692" s="48" t="str">
        <f>INDEX(SP_TaxPar_DB[Acquisition Tract No.],MATCH(LEFT(SP_ACQ_Lib[[#This Row],[Tax Parcel ID]],7),SP_TaxPar_DB[Tax Parcel ID],0))</f>
        <v>421A</v>
      </c>
      <c r="X692" s="238" t="str">
        <f>IF(OR(SP_ACQ_Lib[[#This Row],[Acquisition Tract No.]]="",SP_ACQ_Lib[[#This Row],[ACQ Document Type]]=""),0,CONCATENATE("COW-FRMP_TR-",SP_ACQ_Lib[[#This Row],[Acquisition Tract No.]]," ",SP_ACQ_Lib[[#This Row],[ACQ Document Type]]))</f>
        <v>COW-FRMP_TR-421A APPRAISAL Final Appraisal</v>
      </c>
      <c r="Y692" s="239">
        <f>IF(OR(SP_ACQ_Lib[[#This Row],[File Name Convention]]=0,LEFT(SP_ACQ_Lib[[#This Row],[Name]],LEN(SP_ACQ_Lib[[#This Row],[File Name Convention]]))&lt;&gt;SP_ACQ_Lib[[#This Row],[File Name Convention]],ISERROR(SEARCH(SP_ACQ_Lib[[#This Row],[ACQ Document Type]],SP_ACQ_Lib[[#This Row],[Name]]))),1,0)</f>
        <v>0</v>
      </c>
    </row>
    <row r="693" spans="1:25" ht="15" x14ac:dyDescent="0.2">
      <c r="A693" s="157" t="str">
        <f>CONCATENATE(SP_ACQ_Lib[[#This Row],[Acquisition Tract No.]],"_",SP_ACQ_Lib[[#This Row],[ACQ Document Type]])</f>
        <v>421A_APPRAISAL Just Compensation Approval</v>
      </c>
      <c r="B693" s="14" t="s">
        <v>4952</v>
      </c>
      <c r="C693" s="193" t="s">
        <v>227</v>
      </c>
      <c r="D693" s="12" t="s">
        <v>665</v>
      </c>
      <c r="E693" s="8" t="s">
        <v>1131</v>
      </c>
      <c r="F693" s="8" t="s">
        <v>4828</v>
      </c>
      <c r="G693" s="8" t="s">
        <v>4827</v>
      </c>
      <c r="H693" s="7" t="s">
        <v>1749</v>
      </c>
      <c r="I693" s="16">
        <v>43943</v>
      </c>
      <c r="J693" s="16"/>
      <c r="K693" s="17">
        <v>65500</v>
      </c>
      <c r="L693" s="3"/>
      <c r="M693" s="8" t="s">
        <v>4205</v>
      </c>
      <c r="N693" s="11">
        <v>43944.621770833335</v>
      </c>
      <c r="O693" s="8" t="s">
        <v>4206</v>
      </c>
      <c r="P693" s="11">
        <v>43944.615694444445</v>
      </c>
      <c r="Q693" s="13">
        <v>166493</v>
      </c>
      <c r="R693" s="194" t="s">
        <v>594</v>
      </c>
      <c r="S693" s="14" t="s">
        <v>4953</v>
      </c>
      <c r="T693" s="163">
        <v>828</v>
      </c>
      <c r="U693" s="164" t="str">
        <f>CONCATENATE(LEFT(SP_ACQ_Lib[[#This Row],[Tax Parcel ID]],7),"_",SP_ACQ_Lib[[#This Row],[ACQ Document Type]])</f>
        <v>R056955_APPRAISAL Just Compensation Approval</v>
      </c>
      <c r="V693" s="65" t="str">
        <f>INDEX(SP_AcqTract_DB[WCAD Tax Parcel ID],MATCH(SP_ACQ_Lib[[#This Row],[Acquisition Tract No.]],SP_AcqTract_DB[Acquisition Tract No.],0))</f>
        <v>R056955;#85</v>
      </c>
      <c r="W693" s="48" t="str">
        <f>INDEX(SP_TaxPar_DB[Acquisition Tract No.],MATCH(LEFT(SP_ACQ_Lib[[#This Row],[Tax Parcel ID]],7),SP_TaxPar_DB[Tax Parcel ID],0))</f>
        <v>421A</v>
      </c>
      <c r="X693" s="238" t="str">
        <f>IF(OR(SP_ACQ_Lib[[#This Row],[Acquisition Tract No.]]="",SP_ACQ_Lib[[#This Row],[ACQ Document Type]]=""),0,CONCATENATE("COW-FRMP_TR-",SP_ACQ_Lib[[#This Row],[Acquisition Tract No.]]," ",SP_ACQ_Lib[[#This Row],[ACQ Document Type]]))</f>
        <v>COW-FRMP_TR-421A APPRAISAL Just Compensation Approval</v>
      </c>
      <c r="Y693" s="239">
        <f>IF(OR(SP_ACQ_Lib[[#This Row],[File Name Convention]]=0,LEFT(SP_ACQ_Lib[[#This Row],[Name]],LEN(SP_ACQ_Lib[[#This Row],[File Name Convention]]))&lt;&gt;SP_ACQ_Lib[[#This Row],[File Name Convention]],ISERROR(SEARCH(SP_ACQ_Lib[[#This Row],[ACQ Document Type]],SP_ACQ_Lib[[#This Row],[Name]]))),1,0)</f>
        <v>0</v>
      </c>
    </row>
    <row r="694" spans="1:25" ht="15" x14ac:dyDescent="0.2">
      <c r="A694" s="157" t="str">
        <f>CONCATENATE(SP_ACQ_Lib[[#This Row],[Acquisition Tract No.]],"_",SP_ACQ_Lib[[#This Row],[ACQ Document Type]])</f>
        <v>421A_APPRAISAL Just Compensation Memo</v>
      </c>
      <c r="B694" s="14" t="s">
        <v>4760</v>
      </c>
      <c r="C694" s="193" t="s">
        <v>227</v>
      </c>
      <c r="D694" s="12" t="s">
        <v>665</v>
      </c>
      <c r="E694" s="8" t="s">
        <v>1131</v>
      </c>
      <c r="F694" s="8" t="s">
        <v>4757</v>
      </c>
      <c r="G694" s="8" t="s">
        <v>4756</v>
      </c>
      <c r="H694" s="7" t="s">
        <v>592</v>
      </c>
      <c r="I694" s="16">
        <v>43935</v>
      </c>
      <c r="J694" s="16"/>
      <c r="K694" s="17">
        <v>65500</v>
      </c>
      <c r="L694" s="3"/>
      <c r="M694" s="8" t="s">
        <v>4206</v>
      </c>
      <c r="N694" s="11">
        <v>43945.432291666664</v>
      </c>
      <c r="O694" s="8" t="s">
        <v>4206</v>
      </c>
      <c r="P694" s="11">
        <v>43936.3590625</v>
      </c>
      <c r="Q694" s="13">
        <v>29475</v>
      </c>
      <c r="R694" s="194" t="s">
        <v>594</v>
      </c>
      <c r="S694" s="14" t="s">
        <v>4763</v>
      </c>
      <c r="T694" s="163">
        <v>812</v>
      </c>
      <c r="U694" s="164" t="str">
        <f>CONCATENATE(LEFT(SP_ACQ_Lib[[#This Row],[Tax Parcel ID]],7),"_",SP_ACQ_Lib[[#This Row],[ACQ Document Type]])</f>
        <v>R056955_APPRAISAL Just Compensation Memo</v>
      </c>
      <c r="V694" s="65" t="str">
        <f>INDEX(SP_AcqTract_DB[WCAD Tax Parcel ID],MATCH(SP_ACQ_Lib[[#This Row],[Acquisition Tract No.]],SP_AcqTract_DB[Acquisition Tract No.],0))</f>
        <v>R056955;#85</v>
      </c>
      <c r="W694" s="48" t="str">
        <f>INDEX(SP_TaxPar_DB[Acquisition Tract No.],MATCH(LEFT(SP_ACQ_Lib[[#This Row],[Tax Parcel ID]],7),SP_TaxPar_DB[Tax Parcel ID],0))</f>
        <v>421A</v>
      </c>
      <c r="X694" s="238" t="str">
        <f>IF(OR(SP_ACQ_Lib[[#This Row],[Acquisition Tract No.]]="",SP_ACQ_Lib[[#This Row],[ACQ Document Type]]=""),0,CONCATENATE("COW-FRMP_TR-",SP_ACQ_Lib[[#This Row],[Acquisition Tract No.]]," ",SP_ACQ_Lib[[#This Row],[ACQ Document Type]]))</f>
        <v>COW-FRMP_TR-421A APPRAISAL Just Compensation Memo</v>
      </c>
      <c r="Y694" s="239">
        <f>IF(OR(SP_ACQ_Lib[[#This Row],[File Name Convention]]=0,LEFT(SP_ACQ_Lib[[#This Row],[Name]],LEN(SP_ACQ_Lib[[#This Row],[File Name Convention]]))&lt;&gt;SP_ACQ_Lib[[#This Row],[File Name Convention]],ISERROR(SEARCH(SP_ACQ_Lib[[#This Row],[ACQ Document Type]],SP_ACQ_Lib[[#This Row],[Name]]))),1,0)</f>
        <v>0</v>
      </c>
    </row>
    <row r="695" spans="1:25" ht="15" x14ac:dyDescent="0.2">
      <c r="A695" s="157" t="str">
        <f>CONCATENATE(SP_ACQ_Lib[[#This Row],[Acquisition Tract No.]],"_",SP_ACQ_Lib[[#This Row],[ACQ Document Type]])</f>
        <v>421A_CLOSING Purchase and Sale Agreement Executed</v>
      </c>
      <c r="B695" s="14" t="s">
        <v>6470</v>
      </c>
      <c r="C695" s="193" t="s">
        <v>227</v>
      </c>
      <c r="D695" s="12" t="s">
        <v>665</v>
      </c>
      <c r="E695" s="8" t="s">
        <v>1133</v>
      </c>
      <c r="F695" s="8" t="s">
        <v>6462</v>
      </c>
      <c r="G695" s="8" t="s">
        <v>6461</v>
      </c>
      <c r="H695" s="7" t="s">
        <v>6469</v>
      </c>
      <c r="I695" s="16">
        <v>44004</v>
      </c>
      <c r="J695" s="16"/>
      <c r="K695" s="17">
        <v>655000</v>
      </c>
      <c r="L695" s="3"/>
      <c r="M695" s="8" t="s">
        <v>4206</v>
      </c>
      <c r="N695" s="11">
        <v>44008.379293981481</v>
      </c>
      <c r="O695" s="8" t="s">
        <v>4206</v>
      </c>
      <c r="P695" s="11">
        <v>44008.378067129626</v>
      </c>
      <c r="Q695" s="13">
        <v>4990767</v>
      </c>
      <c r="R695" s="194" t="s">
        <v>594</v>
      </c>
      <c r="S695" s="14" t="s">
        <v>6471</v>
      </c>
      <c r="T695" s="163">
        <v>1293</v>
      </c>
      <c r="U695" s="164" t="str">
        <f>CONCATENATE(LEFT(SP_ACQ_Lib[[#This Row],[Tax Parcel ID]],7),"_",SP_ACQ_Lib[[#This Row],[ACQ Document Type]])</f>
        <v>R056955_CLOSING Purchase and Sale Agreement Executed</v>
      </c>
      <c r="V695" s="65" t="str">
        <f>INDEX(SP_AcqTract_DB[WCAD Tax Parcel ID],MATCH(SP_ACQ_Lib[[#This Row],[Acquisition Tract No.]],SP_AcqTract_DB[Acquisition Tract No.],0))</f>
        <v>R056955;#85</v>
      </c>
      <c r="W695" s="48" t="str">
        <f>INDEX(SP_TaxPar_DB[Acquisition Tract No.],MATCH(LEFT(SP_ACQ_Lib[[#This Row],[Tax Parcel ID]],7),SP_TaxPar_DB[Tax Parcel ID],0))</f>
        <v>421A</v>
      </c>
      <c r="X695" s="238" t="str">
        <f>IF(OR(SP_ACQ_Lib[[#This Row],[Acquisition Tract No.]]="",SP_ACQ_Lib[[#This Row],[ACQ Document Type]]=""),0,CONCATENATE("COW-FRMP_TR-",SP_ACQ_Lib[[#This Row],[Acquisition Tract No.]]," ",SP_ACQ_Lib[[#This Row],[ACQ Document Type]]))</f>
        <v>COW-FRMP_TR-421A CLOSING Purchase and Sale Agreement Executed</v>
      </c>
      <c r="Y695" s="239">
        <f>IF(OR(SP_ACQ_Lib[[#This Row],[File Name Convention]]=0,LEFT(SP_ACQ_Lib[[#This Row],[Name]],LEN(SP_ACQ_Lib[[#This Row],[File Name Convention]]))&lt;&gt;SP_ACQ_Lib[[#This Row],[File Name Convention]],ISERROR(SEARCH(SP_ACQ_Lib[[#This Row],[ACQ Document Type]],SP_ACQ_Lib[[#This Row],[Name]]))),1,0)</f>
        <v>0</v>
      </c>
    </row>
    <row r="696" spans="1:25" ht="15" x14ac:dyDescent="0.2">
      <c r="A696" s="157" t="str">
        <f>CONCATENATE(SP_ACQ_Lib[[#This Row],[Acquisition Tract No.]],"_",SP_ACQ_Lib[[#This Row],[ACQ Document Type]])</f>
        <v>421A_CONTACT Initial Interview - Residential</v>
      </c>
      <c r="B696" s="14" t="s">
        <v>1605</v>
      </c>
      <c r="C696" s="193" t="s">
        <v>227</v>
      </c>
      <c r="D696" s="12" t="s">
        <v>665</v>
      </c>
      <c r="E696" s="8" t="s">
        <v>865</v>
      </c>
      <c r="F696" s="8" t="s">
        <v>866</v>
      </c>
      <c r="G696" s="8" t="s">
        <v>618</v>
      </c>
      <c r="H696" s="7" t="s">
        <v>592</v>
      </c>
      <c r="I696" s="16">
        <v>43685</v>
      </c>
      <c r="J696" s="16"/>
      <c r="K696" s="17"/>
      <c r="L696" s="3"/>
      <c r="M696" s="8" t="s">
        <v>23</v>
      </c>
      <c r="N696" s="11">
        <v>43770.45113425926</v>
      </c>
      <c r="O696" s="8" t="s">
        <v>4325</v>
      </c>
      <c r="P696" s="11">
        <v>43755.356504629628</v>
      </c>
      <c r="Q696" s="13">
        <v>246349</v>
      </c>
      <c r="R696" s="194" t="s">
        <v>594</v>
      </c>
      <c r="S696" s="14" t="s">
        <v>1263</v>
      </c>
      <c r="T696" s="163">
        <v>465</v>
      </c>
      <c r="U696" s="164" t="str">
        <f>CONCATENATE(LEFT(SP_ACQ_Lib[[#This Row],[Tax Parcel ID]],7),"_",SP_ACQ_Lib[[#This Row],[ACQ Document Type]])</f>
        <v>R056955_CONTACT Initial Interview - Residential</v>
      </c>
      <c r="V696" s="65" t="str">
        <f>INDEX(SP_AcqTract_DB[WCAD Tax Parcel ID],MATCH(SP_ACQ_Lib[[#This Row],[Acquisition Tract No.]],SP_AcqTract_DB[Acquisition Tract No.],0))</f>
        <v>R056955;#85</v>
      </c>
      <c r="W696" s="48" t="str">
        <f>INDEX(SP_TaxPar_DB[Acquisition Tract No.],MATCH(LEFT(SP_ACQ_Lib[[#This Row],[Tax Parcel ID]],7),SP_TaxPar_DB[Tax Parcel ID],0))</f>
        <v>421A</v>
      </c>
      <c r="X696" s="238" t="str">
        <f>IF(OR(SP_ACQ_Lib[[#This Row],[Acquisition Tract No.]]="",SP_ACQ_Lib[[#This Row],[ACQ Document Type]]=""),0,CONCATENATE("COW-FRMP_TR-",SP_ACQ_Lib[[#This Row],[Acquisition Tract No.]]," ",SP_ACQ_Lib[[#This Row],[ACQ Document Type]]))</f>
        <v>COW-FRMP_TR-421A CONTACT Initial Interview - Residential</v>
      </c>
      <c r="Y696" s="239">
        <f>IF(OR(SP_ACQ_Lib[[#This Row],[File Name Convention]]=0,LEFT(SP_ACQ_Lib[[#This Row],[Name]],LEN(SP_ACQ_Lib[[#This Row],[File Name Convention]]))&lt;&gt;SP_ACQ_Lib[[#This Row],[File Name Convention]],ISERROR(SEARCH(SP_ACQ_Lib[[#This Row],[ACQ Document Type]],SP_ACQ_Lib[[#This Row],[Name]]))),1,0)</f>
        <v>0</v>
      </c>
    </row>
    <row r="697" spans="1:25" ht="15" x14ac:dyDescent="0.2">
      <c r="A697" s="157" t="str">
        <f>CONCATENATE(SP_ACQ_Lib[[#This Row],[Acquisition Tract No.]],"_",SP_ACQ_Lib[[#This Row],[ACQ Document Type]])</f>
        <v>421A_CONTACT Letter of Intent-HDR</v>
      </c>
      <c r="B697" s="14" t="s">
        <v>1606</v>
      </c>
      <c r="C697" s="193" t="s">
        <v>227</v>
      </c>
      <c r="D697" s="12" t="s">
        <v>665</v>
      </c>
      <c r="E697" s="8" t="s">
        <v>865</v>
      </c>
      <c r="F697" s="8" t="s">
        <v>1401</v>
      </c>
      <c r="G697" s="8" t="s">
        <v>1400</v>
      </c>
      <c r="H697" s="7" t="s">
        <v>592</v>
      </c>
      <c r="I697" s="16">
        <v>43765</v>
      </c>
      <c r="J697" s="16"/>
      <c r="K697" s="17"/>
      <c r="L697" s="3"/>
      <c r="M697" s="8" t="s">
        <v>23</v>
      </c>
      <c r="N697" s="11">
        <v>43770.45113425926</v>
      </c>
      <c r="O697" s="8" t="s">
        <v>1377</v>
      </c>
      <c r="P697" s="11">
        <v>43769.646122685182</v>
      </c>
      <c r="Q697" s="13">
        <v>352473</v>
      </c>
      <c r="R697" s="194" t="s">
        <v>594</v>
      </c>
      <c r="S697" s="14" t="s">
        <v>1662</v>
      </c>
      <c r="T697" s="163">
        <v>558</v>
      </c>
      <c r="U697" s="164" t="str">
        <f>CONCATENATE(LEFT(SP_ACQ_Lib[[#This Row],[Tax Parcel ID]],7),"_",SP_ACQ_Lib[[#This Row],[ACQ Document Type]])</f>
        <v>R056955_CONTACT Letter of Intent-HDR</v>
      </c>
      <c r="V697" s="65" t="str">
        <f>INDEX(SP_AcqTract_DB[WCAD Tax Parcel ID],MATCH(SP_ACQ_Lib[[#This Row],[Acquisition Tract No.]],SP_AcqTract_DB[Acquisition Tract No.],0))</f>
        <v>R056955;#85</v>
      </c>
      <c r="W697" s="48" t="str">
        <f>INDEX(SP_TaxPar_DB[Acquisition Tract No.],MATCH(LEFT(SP_ACQ_Lib[[#This Row],[Tax Parcel ID]],7),SP_TaxPar_DB[Tax Parcel ID],0))</f>
        <v>421A</v>
      </c>
      <c r="X697" s="238" t="str">
        <f>IF(OR(SP_ACQ_Lib[[#This Row],[Acquisition Tract No.]]="",SP_ACQ_Lib[[#This Row],[ACQ Document Type]]=""),0,CONCATENATE("COW-FRMP_TR-",SP_ACQ_Lib[[#This Row],[Acquisition Tract No.]]," ",SP_ACQ_Lib[[#This Row],[ACQ Document Type]]))</f>
        <v>COW-FRMP_TR-421A CONTACT Letter of Intent-HDR</v>
      </c>
      <c r="Y697" s="239">
        <f>IF(OR(SP_ACQ_Lib[[#This Row],[File Name Convention]]=0,LEFT(SP_ACQ_Lib[[#This Row],[Name]],LEN(SP_ACQ_Lib[[#This Row],[File Name Convention]]))&lt;&gt;SP_ACQ_Lib[[#This Row],[File Name Convention]],ISERROR(SEARCH(SP_ACQ_Lib[[#This Row],[ACQ Document Type]],SP_ACQ_Lib[[#This Row],[Name]]))),1,0)</f>
        <v>0</v>
      </c>
    </row>
    <row r="698" spans="1:25" ht="15" x14ac:dyDescent="0.2">
      <c r="A698" s="157" t="str">
        <f>CONCATENATE(SP_ACQ_Lib[[#This Row],[Acquisition Tract No.]],"_",SP_ACQ_Lib[[#This Row],[ACQ Document Type]])</f>
        <v>421A_CONTACT Negotiator Report</v>
      </c>
      <c r="B698" s="14" t="s">
        <v>3418</v>
      </c>
      <c r="C698" s="193" t="s">
        <v>227</v>
      </c>
      <c r="D698" s="12" t="s">
        <v>665</v>
      </c>
      <c r="E698" s="8" t="s">
        <v>865</v>
      </c>
      <c r="F698" s="8" t="s">
        <v>1068</v>
      </c>
      <c r="G698" s="8" t="s">
        <v>1067</v>
      </c>
      <c r="H698" s="7" t="s">
        <v>592</v>
      </c>
      <c r="I698" s="16"/>
      <c r="J698" s="16"/>
      <c r="K698" s="17"/>
      <c r="L698" s="3"/>
      <c r="M698" s="8" t="s">
        <v>1744</v>
      </c>
      <c r="N698" s="11">
        <v>44021.553981481484</v>
      </c>
      <c r="O698" s="8" t="s">
        <v>4207</v>
      </c>
      <c r="P698" s="11">
        <v>43738.432858796295</v>
      </c>
      <c r="Q698" s="13">
        <v>63136</v>
      </c>
      <c r="R698" s="194" t="s">
        <v>1069</v>
      </c>
      <c r="S698" s="14" t="s">
        <v>1118</v>
      </c>
      <c r="T698" s="163">
        <v>379</v>
      </c>
      <c r="U698" s="164" t="str">
        <f>CONCATENATE(LEFT(SP_ACQ_Lib[[#This Row],[Tax Parcel ID]],7),"_",SP_ACQ_Lib[[#This Row],[ACQ Document Type]])</f>
        <v>R056955_CONTACT Negotiator Report</v>
      </c>
      <c r="V698" s="65" t="str">
        <f>INDEX(SP_AcqTract_DB[WCAD Tax Parcel ID],MATCH(SP_ACQ_Lib[[#This Row],[Acquisition Tract No.]],SP_AcqTract_DB[Acquisition Tract No.],0))</f>
        <v>R056955;#85</v>
      </c>
      <c r="W698" s="48" t="str">
        <f>INDEX(SP_TaxPar_DB[Acquisition Tract No.],MATCH(LEFT(SP_ACQ_Lib[[#This Row],[Tax Parcel ID]],7),SP_TaxPar_DB[Tax Parcel ID],0))</f>
        <v>421A</v>
      </c>
      <c r="X698" s="238" t="str">
        <f>IF(OR(SP_ACQ_Lib[[#This Row],[Acquisition Tract No.]]="",SP_ACQ_Lib[[#This Row],[ACQ Document Type]]=""),0,CONCATENATE("COW-FRMP_TR-",SP_ACQ_Lib[[#This Row],[Acquisition Tract No.]]," ",SP_ACQ_Lib[[#This Row],[ACQ Document Type]]))</f>
        <v>COW-FRMP_TR-421A CONTACT Negotiator Report</v>
      </c>
      <c r="Y698" s="239">
        <f>IF(OR(SP_ACQ_Lib[[#This Row],[File Name Convention]]=0,LEFT(SP_ACQ_Lib[[#This Row],[Name]],LEN(SP_ACQ_Lib[[#This Row],[File Name Convention]]))&lt;&gt;SP_ACQ_Lib[[#This Row],[File Name Convention]],ISERROR(SEARCH(SP_ACQ_Lib[[#This Row],[ACQ Document Type]],SP_ACQ_Lib[[#This Row],[Name]]))),1,0)</f>
        <v>0</v>
      </c>
    </row>
    <row r="699" spans="1:25" ht="15" x14ac:dyDescent="0.2">
      <c r="A699" s="157" t="str">
        <f>CONCATENATE(SP_ACQ_Lib[[#This Row],[Acquisition Tract No.]],"_",SP_ACQ_Lib[[#This Row],[ACQ Document Type]])</f>
        <v>421A_NEGOTIATION Initial Offer Package</v>
      </c>
      <c r="B699" s="14" t="s">
        <v>6172</v>
      </c>
      <c r="C699" s="193" t="s">
        <v>227</v>
      </c>
      <c r="D699" s="12" t="s">
        <v>665</v>
      </c>
      <c r="E699" s="8" t="s">
        <v>1142</v>
      </c>
      <c r="F699" s="8" t="s">
        <v>1143</v>
      </c>
      <c r="G699" s="8" t="s">
        <v>1709</v>
      </c>
      <c r="H699" s="7" t="s">
        <v>592</v>
      </c>
      <c r="I699" s="16">
        <v>43991</v>
      </c>
      <c r="J699" s="16"/>
      <c r="K699" s="17">
        <v>65500</v>
      </c>
      <c r="L699" s="3"/>
      <c r="M699" s="8" t="s">
        <v>4206</v>
      </c>
      <c r="N699" s="11">
        <v>43994.581736111111</v>
      </c>
      <c r="O699" s="8" t="s">
        <v>4206</v>
      </c>
      <c r="P699" s="11">
        <v>43994.581134259257</v>
      </c>
      <c r="Q699" s="13">
        <v>10425834</v>
      </c>
      <c r="R699" s="194" t="s">
        <v>594</v>
      </c>
      <c r="S699" s="14" t="s">
        <v>6178</v>
      </c>
      <c r="T699" s="163">
        <v>1200</v>
      </c>
      <c r="U699" s="164" t="str">
        <f>CONCATENATE(LEFT(SP_ACQ_Lib[[#This Row],[Tax Parcel ID]],7),"_",SP_ACQ_Lib[[#This Row],[ACQ Document Type]])</f>
        <v>R056955_NEGOTIATION Initial Offer Package</v>
      </c>
      <c r="V699" s="65" t="str">
        <f>INDEX(SP_AcqTract_DB[WCAD Tax Parcel ID],MATCH(SP_ACQ_Lib[[#This Row],[Acquisition Tract No.]],SP_AcqTract_DB[Acquisition Tract No.],0))</f>
        <v>R056955;#85</v>
      </c>
      <c r="W699" s="48" t="str">
        <f>INDEX(SP_TaxPar_DB[Acquisition Tract No.],MATCH(LEFT(SP_ACQ_Lib[[#This Row],[Tax Parcel ID]],7),SP_TaxPar_DB[Tax Parcel ID],0))</f>
        <v>421A</v>
      </c>
      <c r="X699" s="238" t="str">
        <f>IF(OR(SP_ACQ_Lib[[#This Row],[Acquisition Tract No.]]="",SP_ACQ_Lib[[#This Row],[ACQ Document Type]]=""),0,CONCATENATE("COW-FRMP_TR-",SP_ACQ_Lib[[#This Row],[Acquisition Tract No.]]," ",SP_ACQ_Lib[[#This Row],[ACQ Document Type]]))</f>
        <v>COW-FRMP_TR-421A NEGOTIATION Initial Offer Package</v>
      </c>
      <c r="Y699" s="239">
        <f>IF(OR(SP_ACQ_Lib[[#This Row],[File Name Convention]]=0,LEFT(SP_ACQ_Lib[[#This Row],[Name]],LEN(SP_ACQ_Lib[[#This Row],[File Name Convention]]))&lt;&gt;SP_ACQ_Lib[[#This Row],[File Name Convention]],ISERROR(SEARCH(SP_ACQ_Lib[[#This Row],[ACQ Document Type]],SP_ACQ_Lib[[#This Row],[Name]]))),1,0)</f>
        <v>0</v>
      </c>
    </row>
    <row r="700" spans="1:25" ht="15" x14ac:dyDescent="0.2">
      <c r="A700" s="157" t="str">
        <f>CONCATENATE(SP_ACQ_Lib[[#This Row],[Acquisition Tract No.]],"_",SP_ACQ_Lib[[#This Row],[ACQ Document Type]])</f>
        <v>421A_NEGOTIATION Initial Offer Package CMRR</v>
      </c>
      <c r="B700" s="14" t="s">
        <v>6335</v>
      </c>
      <c r="C700" s="193" t="s">
        <v>227</v>
      </c>
      <c r="D700" s="12" t="s">
        <v>665</v>
      </c>
      <c r="E700" s="8" t="s">
        <v>1142</v>
      </c>
      <c r="F700" s="8" t="s">
        <v>1144</v>
      </c>
      <c r="G700" s="8" t="s">
        <v>1710</v>
      </c>
      <c r="H700" s="7" t="s">
        <v>592</v>
      </c>
      <c r="I700" s="16">
        <v>43991</v>
      </c>
      <c r="J700" s="16">
        <v>43993</v>
      </c>
      <c r="K700" s="17"/>
      <c r="L700" s="3"/>
      <c r="M700" s="8" t="s">
        <v>4206</v>
      </c>
      <c r="N700" s="11">
        <v>44019.467280092591</v>
      </c>
      <c r="O700" s="8" t="s">
        <v>4206</v>
      </c>
      <c r="P700" s="11">
        <v>44005.474085648151</v>
      </c>
      <c r="Q700" s="13">
        <v>1061686</v>
      </c>
      <c r="R700" s="194" t="s">
        <v>594</v>
      </c>
      <c r="S700" s="14" t="s">
        <v>6404</v>
      </c>
      <c r="T700" s="163">
        <v>1264</v>
      </c>
      <c r="U700" s="164" t="str">
        <f>CONCATENATE(LEFT(SP_ACQ_Lib[[#This Row],[Tax Parcel ID]],7),"_",SP_ACQ_Lib[[#This Row],[ACQ Document Type]])</f>
        <v>R056955_NEGOTIATION Initial Offer Package CMRR</v>
      </c>
      <c r="V700" s="65" t="str">
        <f>INDEX(SP_AcqTract_DB[WCAD Tax Parcel ID],MATCH(SP_ACQ_Lib[[#This Row],[Acquisition Tract No.]],SP_AcqTract_DB[Acquisition Tract No.],0))</f>
        <v>R056955;#85</v>
      </c>
      <c r="W700" s="48" t="str">
        <f>INDEX(SP_TaxPar_DB[Acquisition Tract No.],MATCH(LEFT(SP_ACQ_Lib[[#This Row],[Tax Parcel ID]],7),SP_TaxPar_DB[Tax Parcel ID],0))</f>
        <v>421A</v>
      </c>
      <c r="X700" s="238" t="str">
        <f>IF(OR(SP_ACQ_Lib[[#This Row],[Acquisition Tract No.]]="",SP_ACQ_Lib[[#This Row],[ACQ Document Type]]=""),0,CONCATENATE("COW-FRMP_TR-",SP_ACQ_Lib[[#This Row],[Acquisition Tract No.]]," ",SP_ACQ_Lib[[#This Row],[ACQ Document Type]]))</f>
        <v>COW-FRMP_TR-421A NEGOTIATION Initial Offer Package CMRR</v>
      </c>
      <c r="Y700" s="239">
        <f>IF(OR(SP_ACQ_Lib[[#This Row],[File Name Convention]]=0,LEFT(SP_ACQ_Lib[[#This Row],[Name]],LEN(SP_ACQ_Lib[[#This Row],[File Name Convention]]))&lt;&gt;SP_ACQ_Lib[[#This Row],[File Name Convention]],ISERROR(SEARCH(SP_ACQ_Lib[[#This Row],[ACQ Document Type]],SP_ACQ_Lib[[#This Row],[Name]]))),1,0)</f>
        <v>0</v>
      </c>
    </row>
    <row r="701" spans="1:25" ht="15" x14ac:dyDescent="0.2">
      <c r="A701" s="157" t="str">
        <f>CONCATENATE(SP_ACQ_Lib[[#This Row],[Acquisition Tract No.]],"_",SP_ACQ_Lib[[#This Row],[ACQ Document Type]])</f>
        <v>421A_NEGOTIATION Landowner Bill of Rights Letter</v>
      </c>
      <c r="B701" s="14" t="s">
        <v>3494</v>
      </c>
      <c r="C701" s="193" t="s">
        <v>227</v>
      </c>
      <c r="D701" s="12" t="s">
        <v>665</v>
      </c>
      <c r="E701" s="8" t="s">
        <v>1142</v>
      </c>
      <c r="F701" s="8" t="s">
        <v>1746</v>
      </c>
      <c r="G701" s="8" t="s">
        <v>1745</v>
      </c>
      <c r="H701" s="7" t="s">
        <v>592</v>
      </c>
      <c r="I701" s="16">
        <v>43748</v>
      </c>
      <c r="J701" s="16"/>
      <c r="K701" s="17"/>
      <c r="L701" s="3"/>
      <c r="M701" s="8" t="s">
        <v>4206</v>
      </c>
      <c r="N701" s="11">
        <v>43872.569930555554</v>
      </c>
      <c r="O701" s="8" t="s">
        <v>4325</v>
      </c>
      <c r="P701" s="11">
        <v>43752.537499999999</v>
      </c>
      <c r="Q701" s="13">
        <v>356095</v>
      </c>
      <c r="R701" s="194" t="s">
        <v>594</v>
      </c>
      <c r="S701" s="14" t="s">
        <v>1250</v>
      </c>
      <c r="T701" s="163">
        <v>460</v>
      </c>
      <c r="U701" s="164" t="str">
        <f>CONCATENATE(LEFT(SP_ACQ_Lib[[#This Row],[Tax Parcel ID]],7),"_",SP_ACQ_Lib[[#This Row],[ACQ Document Type]])</f>
        <v>R056955_NEGOTIATION Landowner Bill of Rights Letter</v>
      </c>
      <c r="V701" s="65" t="str">
        <f>INDEX(SP_AcqTract_DB[WCAD Tax Parcel ID],MATCH(SP_ACQ_Lib[[#This Row],[Acquisition Tract No.]],SP_AcqTract_DB[Acquisition Tract No.],0))</f>
        <v>R056955;#85</v>
      </c>
      <c r="W701" s="48" t="str">
        <f>INDEX(SP_TaxPar_DB[Acquisition Tract No.],MATCH(LEFT(SP_ACQ_Lib[[#This Row],[Tax Parcel ID]],7),SP_TaxPar_DB[Tax Parcel ID],0))</f>
        <v>421A</v>
      </c>
      <c r="X701" s="238" t="str">
        <f>IF(OR(SP_ACQ_Lib[[#This Row],[Acquisition Tract No.]]="",SP_ACQ_Lib[[#This Row],[ACQ Document Type]]=""),0,CONCATENATE("COW-FRMP_TR-",SP_ACQ_Lib[[#This Row],[Acquisition Tract No.]]," ",SP_ACQ_Lib[[#This Row],[ACQ Document Type]]))</f>
        <v>COW-FRMP_TR-421A NEGOTIATION Landowner Bill of Rights Letter</v>
      </c>
      <c r="Y701" s="239">
        <f>IF(OR(SP_ACQ_Lib[[#This Row],[File Name Convention]]=0,LEFT(SP_ACQ_Lib[[#This Row],[Name]],LEN(SP_ACQ_Lib[[#This Row],[File Name Convention]]))&lt;&gt;SP_ACQ_Lib[[#This Row],[File Name Convention]],ISERROR(SEARCH(SP_ACQ_Lib[[#This Row],[ACQ Document Type]],SP_ACQ_Lib[[#This Row],[Name]]))),1,0)</f>
        <v>0</v>
      </c>
    </row>
    <row r="702" spans="1:25" ht="15" x14ac:dyDescent="0.2">
      <c r="A702" s="157" t="str">
        <f>CONCATENATE(SP_ACQ_Lib[[#This Row],[Acquisition Tract No.]],"_",SP_ACQ_Lib[[#This Row],[ACQ Document Type]])</f>
        <v>421A_SURVEY Description-Plat_CITY</v>
      </c>
      <c r="B702" s="14" t="s">
        <v>3504</v>
      </c>
      <c r="C702" s="193" t="s">
        <v>227</v>
      </c>
      <c r="D702" s="12" t="s">
        <v>665</v>
      </c>
      <c r="E702" s="8" t="s">
        <v>858</v>
      </c>
      <c r="F702" s="8" t="s">
        <v>3503</v>
      </c>
      <c r="G702" s="8" t="s">
        <v>3502</v>
      </c>
      <c r="H702" s="7" t="s">
        <v>1749</v>
      </c>
      <c r="I702" s="16">
        <v>43783</v>
      </c>
      <c r="J702" s="16">
        <v>43880</v>
      </c>
      <c r="K702" s="17"/>
      <c r="L702" s="3"/>
      <c r="M702" s="8" t="s">
        <v>4206</v>
      </c>
      <c r="N702" s="11">
        <v>43937.591504629629</v>
      </c>
      <c r="O702" s="8" t="s">
        <v>4205</v>
      </c>
      <c r="P702" s="11">
        <v>43881.574490740742</v>
      </c>
      <c r="Q702" s="13">
        <v>268287</v>
      </c>
      <c r="R702" s="194" t="s">
        <v>594</v>
      </c>
      <c r="S702" s="14" t="s">
        <v>3506</v>
      </c>
      <c r="T702" s="163">
        <v>724</v>
      </c>
      <c r="U702" s="164" t="str">
        <f>CONCATENATE(LEFT(SP_ACQ_Lib[[#This Row],[Tax Parcel ID]],7),"_",SP_ACQ_Lib[[#This Row],[ACQ Document Type]])</f>
        <v>R056955_SURVEY Description-Plat_CITY</v>
      </c>
      <c r="V702" s="65" t="str">
        <f>INDEX(SP_AcqTract_DB[WCAD Tax Parcel ID],MATCH(SP_ACQ_Lib[[#This Row],[Acquisition Tract No.]],SP_AcqTract_DB[Acquisition Tract No.],0))</f>
        <v>R056955;#85</v>
      </c>
      <c r="W702" s="48" t="str">
        <f>INDEX(SP_TaxPar_DB[Acquisition Tract No.],MATCH(LEFT(SP_ACQ_Lib[[#This Row],[Tax Parcel ID]],7),SP_TaxPar_DB[Tax Parcel ID],0))</f>
        <v>421A</v>
      </c>
      <c r="X702" s="238" t="str">
        <f>IF(OR(SP_ACQ_Lib[[#This Row],[Acquisition Tract No.]]="",SP_ACQ_Lib[[#This Row],[ACQ Document Type]]=""),0,CONCATENATE("COW-FRMP_TR-",SP_ACQ_Lib[[#This Row],[Acquisition Tract No.]]," ",SP_ACQ_Lib[[#This Row],[ACQ Document Type]]))</f>
        <v>COW-FRMP_TR-421A SURVEY Description-Plat_CITY</v>
      </c>
      <c r="Y702" s="239">
        <f>IF(OR(SP_ACQ_Lib[[#This Row],[File Name Convention]]=0,LEFT(SP_ACQ_Lib[[#This Row],[Name]],LEN(SP_ACQ_Lib[[#This Row],[File Name Convention]]))&lt;&gt;SP_ACQ_Lib[[#This Row],[File Name Convention]],ISERROR(SEARCH(SP_ACQ_Lib[[#This Row],[ACQ Document Type]],SP_ACQ_Lib[[#This Row],[Name]]))),1,0)</f>
        <v>0</v>
      </c>
    </row>
    <row r="703" spans="1:25" ht="15" x14ac:dyDescent="0.2">
      <c r="A703" s="157" t="str">
        <f>CONCATENATE(SP_ACQ_Lib[[#This Row],[Acquisition Tract No.]],"_",SP_ACQ_Lib[[#This Row],[ACQ Document Type]])</f>
        <v>421A_SURVEY Right-of-Entry</v>
      </c>
      <c r="B703" s="14" t="s">
        <v>4607</v>
      </c>
      <c r="C703" s="193" t="s">
        <v>227</v>
      </c>
      <c r="D703" s="12" t="s">
        <v>665</v>
      </c>
      <c r="E703" s="8" t="s">
        <v>858</v>
      </c>
      <c r="F703" s="8" t="s">
        <v>859</v>
      </c>
      <c r="G703" s="8" t="s">
        <v>591</v>
      </c>
      <c r="H703" s="7" t="s">
        <v>592</v>
      </c>
      <c r="I703" s="16">
        <v>43697</v>
      </c>
      <c r="J703" s="16"/>
      <c r="K703" s="17"/>
      <c r="L703" s="3" t="s">
        <v>664</v>
      </c>
      <c r="M703" s="8" t="s">
        <v>4206</v>
      </c>
      <c r="N703" s="11">
        <v>43922.381192129629</v>
      </c>
      <c r="O703" s="8" t="s">
        <v>4325</v>
      </c>
      <c r="P703" s="11">
        <v>43704.699976851851</v>
      </c>
      <c r="Q703" s="13">
        <v>1022774</v>
      </c>
      <c r="R703" s="194" t="s">
        <v>594</v>
      </c>
      <c r="S703" s="14" t="s">
        <v>850</v>
      </c>
      <c r="T703" s="163">
        <v>162</v>
      </c>
      <c r="U703" s="164" t="str">
        <f>CONCATENATE(LEFT(SP_ACQ_Lib[[#This Row],[Tax Parcel ID]],7),"_",SP_ACQ_Lib[[#This Row],[ACQ Document Type]])</f>
        <v>R056955_SURVEY Right-of-Entry</v>
      </c>
      <c r="V703" s="65" t="str">
        <f>INDEX(SP_AcqTract_DB[WCAD Tax Parcel ID],MATCH(SP_ACQ_Lib[[#This Row],[Acquisition Tract No.]],SP_AcqTract_DB[Acquisition Tract No.],0))</f>
        <v>R056955;#85</v>
      </c>
      <c r="W703" s="48" t="str">
        <f>INDEX(SP_TaxPar_DB[Acquisition Tract No.],MATCH(LEFT(SP_ACQ_Lib[[#This Row],[Tax Parcel ID]],7),SP_TaxPar_DB[Tax Parcel ID],0))</f>
        <v>421A</v>
      </c>
      <c r="X703" s="238" t="str">
        <f>IF(OR(SP_ACQ_Lib[[#This Row],[Acquisition Tract No.]]="",SP_ACQ_Lib[[#This Row],[ACQ Document Type]]=""),0,CONCATENATE("COW-FRMP_TR-",SP_ACQ_Lib[[#This Row],[Acquisition Tract No.]]," ",SP_ACQ_Lib[[#This Row],[ACQ Document Type]]))</f>
        <v>COW-FRMP_TR-421A SURVEY Right-of-Entry</v>
      </c>
      <c r="Y703" s="239">
        <f>IF(OR(SP_ACQ_Lib[[#This Row],[File Name Convention]]=0,LEFT(SP_ACQ_Lib[[#This Row],[Name]],LEN(SP_ACQ_Lib[[#This Row],[File Name Convention]]))&lt;&gt;SP_ACQ_Lib[[#This Row],[File Name Convention]],ISERROR(SEARCH(SP_ACQ_Lib[[#This Row],[ACQ Document Type]],SP_ACQ_Lib[[#This Row],[Name]]))),1,0)</f>
        <v>0</v>
      </c>
    </row>
    <row r="704" spans="1:25" ht="15" x14ac:dyDescent="0.2">
      <c r="A704" s="157" t="str">
        <f>CONCATENATE(SP_ACQ_Lib[[#This Row],[Acquisition Tract No.]],"_",SP_ACQ_Lib[[#This Row],[ACQ Document Type]])</f>
        <v>421A_TITLE Commitment</v>
      </c>
      <c r="B704" s="14" t="s">
        <v>1607</v>
      </c>
      <c r="C704" s="193" t="s">
        <v>227</v>
      </c>
      <c r="D704" s="12" t="s">
        <v>665</v>
      </c>
      <c r="E704" s="8" t="s">
        <v>861</v>
      </c>
      <c r="F704" s="8" t="s">
        <v>862</v>
      </c>
      <c r="G704" s="8" t="s">
        <v>614</v>
      </c>
      <c r="H704" s="7" t="s">
        <v>592</v>
      </c>
      <c r="I704" s="16">
        <v>43893</v>
      </c>
      <c r="J704" s="16">
        <v>43917</v>
      </c>
      <c r="K704" s="17"/>
      <c r="L704" s="3" t="s">
        <v>4569</v>
      </c>
      <c r="M704" s="8" t="s">
        <v>4325</v>
      </c>
      <c r="N704" s="11">
        <v>43917.558437500003</v>
      </c>
      <c r="O704" s="8" t="s">
        <v>4326</v>
      </c>
      <c r="P704" s="11">
        <v>43705.472881944443</v>
      </c>
      <c r="Q704" s="13">
        <v>459977</v>
      </c>
      <c r="R704" s="194" t="s">
        <v>594</v>
      </c>
      <c r="S704" s="14" t="s">
        <v>851</v>
      </c>
      <c r="T704" s="163">
        <v>175</v>
      </c>
      <c r="U704" s="164" t="str">
        <f>CONCATENATE(LEFT(SP_ACQ_Lib[[#This Row],[Tax Parcel ID]],7),"_",SP_ACQ_Lib[[#This Row],[ACQ Document Type]])</f>
        <v>R056955_TITLE Commitment</v>
      </c>
      <c r="V704" s="65" t="str">
        <f>INDEX(SP_AcqTract_DB[WCAD Tax Parcel ID],MATCH(SP_ACQ_Lib[[#This Row],[Acquisition Tract No.]],SP_AcqTract_DB[Acquisition Tract No.],0))</f>
        <v>R056955;#85</v>
      </c>
      <c r="W704" s="48" t="str">
        <f>INDEX(SP_TaxPar_DB[Acquisition Tract No.],MATCH(LEFT(SP_ACQ_Lib[[#This Row],[Tax Parcel ID]],7),SP_TaxPar_DB[Tax Parcel ID],0))</f>
        <v>421A</v>
      </c>
      <c r="X704" s="238" t="str">
        <f>IF(OR(SP_ACQ_Lib[[#This Row],[Acquisition Tract No.]]="",SP_ACQ_Lib[[#This Row],[ACQ Document Type]]=""),0,CONCATENATE("COW-FRMP_TR-",SP_ACQ_Lib[[#This Row],[Acquisition Tract No.]]," ",SP_ACQ_Lib[[#This Row],[ACQ Document Type]]))</f>
        <v>COW-FRMP_TR-421A TITLE Commitment</v>
      </c>
      <c r="Y704" s="239">
        <f>IF(OR(SP_ACQ_Lib[[#This Row],[File Name Convention]]=0,LEFT(SP_ACQ_Lib[[#This Row],[Name]],LEN(SP_ACQ_Lib[[#This Row],[File Name Convention]]))&lt;&gt;SP_ACQ_Lib[[#This Row],[File Name Convention]],ISERROR(SEARCH(SP_ACQ_Lib[[#This Row],[ACQ Document Type]],SP_ACQ_Lib[[#This Row],[Name]]))),1,0)</f>
        <v>0</v>
      </c>
    </row>
    <row r="705" spans="1:25" ht="15" x14ac:dyDescent="0.2">
      <c r="A705" s="157" t="str">
        <f>CONCATENATE(SP_ACQ_Lib[[#This Row],[Acquisition Tract No.]],"_",SP_ACQ_Lib[[#This Row],[ACQ Document Type]])</f>
        <v>421A_TITLE Commitment Backup Docs</v>
      </c>
      <c r="B705" s="14" t="s">
        <v>1608</v>
      </c>
      <c r="C705" s="193" t="s">
        <v>227</v>
      </c>
      <c r="D705" s="12" t="s">
        <v>665</v>
      </c>
      <c r="E705" s="8" t="s">
        <v>861</v>
      </c>
      <c r="F705" s="8" t="s">
        <v>863</v>
      </c>
      <c r="G705" s="8" t="s">
        <v>616</v>
      </c>
      <c r="H705" s="7" t="s">
        <v>592</v>
      </c>
      <c r="I705" s="16"/>
      <c r="J705" s="16"/>
      <c r="K705" s="17"/>
      <c r="L705" s="3"/>
      <c r="M705" s="8" t="s">
        <v>4325</v>
      </c>
      <c r="N705" s="11">
        <v>43803.469861111109</v>
      </c>
      <c r="O705" s="8" t="s">
        <v>4326</v>
      </c>
      <c r="P705" s="11">
        <v>43705.473541666666</v>
      </c>
      <c r="Q705" s="13">
        <v>253096</v>
      </c>
      <c r="R705" s="194" t="s">
        <v>594</v>
      </c>
      <c r="S705" s="14" t="s">
        <v>852</v>
      </c>
      <c r="T705" s="163">
        <v>176</v>
      </c>
      <c r="U705" s="164" t="str">
        <f>CONCATENATE(LEFT(SP_ACQ_Lib[[#This Row],[Tax Parcel ID]],7),"_",SP_ACQ_Lib[[#This Row],[ACQ Document Type]])</f>
        <v>R056955_TITLE Commitment Backup Docs</v>
      </c>
      <c r="V705" s="65" t="str">
        <f>INDEX(SP_AcqTract_DB[WCAD Tax Parcel ID],MATCH(SP_ACQ_Lib[[#This Row],[Acquisition Tract No.]],SP_AcqTract_DB[Acquisition Tract No.],0))</f>
        <v>R056955;#85</v>
      </c>
      <c r="W705" s="48" t="str">
        <f>INDEX(SP_TaxPar_DB[Acquisition Tract No.],MATCH(LEFT(SP_ACQ_Lib[[#This Row],[Tax Parcel ID]],7),SP_TaxPar_DB[Tax Parcel ID],0))</f>
        <v>421A</v>
      </c>
      <c r="X705" s="238" t="str">
        <f>IF(OR(SP_ACQ_Lib[[#This Row],[Acquisition Tract No.]]="",SP_ACQ_Lib[[#This Row],[ACQ Document Type]]=""),0,CONCATENATE("COW-FRMP_TR-",SP_ACQ_Lib[[#This Row],[Acquisition Tract No.]]," ",SP_ACQ_Lib[[#This Row],[ACQ Document Type]]))</f>
        <v>COW-FRMP_TR-421A TITLE Commitment Backup Docs</v>
      </c>
      <c r="Y705" s="239">
        <f>IF(OR(SP_ACQ_Lib[[#This Row],[File Name Convention]]=0,LEFT(SP_ACQ_Lib[[#This Row],[Name]],LEN(SP_ACQ_Lib[[#This Row],[File Name Convention]]))&lt;&gt;SP_ACQ_Lib[[#This Row],[File Name Convention]],ISERROR(SEARCH(SP_ACQ_Lib[[#This Row],[ACQ Document Type]],SP_ACQ_Lib[[#This Row],[Name]]))),1,0)</f>
        <v>0</v>
      </c>
    </row>
    <row r="706" spans="1:25" ht="15" x14ac:dyDescent="0.2">
      <c r="A706" s="157" t="str">
        <f>CONCATENATE(SP_ACQ_Lib[[#This Row],[Acquisition Tract No.]],"_",SP_ACQ_Lib[[#This Row],[ACQ Document Type]])</f>
        <v>421A_TITLE Curative Plan</v>
      </c>
      <c r="B706" s="14" t="s">
        <v>1609</v>
      </c>
      <c r="C706" s="193" t="s">
        <v>227</v>
      </c>
      <c r="D706" s="12" t="s">
        <v>665</v>
      </c>
      <c r="E706" s="8" t="s">
        <v>861</v>
      </c>
      <c r="F706" s="8" t="s">
        <v>864</v>
      </c>
      <c r="G706" s="8" t="s">
        <v>617</v>
      </c>
      <c r="H706" s="7" t="s">
        <v>592</v>
      </c>
      <c r="I706" s="16">
        <v>43815</v>
      </c>
      <c r="J706" s="16"/>
      <c r="K706" s="17"/>
      <c r="L706" s="3"/>
      <c r="M706" s="8" t="s">
        <v>4325</v>
      </c>
      <c r="N706" s="11">
        <v>43917.557210648149</v>
      </c>
      <c r="O706" s="8" t="s">
        <v>4326</v>
      </c>
      <c r="P706" s="11">
        <v>43746.389456018522</v>
      </c>
      <c r="Q706" s="13">
        <v>35328</v>
      </c>
      <c r="R706" s="194" t="s">
        <v>594</v>
      </c>
      <c r="S706" s="14" t="s">
        <v>1251</v>
      </c>
      <c r="T706" s="163">
        <v>412</v>
      </c>
      <c r="U706" s="164" t="str">
        <f>CONCATENATE(LEFT(SP_ACQ_Lib[[#This Row],[Tax Parcel ID]],7),"_",SP_ACQ_Lib[[#This Row],[ACQ Document Type]])</f>
        <v>R056955_TITLE Curative Plan</v>
      </c>
      <c r="V706" s="65" t="str">
        <f>INDEX(SP_AcqTract_DB[WCAD Tax Parcel ID],MATCH(SP_ACQ_Lib[[#This Row],[Acquisition Tract No.]],SP_AcqTract_DB[Acquisition Tract No.],0))</f>
        <v>R056955;#85</v>
      </c>
      <c r="W706" s="48" t="str">
        <f>INDEX(SP_TaxPar_DB[Acquisition Tract No.],MATCH(LEFT(SP_ACQ_Lib[[#This Row],[Tax Parcel ID]],7),SP_TaxPar_DB[Tax Parcel ID],0))</f>
        <v>421A</v>
      </c>
      <c r="X706" s="238" t="str">
        <f>IF(OR(SP_ACQ_Lib[[#This Row],[Acquisition Tract No.]]="",SP_ACQ_Lib[[#This Row],[ACQ Document Type]]=""),0,CONCATENATE("COW-FRMP_TR-",SP_ACQ_Lib[[#This Row],[Acquisition Tract No.]]," ",SP_ACQ_Lib[[#This Row],[ACQ Document Type]]))</f>
        <v>COW-FRMP_TR-421A TITLE Curative Plan</v>
      </c>
      <c r="Y706" s="239">
        <f>IF(OR(SP_ACQ_Lib[[#This Row],[File Name Convention]]=0,LEFT(SP_ACQ_Lib[[#This Row],[Name]],LEN(SP_ACQ_Lib[[#This Row],[File Name Convention]]))&lt;&gt;SP_ACQ_Lib[[#This Row],[File Name Convention]],ISERROR(SEARCH(SP_ACQ_Lib[[#This Row],[ACQ Document Type]],SP_ACQ_Lib[[#This Row],[Name]]))),1,0)</f>
        <v>0</v>
      </c>
    </row>
    <row r="707" spans="1:25" ht="15" x14ac:dyDescent="0.2">
      <c r="A707" s="157" t="str">
        <f>CONCATENATE(SP_ACQ_Lib[[#This Row],[Acquisition Tract No.]],"_",SP_ACQ_Lib[[#This Row],[ACQ Document Type]])</f>
        <v>427_CONTACT Letter of Intent-HDR</v>
      </c>
      <c r="B707" s="14" t="s">
        <v>1610</v>
      </c>
      <c r="C707" s="193" t="s">
        <v>1175</v>
      </c>
      <c r="D707" s="12" t="s">
        <v>615</v>
      </c>
      <c r="E707" s="8" t="s">
        <v>865</v>
      </c>
      <c r="F707" s="8" t="s">
        <v>1401</v>
      </c>
      <c r="G707" s="8" t="s">
        <v>1400</v>
      </c>
      <c r="H707" s="7" t="s">
        <v>592</v>
      </c>
      <c r="I707" s="16">
        <v>43765</v>
      </c>
      <c r="J707" s="16"/>
      <c r="K707" s="17"/>
      <c r="L707" s="3"/>
      <c r="M707" s="8" t="s">
        <v>23</v>
      </c>
      <c r="N707" s="11">
        <v>43770.451145833336</v>
      </c>
      <c r="O707" s="8" t="s">
        <v>1377</v>
      </c>
      <c r="P707" s="11">
        <v>43769.639004629629</v>
      </c>
      <c r="Q707" s="13">
        <v>352550</v>
      </c>
      <c r="R707" s="194" t="s">
        <v>594</v>
      </c>
      <c r="S707" s="14" t="s">
        <v>1664</v>
      </c>
      <c r="T707" s="163">
        <v>545</v>
      </c>
      <c r="U707" s="164" t="str">
        <f>CONCATENATE(LEFT(SP_ACQ_Lib[[#This Row],[Tax Parcel ID]],7),"_",SP_ACQ_Lib[[#This Row],[ACQ Document Type]])</f>
        <v>R023003_CONTACT Letter of Intent-HDR</v>
      </c>
      <c r="V707" s="65" t="str">
        <f>INDEX(SP_AcqTract_DB[WCAD Tax Parcel ID],MATCH(SP_ACQ_Lib[[#This Row],[Acquisition Tract No.]],SP_AcqTract_DB[Acquisition Tract No.],0))</f>
        <v>R023003;#87</v>
      </c>
      <c r="W707" s="48" t="str">
        <f>INDEX(SP_TaxPar_DB[Acquisition Tract No.],MATCH(LEFT(SP_ACQ_Lib[[#This Row],[Tax Parcel ID]],7),SP_TaxPar_DB[Tax Parcel ID],0))</f>
        <v>427</v>
      </c>
      <c r="X707" s="238" t="str">
        <f>IF(OR(SP_ACQ_Lib[[#This Row],[Acquisition Tract No.]]="",SP_ACQ_Lib[[#This Row],[ACQ Document Type]]=""),0,CONCATENATE("COW-FRMP_TR-",SP_ACQ_Lib[[#This Row],[Acquisition Tract No.]]," ",SP_ACQ_Lib[[#This Row],[ACQ Document Type]]))</f>
        <v>COW-FRMP_TR-427 CONTACT Letter of Intent-HDR</v>
      </c>
      <c r="Y707" s="239">
        <f>IF(OR(SP_ACQ_Lib[[#This Row],[File Name Convention]]=0,LEFT(SP_ACQ_Lib[[#This Row],[Name]],LEN(SP_ACQ_Lib[[#This Row],[File Name Convention]]))&lt;&gt;SP_ACQ_Lib[[#This Row],[File Name Convention]],ISERROR(SEARCH(SP_ACQ_Lib[[#This Row],[ACQ Document Type]],SP_ACQ_Lib[[#This Row],[Name]]))),1,0)</f>
        <v>0</v>
      </c>
    </row>
    <row r="708" spans="1:25" ht="15" x14ac:dyDescent="0.2">
      <c r="A708" s="157" t="str">
        <f>CONCATENATE(SP_ACQ_Lib[[#This Row],[Acquisition Tract No.]],"_",SP_ACQ_Lib[[#This Row],[ACQ Document Type]])</f>
        <v>427_CONTACT Negotiator Report</v>
      </c>
      <c r="B708" s="14" t="s">
        <v>3419</v>
      </c>
      <c r="C708" s="193" t="s">
        <v>1175</v>
      </c>
      <c r="D708" s="12" t="s">
        <v>615</v>
      </c>
      <c r="E708" s="8" t="s">
        <v>865</v>
      </c>
      <c r="F708" s="8" t="s">
        <v>1068</v>
      </c>
      <c r="G708" s="8" t="s">
        <v>1067</v>
      </c>
      <c r="H708" s="7" t="s">
        <v>592</v>
      </c>
      <c r="I708" s="16"/>
      <c r="J708" s="16"/>
      <c r="K708" s="17"/>
      <c r="L708" s="3"/>
      <c r="M708" s="8" t="s">
        <v>1743</v>
      </c>
      <c r="N708" s="11">
        <v>43998.682500000003</v>
      </c>
      <c r="O708" s="8" t="s">
        <v>4325</v>
      </c>
      <c r="P708" s="11">
        <v>43753.615428240744</v>
      </c>
      <c r="Q708" s="13">
        <v>55382</v>
      </c>
      <c r="R708" s="194" t="s">
        <v>1069</v>
      </c>
      <c r="S708" s="14" t="s">
        <v>1254</v>
      </c>
      <c r="T708" s="163">
        <v>492</v>
      </c>
      <c r="U708" s="164" t="str">
        <f>CONCATENATE(LEFT(SP_ACQ_Lib[[#This Row],[Tax Parcel ID]],7),"_",SP_ACQ_Lib[[#This Row],[ACQ Document Type]])</f>
        <v>R023003_CONTACT Negotiator Report</v>
      </c>
      <c r="V708" s="65" t="str">
        <f>INDEX(SP_AcqTract_DB[WCAD Tax Parcel ID],MATCH(SP_ACQ_Lib[[#This Row],[Acquisition Tract No.]],SP_AcqTract_DB[Acquisition Tract No.],0))</f>
        <v>R023003;#87</v>
      </c>
      <c r="W708" s="48" t="str">
        <f>INDEX(SP_TaxPar_DB[Acquisition Tract No.],MATCH(LEFT(SP_ACQ_Lib[[#This Row],[Tax Parcel ID]],7),SP_TaxPar_DB[Tax Parcel ID],0))</f>
        <v>427</v>
      </c>
      <c r="X708" s="238" t="str">
        <f>IF(OR(SP_ACQ_Lib[[#This Row],[Acquisition Tract No.]]="",SP_ACQ_Lib[[#This Row],[ACQ Document Type]]=""),0,CONCATENATE("COW-FRMP_TR-",SP_ACQ_Lib[[#This Row],[Acquisition Tract No.]]," ",SP_ACQ_Lib[[#This Row],[ACQ Document Type]]))</f>
        <v>COW-FRMP_TR-427 CONTACT Negotiator Report</v>
      </c>
      <c r="Y708" s="239">
        <f>IF(OR(SP_ACQ_Lib[[#This Row],[File Name Convention]]=0,LEFT(SP_ACQ_Lib[[#This Row],[Name]],LEN(SP_ACQ_Lib[[#This Row],[File Name Convention]]))&lt;&gt;SP_ACQ_Lib[[#This Row],[File Name Convention]],ISERROR(SEARCH(SP_ACQ_Lib[[#This Row],[ACQ Document Type]],SP_ACQ_Lib[[#This Row],[Name]]))),1,0)</f>
        <v>0</v>
      </c>
    </row>
    <row r="709" spans="1:25" ht="15" x14ac:dyDescent="0.2">
      <c r="A709" s="157" t="str">
        <f>CONCATENATE(SP_ACQ_Lib[[#This Row],[Acquisition Tract No.]],"_",SP_ACQ_Lib[[#This Row],[ACQ Document Type]])</f>
        <v>427_NEGOTIATION Landowner Bill of Rights Letter</v>
      </c>
      <c r="B709" s="14" t="s">
        <v>3495</v>
      </c>
      <c r="C709" s="193" t="s">
        <v>1175</v>
      </c>
      <c r="D709" s="12" t="s">
        <v>615</v>
      </c>
      <c r="E709" s="8" t="s">
        <v>1142</v>
      </c>
      <c r="F709" s="8" t="s">
        <v>1746</v>
      </c>
      <c r="G709" s="8" t="s">
        <v>1745</v>
      </c>
      <c r="H709" s="7" t="s">
        <v>592</v>
      </c>
      <c r="I709" s="16">
        <v>43748</v>
      </c>
      <c r="J709" s="16"/>
      <c r="K709" s="17"/>
      <c r="L709" s="3" t="s">
        <v>1273</v>
      </c>
      <c r="M709" s="8" t="s">
        <v>4206</v>
      </c>
      <c r="N709" s="11">
        <v>43872.570347222223</v>
      </c>
      <c r="O709" s="8" t="s">
        <v>4325</v>
      </c>
      <c r="P709" s="11">
        <v>43755.660775462966</v>
      </c>
      <c r="Q709" s="13">
        <v>662941</v>
      </c>
      <c r="R709" s="194" t="s">
        <v>594</v>
      </c>
      <c r="S709" s="14" t="s">
        <v>1274</v>
      </c>
      <c r="T709" s="163">
        <v>466</v>
      </c>
      <c r="U709" s="164" t="str">
        <f>CONCATENATE(LEFT(SP_ACQ_Lib[[#This Row],[Tax Parcel ID]],7),"_",SP_ACQ_Lib[[#This Row],[ACQ Document Type]])</f>
        <v>R023003_NEGOTIATION Landowner Bill of Rights Letter</v>
      </c>
      <c r="V709" s="65" t="str">
        <f>INDEX(SP_AcqTract_DB[WCAD Tax Parcel ID],MATCH(SP_ACQ_Lib[[#This Row],[Acquisition Tract No.]],SP_AcqTract_DB[Acquisition Tract No.],0))</f>
        <v>R023003;#87</v>
      </c>
      <c r="W709" s="48" t="str">
        <f>INDEX(SP_TaxPar_DB[Acquisition Tract No.],MATCH(LEFT(SP_ACQ_Lib[[#This Row],[Tax Parcel ID]],7),SP_TaxPar_DB[Tax Parcel ID],0))</f>
        <v>427</v>
      </c>
      <c r="X709" s="238" t="str">
        <f>IF(OR(SP_ACQ_Lib[[#This Row],[Acquisition Tract No.]]="",SP_ACQ_Lib[[#This Row],[ACQ Document Type]]=""),0,CONCATENATE("COW-FRMP_TR-",SP_ACQ_Lib[[#This Row],[Acquisition Tract No.]]," ",SP_ACQ_Lib[[#This Row],[ACQ Document Type]]))</f>
        <v>COW-FRMP_TR-427 NEGOTIATION Landowner Bill of Rights Letter</v>
      </c>
      <c r="Y709" s="239">
        <f>IF(OR(SP_ACQ_Lib[[#This Row],[File Name Convention]]=0,LEFT(SP_ACQ_Lib[[#This Row],[Name]],LEN(SP_ACQ_Lib[[#This Row],[File Name Convention]]))&lt;&gt;SP_ACQ_Lib[[#This Row],[File Name Convention]],ISERROR(SEARCH(SP_ACQ_Lib[[#This Row],[ACQ Document Type]],SP_ACQ_Lib[[#This Row],[Name]]))),1,0)</f>
        <v>0</v>
      </c>
    </row>
    <row r="710" spans="1:25" ht="15" x14ac:dyDescent="0.2">
      <c r="A710" s="157" t="str">
        <f>CONCATENATE(SP_ACQ_Lib[[#This Row],[Acquisition Tract No.]],"_",SP_ACQ_Lib[[#This Row],[ACQ Document Type]])</f>
        <v>427_SURVEY Description-Plat_CITY</v>
      </c>
      <c r="B710" s="14" t="s">
        <v>3505</v>
      </c>
      <c r="C710" s="193" t="s">
        <v>1175</v>
      </c>
      <c r="D710" s="12" t="s">
        <v>615</v>
      </c>
      <c r="E710" s="8" t="s">
        <v>858</v>
      </c>
      <c r="F710" s="8" t="s">
        <v>3503</v>
      </c>
      <c r="G710" s="8" t="s">
        <v>3502</v>
      </c>
      <c r="H710" s="7" t="s">
        <v>1749</v>
      </c>
      <c r="I710" s="16">
        <v>43867</v>
      </c>
      <c r="J710" s="16">
        <v>43880</v>
      </c>
      <c r="K710" s="17"/>
      <c r="L710" s="3"/>
      <c r="M710" s="8" t="s">
        <v>4206</v>
      </c>
      <c r="N710" s="11">
        <v>43937.59175925926</v>
      </c>
      <c r="O710" s="8" t="s">
        <v>4205</v>
      </c>
      <c r="P710" s="11">
        <v>43881.574525462966</v>
      </c>
      <c r="Q710" s="13">
        <v>235239</v>
      </c>
      <c r="R710" s="194" t="s">
        <v>594</v>
      </c>
      <c r="S710" s="14" t="s">
        <v>3508</v>
      </c>
      <c r="T710" s="163">
        <v>726</v>
      </c>
      <c r="U710" s="164" t="str">
        <f>CONCATENATE(LEFT(SP_ACQ_Lib[[#This Row],[Tax Parcel ID]],7),"_",SP_ACQ_Lib[[#This Row],[ACQ Document Type]])</f>
        <v>R023003_SURVEY Description-Plat_CITY</v>
      </c>
      <c r="V710" s="65" t="str">
        <f>INDEX(SP_AcqTract_DB[WCAD Tax Parcel ID],MATCH(SP_ACQ_Lib[[#This Row],[Acquisition Tract No.]],SP_AcqTract_DB[Acquisition Tract No.],0))</f>
        <v>R023003;#87</v>
      </c>
      <c r="W710" s="48" t="str">
        <f>INDEX(SP_TaxPar_DB[Acquisition Tract No.],MATCH(LEFT(SP_ACQ_Lib[[#This Row],[Tax Parcel ID]],7),SP_TaxPar_DB[Tax Parcel ID],0))</f>
        <v>427</v>
      </c>
      <c r="X710" s="238" t="str">
        <f>IF(OR(SP_ACQ_Lib[[#This Row],[Acquisition Tract No.]]="",SP_ACQ_Lib[[#This Row],[ACQ Document Type]]=""),0,CONCATENATE("COW-FRMP_TR-",SP_ACQ_Lib[[#This Row],[Acquisition Tract No.]]," ",SP_ACQ_Lib[[#This Row],[ACQ Document Type]]))</f>
        <v>COW-FRMP_TR-427 SURVEY Description-Plat_CITY</v>
      </c>
      <c r="Y710" s="239">
        <f>IF(OR(SP_ACQ_Lib[[#This Row],[File Name Convention]]=0,LEFT(SP_ACQ_Lib[[#This Row],[Name]],LEN(SP_ACQ_Lib[[#This Row],[File Name Convention]]))&lt;&gt;SP_ACQ_Lib[[#This Row],[File Name Convention]],ISERROR(SEARCH(SP_ACQ_Lib[[#This Row],[ACQ Document Type]],SP_ACQ_Lib[[#This Row],[Name]]))),1,0)</f>
        <v>0</v>
      </c>
    </row>
    <row r="711" spans="1:25" ht="15" x14ac:dyDescent="0.2">
      <c r="A711" s="157" t="str">
        <f>CONCATENATE(SP_ACQ_Lib[[#This Row],[Acquisition Tract No.]],"_",SP_ACQ_Lib[[#This Row],[ACQ Document Type]])</f>
        <v>427_SURVEY Right-of-Entry</v>
      </c>
      <c r="B711" s="14" t="s">
        <v>3496</v>
      </c>
      <c r="C711" s="193" t="s">
        <v>1175</v>
      </c>
      <c r="D711" s="12" t="s">
        <v>615</v>
      </c>
      <c r="E711" s="8" t="s">
        <v>858</v>
      </c>
      <c r="F711" s="8" t="s">
        <v>859</v>
      </c>
      <c r="G711" s="8" t="s">
        <v>591</v>
      </c>
      <c r="H711" s="7" t="s">
        <v>592</v>
      </c>
      <c r="I711" s="16">
        <v>43732</v>
      </c>
      <c r="J711" s="16"/>
      <c r="K711" s="17"/>
      <c r="L711" s="3" t="s">
        <v>1065</v>
      </c>
      <c r="M711" s="8" t="s">
        <v>4206</v>
      </c>
      <c r="N711" s="11">
        <v>43872.579942129632</v>
      </c>
      <c r="O711" s="8" t="s">
        <v>4325</v>
      </c>
      <c r="P711" s="11">
        <v>43732.422986111109</v>
      </c>
      <c r="Q711" s="13">
        <v>1693322</v>
      </c>
      <c r="R711" s="194" t="s">
        <v>594</v>
      </c>
      <c r="S711" s="14" t="s">
        <v>1071</v>
      </c>
      <c r="T711" s="163">
        <v>263</v>
      </c>
      <c r="U711" s="164" t="str">
        <f>CONCATENATE(LEFT(SP_ACQ_Lib[[#This Row],[Tax Parcel ID]],7),"_",SP_ACQ_Lib[[#This Row],[ACQ Document Type]])</f>
        <v>R023003_SURVEY Right-of-Entry</v>
      </c>
      <c r="V711" s="65" t="str">
        <f>INDEX(SP_AcqTract_DB[WCAD Tax Parcel ID],MATCH(SP_ACQ_Lib[[#This Row],[Acquisition Tract No.]],SP_AcqTract_DB[Acquisition Tract No.],0))</f>
        <v>R023003;#87</v>
      </c>
      <c r="W711" s="48" t="str">
        <f>INDEX(SP_TaxPar_DB[Acquisition Tract No.],MATCH(LEFT(SP_ACQ_Lib[[#This Row],[Tax Parcel ID]],7),SP_TaxPar_DB[Tax Parcel ID],0))</f>
        <v>427</v>
      </c>
      <c r="X711" s="238" t="str">
        <f>IF(OR(SP_ACQ_Lib[[#This Row],[Acquisition Tract No.]]="",SP_ACQ_Lib[[#This Row],[ACQ Document Type]]=""),0,CONCATENATE("COW-FRMP_TR-",SP_ACQ_Lib[[#This Row],[Acquisition Tract No.]]," ",SP_ACQ_Lib[[#This Row],[ACQ Document Type]]))</f>
        <v>COW-FRMP_TR-427 SURVEY Right-of-Entry</v>
      </c>
      <c r="Y711" s="239">
        <f>IF(OR(SP_ACQ_Lib[[#This Row],[File Name Convention]]=0,LEFT(SP_ACQ_Lib[[#This Row],[Name]],LEN(SP_ACQ_Lib[[#This Row],[File Name Convention]]))&lt;&gt;SP_ACQ_Lib[[#This Row],[File Name Convention]],ISERROR(SEARCH(SP_ACQ_Lib[[#This Row],[ACQ Document Type]],SP_ACQ_Lib[[#This Row],[Name]]))),1,0)</f>
        <v>0</v>
      </c>
    </row>
    <row r="712" spans="1:25" ht="15" x14ac:dyDescent="0.2">
      <c r="A712" s="157" t="str">
        <f>CONCATENATE(SP_ACQ_Lib[[#This Row],[Acquisition Tract No.]],"_",SP_ACQ_Lib[[#This Row],[ACQ Document Type]])</f>
        <v>427_SURVEY Right-of-Entry CMRR</v>
      </c>
      <c r="B712" s="14" t="s">
        <v>4609</v>
      </c>
      <c r="C712" s="193" t="s">
        <v>1175</v>
      </c>
      <c r="D712" s="12" t="s">
        <v>615</v>
      </c>
      <c r="E712" s="8" t="s">
        <v>858</v>
      </c>
      <c r="F712" s="8" t="s">
        <v>860</v>
      </c>
      <c r="G712" s="8" t="s">
        <v>598</v>
      </c>
      <c r="H712" s="7" t="s">
        <v>592</v>
      </c>
      <c r="I712" s="16">
        <v>43697</v>
      </c>
      <c r="J712" s="16">
        <v>43707</v>
      </c>
      <c r="K712" s="17"/>
      <c r="L712" s="3" t="s">
        <v>4571</v>
      </c>
      <c r="M712" s="8" t="s">
        <v>4206</v>
      </c>
      <c r="N712" s="11">
        <v>43923.430081018516</v>
      </c>
      <c r="O712" s="8" t="s">
        <v>4206</v>
      </c>
      <c r="P712" s="11">
        <v>43916.638159722221</v>
      </c>
      <c r="Q712" s="13">
        <v>995286</v>
      </c>
      <c r="R712" s="194" t="s">
        <v>594</v>
      </c>
      <c r="S712" s="14" t="s">
        <v>4627</v>
      </c>
      <c r="T712" s="163">
        <v>791</v>
      </c>
      <c r="U712" s="164" t="str">
        <f>CONCATENATE(LEFT(SP_ACQ_Lib[[#This Row],[Tax Parcel ID]],7),"_",SP_ACQ_Lib[[#This Row],[ACQ Document Type]])</f>
        <v>R023003_SURVEY Right-of-Entry CMRR</v>
      </c>
      <c r="V712" s="65" t="str">
        <f>INDEX(SP_AcqTract_DB[WCAD Tax Parcel ID],MATCH(SP_ACQ_Lib[[#This Row],[Acquisition Tract No.]],SP_AcqTract_DB[Acquisition Tract No.],0))</f>
        <v>R023003;#87</v>
      </c>
      <c r="W712" s="48" t="str">
        <f>INDEX(SP_TaxPar_DB[Acquisition Tract No.],MATCH(LEFT(SP_ACQ_Lib[[#This Row],[Tax Parcel ID]],7),SP_TaxPar_DB[Tax Parcel ID],0))</f>
        <v>427</v>
      </c>
      <c r="X712" s="238" t="str">
        <f>IF(OR(SP_ACQ_Lib[[#This Row],[Acquisition Tract No.]]="",SP_ACQ_Lib[[#This Row],[ACQ Document Type]]=""),0,CONCATENATE("COW-FRMP_TR-",SP_ACQ_Lib[[#This Row],[Acquisition Tract No.]]," ",SP_ACQ_Lib[[#This Row],[ACQ Document Type]]))</f>
        <v>COW-FRMP_TR-427 SURVEY Right-of-Entry CMRR</v>
      </c>
      <c r="Y712" s="239">
        <f>IF(OR(SP_ACQ_Lib[[#This Row],[File Name Convention]]=0,LEFT(SP_ACQ_Lib[[#This Row],[Name]],LEN(SP_ACQ_Lib[[#This Row],[File Name Convention]]))&lt;&gt;SP_ACQ_Lib[[#This Row],[File Name Convention]],ISERROR(SEARCH(SP_ACQ_Lib[[#This Row],[ACQ Document Type]],SP_ACQ_Lib[[#This Row],[Name]]))),1,0)</f>
        <v>0</v>
      </c>
    </row>
    <row r="713" spans="1:25" ht="15" x14ac:dyDescent="0.2">
      <c r="A713" s="157" t="str">
        <f>CONCATENATE(SP_ACQ_Lib[[#This Row],[Acquisition Tract No.]],"_",SP_ACQ_Lib[[#This Row],[ACQ Document Type]])</f>
        <v>427_TITLE Commitment</v>
      </c>
      <c r="B713" s="14" t="s">
        <v>1611</v>
      </c>
      <c r="C713" s="193" t="s">
        <v>1175</v>
      </c>
      <c r="D713" s="12" t="s">
        <v>615</v>
      </c>
      <c r="E713" s="8" t="s">
        <v>861</v>
      </c>
      <c r="F713" s="8" t="s">
        <v>862</v>
      </c>
      <c r="G713" s="8" t="s">
        <v>614</v>
      </c>
      <c r="H713" s="7" t="s">
        <v>592</v>
      </c>
      <c r="I713" s="16">
        <v>43707</v>
      </c>
      <c r="J713" s="16">
        <v>43714</v>
      </c>
      <c r="K713" s="17"/>
      <c r="L713" s="3"/>
      <c r="M713" s="8" t="s">
        <v>4206</v>
      </c>
      <c r="N713" s="11">
        <v>43915.415358796294</v>
      </c>
      <c r="O713" s="8" t="s">
        <v>4326</v>
      </c>
      <c r="P713" s="11">
        <v>43717.430520833332</v>
      </c>
      <c r="Q713" s="13">
        <v>254839</v>
      </c>
      <c r="R713" s="194" t="s">
        <v>594</v>
      </c>
      <c r="S713" s="14" t="s">
        <v>700</v>
      </c>
      <c r="T713" s="163">
        <v>214</v>
      </c>
      <c r="U713" s="164" t="str">
        <f>CONCATENATE(LEFT(SP_ACQ_Lib[[#This Row],[Tax Parcel ID]],7),"_",SP_ACQ_Lib[[#This Row],[ACQ Document Type]])</f>
        <v>R023003_TITLE Commitment</v>
      </c>
      <c r="V713" s="65" t="str">
        <f>INDEX(SP_AcqTract_DB[WCAD Tax Parcel ID],MATCH(SP_ACQ_Lib[[#This Row],[Acquisition Tract No.]],SP_AcqTract_DB[Acquisition Tract No.],0))</f>
        <v>R023003;#87</v>
      </c>
      <c r="W713" s="48" t="str">
        <f>INDEX(SP_TaxPar_DB[Acquisition Tract No.],MATCH(LEFT(SP_ACQ_Lib[[#This Row],[Tax Parcel ID]],7),SP_TaxPar_DB[Tax Parcel ID],0))</f>
        <v>427</v>
      </c>
      <c r="X713" s="238" t="str">
        <f>IF(OR(SP_ACQ_Lib[[#This Row],[Acquisition Tract No.]]="",SP_ACQ_Lib[[#This Row],[ACQ Document Type]]=""),0,CONCATENATE("COW-FRMP_TR-",SP_ACQ_Lib[[#This Row],[Acquisition Tract No.]]," ",SP_ACQ_Lib[[#This Row],[ACQ Document Type]]))</f>
        <v>COW-FRMP_TR-427 TITLE Commitment</v>
      </c>
      <c r="Y713" s="239">
        <f>IF(OR(SP_ACQ_Lib[[#This Row],[File Name Convention]]=0,LEFT(SP_ACQ_Lib[[#This Row],[Name]],LEN(SP_ACQ_Lib[[#This Row],[File Name Convention]]))&lt;&gt;SP_ACQ_Lib[[#This Row],[File Name Convention]],ISERROR(SEARCH(SP_ACQ_Lib[[#This Row],[ACQ Document Type]],SP_ACQ_Lib[[#This Row],[Name]]))),1,0)</f>
        <v>0</v>
      </c>
    </row>
    <row r="714" spans="1:25" ht="15" x14ac:dyDescent="0.2">
      <c r="A714" s="157" t="str">
        <f>CONCATENATE(SP_ACQ_Lib[[#This Row],[Acquisition Tract No.]],"_",SP_ACQ_Lib[[#This Row],[ACQ Document Type]])</f>
        <v>427_TITLE Commitment Backup Docs</v>
      </c>
      <c r="B714" s="14" t="s">
        <v>1612</v>
      </c>
      <c r="C714" s="193" t="s">
        <v>1175</v>
      </c>
      <c r="D714" s="12" t="s">
        <v>615</v>
      </c>
      <c r="E714" s="8" t="s">
        <v>861</v>
      </c>
      <c r="F714" s="8" t="s">
        <v>863</v>
      </c>
      <c r="G714" s="8" t="s">
        <v>616</v>
      </c>
      <c r="H714" s="7" t="s">
        <v>592</v>
      </c>
      <c r="I714" s="16"/>
      <c r="J714" s="16"/>
      <c r="K714" s="17"/>
      <c r="L714" s="3"/>
      <c r="M714" s="8" t="s">
        <v>4325</v>
      </c>
      <c r="N714" s="11">
        <v>43803.48369212963</v>
      </c>
      <c r="O714" s="8" t="s">
        <v>4326</v>
      </c>
      <c r="P714" s="11">
        <v>43717.48332175926</v>
      </c>
      <c r="Q714" s="13">
        <v>95589</v>
      </c>
      <c r="R714" s="194" t="s">
        <v>594</v>
      </c>
      <c r="S714" s="14" t="s">
        <v>701</v>
      </c>
      <c r="T714" s="163">
        <v>218</v>
      </c>
      <c r="U714" s="164" t="str">
        <f>CONCATENATE(LEFT(SP_ACQ_Lib[[#This Row],[Tax Parcel ID]],7),"_",SP_ACQ_Lib[[#This Row],[ACQ Document Type]])</f>
        <v>R023003_TITLE Commitment Backup Docs</v>
      </c>
      <c r="V714" s="65" t="str">
        <f>INDEX(SP_AcqTract_DB[WCAD Tax Parcel ID],MATCH(SP_ACQ_Lib[[#This Row],[Acquisition Tract No.]],SP_AcqTract_DB[Acquisition Tract No.],0))</f>
        <v>R023003;#87</v>
      </c>
      <c r="W714" s="48" t="str">
        <f>INDEX(SP_TaxPar_DB[Acquisition Tract No.],MATCH(LEFT(SP_ACQ_Lib[[#This Row],[Tax Parcel ID]],7),SP_TaxPar_DB[Tax Parcel ID],0))</f>
        <v>427</v>
      </c>
      <c r="X714" s="238" t="str">
        <f>IF(OR(SP_ACQ_Lib[[#This Row],[Acquisition Tract No.]]="",SP_ACQ_Lib[[#This Row],[ACQ Document Type]]=""),0,CONCATENATE("COW-FRMP_TR-",SP_ACQ_Lib[[#This Row],[Acquisition Tract No.]]," ",SP_ACQ_Lib[[#This Row],[ACQ Document Type]]))</f>
        <v>COW-FRMP_TR-427 TITLE Commitment Backup Docs</v>
      </c>
      <c r="Y714" s="239">
        <f>IF(OR(SP_ACQ_Lib[[#This Row],[File Name Convention]]=0,LEFT(SP_ACQ_Lib[[#This Row],[Name]],LEN(SP_ACQ_Lib[[#This Row],[File Name Convention]]))&lt;&gt;SP_ACQ_Lib[[#This Row],[File Name Convention]],ISERROR(SEARCH(SP_ACQ_Lib[[#This Row],[ACQ Document Type]],SP_ACQ_Lib[[#This Row],[Name]]))),1,0)</f>
        <v>0</v>
      </c>
    </row>
    <row r="715" spans="1:25" ht="15" x14ac:dyDescent="0.2">
      <c r="A715" s="157" t="str">
        <f>CONCATENATE(SP_ACQ_Lib[[#This Row],[Acquisition Tract No.]],"_",SP_ACQ_Lib[[#This Row],[ACQ Document Type]])</f>
        <v>427_TITLE Curative Plan</v>
      </c>
      <c r="B715" s="14" t="s">
        <v>1613</v>
      </c>
      <c r="C715" s="193" t="s">
        <v>1175</v>
      </c>
      <c r="D715" s="12" t="s">
        <v>615</v>
      </c>
      <c r="E715" s="8" t="s">
        <v>861</v>
      </c>
      <c r="F715" s="8" t="s">
        <v>864</v>
      </c>
      <c r="G715" s="8" t="s">
        <v>617</v>
      </c>
      <c r="H715" s="7" t="s">
        <v>592</v>
      </c>
      <c r="I715" s="16">
        <v>43816</v>
      </c>
      <c r="J715" s="16"/>
      <c r="K715" s="17"/>
      <c r="L715" s="3"/>
      <c r="M715" s="8" t="s">
        <v>4325</v>
      </c>
      <c r="N715" s="11">
        <v>43916.501944444448</v>
      </c>
      <c r="O715" s="8" t="s">
        <v>4326</v>
      </c>
      <c r="P715" s="11">
        <v>43719.4450462963</v>
      </c>
      <c r="Q715" s="13">
        <v>35159</v>
      </c>
      <c r="R715" s="194" t="s">
        <v>594</v>
      </c>
      <c r="S715" s="14" t="s">
        <v>702</v>
      </c>
      <c r="T715" s="163">
        <v>240</v>
      </c>
      <c r="U715" s="164" t="str">
        <f>CONCATENATE(LEFT(SP_ACQ_Lib[[#This Row],[Tax Parcel ID]],7),"_",SP_ACQ_Lib[[#This Row],[ACQ Document Type]])</f>
        <v>R023003_TITLE Curative Plan</v>
      </c>
      <c r="V715" s="65" t="str">
        <f>INDEX(SP_AcqTract_DB[WCAD Tax Parcel ID],MATCH(SP_ACQ_Lib[[#This Row],[Acquisition Tract No.]],SP_AcqTract_DB[Acquisition Tract No.],0))</f>
        <v>R023003;#87</v>
      </c>
      <c r="W715" s="48" t="str">
        <f>INDEX(SP_TaxPar_DB[Acquisition Tract No.],MATCH(LEFT(SP_ACQ_Lib[[#This Row],[Tax Parcel ID]],7),SP_TaxPar_DB[Tax Parcel ID],0))</f>
        <v>427</v>
      </c>
      <c r="X715" s="238" t="str">
        <f>IF(OR(SP_ACQ_Lib[[#This Row],[Acquisition Tract No.]]="",SP_ACQ_Lib[[#This Row],[ACQ Document Type]]=""),0,CONCATENATE("COW-FRMP_TR-",SP_ACQ_Lib[[#This Row],[Acquisition Tract No.]]," ",SP_ACQ_Lib[[#This Row],[ACQ Document Type]]))</f>
        <v>COW-FRMP_TR-427 TITLE Curative Plan</v>
      </c>
      <c r="Y715" s="239">
        <f>IF(OR(SP_ACQ_Lib[[#This Row],[File Name Convention]]=0,LEFT(SP_ACQ_Lib[[#This Row],[Name]],LEN(SP_ACQ_Lib[[#This Row],[File Name Convention]]))&lt;&gt;SP_ACQ_Lib[[#This Row],[File Name Convention]],ISERROR(SEARCH(SP_ACQ_Lib[[#This Row],[ACQ Document Type]],SP_ACQ_Lib[[#This Row],[Name]]))),1,0)</f>
        <v>0</v>
      </c>
    </row>
    <row r="716" spans="1:25" ht="15" x14ac:dyDescent="0.2">
      <c r="A716" s="157" t="str">
        <f>CONCATENATE(SP_ACQ_Lib[[#This Row],[Acquisition Tract No.]],"_",SP_ACQ_Lib[[#This Row],[ACQ Document Type]])</f>
        <v>427_TITLE Tax Card</v>
      </c>
      <c r="B716" s="14" t="s">
        <v>3497</v>
      </c>
      <c r="C716" s="193" t="s">
        <v>1175</v>
      </c>
      <c r="D716" s="12" t="s">
        <v>615</v>
      </c>
      <c r="E716" s="8" t="s">
        <v>861</v>
      </c>
      <c r="F716" s="8" t="s">
        <v>1150</v>
      </c>
      <c r="G716" s="8" t="s">
        <v>1149</v>
      </c>
      <c r="H716" s="7" t="s">
        <v>592</v>
      </c>
      <c r="I716" s="16"/>
      <c r="J716" s="16"/>
      <c r="K716" s="17"/>
      <c r="L716" s="3"/>
      <c r="M716" s="8" t="s">
        <v>4206</v>
      </c>
      <c r="N716" s="11">
        <v>43874.595868055556</v>
      </c>
      <c r="O716" s="8" t="s">
        <v>1272</v>
      </c>
      <c r="P716" s="11">
        <v>43817.480057870373</v>
      </c>
      <c r="Q716" s="13">
        <v>455850</v>
      </c>
      <c r="R716" s="194" t="s">
        <v>594</v>
      </c>
      <c r="S716" s="14" t="s">
        <v>1803</v>
      </c>
      <c r="T716" s="163">
        <v>667</v>
      </c>
      <c r="U716" s="164" t="str">
        <f>CONCATENATE(LEFT(SP_ACQ_Lib[[#This Row],[Tax Parcel ID]],7),"_",SP_ACQ_Lib[[#This Row],[ACQ Document Type]])</f>
        <v>R023003_TITLE Tax Card</v>
      </c>
      <c r="V716" s="65" t="str">
        <f>INDEX(SP_AcqTract_DB[WCAD Tax Parcel ID],MATCH(SP_ACQ_Lib[[#This Row],[Acquisition Tract No.]],SP_AcqTract_DB[Acquisition Tract No.],0))</f>
        <v>R023003;#87</v>
      </c>
      <c r="W716" s="48" t="str">
        <f>INDEX(SP_TaxPar_DB[Acquisition Tract No.],MATCH(LEFT(SP_ACQ_Lib[[#This Row],[Tax Parcel ID]],7),SP_TaxPar_DB[Tax Parcel ID],0))</f>
        <v>427</v>
      </c>
      <c r="X716" s="238" t="str">
        <f>IF(OR(SP_ACQ_Lib[[#This Row],[Acquisition Tract No.]]="",SP_ACQ_Lib[[#This Row],[ACQ Document Type]]=""),0,CONCATENATE("COW-FRMP_TR-",SP_ACQ_Lib[[#This Row],[Acquisition Tract No.]]," ",SP_ACQ_Lib[[#This Row],[ACQ Document Type]]))</f>
        <v>COW-FRMP_TR-427 TITLE Tax Card</v>
      </c>
      <c r="Y716" s="239">
        <f>IF(OR(SP_ACQ_Lib[[#This Row],[File Name Convention]]=0,LEFT(SP_ACQ_Lib[[#This Row],[Name]],LEN(SP_ACQ_Lib[[#This Row],[File Name Convention]]))&lt;&gt;SP_ACQ_Lib[[#This Row],[File Name Convention]],ISERROR(SEARCH(SP_ACQ_Lib[[#This Row],[ACQ Document Type]],SP_ACQ_Lib[[#This Row],[Name]]))),1,0)</f>
        <v>0</v>
      </c>
    </row>
    <row r="717" spans="1:25" ht="15" x14ac:dyDescent="0.2">
      <c r="A717" s="157" t="str">
        <f>CONCATENATE(SP_ACQ_Lib[[#This Row],[Acquisition Tract No.]],"_",SP_ACQ_Lib[[#This Row],[ACQ Document Type]])</f>
        <v>T066_CONTACT Negotiator Report</v>
      </c>
      <c r="B717" s="14" t="s">
        <v>5393</v>
      </c>
      <c r="C717" s="193" t="s">
        <v>5260</v>
      </c>
      <c r="D717" s="12" t="s">
        <v>2931</v>
      </c>
      <c r="E717" s="8" t="s">
        <v>865</v>
      </c>
      <c r="F717" s="8" t="s">
        <v>1068</v>
      </c>
      <c r="G717" s="8" t="s">
        <v>1067</v>
      </c>
      <c r="H717" s="7" t="s">
        <v>592</v>
      </c>
      <c r="I717" s="16"/>
      <c r="J717" s="16"/>
      <c r="K717" s="17"/>
      <c r="L717" s="3"/>
      <c r="M717" s="8" t="s">
        <v>5648</v>
      </c>
      <c r="N717" s="11">
        <v>44007.877500000002</v>
      </c>
      <c r="O717" s="8" t="s">
        <v>4206</v>
      </c>
      <c r="P717" s="11">
        <v>43979.392118055555</v>
      </c>
      <c r="Q717" s="13">
        <v>60377</v>
      </c>
      <c r="R717" s="194" t="s">
        <v>594</v>
      </c>
      <c r="S717" s="14" t="s">
        <v>5532</v>
      </c>
      <c r="T717" s="163">
        <v>1037</v>
      </c>
      <c r="U717" s="164" t="str">
        <f>CONCATENATE(LEFT(SP_ACQ_Lib[[#This Row],[Tax Parcel ID]],7),"_",SP_ACQ_Lib[[#This Row],[ACQ Document Type]])</f>
        <v>R018674_CONTACT Negotiator Report</v>
      </c>
      <c r="V717" s="65" t="str">
        <f>INDEX(SP_AcqTract_DB[WCAD Tax Parcel ID],MATCH(SP_ACQ_Lib[[#This Row],[Acquisition Tract No.]],SP_AcqTract_DB[Acquisition Tract No.],0))</f>
        <v>R018674;#141</v>
      </c>
      <c r="W717" s="48" t="str">
        <f>INDEX(SP_TaxPar_DB[Acquisition Tract No.],MATCH(LEFT(SP_ACQ_Lib[[#This Row],[Tax Parcel ID]],7),SP_TaxPar_DB[Tax Parcel ID],0))</f>
        <v>T066</v>
      </c>
      <c r="X717" s="238" t="str">
        <f>IF(OR(SP_ACQ_Lib[[#This Row],[Acquisition Tract No.]]="",SP_ACQ_Lib[[#This Row],[ACQ Document Type]]=""),0,CONCATENATE("COW-FRMP_TR-",SP_ACQ_Lib[[#This Row],[Acquisition Tract No.]]," ",SP_ACQ_Lib[[#This Row],[ACQ Document Type]]))</f>
        <v>COW-FRMP_TR-T066 CONTACT Negotiator Report</v>
      </c>
      <c r="Y717" s="239">
        <f>IF(OR(SP_ACQ_Lib[[#This Row],[File Name Convention]]=0,LEFT(SP_ACQ_Lib[[#This Row],[Name]],LEN(SP_ACQ_Lib[[#This Row],[File Name Convention]]))&lt;&gt;SP_ACQ_Lib[[#This Row],[File Name Convention]],ISERROR(SEARCH(SP_ACQ_Lib[[#This Row],[ACQ Document Type]],SP_ACQ_Lib[[#This Row],[Name]]))),1,0)</f>
        <v>0</v>
      </c>
    </row>
    <row r="718" spans="1:25" ht="15" x14ac:dyDescent="0.2">
      <c r="A718" s="157" t="str">
        <f>CONCATENATE(SP_ACQ_Lib[[#This Row],[Acquisition Tract No.]],"_",SP_ACQ_Lib[[#This Row],[ACQ Document Type]])</f>
        <v>T066_ENVIRONMENTAL Right-of-Entry Executed</v>
      </c>
      <c r="B718" s="14" t="s">
        <v>5551</v>
      </c>
      <c r="C718" s="193" t="s">
        <v>5260</v>
      </c>
      <c r="D718" s="12" t="s">
        <v>2931</v>
      </c>
      <c r="E718" s="8" t="s">
        <v>2682</v>
      </c>
      <c r="F718" s="8" t="s">
        <v>2683</v>
      </c>
      <c r="G718" s="8" t="s">
        <v>2681</v>
      </c>
      <c r="H718" s="7" t="s">
        <v>592</v>
      </c>
      <c r="I718" s="16">
        <v>43886</v>
      </c>
      <c r="J718" s="16"/>
      <c r="K718" s="17"/>
      <c r="L718" s="3"/>
      <c r="M718" s="8" t="s">
        <v>4206</v>
      </c>
      <c r="N718" s="11">
        <v>43983.565428240741</v>
      </c>
      <c r="O718" s="8" t="s">
        <v>4206</v>
      </c>
      <c r="P718" s="11">
        <v>43979.392129629632</v>
      </c>
      <c r="Q718" s="13">
        <v>1142198</v>
      </c>
      <c r="R718" s="194" t="s">
        <v>594</v>
      </c>
      <c r="S718" s="14" t="s">
        <v>5485</v>
      </c>
      <c r="T718" s="163">
        <v>1038</v>
      </c>
      <c r="U718" s="164" t="str">
        <f>CONCATENATE(LEFT(SP_ACQ_Lib[[#This Row],[Tax Parcel ID]],7),"_",SP_ACQ_Lib[[#This Row],[ACQ Document Type]])</f>
        <v>R018674_ENVIRONMENTAL Right-of-Entry Executed</v>
      </c>
      <c r="V718" s="65" t="str">
        <f>INDEX(SP_AcqTract_DB[WCAD Tax Parcel ID],MATCH(SP_ACQ_Lib[[#This Row],[Acquisition Tract No.]],SP_AcqTract_DB[Acquisition Tract No.],0))</f>
        <v>R018674;#141</v>
      </c>
      <c r="W718" s="48" t="str">
        <f>INDEX(SP_TaxPar_DB[Acquisition Tract No.],MATCH(LEFT(SP_ACQ_Lib[[#This Row],[Tax Parcel ID]],7),SP_TaxPar_DB[Tax Parcel ID],0))</f>
        <v>T066</v>
      </c>
      <c r="X718" s="238" t="str">
        <f>IF(OR(SP_ACQ_Lib[[#This Row],[Acquisition Tract No.]]="",SP_ACQ_Lib[[#This Row],[ACQ Document Type]]=""),0,CONCATENATE("COW-FRMP_TR-",SP_ACQ_Lib[[#This Row],[Acquisition Tract No.]]," ",SP_ACQ_Lib[[#This Row],[ACQ Document Type]]))</f>
        <v>COW-FRMP_TR-T066 ENVIRONMENTAL Right-of-Entry Executed</v>
      </c>
      <c r="Y718" s="239">
        <f>IF(OR(SP_ACQ_Lib[[#This Row],[File Name Convention]]=0,LEFT(SP_ACQ_Lib[[#This Row],[Name]],LEN(SP_ACQ_Lib[[#This Row],[File Name Convention]]))&lt;&gt;SP_ACQ_Lib[[#This Row],[File Name Convention]],ISERROR(SEARCH(SP_ACQ_Lib[[#This Row],[ACQ Document Type]],SP_ACQ_Lib[[#This Row],[Name]]))),1,0)</f>
        <v>0</v>
      </c>
    </row>
    <row r="719" spans="1:25" ht="15" x14ac:dyDescent="0.2">
      <c r="A719" s="157" t="str">
        <f>CONCATENATE(SP_ACQ_Lib[[#This Row],[Acquisition Tract No.]],"_",SP_ACQ_Lib[[#This Row],[ACQ Document Type]])</f>
        <v>T066_ROE Right-of-Entry Executed</v>
      </c>
      <c r="B719" s="14" t="s">
        <v>6336</v>
      </c>
      <c r="C719" s="193" t="s">
        <v>5260</v>
      </c>
      <c r="D719" s="12" t="s">
        <v>2931</v>
      </c>
      <c r="E719" s="8" t="s">
        <v>1146</v>
      </c>
      <c r="F719" s="8" t="s">
        <v>2683</v>
      </c>
      <c r="G719" s="8" t="s">
        <v>5660</v>
      </c>
      <c r="H719" s="7" t="s">
        <v>592</v>
      </c>
      <c r="I719" s="16">
        <v>44004</v>
      </c>
      <c r="J719" s="16">
        <v>44187</v>
      </c>
      <c r="K719" s="17"/>
      <c r="L719" s="3"/>
      <c r="M719" s="8" t="s">
        <v>4206</v>
      </c>
      <c r="N719" s="11">
        <v>44005.614432870374</v>
      </c>
      <c r="O719" s="8" t="s">
        <v>4206</v>
      </c>
      <c r="P719" s="11">
        <v>44005.613437499997</v>
      </c>
      <c r="Q719" s="13">
        <v>1990742</v>
      </c>
      <c r="R719" s="194" t="s">
        <v>594</v>
      </c>
      <c r="S719" s="14" t="s">
        <v>6405</v>
      </c>
      <c r="T719" s="163">
        <v>1275</v>
      </c>
      <c r="U719" s="164" t="str">
        <f>CONCATENATE(LEFT(SP_ACQ_Lib[[#This Row],[Tax Parcel ID]],7),"_",SP_ACQ_Lib[[#This Row],[ACQ Document Type]])</f>
        <v>R018674_ROE Right-of-Entry Executed</v>
      </c>
      <c r="V719" s="65" t="str">
        <f>INDEX(SP_AcqTract_DB[WCAD Tax Parcel ID],MATCH(SP_ACQ_Lib[[#This Row],[Acquisition Tract No.]],SP_AcqTract_DB[Acquisition Tract No.],0))</f>
        <v>R018674;#141</v>
      </c>
      <c r="W719" s="48" t="str">
        <f>INDEX(SP_TaxPar_DB[Acquisition Tract No.],MATCH(LEFT(SP_ACQ_Lib[[#This Row],[Tax Parcel ID]],7),SP_TaxPar_DB[Tax Parcel ID],0))</f>
        <v>T066</v>
      </c>
      <c r="X719" s="238" t="str">
        <f>IF(OR(SP_ACQ_Lib[[#This Row],[Acquisition Tract No.]]="",SP_ACQ_Lib[[#This Row],[ACQ Document Type]]=""),0,CONCATENATE("COW-FRMP_TR-",SP_ACQ_Lib[[#This Row],[Acquisition Tract No.]]," ",SP_ACQ_Lib[[#This Row],[ACQ Document Type]]))</f>
        <v>COW-FRMP_TR-T066 ROE Right-of-Entry Executed</v>
      </c>
      <c r="Y719" s="239">
        <f>IF(OR(SP_ACQ_Lib[[#This Row],[File Name Convention]]=0,LEFT(SP_ACQ_Lib[[#This Row],[Name]],LEN(SP_ACQ_Lib[[#This Row],[File Name Convention]]))&lt;&gt;SP_ACQ_Lib[[#This Row],[File Name Convention]],ISERROR(SEARCH(SP_ACQ_Lib[[#This Row],[ACQ Document Type]],SP_ACQ_Lib[[#This Row],[Name]]))),1,0)</f>
        <v>0</v>
      </c>
    </row>
    <row r="720" spans="1:25" ht="15" x14ac:dyDescent="0.2">
      <c r="A720" s="157" t="str">
        <f>CONCATENATE(SP_ACQ_Lib[[#This Row],[Acquisition Tract No.]],"_",SP_ACQ_Lib[[#This Row],[ACQ Document Type]])</f>
        <v>T066_ROE Right-of-Entry Package</v>
      </c>
      <c r="B720" s="14" t="s">
        <v>5661</v>
      </c>
      <c r="C720" s="193" t="s">
        <v>5260</v>
      </c>
      <c r="D720" s="12" t="s">
        <v>2931</v>
      </c>
      <c r="E720" s="8" t="s">
        <v>1146</v>
      </c>
      <c r="F720" s="8" t="s">
        <v>2687</v>
      </c>
      <c r="G720" s="8" t="s">
        <v>5659</v>
      </c>
      <c r="H720" s="7" t="s">
        <v>592</v>
      </c>
      <c r="I720" s="16">
        <v>43984</v>
      </c>
      <c r="J720" s="16"/>
      <c r="K720" s="17"/>
      <c r="L720" s="3"/>
      <c r="M720" s="8" t="s">
        <v>4206</v>
      </c>
      <c r="N720" s="11">
        <v>43985.519745370373</v>
      </c>
      <c r="O720" s="8" t="s">
        <v>4206</v>
      </c>
      <c r="P720" s="11">
        <v>43985.509733796294</v>
      </c>
      <c r="Q720" s="13">
        <v>1218914</v>
      </c>
      <c r="R720" s="194" t="s">
        <v>594</v>
      </c>
      <c r="S720" s="14" t="s">
        <v>5685</v>
      </c>
      <c r="T720" s="163">
        <v>1087</v>
      </c>
      <c r="U720" s="164" t="str">
        <f>CONCATENATE(LEFT(SP_ACQ_Lib[[#This Row],[Tax Parcel ID]],7),"_",SP_ACQ_Lib[[#This Row],[ACQ Document Type]])</f>
        <v>R018674_ROE Right-of-Entry Package</v>
      </c>
      <c r="V720" s="65" t="str">
        <f>INDEX(SP_AcqTract_DB[WCAD Tax Parcel ID],MATCH(SP_ACQ_Lib[[#This Row],[Acquisition Tract No.]],SP_AcqTract_DB[Acquisition Tract No.],0))</f>
        <v>R018674;#141</v>
      </c>
      <c r="W720" s="48" t="str">
        <f>INDEX(SP_TaxPar_DB[Acquisition Tract No.],MATCH(LEFT(SP_ACQ_Lib[[#This Row],[Tax Parcel ID]],7),SP_TaxPar_DB[Tax Parcel ID],0))</f>
        <v>T066</v>
      </c>
      <c r="X720" s="238" t="str">
        <f>IF(OR(SP_ACQ_Lib[[#This Row],[Acquisition Tract No.]]="",SP_ACQ_Lib[[#This Row],[ACQ Document Type]]=""),0,CONCATENATE("COW-FRMP_TR-",SP_ACQ_Lib[[#This Row],[Acquisition Tract No.]]," ",SP_ACQ_Lib[[#This Row],[ACQ Document Type]]))</f>
        <v>COW-FRMP_TR-T066 ROE Right-of-Entry Package</v>
      </c>
      <c r="Y720" s="239">
        <f>IF(OR(SP_ACQ_Lib[[#This Row],[File Name Convention]]=0,LEFT(SP_ACQ_Lib[[#This Row],[Name]],LEN(SP_ACQ_Lib[[#This Row],[File Name Convention]]))&lt;&gt;SP_ACQ_Lib[[#This Row],[File Name Convention]],ISERROR(SEARCH(SP_ACQ_Lib[[#This Row],[ACQ Document Type]],SP_ACQ_Lib[[#This Row],[Name]]))),1,0)</f>
        <v>0</v>
      </c>
    </row>
    <row r="721" spans="1:25" ht="15" x14ac:dyDescent="0.2">
      <c r="A721" s="157" t="str">
        <f>CONCATENATE(SP_ACQ_Lib[[#This Row],[Acquisition Tract No.]],"_",SP_ACQ_Lib[[#This Row],[ACQ Document Type]])</f>
        <v>T066_TITLE Tax Card</v>
      </c>
      <c r="B721" s="14" t="s">
        <v>5394</v>
      </c>
      <c r="C721" s="193" t="s">
        <v>5260</v>
      </c>
      <c r="D721" s="12" t="s">
        <v>2931</v>
      </c>
      <c r="E721" s="8" t="s">
        <v>861</v>
      </c>
      <c r="F721" s="8" t="s">
        <v>1150</v>
      </c>
      <c r="G721" s="8" t="s">
        <v>1149</v>
      </c>
      <c r="H721" s="7" t="s">
        <v>592</v>
      </c>
      <c r="I721" s="16"/>
      <c r="J721" s="16"/>
      <c r="K721" s="17"/>
      <c r="L721" s="3"/>
      <c r="M721" s="8" t="s">
        <v>4206</v>
      </c>
      <c r="N721" s="11">
        <v>43979.409733796296</v>
      </c>
      <c r="O721" s="8" t="s">
        <v>4206</v>
      </c>
      <c r="P721" s="11">
        <v>43979.392152777778</v>
      </c>
      <c r="Q721" s="13">
        <v>592427</v>
      </c>
      <c r="R721" s="194" t="s">
        <v>594</v>
      </c>
      <c r="S721" s="14" t="s">
        <v>5486</v>
      </c>
      <c r="T721" s="163">
        <v>1039</v>
      </c>
      <c r="U721" s="164" t="str">
        <f>CONCATENATE(LEFT(SP_ACQ_Lib[[#This Row],[Tax Parcel ID]],7),"_",SP_ACQ_Lib[[#This Row],[ACQ Document Type]])</f>
        <v>R018674_TITLE Tax Card</v>
      </c>
      <c r="V721" s="65" t="str">
        <f>INDEX(SP_AcqTract_DB[WCAD Tax Parcel ID],MATCH(SP_ACQ_Lib[[#This Row],[Acquisition Tract No.]],SP_AcqTract_DB[Acquisition Tract No.],0))</f>
        <v>R018674;#141</v>
      </c>
      <c r="W721" s="48" t="str">
        <f>INDEX(SP_TaxPar_DB[Acquisition Tract No.],MATCH(LEFT(SP_ACQ_Lib[[#This Row],[Tax Parcel ID]],7),SP_TaxPar_DB[Tax Parcel ID],0))</f>
        <v>T066</v>
      </c>
      <c r="X721" s="238" t="str">
        <f>IF(OR(SP_ACQ_Lib[[#This Row],[Acquisition Tract No.]]="",SP_ACQ_Lib[[#This Row],[ACQ Document Type]]=""),0,CONCATENATE("COW-FRMP_TR-",SP_ACQ_Lib[[#This Row],[Acquisition Tract No.]]," ",SP_ACQ_Lib[[#This Row],[ACQ Document Type]]))</f>
        <v>COW-FRMP_TR-T066 TITLE Tax Card</v>
      </c>
      <c r="Y721" s="239">
        <f>IF(OR(SP_ACQ_Lib[[#This Row],[File Name Convention]]=0,LEFT(SP_ACQ_Lib[[#This Row],[Name]],LEN(SP_ACQ_Lib[[#This Row],[File Name Convention]]))&lt;&gt;SP_ACQ_Lib[[#This Row],[File Name Convention]],ISERROR(SEARCH(SP_ACQ_Lib[[#This Row],[ACQ Document Type]],SP_ACQ_Lib[[#This Row],[Name]]))),1,0)</f>
        <v>0</v>
      </c>
    </row>
    <row r="722" spans="1:25" ht="15" x14ac:dyDescent="0.2">
      <c r="A722" s="157" t="str">
        <f>CONCATENATE(SP_ACQ_Lib[[#This Row],[Acquisition Tract No.]],"_",SP_ACQ_Lib[[#This Row],[ACQ Document Type]])</f>
        <v>T067_CONTACT Negotiator Report</v>
      </c>
      <c r="B722" s="14" t="s">
        <v>5395</v>
      </c>
      <c r="C722" s="193" t="s">
        <v>5262</v>
      </c>
      <c r="D722" s="12" t="s">
        <v>2932</v>
      </c>
      <c r="E722" s="8" t="s">
        <v>865</v>
      </c>
      <c r="F722" s="8" t="s">
        <v>1068</v>
      </c>
      <c r="G722" s="8" t="s">
        <v>1067</v>
      </c>
      <c r="H722" s="7" t="s">
        <v>592</v>
      </c>
      <c r="I722" s="16"/>
      <c r="J722" s="16"/>
      <c r="K722" s="17"/>
      <c r="L722" s="3"/>
      <c r="M722" s="8" t="s">
        <v>5648</v>
      </c>
      <c r="N722" s="11">
        <v>43997.352847222224</v>
      </c>
      <c r="O722" s="8" t="s">
        <v>4206</v>
      </c>
      <c r="P722" s="11">
        <v>43979.392175925925</v>
      </c>
      <c r="Q722" s="13">
        <v>59232</v>
      </c>
      <c r="R722" s="194" t="s">
        <v>594</v>
      </c>
      <c r="S722" s="14" t="s">
        <v>5532</v>
      </c>
      <c r="T722" s="163">
        <v>1040</v>
      </c>
      <c r="U722" s="164" t="str">
        <f>CONCATENATE(LEFT(SP_ACQ_Lib[[#This Row],[Tax Parcel ID]],7),"_",SP_ACQ_Lib[[#This Row],[ACQ Document Type]])</f>
        <v>R018678_CONTACT Negotiator Report</v>
      </c>
      <c r="V722" s="65" t="str">
        <f>INDEX(SP_AcqTract_DB[WCAD Tax Parcel ID],MATCH(SP_ACQ_Lib[[#This Row],[Acquisition Tract No.]],SP_AcqTract_DB[Acquisition Tract No.],0))</f>
        <v>R018678;#142</v>
      </c>
      <c r="W722" s="48" t="str">
        <f>INDEX(SP_TaxPar_DB[Acquisition Tract No.],MATCH(LEFT(SP_ACQ_Lib[[#This Row],[Tax Parcel ID]],7),SP_TaxPar_DB[Tax Parcel ID],0))</f>
        <v>T067</v>
      </c>
      <c r="X722" s="238" t="str">
        <f>IF(OR(SP_ACQ_Lib[[#This Row],[Acquisition Tract No.]]="",SP_ACQ_Lib[[#This Row],[ACQ Document Type]]=""),0,CONCATENATE("COW-FRMP_TR-",SP_ACQ_Lib[[#This Row],[Acquisition Tract No.]]," ",SP_ACQ_Lib[[#This Row],[ACQ Document Type]]))</f>
        <v>COW-FRMP_TR-T067 CONTACT Negotiator Report</v>
      </c>
      <c r="Y722" s="239">
        <f>IF(OR(SP_ACQ_Lib[[#This Row],[File Name Convention]]=0,LEFT(SP_ACQ_Lib[[#This Row],[Name]],LEN(SP_ACQ_Lib[[#This Row],[File Name Convention]]))&lt;&gt;SP_ACQ_Lib[[#This Row],[File Name Convention]],ISERROR(SEARCH(SP_ACQ_Lib[[#This Row],[ACQ Document Type]],SP_ACQ_Lib[[#This Row],[Name]]))),1,0)</f>
        <v>0</v>
      </c>
    </row>
    <row r="723" spans="1:25" ht="15" x14ac:dyDescent="0.2">
      <c r="A723" s="157" t="str">
        <f>CONCATENATE(SP_ACQ_Lib[[#This Row],[Acquisition Tract No.]],"_",SP_ACQ_Lib[[#This Row],[ACQ Document Type]])</f>
        <v>T067_ENVIRONMENTAL Right-of-Entry Executed</v>
      </c>
      <c r="B723" s="14" t="s">
        <v>5552</v>
      </c>
      <c r="C723" s="193" t="s">
        <v>5262</v>
      </c>
      <c r="D723" s="12" t="s">
        <v>2932</v>
      </c>
      <c r="E723" s="8" t="s">
        <v>2682</v>
      </c>
      <c r="F723" s="8" t="s">
        <v>2683</v>
      </c>
      <c r="G723" s="8" t="s">
        <v>2681</v>
      </c>
      <c r="H723" s="7" t="s">
        <v>592</v>
      </c>
      <c r="I723" s="16">
        <v>43987</v>
      </c>
      <c r="J723" s="16">
        <v>45081</v>
      </c>
      <c r="K723" s="17"/>
      <c r="L723" s="3"/>
      <c r="M723" s="8" t="s">
        <v>4205</v>
      </c>
      <c r="N723" s="11">
        <v>43992.601412037038</v>
      </c>
      <c r="O723" s="8" t="s">
        <v>4206</v>
      </c>
      <c r="P723" s="11">
        <v>43979.392187500001</v>
      </c>
      <c r="Q723" s="13">
        <v>1181620</v>
      </c>
      <c r="R723" s="194" t="s">
        <v>594</v>
      </c>
      <c r="S723" s="14" t="s">
        <v>5487</v>
      </c>
      <c r="T723" s="163">
        <v>1041</v>
      </c>
      <c r="U723" s="164" t="str">
        <f>CONCATENATE(LEFT(SP_ACQ_Lib[[#This Row],[Tax Parcel ID]],7),"_",SP_ACQ_Lib[[#This Row],[ACQ Document Type]])</f>
        <v>R018678_ENVIRONMENTAL Right-of-Entry Executed</v>
      </c>
      <c r="V723" s="65" t="str">
        <f>INDEX(SP_AcqTract_DB[WCAD Tax Parcel ID],MATCH(SP_ACQ_Lib[[#This Row],[Acquisition Tract No.]],SP_AcqTract_DB[Acquisition Tract No.],0))</f>
        <v>R018678;#142</v>
      </c>
      <c r="W723" s="48" t="str">
        <f>INDEX(SP_TaxPar_DB[Acquisition Tract No.],MATCH(LEFT(SP_ACQ_Lib[[#This Row],[Tax Parcel ID]],7),SP_TaxPar_DB[Tax Parcel ID],0))</f>
        <v>T067</v>
      </c>
      <c r="X723" s="238" t="str">
        <f>IF(OR(SP_ACQ_Lib[[#This Row],[Acquisition Tract No.]]="",SP_ACQ_Lib[[#This Row],[ACQ Document Type]]=""),0,CONCATENATE("COW-FRMP_TR-",SP_ACQ_Lib[[#This Row],[Acquisition Tract No.]]," ",SP_ACQ_Lib[[#This Row],[ACQ Document Type]]))</f>
        <v>COW-FRMP_TR-T067 ENVIRONMENTAL Right-of-Entry Executed</v>
      </c>
      <c r="Y723" s="239">
        <f>IF(OR(SP_ACQ_Lib[[#This Row],[File Name Convention]]=0,LEFT(SP_ACQ_Lib[[#This Row],[Name]],LEN(SP_ACQ_Lib[[#This Row],[File Name Convention]]))&lt;&gt;SP_ACQ_Lib[[#This Row],[File Name Convention]],ISERROR(SEARCH(SP_ACQ_Lib[[#This Row],[ACQ Document Type]],SP_ACQ_Lib[[#This Row],[Name]]))),1,0)</f>
        <v>0</v>
      </c>
    </row>
    <row r="724" spans="1:25" ht="15" x14ac:dyDescent="0.2">
      <c r="A724" s="157" t="str">
        <f>CONCATENATE(SP_ACQ_Lib[[#This Row],[Acquisition Tract No.]],"_",SP_ACQ_Lib[[#This Row],[ACQ Document Type]])</f>
        <v>T067_ENVIRONMENTAL Right-of-Entry Package</v>
      </c>
      <c r="B724" s="14" t="s">
        <v>5553</v>
      </c>
      <c r="C724" s="193" t="s">
        <v>5262</v>
      </c>
      <c r="D724" s="12" t="s">
        <v>2932</v>
      </c>
      <c r="E724" s="8" t="s">
        <v>2682</v>
      </c>
      <c r="F724" s="8" t="s">
        <v>2687</v>
      </c>
      <c r="G724" s="8" t="s">
        <v>2686</v>
      </c>
      <c r="H724" s="7" t="s">
        <v>592</v>
      </c>
      <c r="I724" s="16">
        <v>43844</v>
      </c>
      <c r="J724" s="16">
        <v>43847</v>
      </c>
      <c r="K724" s="17"/>
      <c r="L724" s="3"/>
      <c r="M724" s="8" t="s">
        <v>4206</v>
      </c>
      <c r="N724" s="11">
        <v>43983.597824074073</v>
      </c>
      <c r="O724" s="8" t="s">
        <v>4206</v>
      </c>
      <c r="P724" s="11">
        <v>43979.392210648148</v>
      </c>
      <c r="Q724" s="13">
        <v>821724</v>
      </c>
      <c r="R724" s="194" t="s">
        <v>594</v>
      </c>
      <c r="S724" s="14" t="s">
        <v>5488</v>
      </c>
      <c r="T724" s="163">
        <v>1042</v>
      </c>
      <c r="U724" s="164" t="str">
        <f>CONCATENATE(LEFT(SP_ACQ_Lib[[#This Row],[Tax Parcel ID]],7),"_",SP_ACQ_Lib[[#This Row],[ACQ Document Type]])</f>
        <v>R018678_ENVIRONMENTAL Right-of-Entry Package</v>
      </c>
      <c r="V724" s="65" t="str">
        <f>INDEX(SP_AcqTract_DB[WCAD Tax Parcel ID],MATCH(SP_ACQ_Lib[[#This Row],[Acquisition Tract No.]],SP_AcqTract_DB[Acquisition Tract No.],0))</f>
        <v>R018678;#142</v>
      </c>
      <c r="W724" s="48" t="str">
        <f>INDEX(SP_TaxPar_DB[Acquisition Tract No.],MATCH(LEFT(SP_ACQ_Lib[[#This Row],[Tax Parcel ID]],7),SP_TaxPar_DB[Tax Parcel ID],0))</f>
        <v>T067</v>
      </c>
      <c r="X724" s="238" t="str">
        <f>IF(OR(SP_ACQ_Lib[[#This Row],[Acquisition Tract No.]]="",SP_ACQ_Lib[[#This Row],[ACQ Document Type]]=""),0,CONCATENATE("COW-FRMP_TR-",SP_ACQ_Lib[[#This Row],[Acquisition Tract No.]]," ",SP_ACQ_Lib[[#This Row],[ACQ Document Type]]))</f>
        <v>COW-FRMP_TR-T067 ENVIRONMENTAL Right-of-Entry Package</v>
      </c>
      <c r="Y724" s="239">
        <f>IF(OR(SP_ACQ_Lib[[#This Row],[File Name Convention]]=0,LEFT(SP_ACQ_Lib[[#This Row],[Name]],LEN(SP_ACQ_Lib[[#This Row],[File Name Convention]]))&lt;&gt;SP_ACQ_Lib[[#This Row],[File Name Convention]],ISERROR(SEARCH(SP_ACQ_Lib[[#This Row],[ACQ Document Type]],SP_ACQ_Lib[[#This Row],[Name]]))),1,0)</f>
        <v>0</v>
      </c>
    </row>
    <row r="725" spans="1:25" ht="15" x14ac:dyDescent="0.2">
      <c r="A725" s="157" t="str">
        <f>CONCATENATE(SP_ACQ_Lib[[#This Row],[Acquisition Tract No.]],"_",SP_ACQ_Lib[[#This Row],[ACQ Document Type]])</f>
        <v>T067_ROE Right-of-Entry Executed</v>
      </c>
      <c r="B725" s="14" t="s">
        <v>5901</v>
      </c>
      <c r="C725" s="193" t="s">
        <v>5262</v>
      </c>
      <c r="D725" s="12" t="s">
        <v>2932</v>
      </c>
      <c r="E725" s="8" t="s">
        <v>1146</v>
      </c>
      <c r="F725" s="8" t="s">
        <v>2683</v>
      </c>
      <c r="G725" s="8" t="s">
        <v>5660</v>
      </c>
      <c r="H725" s="7" t="s">
        <v>592</v>
      </c>
      <c r="I725" s="16">
        <v>43987</v>
      </c>
      <c r="J725" s="16">
        <v>44170</v>
      </c>
      <c r="K725" s="17"/>
      <c r="L725" s="3"/>
      <c r="M725" s="8" t="s">
        <v>4206</v>
      </c>
      <c r="N725" s="11">
        <v>43992.694525462961</v>
      </c>
      <c r="O725" s="8" t="s">
        <v>4206</v>
      </c>
      <c r="P725" s="11">
        <v>43991.455185185187</v>
      </c>
      <c r="Q725" s="13">
        <v>1133839</v>
      </c>
      <c r="R725" s="194" t="s">
        <v>594</v>
      </c>
      <c r="S725" s="14" t="s">
        <v>5907</v>
      </c>
      <c r="T725" s="163">
        <v>1173</v>
      </c>
      <c r="U725" s="164" t="str">
        <f>CONCATENATE(LEFT(SP_ACQ_Lib[[#This Row],[Tax Parcel ID]],7),"_",SP_ACQ_Lib[[#This Row],[ACQ Document Type]])</f>
        <v>R018678_ROE Right-of-Entry Executed</v>
      </c>
      <c r="V725" s="65" t="str">
        <f>INDEX(SP_AcqTract_DB[WCAD Tax Parcel ID],MATCH(SP_ACQ_Lib[[#This Row],[Acquisition Tract No.]],SP_AcqTract_DB[Acquisition Tract No.],0))</f>
        <v>R018678;#142</v>
      </c>
      <c r="W725" s="48" t="str">
        <f>INDEX(SP_TaxPar_DB[Acquisition Tract No.],MATCH(LEFT(SP_ACQ_Lib[[#This Row],[Tax Parcel ID]],7),SP_TaxPar_DB[Tax Parcel ID],0))</f>
        <v>T067</v>
      </c>
      <c r="X725" s="238" t="str">
        <f>IF(OR(SP_ACQ_Lib[[#This Row],[Acquisition Tract No.]]="",SP_ACQ_Lib[[#This Row],[ACQ Document Type]]=""),0,CONCATENATE("COW-FRMP_TR-",SP_ACQ_Lib[[#This Row],[Acquisition Tract No.]]," ",SP_ACQ_Lib[[#This Row],[ACQ Document Type]]))</f>
        <v>COW-FRMP_TR-T067 ROE Right-of-Entry Executed</v>
      </c>
      <c r="Y725" s="239">
        <f>IF(OR(SP_ACQ_Lib[[#This Row],[File Name Convention]]=0,LEFT(SP_ACQ_Lib[[#This Row],[Name]],LEN(SP_ACQ_Lib[[#This Row],[File Name Convention]]))&lt;&gt;SP_ACQ_Lib[[#This Row],[File Name Convention]],ISERROR(SEARCH(SP_ACQ_Lib[[#This Row],[ACQ Document Type]],SP_ACQ_Lib[[#This Row],[Name]]))),1,0)</f>
        <v>0</v>
      </c>
    </row>
    <row r="726" spans="1:25" ht="15" x14ac:dyDescent="0.2">
      <c r="A726" s="157" t="str">
        <f>CONCATENATE(SP_ACQ_Lib[[#This Row],[Acquisition Tract No.]],"_",SP_ACQ_Lib[[#This Row],[ACQ Document Type]])</f>
        <v>T067_ROE Right-of-Entry Package</v>
      </c>
      <c r="B726" s="14" t="s">
        <v>5662</v>
      </c>
      <c r="C726" s="193" t="s">
        <v>5262</v>
      </c>
      <c r="D726" s="12" t="s">
        <v>2932</v>
      </c>
      <c r="E726" s="8" t="s">
        <v>1146</v>
      </c>
      <c r="F726" s="8" t="s">
        <v>2687</v>
      </c>
      <c r="G726" s="8" t="s">
        <v>5659</v>
      </c>
      <c r="H726" s="7" t="s">
        <v>592</v>
      </c>
      <c r="I726" s="16">
        <v>43984</v>
      </c>
      <c r="J726" s="16"/>
      <c r="K726" s="17"/>
      <c r="L726" s="3"/>
      <c r="M726" s="8" t="s">
        <v>4206</v>
      </c>
      <c r="N726" s="11">
        <v>43985.511736111112</v>
      </c>
      <c r="O726" s="8" t="s">
        <v>4206</v>
      </c>
      <c r="P726" s="11">
        <v>43985.509745370371</v>
      </c>
      <c r="Q726" s="13">
        <v>1194570</v>
      </c>
      <c r="R726" s="194" t="s">
        <v>594</v>
      </c>
      <c r="S726" s="14" t="s">
        <v>5686</v>
      </c>
      <c r="T726" s="163">
        <v>1088</v>
      </c>
      <c r="U726" s="164" t="str">
        <f>CONCATENATE(LEFT(SP_ACQ_Lib[[#This Row],[Tax Parcel ID]],7),"_",SP_ACQ_Lib[[#This Row],[ACQ Document Type]])</f>
        <v>R018678_ROE Right-of-Entry Package</v>
      </c>
      <c r="V726" s="65" t="str">
        <f>INDEX(SP_AcqTract_DB[WCAD Tax Parcel ID],MATCH(SP_ACQ_Lib[[#This Row],[Acquisition Tract No.]],SP_AcqTract_DB[Acquisition Tract No.],0))</f>
        <v>R018678;#142</v>
      </c>
      <c r="W726" s="48" t="str">
        <f>INDEX(SP_TaxPar_DB[Acquisition Tract No.],MATCH(LEFT(SP_ACQ_Lib[[#This Row],[Tax Parcel ID]],7),SP_TaxPar_DB[Tax Parcel ID],0))</f>
        <v>T067</v>
      </c>
      <c r="X726" s="238" t="str">
        <f>IF(OR(SP_ACQ_Lib[[#This Row],[Acquisition Tract No.]]="",SP_ACQ_Lib[[#This Row],[ACQ Document Type]]=""),0,CONCATENATE("COW-FRMP_TR-",SP_ACQ_Lib[[#This Row],[Acquisition Tract No.]]," ",SP_ACQ_Lib[[#This Row],[ACQ Document Type]]))</f>
        <v>COW-FRMP_TR-T067 ROE Right-of-Entry Package</v>
      </c>
      <c r="Y726" s="239">
        <f>IF(OR(SP_ACQ_Lib[[#This Row],[File Name Convention]]=0,LEFT(SP_ACQ_Lib[[#This Row],[Name]],LEN(SP_ACQ_Lib[[#This Row],[File Name Convention]]))&lt;&gt;SP_ACQ_Lib[[#This Row],[File Name Convention]],ISERROR(SEARCH(SP_ACQ_Lib[[#This Row],[ACQ Document Type]],SP_ACQ_Lib[[#This Row],[Name]]))),1,0)</f>
        <v>0</v>
      </c>
    </row>
    <row r="727" spans="1:25" ht="15" x14ac:dyDescent="0.2">
      <c r="A727" s="157" t="str">
        <f>CONCATENATE(SP_ACQ_Lib[[#This Row],[Acquisition Tract No.]],"_",SP_ACQ_Lib[[#This Row],[ACQ Document Type]])</f>
        <v>T067_TITLE Tax Card</v>
      </c>
      <c r="B727" s="14" t="s">
        <v>5396</v>
      </c>
      <c r="C727" s="193" t="s">
        <v>5262</v>
      </c>
      <c r="D727" s="12" t="s">
        <v>2932</v>
      </c>
      <c r="E727" s="8" t="s">
        <v>861</v>
      </c>
      <c r="F727" s="8" t="s">
        <v>1150</v>
      </c>
      <c r="G727" s="8" t="s">
        <v>1149</v>
      </c>
      <c r="H727" s="7" t="s">
        <v>592</v>
      </c>
      <c r="I727" s="16"/>
      <c r="J727" s="16"/>
      <c r="K727" s="17"/>
      <c r="L727" s="3"/>
      <c r="M727" s="8" t="s">
        <v>4206</v>
      </c>
      <c r="N727" s="11">
        <v>43979.410115740742</v>
      </c>
      <c r="O727" s="8" t="s">
        <v>4206</v>
      </c>
      <c r="P727" s="11">
        <v>43979.392233796294</v>
      </c>
      <c r="Q727" s="13">
        <v>602318</v>
      </c>
      <c r="R727" s="194" t="s">
        <v>594</v>
      </c>
      <c r="S727" s="14" t="s">
        <v>5489</v>
      </c>
      <c r="T727" s="163">
        <v>1043</v>
      </c>
      <c r="U727" s="164" t="str">
        <f>CONCATENATE(LEFT(SP_ACQ_Lib[[#This Row],[Tax Parcel ID]],7),"_",SP_ACQ_Lib[[#This Row],[ACQ Document Type]])</f>
        <v>R018678_TITLE Tax Card</v>
      </c>
      <c r="V727" s="65" t="str">
        <f>INDEX(SP_AcqTract_DB[WCAD Tax Parcel ID],MATCH(SP_ACQ_Lib[[#This Row],[Acquisition Tract No.]],SP_AcqTract_DB[Acquisition Tract No.],0))</f>
        <v>R018678;#142</v>
      </c>
      <c r="W727" s="48" t="str">
        <f>INDEX(SP_TaxPar_DB[Acquisition Tract No.],MATCH(LEFT(SP_ACQ_Lib[[#This Row],[Tax Parcel ID]],7),SP_TaxPar_DB[Tax Parcel ID],0))</f>
        <v>T067</v>
      </c>
      <c r="X727" s="238" t="str">
        <f>IF(OR(SP_ACQ_Lib[[#This Row],[Acquisition Tract No.]]="",SP_ACQ_Lib[[#This Row],[ACQ Document Type]]=""),0,CONCATENATE("COW-FRMP_TR-",SP_ACQ_Lib[[#This Row],[Acquisition Tract No.]]," ",SP_ACQ_Lib[[#This Row],[ACQ Document Type]]))</f>
        <v>COW-FRMP_TR-T067 TITLE Tax Card</v>
      </c>
      <c r="Y727" s="239">
        <f>IF(OR(SP_ACQ_Lib[[#This Row],[File Name Convention]]=0,LEFT(SP_ACQ_Lib[[#This Row],[Name]],LEN(SP_ACQ_Lib[[#This Row],[File Name Convention]]))&lt;&gt;SP_ACQ_Lib[[#This Row],[File Name Convention]],ISERROR(SEARCH(SP_ACQ_Lib[[#This Row],[ACQ Document Type]],SP_ACQ_Lib[[#This Row],[Name]]))),1,0)</f>
        <v>0</v>
      </c>
    </row>
    <row r="728" spans="1:25" ht="15" x14ac:dyDescent="0.2">
      <c r="A728" s="157" t="str">
        <f>CONCATENATE(SP_ACQ_Lib[[#This Row],[Acquisition Tract No.]],"_",SP_ACQ_Lib[[#This Row],[ACQ Document Type]])</f>
        <v>T068_CONTACT Negotiator Report</v>
      </c>
      <c r="B728" s="14" t="s">
        <v>5397</v>
      </c>
      <c r="C728" s="193" t="s">
        <v>5264</v>
      </c>
      <c r="D728" s="12" t="s">
        <v>2933</v>
      </c>
      <c r="E728" s="8" t="s">
        <v>865</v>
      </c>
      <c r="F728" s="8" t="s">
        <v>1068</v>
      </c>
      <c r="G728" s="8" t="s">
        <v>1067</v>
      </c>
      <c r="H728" s="7" t="s">
        <v>592</v>
      </c>
      <c r="I728" s="16"/>
      <c r="J728" s="16"/>
      <c r="K728" s="17"/>
      <c r="L728" s="3"/>
      <c r="M728" s="8" t="s">
        <v>5648</v>
      </c>
      <c r="N728" s="11">
        <v>44011.379606481481</v>
      </c>
      <c r="O728" s="8" t="s">
        <v>4206</v>
      </c>
      <c r="P728" s="11">
        <v>43979.392245370371</v>
      </c>
      <c r="Q728" s="13">
        <v>81520</v>
      </c>
      <c r="R728" s="194" t="s">
        <v>594</v>
      </c>
      <c r="S728" s="14" t="s">
        <v>5532</v>
      </c>
      <c r="T728" s="163">
        <v>1044</v>
      </c>
      <c r="U728" s="164" t="str">
        <f>CONCATENATE(LEFT(SP_ACQ_Lib[[#This Row],[Tax Parcel ID]],7),"_",SP_ACQ_Lib[[#This Row],[ACQ Document Type]])</f>
        <v>R018679_CONTACT Negotiator Report</v>
      </c>
      <c r="V728" s="65" t="str">
        <f>INDEX(SP_AcqTract_DB[WCAD Tax Parcel ID],MATCH(SP_ACQ_Lib[[#This Row],[Acquisition Tract No.]],SP_AcqTract_DB[Acquisition Tract No.],0))</f>
        <v>R018679;#143</v>
      </c>
      <c r="W728" s="48" t="str">
        <f>INDEX(SP_TaxPar_DB[Acquisition Tract No.],MATCH(LEFT(SP_ACQ_Lib[[#This Row],[Tax Parcel ID]],7),SP_TaxPar_DB[Tax Parcel ID],0))</f>
        <v>T068</v>
      </c>
      <c r="X728" s="238" t="str">
        <f>IF(OR(SP_ACQ_Lib[[#This Row],[Acquisition Tract No.]]="",SP_ACQ_Lib[[#This Row],[ACQ Document Type]]=""),0,CONCATENATE("COW-FRMP_TR-",SP_ACQ_Lib[[#This Row],[Acquisition Tract No.]]," ",SP_ACQ_Lib[[#This Row],[ACQ Document Type]]))</f>
        <v>COW-FRMP_TR-T068 CONTACT Negotiator Report</v>
      </c>
      <c r="Y728" s="239">
        <f>IF(OR(SP_ACQ_Lib[[#This Row],[File Name Convention]]=0,LEFT(SP_ACQ_Lib[[#This Row],[Name]],LEN(SP_ACQ_Lib[[#This Row],[File Name Convention]]))&lt;&gt;SP_ACQ_Lib[[#This Row],[File Name Convention]],ISERROR(SEARCH(SP_ACQ_Lib[[#This Row],[ACQ Document Type]],SP_ACQ_Lib[[#This Row],[Name]]))),1,0)</f>
        <v>0</v>
      </c>
    </row>
    <row r="729" spans="1:25" ht="15" x14ac:dyDescent="0.2">
      <c r="A729" s="157" t="str">
        <f>CONCATENATE(SP_ACQ_Lib[[#This Row],[Acquisition Tract No.]],"_",SP_ACQ_Lib[[#This Row],[ACQ Document Type]])</f>
        <v>T068_ENVIRONMENTAL Right-of-Entry Executed</v>
      </c>
      <c r="B729" s="14" t="s">
        <v>5554</v>
      </c>
      <c r="C729" s="193" t="s">
        <v>5264</v>
      </c>
      <c r="D729" s="12" t="s">
        <v>2933</v>
      </c>
      <c r="E729" s="8" t="s">
        <v>2682</v>
      </c>
      <c r="F729" s="8" t="s">
        <v>2683</v>
      </c>
      <c r="G729" s="8" t="s">
        <v>2681</v>
      </c>
      <c r="H729" s="7" t="s">
        <v>592</v>
      </c>
      <c r="I729" s="16">
        <v>43872</v>
      </c>
      <c r="J729" s="16">
        <v>43887</v>
      </c>
      <c r="K729" s="17"/>
      <c r="L729" s="3"/>
      <c r="M729" s="8" t="s">
        <v>4206</v>
      </c>
      <c r="N729" s="11">
        <v>43983.567384259259</v>
      </c>
      <c r="O729" s="8" t="s">
        <v>4206</v>
      </c>
      <c r="P729" s="11">
        <v>43979.392256944448</v>
      </c>
      <c r="Q729" s="13">
        <v>1767488</v>
      </c>
      <c r="R729" s="194" t="s">
        <v>594</v>
      </c>
      <c r="S729" s="14" t="s">
        <v>5490</v>
      </c>
      <c r="T729" s="163">
        <v>1045</v>
      </c>
      <c r="U729" s="164" t="str">
        <f>CONCATENATE(LEFT(SP_ACQ_Lib[[#This Row],[Tax Parcel ID]],7),"_",SP_ACQ_Lib[[#This Row],[ACQ Document Type]])</f>
        <v>R018679_ENVIRONMENTAL Right-of-Entry Executed</v>
      </c>
      <c r="V729" s="65" t="str">
        <f>INDEX(SP_AcqTract_DB[WCAD Tax Parcel ID],MATCH(SP_ACQ_Lib[[#This Row],[Acquisition Tract No.]],SP_AcqTract_DB[Acquisition Tract No.],0))</f>
        <v>R018679;#143</v>
      </c>
      <c r="W729" s="48" t="str">
        <f>INDEX(SP_TaxPar_DB[Acquisition Tract No.],MATCH(LEFT(SP_ACQ_Lib[[#This Row],[Tax Parcel ID]],7),SP_TaxPar_DB[Tax Parcel ID],0))</f>
        <v>T068</v>
      </c>
      <c r="X729" s="238" t="str">
        <f>IF(OR(SP_ACQ_Lib[[#This Row],[Acquisition Tract No.]]="",SP_ACQ_Lib[[#This Row],[ACQ Document Type]]=""),0,CONCATENATE("COW-FRMP_TR-",SP_ACQ_Lib[[#This Row],[Acquisition Tract No.]]," ",SP_ACQ_Lib[[#This Row],[ACQ Document Type]]))</f>
        <v>COW-FRMP_TR-T068 ENVIRONMENTAL Right-of-Entry Executed</v>
      </c>
      <c r="Y729" s="239">
        <f>IF(OR(SP_ACQ_Lib[[#This Row],[File Name Convention]]=0,LEFT(SP_ACQ_Lib[[#This Row],[Name]],LEN(SP_ACQ_Lib[[#This Row],[File Name Convention]]))&lt;&gt;SP_ACQ_Lib[[#This Row],[File Name Convention]],ISERROR(SEARCH(SP_ACQ_Lib[[#This Row],[ACQ Document Type]],SP_ACQ_Lib[[#This Row],[Name]]))),1,0)</f>
        <v>0</v>
      </c>
    </row>
    <row r="730" spans="1:25" ht="15" x14ac:dyDescent="0.2">
      <c r="A730" s="157" t="str">
        <f>CONCATENATE(SP_ACQ_Lib[[#This Row],[Acquisition Tract No.]],"_",SP_ACQ_Lib[[#This Row],[ACQ Document Type]])</f>
        <v>T068_ENVIRONMENTAL Right-of-Entry Package</v>
      </c>
      <c r="B730" s="14" t="s">
        <v>5555</v>
      </c>
      <c r="C730" s="193" t="s">
        <v>5264</v>
      </c>
      <c r="D730" s="12" t="s">
        <v>2933</v>
      </c>
      <c r="E730" s="8" t="s">
        <v>2682</v>
      </c>
      <c r="F730" s="8" t="s">
        <v>2687</v>
      </c>
      <c r="G730" s="8" t="s">
        <v>2686</v>
      </c>
      <c r="H730" s="7" t="s">
        <v>592</v>
      </c>
      <c r="I730" s="16">
        <v>43844</v>
      </c>
      <c r="J730" s="16">
        <v>43861</v>
      </c>
      <c r="K730" s="17"/>
      <c r="L730" s="3"/>
      <c r="M730" s="8" t="s">
        <v>4206</v>
      </c>
      <c r="N730" s="11">
        <v>43983.597881944443</v>
      </c>
      <c r="O730" s="8" t="s">
        <v>4206</v>
      </c>
      <c r="P730" s="11">
        <v>43979.392291666663</v>
      </c>
      <c r="Q730" s="13">
        <v>998480</v>
      </c>
      <c r="R730" s="194" t="s">
        <v>594</v>
      </c>
      <c r="S730" s="14" t="s">
        <v>5491</v>
      </c>
      <c r="T730" s="163">
        <v>1046</v>
      </c>
      <c r="U730" s="164" t="str">
        <f>CONCATENATE(LEFT(SP_ACQ_Lib[[#This Row],[Tax Parcel ID]],7),"_",SP_ACQ_Lib[[#This Row],[ACQ Document Type]])</f>
        <v>R018679_ENVIRONMENTAL Right-of-Entry Package</v>
      </c>
      <c r="V730" s="65" t="str">
        <f>INDEX(SP_AcqTract_DB[WCAD Tax Parcel ID],MATCH(SP_ACQ_Lib[[#This Row],[Acquisition Tract No.]],SP_AcqTract_DB[Acquisition Tract No.],0))</f>
        <v>R018679;#143</v>
      </c>
      <c r="W730" s="48" t="str">
        <f>INDEX(SP_TaxPar_DB[Acquisition Tract No.],MATCH(LEFT(SP_ACQ_Lib[[#This Row],[Tax Parcel ID]],7),SP_TaxPar_DB[Tax Parcel ID],0))</f>
        <v>T068</v>
      </c>
      <c r="X730" s="238" t="str">
        <f>IF(OR(SP_ACQ_Lib[[#This Row],[Acquisition Tract No.]]="",SP_ACQ_Lib[[#This Row],[ACQ Document Type]]=""),0,CONCATENATE("COW-FRMP_TR-",SP_ACQ_Lib[[#This Row],[Acquisition Tract No.]]," ",SP_ACQ_Lib[[#This Row],[ACQ Document Type]]))</f>
        <v>COW-FRMP_TR-T068 ENVIRONMENTAL Right-of-Entry Package</v>
      </c>
      <c r="Y730" s="239">
        <f>IF(OR(SP_ACQ_Lib[[#This Row],[File Name Convention]]=0,LEFT(SP_ACQ_Lib[[#This Row],[Name]],LEN(SP_ACQ_Lib[[#This Row],[File Name Convention]]))&lt;&gt;SP_ACQ_Lib[[#This Row],[File Name Convention]],ISERROR(SEARCH(SP_ACQ_Lib[[#This Row],[ACQ Document Type]],SP_ACQ_Lib[[#This Row],[Name]]))),1,0)</f>
        <v>0</v>
      </c>
    </row>
    <row r="731" spans="1:25" ht="15" x14ac:dyDescent="0.2">
      <c r="A731" s="157" t="str">
        <f>CONCATENATE(SP_ACQ_Lib[[#This Row],[Acquisition Tract No.]],"_",SP_ACQ_Lib[[#This Row],[ACQ Document Type]])</f>
        <v>T068_ROE Right-of-Entry Executed</v>
      </c>
      <c r="B731" s="14" t="s">
        <v>6337</v>
      </c>
      <c r="C731" s="193" t="s">
        <v>5264</v>
      </c>
      <c r="D731" s="12" t="s">
        <v>2933</v>
      </c>
      <c r="E731" s="8" t="s">
        <v>1146</v>
      </c>
      <c r="F731" s="8" t="s">
        <v>2683</v>
      </c>
      <c r="G731" s="8" t="s">
        <v>5660</v>
      </c>
      <c r="H731" s="7" t="s">
        <v>592</v>
      </c>
      <c r="I731" s="16">
        <v>43999</v>
      </c>
      <c r="J731" s="16">
        <v>44182</v>
      </c>
      <c r="K731" s="17"/>
      <c r="L731" s="3"/>
      <c r="M731" s="8" t="s">
        <v>4206</v>
      </c>
      <c r="N731" s="11">
        <v>44000.546736111108</v>
      </c>
      <c r="O731" s="8" t="s">
        <v>4206</v>
      </c>
      <c r="P731" s="11">
        <v>44000.543229166666</v>
      </c>
      <c r="Q731" s="13">
        <v>1789648</v>
      </c>
      <c r="R731" s="194" t="s">
        <v>594</v>
      </c>
      <c r="S731" s="14" t="s">
        <v>6406</v>
      </c>
      <c r="T731" s="163">
        <v>1230</v>
      </c>
      <c r="U731" s="164" t="str">
        <f>CONCATENATE(LEFT(SP_ACQ_Lib[[#This Row],[Tax Parcel ID]],7),"_",SP_ACQ_Lib[[#This Row],[ACQ Document Type]])</f>
        <v>R018679_ROE Right-of-Entry Executed</v>
      </c>
      <c r="V731" s="65" t="str">
        <f>INDEX(SP_AcqTract_DB[WCAD Tax Parcel ID],MATCH(SP_ACQ_Lib[[#This Row],[Acquisition Tract No.]],SP_AcqTract_DB[Acquisition Tract No.],0))</f>
        <v>R018679;#143</v>
      </c>
      <c r="W731" s="48" t="str">
        <f>INDEX(SP_TaxPar_DB[Acquisition Tract No.],MATCH(LEFT(SP_ACQ_Lib[[#This Row],[Tax Parcel ID]],7),SP_TaxPar_DB[Tax Parcel ID],0))</f>
        <v>T068</v>
      </c>
      <c r="X731" s="238" t="str">
        <f>IF(OR(SP_ACQ_Lib[[#This Row],[Acquisition Tract No.]]="",SP_ACQ_Lib[[#This Row],[ACQ Document Type]]=""),0,CONCATENATE("COW-FRMP_TR-",SP_ACQ_Lib[[#This Row],[Acquisition Tract No.]]," ",SP_ACQ_Lib[[#This Row],[ACQ Document Type]]))</f>
        <v>COW-FRMP_TR-T068 ROE Right-of-Entry Executed</v>
      </c>
      <c r="Y731" s="239">
        <f>IF(OR(SP_ACQ_Lib[[#This Row],[File Name Convention]]=0,LEFT(SP_ACQ_Lib[[#This Row],[Name]],LEN(SP_ACQ_Lib[[#This Row],[File Name Convention]]))&lt;&gt;SP_ACQ_Lib[[#This Row],[File Name Convention]],ISERROR(SEARCH(SP_ACQ_Lib[[#This Row],[ACQ Document Type]],SP_ACQ_Lib[[#This Row],[Name]]))),1,0)</f>
        <v>0</v>
      </c>
    </row>
    <row r="732" spans="1:25" ht="15" x14ac:dyDescent="0.2">
      <c r="A732" s="157" t="str">
        <f>CONCATENATE(SP_ACQ_Lib[[#This Row],[Acquisition Tract No.]],"_",SP_ACQ_Lib[[#This Row],[ACQ Document Type]])</f>
        <v>T068_ROE Right-of-Entry Package</v>
      </c>
      <c r="B732" s="14" t="s">
        <v>5663</v>
      </c>
      <c r="C732" s="193" t="s">
        <v>5264</v>
      </c>
      <c r="D732" s="12" t="s">
        <v>2933</v>
      </c>
      <c r="E732" s="8" t="s">
        <v>1146</v>
      </c>
      <c r="F732" s="8" t="s">
        <v>2687</v>
      </c>
      <c r="G732" s="8" t="s">
        <v>5659</v>
      </c>
      <c r="H732" s="7" t="s">
        <v>592</v>
      </c>
      <c r="I732" s="16">
        <v>43984</v>
      </c>
      <c r="J732" s="16"/>
      <c r="K732" s="17"/>
      <c r="L732" s="3"/>
      <c r="M732" s="8" t="s">
        <v>4206</v>
      </c>
      <c r="N732" s="11">
        <v>43985.512384259258</v>
      </c>
      <c r="O732" s="8" t="s">
        <v>4206</v>
      </c>
      <c r="P732" s="11">
        <v>43985.509768518517</v>
      </c>
      <c r="Q732" s="13">
        <v>1223420</v>
      </c>
      <c r="R732" s="194" t="s">
        <v>594</v>
      </c>
      <c r="S732" s="14" t="s">
        <v>5687</v>
      </c>
      <c r="T732" s="163">
        <v>1089</v>
      </c>
      <c r="U732" s="164" t="str">
        <f>CONCATENATE(LEFT(SP_ACQ_Lib[[#This Row],[Tax Parcel ID]],7),"_",SP_ACQ_Lib[[#This Row],[ACQ Document Type]])</f>
        <v>R018679_ROE Right-of-Entry Package</v>
      </c>
      <c r="V732" s="65" t="str">
        <f>INDEX(SP_AcqTract_DB[WCAD Tax Parcel ID],MATCH(SP_ACQ_Lib[[#This Row],[Acquisition Tract No.]],SP_AcqTract_DB[Acquisition Tract No.],0))</f>
        <v>R018679;#143</v>
      </c>
      <c r="W732" s="48" t="str">
        <f>INDEX(SP_TaxPar_DB[Acquisition Tract No.],MATCH(LEFT(SP_ACQ_Lib[[#This Row],[Tax Parcel ID]],7),SP_TaxPar_DB[Tax Parcel ID],0))</f>
        <v>T068</v>
      </c>
      <c r="X732" s="238" t="str">
        <f>IF(OR(SP_ACQ_Lib[[#This Row],[Acquisition Tract No.]]="",SP_ACQ_Lib[[#This Row],[ACQ Document Type]]=""),0,CONCATENATE("COW-FRMP_TR-",SP_ACQ_Lib[[#This Row],[Acquisition Tract No.]]," ",SP_ACQ_Lib[[#This Row],[ACQ Document Type]]))</f>
        <v>COW-FRMP_TR-T068 ROE Right-of-Entry Package</v>
      </c>
      <c r="Y732" s="239">
        <f>IF(OR(SP_ACQ_Lib[[#This Row],[File Name Convention]]=0,LEFT(SP_ACQ_Lib[[#This Row],[Name]],LEN(SP_ACQ_Lib[[#This Row],[File Name Convention]]))&lt;&gt;SP_ACQ_Lib[[#This Row],[File Name Convention]],ISERROR(SEARCH(SP_ACQ_Lib[[#This Row],[ACQ Document Type]],SP_ACQ_Lib[[#This Row],[Name]]))),1,0)</f>
        <v>0</v>
      </c>
    </row>
    <row r="733" spans="1:25" ht="15" x14ac:dyDescent="0.2">
      <c r="A733" s="157" t="str">
        <f>CONCATENATE(SP_ACQ_Lib[[#This Row],[Acquisition Tract No.]],"_",SP_ACQ_Lib[[#This Row],[ACQ Document Type]])</f>
        <v>T068_TITLE Tax Card</v>
      </c>
      <c r="B733" s="14" t="s">
        <v>5398</v>
      </c>
      <c r="C733" s="193" t="s">
        <v>5264</v>
      </c>
      <c r="D733" s="12" t="s">
        <v>2933</v>
      </c>
      <c r="E733" s="8" t="s">
        <v>861</v>
      </c>
      <c r="F733" s="8" t="s">
        <v>1150</v>
      </c>
      <c r="G733" s="8" t="s">
        <v>1149</v>
      </c>
      <c r="H733" s="7" t="s">
        <v>592</v>
      </c>
      <c r="I733" s="16"/>
      <c r="J733" s="16"/>
      <c r="K733" s="17"/>
      <c r="L733" s="3"/>
      <c r="M733" s="8" t="s">
        <v>4206</v>
      </c>
      <c r="N733" s="11">
        <v>43979.410856481481</v>
      </c>
      <c r="O733" s="8" t="s">
        <v>4206</v>
      </c>
      <c r="P733" s="11">
        <v>43979.392314814817</v>
      </c>
      <c r="Q733" s="13">
        <v>788451</v>
      </c>
      <c r="R733" s="194" t="s">
        <v>594</v>
      </c>
      <c r="S733" s="14" t="s">
        <v>5492</v>
      </c>
      <c r="T733" s="163">
        <v>1047</v>
      </c>
      <c r="U733" s="164" t="str">
        <f>CONCATENATE(LEFT(SP_ACQ_Lib[[#This Row],[Tax Parcel ID]],7),"_",SP_ACQ_Lib[[#This Row],[ACQ Document Type]])</f>
        <v>R018679_TITLE Tax Card</v>
      </c>
      <c r="V733" s="65" t="str">
        <f>INDEX(SP_AcqTract_DB[WCAD Tax Parcel ID],MATCH(SP_ACQ_Lib[[#This Row],[Acquisition Tract No.]],SP_AcqTract_DB[Acquisition Tract No.],0))</f>
        <v>R018679;#143</v>
      </c>
      <c r="W733" s="48" t="str">
        <f>INDEX(SP_TaxPar_DB[Acquisition Tract No.],MATCH(LEFT(SP_ACQ_Lib[[#This Row],[Tax Parcel ID]],7),SP_TaxPar_DB[Tax Parcel ID],0))</f>
        <v>T068</v>
      </c>
      <c r="X733" s="238" t="str">
        <f>IF(OR(SP_ACQ_Lib[[#This Row],[Acquisition Tract No.]]="",SP_ACQ_Lib[[#This Row],[ACQ Document Type]]=""),0,CONCATENATE("COW-FRMP_TR-",SP_ACQ_Lib[[#This Row],[Acquisition Tract No.]]," ",SP_ACQ_Lib[[#This Row],[ACQ Document Type]]))</f>
        <v>COW-FRMP_TR-T068 TITLE Tax Card</v>
      </c>
      <c r="Y733" s="239">
        <f>IF(OR(SP_ACQ_Lib[[#This Row],[File Name Convention]]=0,LEFT(SP_ACQ_Lib[[#This Row],[Name]],LEN(SP_ACQ_Lib[[#This Row],[File Name Convention]]))&lt;&gt;SP_ACQ_Lib[[#This Row],[File Name Convention]],ISERROR(SEARCH(SP_ACQ_Lib[[#This Row],[ACQ Document Type]],SP_ACQ_Lib[[#This Row],[Name]]))),1,0)</f>
        <v>0</v>
      </c>
    </row>
    <row r="734" spans="1:25" ht="15" x14ac:dyDescent="0.2">
      <c r="A734" s="157" t="str">
        <f>CONCATENATE(SP_ACQ_Lib[[#This Row],[Acquisition Tract No.]],"_",SP_ACQ_Lib[[#This Row],[ACQ Document Type]])</f>
        <v>T069_CONTACT Negotiator Report</v>
      </c>
      <c r="B734" s="14" t="s">
        <v>5399</v>
      </c>
      <c r="C734" s="193" t="s">
        <v>5266</v>
      </c>
      <c r="D734" s="12" t="s">
        <v>2934</v>
      </c>
      <c r="E734" s="8" t="s">
        <v>865</v>
      </c>
      <c r="F734" s="8" t="s">
        <v>1068</v>
      </c>
      <c r="G734" s="8" t="s">
        <v>1067</v>
      </c>
      <c r="H734" s="7" t="s">
        <v>592</v>
      </c>
      <c r="I734" s="16"/>
      <c r="J734" s="16"/>
      <c r="K734" s="17"/>
      <c r="L734" s="3"/>
      <c r="M734" s="8" t="s">
        <v>5648</v>
      </c>
      <c r="N734" s="11">
        <v>44022.462939814817</v>
      </c>
      <c r="O734" s="8" t="s">
        <v>4206</v>
      </c>
      <c r="P734" s="11">
        <v>43979.392337962963</v>
      </c>
      <c r="Q734" s="13">
        <v>64210</v>
      </c>
      <c r="R734" s="194" t="s">
        <v>594</v>
      </c>
      <c r="S734" s="14" t="s">
        <v>5532</v>
      </c>
      <c r="T734" s="163">
        <v>1048</v>
      </c>
      <c r="U734" s="164" t="str">
        <f>CONCATENATE(LEFT(SP_ACQ_Lib[[#This Row],[Tax Parcel ID]],7),"_",SP_ACQ_Lib[[#This Row],[ACQ Document Type]])</f>
        <v>R018684_CONTACT Negotiator Report</v>
      </c>
      <c r="V734" s="65" t="str">
        <f>INDEX(SP_AcqTract_DB[WCAD Tax Parcel ID],MATCH(SP_ACQ_Lib[[#This Row],[Acquisition Tract No.]],SP_AcqTract_DB[Acquisition Tract No.],0))</f>
        <v>R018684;#144</v>
      </c>
      <c r="W734" s="48" t="str">
        <f>INDEX(SP_TaxPar_DB[Acquisition Tract No.],MATCH(LEFT(SP_ACQ_Lib[[#This Row],[Tax Parcel ID]],7),SP_TaxPar_DB[Tax Parcel ID],0))</f>
        <v>T069</v>
      </c>
      <c r="X734" s="238" t="str">
        <f>IF(OR(SP_ACQ_Lib[[#This Row],[Acquisition Tract No.]]="",SP_ACQ_Lib[[#This Row],[ACQ Document Type]]=""),0,CONCATENATE("COW-FRMP_TR-",SP_ACQ_Lib[[#This Row],[Acquisition Tract No.]]," ",SP_ACQ_Lib[[#This Row],[ACQ Document Type]]))</f>
        <v>COW-FRMP_TR-T069 CONTACT Negotiator Report</v>
      </c>
      <c r="Y734" s="239">
        <f>IF(OR(SP_ACQ_Lib[[#This Row],[File Name Convention]]=0,LEFT(SP_ACQ_Lib[[#This Row],[Name]],LEN(SP_ACQ_Lib[[#This Row],[File Name Convention]]))&lt;&gt;SP_ACQ_Lib[[#This Row],[File Name Convention]],ISERROR(SEARCH(SP_ACQ_Lib[[#This Row],[ACQ Document Type]],SP_ACQ_Lib[[#This Row],[Name]]))),1,0)</f>
        <v>0</v>
      </c>
    </row>
    <row r="735" spans="1:25" ht="15" x14ac:dyDescent="0.2">
      <c r="A735" s="157" t="str">
        <f>CONCATENATE(SP_ACQ_Lib[[#This Row],[Acquisition Tract No.]],"_",SP_ACQ_Lib[[#This Row],[ACQ Document Type]])</f>
        <v>T069_NEGOTIATION Owner Representation Letter</v>
      </c>
      <c r="B735" s="14" t="s">
        <v>5400</v>
      </c>
      <c r="C735" s="193" t="s">
        <v>5266</v>
      </c>
      <c r="D735" s="12" t="s">
        <v>2934</v>
      </c>
      <c r="E735" s="8" t="s">
        <v>1142</v>
      </c>
      <c r="F735" s="8" t="s">
        <v>1404</v>
      </c>
      <c r="G735" s="8" t="s">
        <v>1403</v>
      </c>
      <c r="H735" s="7" t="s">
        <v>592</v>
      </c>
      <c r="I735" s="16">
        <v>43879</v>
      </c>
      <c r="J735" s="16"/>
      <c r="K735" s="17"/>
      <c r="L735" s="3" t="s">
        <v>3567</v>
      </c>
      <c r="M735" s="8" t="s">
        <v>4206</v>
      </c>
      <c r="N735" s="11">
        <v>43979.419224537036</v>
      </c>
      <c r="O735" s="8" t="s">
        <v>4206</v>
      </c>
      <c r="P735" s="11">
        <v>43979.39234953704</v>
      </c>
      <c r="Q735" s="13">
        <v>102093</v>
      </c>
      <c r="R735" s="194" t="s">
        <v>594</v>
      </c>
      <c r="S735" s="14" t="s">
        <v>5493</v>
      </c>
      <c r="T735" s="163">
        <v>1049</v>
      </c>
      <c r="U735" s="164" t="str">
        <f>CONCATENATE(LEFT(SP_ACQ_Lib[[#This Row],[Tax Parcel ID]],7),"_",SP_ACQ_Lib[[#This Row],[ACQ Document Type]])</f>
        <v>R018684_NEGOTIATION Owner Representation Letter</v>
      </c>
      <c r="V735" s="65" t="str">
        <f>INDEX(SP_AcqTract_DB[WCAD Tax Parcel ID],MATCH(SP_ACQ_Lib[[#This Row],[Acquisition Tract No.]],SP_AcqTract_DB[Acquisition Tract No.],0))</f>
        <v>R018684;#144</v>
      </c>
      <c r="W735" s="48" t="str">
        <f>INDEX(SP_TaxPar_DB[Acquisition Tract No.],MATCH(LEFT(SP_ACQ_Lib[[#This Row],[Tax Parcel ID]],7),SP_TaxPar_DB[Tax Parcel ID],0))</f>
        <v>T069</v>
      </c>
      <c r="X735" s="238" t="str">
        <f>IF(OR(SP_ACQ_Lib[[#This Row],[Acquisition Tract No.]]="",SP_ACQ_Lib[[#This Row],[ACQ Document Type]]=""),0,CONCATENATE("COW-FRMP_TR-",SP_ACQ_Lib[[#This Row],[Acquisition Tract No.]]," ",SP_ACQ_Lib[[#This Row],[ACQ Document Type]]))</f>
        <v>COW-FRMP_TR-T069 NEGOTIATION Owner Representation Letter</v>
      </c>
      <c r="Y735" s="239">
        <f>IF(OR(SP_ACQ_Lib[[#This Row],[File Name Convention]]=0,LEFT(SP_ACQ_Lib[[#This Row],[Name]],LEN(SP_ACQ_Lib[[#This Row],[File Name Convention]]))&lt;&gt;SP_ACQ_Lib[[#This Row],[File Name Convention]],ISERROR(SEARCH(SP_ACQ_Lib[[#This Row],[ACQ Document Type]],SP_ACQ_Lib[[#This Row],[Name]]))),1,0)</f>
        <v>0</v>
      </c>
    </row>
    <row r="736" spans="1:25" ht="15" x14ac:dyDescent="0.2">
      <c r="A736" s="157" t="str">
        <f>CONCATENATE(SP_ACQ_Lib[[#This Row],[Acquisition Tract No.]],"_",SP_ACQ_Lib[[#This Row],[ACQ Document Type]])</f>
        <v>T069_ROE Right-of-Entry Package</v>
      </c>
      <c r="B736" s="14" t="s">
        <v>5664</v>
      </c>
      <c r="C736" s="193" t="s">
        <v>5266</v>
      </c>
      <c r="D736" s="12" t="s">
        <v>2934</v>
      </c>
      <c r="E736" s="8" t="s">
        <v>1146</v>
      </c>
      <c r="F736" s="8" t="s">
        <v>2687</v>
      </c>
      <c r="G736" s="8" t="s">
        <v>5659</v>
      </c>
      <c r="H736" s="7" t="s">
        <v>592</v>
      </c>
      <c r="I736" s="16">
        <v>43984</v>
      </c>
      <c r="J736" s="16"/>
      <c r="K736" s="17"/>
      <c r="L736" s="3"/>
      <c r="M736" s="8" t="s">
        <v>4206</v>
      </c>
      <c r="N736" s="11">
        <v>43985.512766203705</v>
      </c>
      <c r="O736" s="8" t="s">
        <v>4206</v>
      </c>
      <c r="P736" s="11">
        <v>43985.509791666664</v>
      </c>
      <c r="Q736" s="13">
        <v>1197856</v>
      </c>
      <c r="R736" s="194" t="s">
        <v>594</v>
      </c>
      <c r="S736" s="14" t="s">
        <v>5688</v>
      </c>
      <c r="T736" s="163">
        <v>1090</v>
      </c>
      <c r="U736" s="164" t="str">
        <f>CONCATENATE(LEFT(SP_ACQ_Lib[[#This Row],[Tax Parcel ID]],7),"_",SP_ACQ_Lib[[#This Row],[ACQ Document Type]])</f>
        <v>R018684_ROE Right-of-Entry Package</v>
      </c>
      <c r="V736" s="65" t="str">
        <f>INDEX(SP_AcqTract_DB[WCAD Tax Parcel ID],MATCH(SP_ACQ_Lib[[#This Row],[Acquisition Tract No.]],SP_AcqTract_DB[Acquisition Tract No.],0))</f>
        <v>R018684;#144</v>
      </c>
      <c r="W736" s="48" t="str">
        <f>INDEX(SP_TaxPar_DB[Acquisition Tract No.],MATCH(LEFT(SP_ACQ_Lib[[#This Row],[Tax Parcel ID]],7),SP_TaxPar_DB[Tax Parcel ID],0))</f>
        <v>T069</v>
      </c>
      <c r="X736" s="238" t="str">
        <f>IF(OR(SP_ACQ_Lib[[#This Row],[Acquisition Tract No.]]="",SP_ACQ_Lib[[#This Row],[ACQ Document Type]]=""),0,CONCATENATE("COW-FRMP_TR-",SP_ACQ_Lib[[#This Row],[Acquisition Tract No.]]," ",SP_ACQ_Lib[[#This Row],[ACQ Document Type]]))</f>
        <v>COW-FRMP_TR-T069 ROE Right-of-Entry Package</v>
      </c>
      <c r="Y736" s="239">
        <f>IF(OR(SP_ACQ_Lib[[#This Row],[File Name Convention]]=0,LEFT(SP_ACQ_Lib[[#This Row],[Name]],LEN(SP_ACQ_Lib[[#This Row],[File Name Convention]]))&lt;&gt;SP_ACQ_Lib[[#This Row],[File Name Convention]],ISERROR(SEARCH(SP_ACQ_Lib[[#This Row],[ACQ Document Type]],SP_ACQ_Lib[[#This Row],[Name]]))),1,0)</f>
        <v>0</v>
      </c>
    </row>
    <row r="737" spans="1:25" ht="15" x14ac:dyDescent="0.2">
      <c r="A737" s="157" t="str">
        <f>CONCATENATE(SP_ACQ_Lib[[#This Row],[Acquisition Tract No.]],"_",SP_ACQ_Lib[[#This Row],[ACQ Document Type]])</f>
        <v>T069_TITLE Tax Card</v>
      </c>
      <c r="B737" s="14" t="s">
        <v>5401</v>
      </c>
      <c r="C737" s="193" t="s">
        <v>5266</v>
      </c>
      <c r="D737" s="12" t="s">
        <v>2934</v>
      </c>
      <c r="E737" s="8" t="s">
        <v>861</v>
      </c>
      <c r="F737" s="8" t="s">
        <v>1150</v>
      </c>
      <c r="G737" s="8" t="s">
        <v>1149</v>
      </c>
      <c r="H737" s="7" t="s">
        <v>592</v>
      </c>
      <c r="I737" s="16"/>
      <c r="J737" s="16"/>
      <c r="K737" s="17"/>
      <c r="L737" s="3"/>
      <c r="M737" s="8" t="s">
        <v>4206</v>
      </c>
      <c r="N737" s="11">
        <v>43979.41201388889</v>
      </c>
      <c r="O737" s="8" t="s">
        <v>4206</v>
      </c>
      <c r="P737" s="11">
        <v>43979.39234953704</v>
      </c>
      <c r="Q737" s="13">
        <v>731094</v>
      </c>
      <c r="R737" s="194" t="s">
        <v>594</v>
      </c>
      <c r="S737" s="14" t="s">
        <v>5494</v>
      </c>
      <c r="T737" s="163">
        <v>1050</v>
      </c>
      <c r="U737" s="164" t="str">
        <f>CONCATENATE(LEFT(SP_ACQ_Lib[[#This Row],[Tax Parcel ID]],7),"_",SP_ACQ_Lib[[#This Row],[ACQ Document Type]])</f>
        <v>R018684_TITLE Tax Card</v>
      </c>
      <c r="V737" s="65" t="str">
        <f>INDEX(SP_AcqTract_DB[WCAD Tax Parcel ID],MATCH(SP_ACQ_Lib[[#This Row],[Acquisition Tract No.]],SP_AcqTract_DB[Acquisition Tract No.],0))</f>
        <v>R018684;#144</v>
      </c>
      <c r="W737" s="48" t="str">
        <f>INDEX(SP_TaxPar_DB[Acquisition Tract No.],MATCH(LEFT(SP_ACQ_Lib[[#This Row],[Tax Parcel ID]],7),SP_TaxPar_DB[Tax Parcel ID],0))</f>
        <v>T069</v>
      </c>
      <c r="X737" s="238" t="str">
        <f>IF(OR(SP_ACQ_Lib[[#This Row],[Acquisition Tract No.]]="",SP_ACQ_Lib[[#This Row],[ACQ Document Type]]=""),0,CONCATENATE("COW-FRMP_TR-",SP_ACQ_Lib[[#This Row],[Acquisition Tract No.]]," ",SP_ACQ_Lib[[#This Row],[ACQ Document Type]]))</f>
        <v>COW-FRMP_TR-T069 TITLE Tax Card</v>
      </c>
      <c r="Y737" s="239">
        <f>IF(OR(SP_ACQ_Lib[[#This Row],[File Name Convention]]=0,LEFT(SP_ACQ_Lib[[#This Row],[Name]],LEN(SP_ACQ_Lib[[#This Row],[File Name Convention]]))&lt;&gt;SP_ACQ_Lib[[#This Row],[File Name Convention]],ISERROR(SEARCH(SP_ACQ_Lib[[#This Row],[ACQ Document Type]],SP_ACQ_Lib[[#This Row],[Name]]))),1,0)</f>
        <v>0</v>
      </c>
    </row>
    <row r="738" spans="1:25" ht="15" x14ac:dyDescent="0.2">
      <c r="A738" s="157" t="str">
        <f>CONCATENATE(SP_ACQ_Lib[[#This Row],[Acquisition Tract No.]],"_",SP_ACQ_Lib[[#This Row],[ACQ Document Type]])</f>
        <v>T070_CONTACT Negotiator Report</v>
      </c>
      <c r="B738" s="14" t="s">
        <v>5402</v>
      </c>
      <c r="C738" s="193" t="s">
        <v>5268</v>
      </c>
      <c r="D738" s="12" t="s">
        <v>2935</v>
      </c>
      <c r="E738" s="8" t="s">
        <v>865</v>
      </c>
      <c r="F738" s="8" t="s">
        <v>1068</v>
      </c>
      <c r="G738" s="8" t="s">
        <v>1067</v>
      </c>
      <c r="H738" s="7" t="s">
        <v>592</v>
      </c>
      <c r="I738" s="16"/>
      <c r="J738" s="16"/>
      <c r="K738" s="17"/>
      <c r="L738" s="3"/>
      <c r="M738" s="8" t="s">
        <v>5648</v>
      </c>
      <c r="N738" s="11">
        <v>44022.530428240738</v>
      </c>
      <c r="O738" s="8" t="s">
        <v>4206</v>
      </c>
      <c r="P738" s="11">
        <v>43979.392372685186</v>
      </c>
      <c r="Q738" s="13">
        <v>66124</v>
      </c>
      <c r="R738" s="194" t="s">
        <v>594</v>
      </c>
      <c r="S738" s="14" t="s">
        <v>5532</v>
      </c>
      <c r="T738" s="163">
        <v>1051</v>
      </c>
      <c r="U738" s="164" t="str">
        <f>CONCATENATE(LEFT(SP_ACQ_Lib[[#This Row],[Tax Parcel ID]],7),"_",SP_ACQ_Lib[[#This Row],[ACQ Document Type]])</f>
        <v>R018695_CONTACT Negotiator Report</v>
      </c>
      <c r="V738" s="65" t="str">
        <f>INDEX(SP_AcqTract_DB[WCAD Tax Parcel ID],MATCH(SP_ACQ_Lib[[#This Row],[Acquisition Tract No.]],SP_AcqTract_DB[Acquisition Tract No.],0))</f>
        <v>R018695;#145</v>
      </c>
      <c r="W738" s="48" t="str">
        <f>INDEX(SP_TaxPar_DB[Acquisition Tract No.],MATCH(LEFT(SP_ACQ_Lib[[#This Row],[Tax Parcel ID]],7),SP_TaxPar_DB[Tax Parcel ID],0))</f>
        <v>T070</v>
      </c>
      <c r="X738" s="238" t="str">
        <f>IF(OR(SP_ACQ_Lib[[#This Row],[Acquisition Tract No.]]="",SP_ACQ_Lib[[#This Row],[ACQ Document Type]]=""),0,CONCATENATE("COW-FRMP_TR-",SP_ACQ_Lib[[#This Row],[Acquisition Tract No.]]," ",SP_ACQ_Lib[[#This Row],[ACQ Document Type]]))</f>
        <v>COW-FRMP_TR-T070 CONTACT Negotiator Report</v>
      </c>
      <c r="Y738" s="239">
        <f>IF(OR(SP_ACQ_Lib[[#This Row],[File Name Convention]]=0,LEFT(SP_ACQ_Lib[[#This Row],[Name]],LEN(SP_ACQ_Lib[[#This Row],[File Name Convention]]))&lt;&gt;SP_ACQ_Lib[[#This Row],[File Name Convention]],ISERROR(SEARCH(SP_ACQ_Lib[[#This Row],[ACQ Document Type]],SP_ACQ_Lib[[#This Row],[Name]]))),1,0)</f>
        <v>0</v>
      </c>
    </row>
    <row r="739" spans="1:25" ht="15" x14ac:dyDescent="0.2">
      <c r="A739" s="157" t="str">
        <f>CONCATENATE(SP_ACQ_Lib[[#This Row],[Acquisition Tract No.]],"_",SP_ACQ_Lib[[#This Row],[ACQ Document Type]])</f>
        <v>T070_ENVIRONMENTAL Right-of-Entry Executed</v>
      </c>
      <c r="B739" s="14" t="s">
        <v>5556</v>
      </c>
      <c r="C739" s="193" t="s">
        <v>5268</v>
      </c>
      <c r="D739" s="12" t="s">
        <v>2935</v>
      </c>
      <c r="E739" s="8" t="s">
        <v>2682</v>
      </c>
      <c r="F739" s="8" t="s">
        <v>2683</v>
      </c>
      <c r="G739" s="8" t="s">
        <v>2681</v>
      </c>
      <c r="H739" s="7" t="s">
        <v>592</v>
      </c>
      <c r="I739" s="16">
        <v>43914</v>
      </c>
      <c r="J739" s="16"/>
      <c r="K739" s="17"/>
      <c r="L739" s="3"/>
      <c r="M739" s="8" t="s">
        <v>4206</v>
      </c>
      <c r="N739" s="11">
        <v>43983.56758101852</v>
      </c>
      <c r="O739" s="8" t="s">
        <v>4206</v>
      </c>
      <c r="P739" s="11">
        <v>43979.392384259256</v>
      </c>
      <c r="Q739" s="13">
        <v>1749112</v>
      </c>
      <c r="R739" s="194" t="s">
        <v>594</v>
      </c>
      <c r="S739" s="14" t="s">
        <v>5495</v>
      </c>
      <c r="T739" s="163">
        <v>1052</v>
      </c>
      <c r="U739" s="164" t="str">
        <f>CONCATENATE(LEFT(SP_ACQ_Lib[[#This Row],[Tax Parcel ID]],7),"_",SP_ACQ_Lib[[#This Row],[ACQ Document Type]])</f>
        <v>R018695_ENVIRONMENTAL Right-of-Entry Executed</v>
      </c>
      <c r="V739" s="65" t="str">
        <f>INDEX(SP_AcqTract_DB[WCAD Tax Parcel ID],MATCH(SP_ACQ_Lib[[#This Row],[Acquisition Tract No.]],SP_AcqTract_DB[Acquisition Tract No.],0))</f>
        <v>R018695;#145</v>
      </c>
      <c r="W739" s="48" t="str">
        <f>INDEX(SP_TaxPar_DB[Acquisition Tract No.],MATCH(LEFT(SP_ACQ_Lib[[#This Row],[Tax Parcel ID]],7),SP_TaxPar_DB[Tax Parcel ID],0))</f>
        <v>T070</v>
      </c>
      <c r="X739" s="238" t="str">
        <f>IF(OR(SP_ACQ_Lib[[#This Row],[Acquisition Tract No.]]="",SP_ACQ_Lib[[#This Row],[ACQ Document Type]]=""),0,CONCATENATE("COW-FRMP_TR-",SP_ACQ_Lib[[#This Row],[Acquisition Tract No.]]," ",SP_ACQ_Lib[[#This Row],[ACQ Document Type]]))</f>
        <v>COW-FRMP_TR-T070 ENVIRONMENTAL Right-of-Entry Executed</v>
      </c>
      <c r="Y739" s="239">
        <f>IF(OR(SP_ACQ_Lib[[#This Row],[File Name Convention]]=0,LEFT(SP_ACQ_Lib[[#This Row],[Name]],LEN(SP_ACQ_Lib[[#This Row],[File Name Convention]]))&lt;&gt;SP_ACQ_Lib[[#This Row],[File Name Convention]],ISERROR(SEARCH(SP_ACQ_Lib[[#This Row],[ACQ Document Type]],SP_ACQ_Lib[[#This Row],[Name]]))),1,0)</f>
        <v>0</v>
      </c>
    </row>
    <row r="740" spans="1:25" ht="15" x14ac:dyDescent="0.2">
      <c r="A740" s="157" t="str">
        <f>CONCATENATE(SP_ACQ_Lib[[#This Row],[Acquisition Tract No.]],"_",SP_ACQ_Lib[[#This Row],[ACQ Document Type]])</f>
        <v>T070_ENVIRONMENTAL Right-of-Entry Package</v>
      </c>
      <c r="B740" s="14" t="s">
        <v>5557</v>
      </c>
      <c r="C740" s="193" t="s">
        <v>5268</v>
      </c>
      <c r="D740" s="12" t="s">
        <v>2935</v>
      </c>
      <c r="E740" s="8" t="s">
        <v>2682</v>
      </c>
      <c r="F740" s="8" t="s">
        <v>2687</v>
      </c>
      <c r="G740" s="8" t="s">
        <v>2686</v>
      </c>
      <c r="H740" s="7" t="s">
        <v>592</v>
      </c>
      <c r="I740" s="16">
        <v>43845</v>
      </c>
      <c r="J740" s="16">
        <v>43847</v>
      </c>
      <c r="K740" s="17"/>
      <c r="L740" s="3"/>
      <c r="M740" s="8" t="s">
        <v>4206</v>
      </c>
      <c r="N740" s="11">
        <v>43983.597893518519</v>
      </c>
      <c r="O740" s="8" t="s">
        <v>4206</v>
      </c>
      <c r="P740" s="11">
        <v>43979.392418981479</v>
      </c>
      <c r="Q740" s="13">
        <v>927171</v>
      </c>
      <c r="R740" s="194" t="s">
        <v>594</v>
      </c>
      <c r="S740" s="14" t="s">
        <v>5496</v>
      </c>
      <c r="T740" s="163">
        <v>1053</v>
      </c>
      <c r="U740" s="164" t="str">
        <f>CONCATENATE(LEFT(SP_ACQ_Lib[[#This Row],[Tax Parcel ID]],7),"_",SP_ACQ_Lib[[#This Row],[ACQ Document Type]])</f>
        <v>R018695_ENVIRONMENTAL Right-of-Entry Package</v>
      </c>
      <c r="V740" s="65" t="str">
        <f>INDEX(SP_AcqTract_DB[WCAD Tax Parcel ID],MATCH(SP_ACQ_Lib[[#This Row],[Acquisition Tract No.]],SP_AcqTract_DB[Acquisition Tract No.],0))</f>
        <v>R018695;#145</v>
      </c>
      <c r="W740" s="48" t="str">
        <f>INDEX(SP_TaxPar_DB[Acquisition Tract No.],MATCH(LEFT(SP_ACQ_Lib[[#This Row],[Tax Parcel ID]],7),SP_TaxPar_DB[Tax Parcel ID],0))</f>
        <v>T070</v>
      </c>
      <c r="X740" s="238" t="str">
        <f>IF(OR(SP_ACQ_Lib[[#This Row],[Acquisition Tract No.]]="",SP_ACQ_Lib[[#This Row],[ACQ Document Type]]=""),0,CONCATENATE("COW-FRMP_TR-",SP_ACQ_Lib[[#This Row],[Acquisition Tract No.]]," ",SP_ACQ_Lib[[#This Row],[ACQ Document Type]]))</f>
        <v>COW-FRMP_TR-T070 ENVIRONMENTAL Right-of-Entry Package</v>
      </c>
      <c r="Y740" s="239">
        <f>IF(OR(SP_ACQ_Lib[[#This Row],[File Name Convention]]=0,LEFT(SP_ACQ_Lib[[#This Row],[Name]],LEN(SP_ACQ_Lib[[#This Row],[File Name Convention]]))&lt;&gt;SP_ACQ_Lib[[#This Row],[File Name Convention]],ISERROR(SEARCH(SP_ACQ_Lib[[#This Row],[ACQ Document Type]],SP_ACQ_Lib[[#This Row],[Name]]))),1,0)</f>
        <v>0</v>
      </c>
    </row>
    <row r="741" spans="1:25" ht="15" x14ac:dyDescent="0.2">
      <c r="A741" s="157" t="str">
        <f>CONCATENATE(SP_ACQ_Lib[[#This Row],[Acquisition Tract No.]],"_",SP_ACQ_Lib[[#This Row],[ACQ Document Type]])</f>
        <v>T070_ROE Right-of-Entry Package</v>
      </c>
      <c r="B741" s="14" t="s">
        <v>5665</v>
      </c>
      <c r="C741" s="193" t="s">
        <v>5268</v>
      </c>
      <c r="D741" s="12" t="s">
        <v>2935</v>
      </c>
      <c r="E741" s="8" t="s">
        <v>1146</v>
      </c>
      <c r="F741" s="8" t="s">
        <v>2687</v>
      </c>
      <c r="G741" s="8" t="s">
        <v>5659</v>
      </c>
      <c r="H741" s="7" t="s">
        <v>592</v>
      </c>
      <c r="I741" s="16">
        <v>43984</v>
      </c>
      <c r="J741" s="16"/>
      <c r="K741" s="17"/>
      <c r="L741" s="3"/>
      <c r="M741" s="8" t="s">
        <v>4206</v>
      </c>
      <c r="N741" s="11">
        <v>43985.52003472222</v>
      </c>
      <c r="O741" s="8" t="s">
        <v>4206</v>
      </c>
      <c r="P741" s="11">
        <v>43985.509826388887</v>
      </c>
      <c r="Q741" s="13">
        <v>1017357</v>
      </c>
      <c r="R741" s="194" t="s">
        <v>594</v>
      </c>
      <c r="S741" s="14" t="s">
        <v>5689</v>
      </c>
      <c r="T741" s="163">
        <v>1091</v>
      </c>
      <c r="U741" s="164" t="str">
        <f>CONCATENATE(LEFT(SP_ACQ_Lib[[#This Row],[Tax Parcel ID]],7),"_",SP_ACQ_Lib[[#This Row],[ACQ Document Type]])</f>
        <v>R018695_ROE Right-of-Entry Package</v>
      </c>
      <c r="V741" s="65" t="str">
        <f>INDEX(SP_AcqTract_DB[WCAD Tax Parcel ID],MATCH(SP_ACQ_Lib[[#This Row],[Acquisition Tract No.]],SP_AcqTract_DB[Acquisition Tract No.],0))</f>
        <v>R018695;#145</v>
      </c>
      <c r="W741" s="48" t="str">
        <f>INDEX(SP_TaxPar_DB[Acquisition Tract No.],MATCH(LEFT(SP_ACQ_Lib[[#This Row],[Tax Parcel ID]],7),SP_TaxPar_DB[Tax Parcel ID],0))</f>
        <v>T070</v>
      </c>
      <c r="X741" s="238" t="str">
        <f>IF(OR(SP_ACQ_Lib[[#This Row],[Acquisition Tract No.]]="",SP_ACQ_Lib[[#This Row],[ACQ Document Type]]=""),0,CONCATENATE("COW-FRMP_TR-",SP_ACQ_Lib[[#This Row],[Acquisition Tract No.]]," ",SP_ACQ_Lib[[#This Row],[ACQ Document Type]]))</f>
        <v>COW-FRMP_TR-T070 ROE Right-of-Entry Package</v>
      </c>
      <c r="Y741" s="239">
        <f>IF(OR(SP_ACQ_Lib[[#This Row],[File Name Convention]]=0,LEFT(SP_ACQ_Lib[[#This Row],[Name]],LEN(SP_ACQ_Lib[[#This Row],[File Name Convention]]))&lt;&gt;SP_ACQ_Lib[[#This Row],[File Name Convention]],ISERROR(SEARCH(SP_ACQ_Lib[[#This Row],[ACQ Document Type]],SP_ACQ_Lib[[#This Row],[Name]]))),1,0)</f>
        <v>0</v>
      </c>
    </row>
    <row r="742" spans="1:25" ht="15" x14ac:dyDescent="0.2">
      <c r="A742" s="157" t="str">
        <f>CONCATENATE(SP_ACQ_Lib[[#This Row],[Acquisition Tract No.]],"_",SP_ACQ_Lib[[#This Row],[ACQ Document Type]])</f>
        <v>T070_TITLE Tax Card</v>
      </c>
      <c r="B742" s="14" t="s">
        <v>5403</v>
      </c>
      <c r="C742" s="193" t="s">
        <v>5268</v>
      </c>
      <c r="D742" s="12" t="s">
        <v>2935</v>
      </c>
      <c r="E742" s="8" t="s">
        <v>861</v>
      </c>
      <c r="F742" s="8" t="s">
        <v>1150</v>
      </c>
      <c r="G742" s="8" t="s">
        <v>1149</v>
      </c>
      <c r="H742" s="7" t="s">
        <v>592</v>
      </c>
      <c r="I742" s="16"/>
      <c r="J742" s="16"/>
      <c r="K742" s="17"/>
      <c r="L742" s="3"/>
      <c r="M742" s="8" t="s">
        <v>4206</v>
      </c>
      <c r="N742" s="11">
        <v>43979.412430555552</v>
      </c>
      <c r="O742" s="8" t="s">
        <v>4206</v>
      </c>
      <c r="P742" s="11">
        <v>43979.392442129632</v>
      </c>
      <c r="Q742" s="13">
        <v>682834</v>
      </c>
      <c r="R742" s="194" t="s">
        <v>594</v>
      </c>
      <c r="S742" s="14" t="s">
        <v>5497</v>
      </c>
      <c r="T742" s="163">
        <v>1054</v>
      </c>
      <c r="U742" s="164" t="str">
        <f>CONCATENATE(LEFT(SP_ACQ_Lib[[#This Row],[Tax Parcel ID]],7),"_",SP_ACQ_Lib[[#This Row],[ACQ Document Type]])</f>
        <v>R018695_TITLE Tax Card</v>
      </c>
      <c r="V742" s="65" t="str">
        <f>INDEX(SP_AcqTract_DB[WCAD Tax Parcel ID],MATCH(SP_ACQ_Lib[[#This Row],[Acquisition Tract No.]],SP_AcqTract_DB[Acquisition Tract No.],0))</f>
        <v>R018695;#145</v>
      </c>
      <c r="W742" s="48" t="str">
        <f>INDEX(SP_TaxPar_DB[Acquisition Tract No.],MATCH(LEFT(SP_ACQ_Lib[[#This Row],[Tax Parcel ID]],7),SP_TaxPar_DB[Tax Parcel ID],0))</f>
        <v>T070</v>
      </c>
      <c r="X742" s="238" t="str">
        <f>IF(OR(SP_ACQ_Lib[[#This Row],[Acquisition Tract No.]]="",SP_ACQ_Lib[[#This Row],[ACQ Document Type]]=""),0,CONCATENATE("COW-FRMP_TR-",SP_ACQ_Lib[[#This Row],[Acquisition Tract No.]]," ",SP_ACQ_Lib[[#This Row],[ACQ Document Type]]))</f>
        <v>COW-FRMP_TR-T070 TITLE Tax Card</v>
      </c>
      <c r="Y742" s="239">
        <f>IF(OR(SP_ACQ_Lib[[#This Row],[File Name Convention]]=0,LEFT(SP_ACQ_Lib[[#This Row],[Name]],LEN(SP_ACQ_Lib[[#This Row],[File Name Convention]]))&lt;&gt;SP_ACQ_Lib[[#This Row],[File Name Convention]],ISERROR(SEARCH(SP_ACQ_Lib[[#This Row],[ACQ Document Type]],SP_ACQ_Lib[[#This Row],[Name]]))),1,0)</f>
        <v>0</v>
      </c>
    </row>
    <row r="743" spans="1:25" ht="15" x14ac:dyDescent="0.2">
      <c r="A743" s="157" t="str">
        <f>CONCATENATE(SP_ACQ_Lib[[#This Row],[Acquisition Tract No.]],"_",SP_ACQ_Lib[[#This Row],[ACQ Document Type]])</f>
        <v>T071_CONTACT Negotiator Report</v>
      </c>
      <c r="B743" s="14" t="s">
        <v>5404</v>
      </c>
      <c r="C743" s="193" t="s">
        <v>5252</v>
      </c>
      <c r="D743" s="12" t="s">
        <v>2936</v>
      </c>
      <c r="E743" s="8" t="s">
        <v>865</v>
      </c>
      <c r="F743" s="8" t="s">
        <v>1068</v>
      </c>
      <c r="G743" s="8" t="s">
        <v>1067</v>
      </c>
      <c r="H743" s="7" t="s">
        <v>592</v>
      </c>
      <c r="I743" s="16"/>
      <c r="J743" s="16"/>
      <c r="K743" s="17"/>
      <c r="L743" s="3"/>
      <c r="M743" s="8" t="s">
        <v>6483</v>
      </c>
      <c r="N743" s="11">
        <v>44019.579872685186</v>
      </c>
      <c r="O743" s="8" t="s">
        <v>6483</v>
      </c>
      <c r="P743" s="11">
        <v>44012.503657407404</v>
      </c>
      <c r="Q743" s="13">
        <v>61787</v>
      </c>
      <c r="R743" s="194" t="s">
        <v>1069</v>
      </c>
      <c r="S743" s="14" t="s">
        <v>6602</v>
      </c>
      <c r="T743" s="163">
        <v>1304</v>
      </c>
      <c r="U743" s="164" t="str">
        <f>CONCATENATE(LEFT(SP_ACQ_Lib[[#This Row],[Tax Parcel ID]],7),"_",SP_ACQ_Lib[[#This Row],[ACQ Document Type]])</f>
        <v>R018696_CONTACT Negotiator Report</v>
      </c>
      <c r="V743" s="65" t="str">
        <f>INDEX(SP_AcqTract_DB[WCAD Tax Parcel ID],MATCH(SP_ACQ_Lib[[#This Row],[Acquisition Tract No.]],SP_AcqTract_DB[Acquisition Tract No.],0))</f>
        <v>R018696;#146</v>
      </c>
      <c r="W743" s="48" t="str">
        <f>INDEX(SP_TaxPar_DB[Acquisition Tract No.],MATCH(LEFT(SP_ACQ_Lib[[#This Row],[Tax Parcel ID]],7),SP_TaxPar_DB[Tax Parcel ID],0))</f>
        <v>T071</v>
      </c>
      <c r="X743" s="238" t="str">
        <f>IF(OR(SP_ACQ_Lib[[#This Row],[Acquisition Tract No.]]="",SP_ACQ_Lib[[#This Row],[ACQ Document Type]]=""),0,CONCATENATE("COW-FRMP_TR-",SP_ACQ_Lib[[#This Row],[Acquisition Tract No.]]," ",SP_ACQ_Lib[[#This Row],[ACQ Document Type]]))</f>
        <v>COW-FRMP_TR-T071 CONTACT Negotiator Report</v>
      </c>
      <c r="Y743" s="239">
        <f>IF(OR(SP_ACQ_Lib[[#This Row],[File Name Convention]]=0,LEFT(SP_ACQ_Lib[[#This Row],[Name]],LEN(SP_ACQ_Lib[[#This Row],[File Name Convention]]))&lt;&gt;SP_ACQ_Lib[[#This Row],[File Name Convention]],ISERROR(SEARCH(SP_ACQ_Lib[[#This Row],[ACQ Document Type]],SP_ACQ_Lib[[#This Row],[Name]]))),1,0)</f>
        <v>0</v>
      </c>
    </row>
    <row r="744" spans="1:25" ht="15" x14ac:dyDescent="0.2">
      <c r="A744" s="157" t="str">
        <f>CONCATENATE(SP_ACQ_Lib[[#This Row],[Acquisition Tract No.]],"_",SP_ACQ_Lib[[#This Row],[ACQ Document Type]])</f>
        <v>T071_ENVIRONMENTAL Right-of-Entry Package</v>
      </c>
      <c r="B744" s="14" t="s">
        <v>5558</v>
      </c>
      <c r="C744" s="193" t="s">
        <v>5252</v>
      </c>
      <c r="D744" s="12" t="s">
        <v>2936</v>
      </c>
      <c r="E744" s="8" t="s">
        <v>2682</v>
      </c>
      <c r="F744" s="8" t="s">
        <v>2687</v>
      </c>
      <c r="G744" s="8" t="s">
        <v>2686</v>
      </c>
      <c r="H744" s="7" t="s">
        <v>592</v>
      </c>
      <c r="I744" s="16"/>
      <c r="J744" s="16"/>
      <c r="K744" s="17"/>
      <c r="L744" s="3"/>
      <c r="M744" s="8" t="s">
        <v>4206</v>
      </c>
      <c r="N744" s="11">
        <v>43983.597893518519</v>
      </c>
      <c r="O744" s="8" t="s">
        <v>4206</v>
      </c>
      <c r="P744" s="11">
        <v>43959.529467592591</v>
      </c>
      <c r="Q744" s="13">
        <v>900735</v>
      </c>
      <c r="R744" s="194" t="s">
        <v>594</v>
      </c>
      <c r="S744" s="14" t="s">
        <v>5064</v>
      </c>
      <c r="T744" s="163">
        <v>871</v>
      </c>
      <c r="U744" s="164" t="str">
        <f>CONCATENATE(LEFT(SP_ACQ_Lib[[#This Row],[Tax Parcel ID]],7),"_",SP_ACQ_Lib[[#This Row],[ACQ Document Type]])</f>
        <v>R018696_ENVIRONMENTAL Right-of-Entry Package</v>
      </c>
      <c r="V744" s="65" t="str">
        <f>INDEX(SP_AcqTract_DB[WCAD Tax Parcel ID],MATCH(SP_ACQ_Lib[[#This Row],[Acquisition Tract No.]],SP_AcqTract_DB[Acquisition Tract No.],0))</f>
        <v>R018696;#146</v>
      </c>
      <c r="W744" s="48" t="str">
        <f>INDEX(SP_TaxPar_DB[Acquisition Tract No.],MATCH(LEFT(SP_ACQ_Lib[[#This Row],[Tax Parcel ID]],7),SP_TaxPar_DB[Tax Parcel ID],0))</f>
        <v>T071</v>
      </c>
      <c r="X744" s="238" t="str">
        <f>IF(OR(SP_ACQ_Lib[[#This Row],[Acquisition Tract No.]]="",SP_ACQ_Lib[[#This Row],[ACQ Document Type]]=""),0,CONCATENATE("COW-FRMP_TR-",SP_ACQ_Lib[[#This Row],[Acquisition Tract No.]]," ",SP_ACQ_Lib[[#This Row],[ACQ Document Type]]))</f>
        <v>COW-FRMP_TR-T071 ENVIRONMENTAL Right-of-Entry Package</v>
      </c>
      <c r="Y744" s="239">
        <f>IF(OR(SP_ACQ_Lib[[#This Row],[File Name Convention]]=0,LEFT(SP_ACQ_Lib[[#This Row],[Name]],LEN(SP_ACQ_Lib[[#This Row],[File Name Convention]]))&lt;&gt;SP_ACQ_Lib[[#This Row],[File Name Convention]],ISERROR(SEARCH(SP_ACQ_Lib[[#This Row],[ACQ Document Type]],SP_ACQ_Lib[[#This Row],[Name]]))),1,0)</f>
        <v>0</v>
      </c>
    </row>
    <row r="745" spans="1:25" ht="15" x14ac:dyDescent="0.2">
      <c r="A745" s="157" t="str">
        <f>CONCATENATE(SP_ACQ_Lib[[#This Row],[Acquisition Tract No.]],"_",SP_ACQ_Lib[[#This Row],[ACQ Document Type]])</f>
        <v>T071_ROE Right-of-Entry Package</v>
      </c>
      <c r="B745" s="14" t="s">
        <v>5666</v>
      </c>
      <c r="C745" s="193" t="s">
        <v>5252</v>
      </c>
      <c r="D745" s="12" t="s">
        <v>2936</v>
      </c>
      <c r="E745" s="8" t="s">
        <v>1146</v>
      </c>
      <c r="F745" s="8" t="s">
        <v>2687</v>
      </c>
      <c r="G745" s="8" t="s">
        <v>5659</v>
      </c>
      <c r="H745" s="7" t="s">
        <v>592</v>
      </c>
      <c r="I745" s="16">
        <v>43984</v>
      </c>
      <c r="J745" s="16"/>
      <c r="K745" s="17"/>
      <c r="L745" s="3"/>
      <c r="M745" s="8" t="s">
        <v>4206</v>
      </c>
      <c r="N745" s="11">
        <v>43985.513981481483</v>
      </c>
      <c r="O745" s="8" t="s">
        <v>4206</v>
      </c>
      <c r="P745" s="11">
        <v>43985.50984953704</v>
      </c>
      <c r="Q745" s="13">
        <v>892468</v>
      </c>
      <c r="R745" s="194" t="s">
        <v>594</v>
      </c>
      <c r="S745" s="14" t="s">
        <v>5690</v>
      </c>
      <c r="T745" s="163">
        <v>1092</v>
      </c>
      <c r="U745" s="164" t="str">
        <f>CONCATENATE(LEFT(SP_ACQ_Lib[[#This Row],[Tax Parcel ID]],7),"_",SP_ACQ_Lib[[#This Row],[ACQ Document Type]])</f>
        <v>R018696_ROE Right-of-Entry Package</v>
      </c>
      <c r="V745" s="65" t="str">
        <f>INDEX(SP_AcqTract_DB[WCAD Tax Parcel ID],MATCH(SP_ACQ_Lib[[#This Row],[Acquisition Tract No.]],SP_AcqTract_DB[Acquisition Tract No.],0))</f>
        <v>R018696;#146</v>
      </c>
      <c r="W745" s="48" t="str">
        <f>INDEX(SP_TaxPar_DB[Acquisition Tract No.],MATCH(LEFT(SP_ACQ_Lib[[#This Row],[Tax Parcel ID]],7),SP_TaxPar_DB[Tax Parcel ID],0))</f>
        <v>T071</v>
      </c>
      <c r="X745" s="238" t="str">
        <f>IF(OR(SP_ACQ_Lib[[#This Row],[Acquisition Tract No.]]="",SP_ACQ_Lib[[#This Row],[ACQ Document Type]]=""),0,CONCATENATE("COW-FRMP_TR-",SP_ACQ_Lib[[#This Row],[Acquisition Tract No.]]," ",SP_ACQ_Lib[[#This Row],[ACQ Document Type]]))</f>
        <v>COW-FRMP_TR-T071 ROE Right-of-Entry Package</v>
      </c>
      <c r="Y745" s="239">
        <f>IF(OR(SP_ACQ_Lib[[#This Row],[File Name Convention]]=0,LEFT(SP_ACQ_Lib[[#This Row],[Name]],LEN(SP_ACQ_Lib[[#This Row],[File Name Convention]]))&lt;&gt;SP_ACQ_Lib[[#This Row],[File Name Convention]],ISERROR(SEARCH(SP_ACQ_Lib[[#This Row],[ACQ Document Type]],SP_ACQ_Lib[[#This Row],[Name]]))),1,0)</f>
        <v>0</v>
      </c>
    </row>
    <row r="746" spans="1:25" ht="15" x14ac:dyDescent="0.2">
      <c r="A746" s="157" t="str">
        <f>CONCATENATE(SP_ACQ_Lib[[#This Row],[Acquisition Tract No.]],"_",SP_ACQ_Lib[[#This Row],[ACQ Document Type]])</f>
        <v>T071_TITLE Tax Card</v>
      </c>
      <c r="B746" s="14" t="s">
        <v>5559</v>
      </c>
      <c r="C746" s="193" t="s">
        <v>5252</v>
      </c>
      <c r="D746" s="12" t="s">
        <v>2936</v>
      </c>
      <c r="E746" s="8" t="s">
        <v>861</v>
      </c>
      <c r="F746" s="8" t="s">
        <v>1150</v>
      </c>
      <c r="G746" s="8" t="s">
        <v>1149</v>
      </c>
      <c r="H746" s="7" t="s">
        <v>592</v>
      </c>
      <c r="I746" s="16"/>
      <c r="J746" s="16"/>
      <c r="K746" s="17"/>
      <c r="L746" s="3"/>
      <c r="M746" s="8" t="s">
        <v>4206</v>
      </c>
      <c r="N746" s="11">
        <v>43983.531018518515</v>
      </c>
      <c r="O746" s="8" t="s">
        <v>4206</v>
      </c>
      <c r="P746" s="11">
        <v>43959.529502314814</v>
      </c>
      <c r="Q746" s="13">
        <v>653556</v>
      </c>
      <c r="R746" s="194" t="s">
        <v>594</v>
      </c>
      <c r="S746" s="14" t="s">
        <v>5065</v>
      </c>
      <c r="T746" s="163">
        <v>872</v>
      </c>
      <c r="U746" s="164" t="str">
        <f>CONCATENATE(LEFT(SP_ACQ_Lib[[#This Row],[Tax Parcel ID]],7),"_",SP_ACQ_Lib[[#This Row],[ACQ Document Type]])</f>
        <v>R018696_TITLE Tax Card</v>
      </c>
      <c r="V746" s="65" t="str">
        <f>INDEX(SP_AcqTract_DB[WCAD Tax Parcel ID],MATCH(SP_ACQ_Lib[[#This Row],[Acquisition Tract No.]],SP_AcqTract_DB[Acquisition Tract No.],0))</f>
        <v>R018696;#146</v>
      </c>
      <c r="W746" s="48" t="str">
        <f>INDEX(SP_TaxPar_DB[Acquisition Tract No.],MATCH(LEFT(SP_ACQ_Lib[[#This Row],[Tax Parcel ID]],7),SP_TaxPar_DB[Tax Parcel ID],0))</f>
        <v>T071</v>
      </c>
      <c r="X746" s="238" t="str">
        <f>IF(OR(SP_ACQ_Lib[[#This Row],[Acquisition Tract No.]]="",SP_ACQ_Lib[[#This Row],[ACQ Document Type]]=""),0,CONCATENATE("COW-FRMP_TR-",SP_ACQ_Lib[[#This Row],[Acquisition Tract No.]]," ",SP_ACQ_Lib[[#This Row],[ACQ Document Type]]))</f>
        <v>COW-FRMP_TR-T071 TITLE Tax Card</v>
      </c>
      <c r="Y746" s="239">
        <f>IF(OR(SP_ACQ_Lib[[#This Row],[File Name Convention]]=0,LEFT(SP_ACQ_Lib[[#This Row],[Name]],LEN(SP_ACQ_Lib[[#This Row],[File Name Convention]]))&lt;&gt;SP_ACQ_Lib[[#This Row],[File Name Convention]],ISERROR(SEARCH(SP_ACQ_Lib[[#This Row],[ACQ Document Type]],SP_ACQ_Lib[[#This Row],[Name]]))),1,0)</f>
        <v>0</v>
      </c>
    </row>
    <row r="747" spans="1:25" ht="15" x14ac:dyDescent="0.2">
      <c r="A747" s="157" t="str">
        <f>CONCATENATE(SP_ACQ_Lib[[#This Row],[Acquisition Tract No.]],"_",SP_ACQ_Lib[[#This Row],[ACQ Document Type]])</f>
        <v>T072_CONTACT Negotiator Report</v>
      </c>
      <c r="B747" s="14" t="s">
        <v>5405</v>
      </c>
      <c r="C747" s="193" t="s">
        <v>5271</v>
      </c>
      <c r="D747" s="12" t="s">
        <v>2937</v>
      </c>
      <c r="E747" s="8" t="s">
        <v>865</v>
      </c>
      <c r="F747" s="8" t="s">
        <v>1068</v>
      </c>
      <c r="G747" s="8" t="s">
        <v>1067</v>
      </c>
      <c r="H747" s="7" t="s">
        <v>592</v>
      </c>
      <c r="I747" s="16"/>
      <c r="J747" s="16"/>
      <c r="K747" s="17"/>
      <c r="L747" s="3"/>
      <c r="M747" s="8" t="s">
        <v>6483</v>
      </c>
      <c r="N747" s="11">
        <v>44021.769270833334</v>
      </c>
      <c r="O747" s="8" t="s">
        <v>4206</v>
      </c>
      <c r="P747" s="11">
        <v>43979.392476851855</v>
      </c>
      <c r="Q747" s="13">
        <v>61741</v>
      </c>
      <c r="R747" s="194" t="s">
        <v>594</v>
      </c>
      <c r="S747" s="14" t="s">
        <v>5532</v>
      </c>
      <c r="T747" s="163">
        <v>1055</v>
      </c>
      <c r="U747" s="164" t="str">
        <f>CONCATENATE(LEFT(SP_ACQ_Lib[[#This Row],[Tax Parcel ID]],7),"_",SP_ACQ_Lib[[#This Row],[ACQ Document Type]])</f>
        <v>R018697_CONTACT Negotiator Report</v>
      </c>
      <c r="V747" s="65" t="str">
        <f>INDEX(SP_AcqTract_DB[WCAD Tax Parcel ID],MATCH(SP_ACQ_Lib[[#This Row],[Acquisition Tract No.]],SP_AcqTract_DB[Acquisition Tract No.],0))</f>
        <v>R018697;#147</v>
      </c>
      <c r="W747" s="48" t="str">
        <f>INDEX(SP_TaxPar_DB[Acquisition Tract No.],MATCH(LEFT(SP_ACQ_Lib[[#This Row],[Tax Parcel ID]],7),SP_TaxPar_DB[Tax Parcel ID],0))</f>
        <v>T072</v>
      </c>
      <c r="X747" s="238" t="str">
        <f>IF(OR(SP_ACQ_Lib[[#This Row],[Acquisition Tract No.]]="",SP_ACQ_Lib[[#This Row],[ACQ Document Type]]=""),0,CONCATENATE("COW-FRMP_TR-",SP_ACQ_Lib[[#This Row],[Acquisition Tract No.]]," ",SP_ACQ_Lib[[#This Row],[ACQ Document Type]]))</f>
        <v>COW-FRMP_TR-T072 CONTACT Negotiator Report</v>
      </c>
      <c r="Y747" s="239">
        <f>IF(OR(SP_ACQ_Lib[[#This Row],[File Name Convention]]=0,LEFT(SP_ACQ_Lib[[#This Row],[Name]],LEN(SP_ACQ_Lib[[#This Row],[File Name Convention]]))&lt;&gt;SP_ACQ_Lib[[#This Row],[File Name Convention]],ISERROR(SEARCH(SP_ACQ_Lib[[#This Row],[ACQ Document Type]],SP_ACQ_Lib[[#This Row],[Name]]))),1,0)</f>
        <v>0</v>
      </c>
    </row>
    <row r="748" spans="1:25" ht="15" x14ac:dyDescent="0.2">
      <c r="A748" s="157" t="str">
        <f>CONCATENATE(SP_ACQ_Lib[[#This Row],[Acquisition Tract No.]],"_",SP_ACQ_Lib[[#This Row],[ACQ Document Type]])</f>
        <v>T072_ENVIRONMENTAL Right-of-Entry Package</v>
      </c>
      <c r="B748" s="14" t="s">
        <v>5560</v>
      </c>
      <c r="C748" s="193" t="s">
        <v>5271</v>
      </c>
      <c r="D748" s="12" t="s">
        <v>2937</v>
      </c>
      <c r="E748" s="8" t="s">
        <v>2682</v>
      </c>
      <c r="F748" s="8" t="s">
        <v>2687</v>
      </c>
      <c r="G748" s="8" t="s">
        <v>2686</v>
      </c>
      <c r="H748" s="7" t="s">
        <v>592</v>
      </c>
      <c r="I748" s="16">
        <v>43845</v>
      </c>
      <c r="J748" s="16">
        <v>43847</v>
      </c>
      <c r="K748" s="17"/>
      <c r="L748" s="3"/>
      <c r="M748" s="8" t="s">
        <v>4206</v>
      </c>
      <c r="N748" s="11">
        <v>43983.597893518519</v>
      </c>
      <c r="O748" s="8" t="s">
        <v>4206</v>
      </c>
      <c r="P748" s="11">
        <v>43979.392488425925</v>
      </c>
      <c r="Q748" s="13">
        <v>933459</v>
      </c>
      <c r="R748" s="194" t="s">
        <v>594</v>
      </c>
      <c r="S748" s="14" t="s">
        <v>5498</v>
      </c>
      <c r="T748" s="163">
        <v>1056</v>
      </c>
      <c r="U748" s="164" t="str">
        <f>CONCATENATE(LEFT(SP_ACQ_Lib[[#This Row],[Tax Parcel ID]],7),"_",SP_ACQ_Lib[[#This Row],[ACQ Document Type]])</f>
        <v>R018697_ENVIRONMENTAL Right-of-Entry Package</v>
      </c>
      <c r="V748" s="65" t="str">
        <f>INDEX(SP_AcqTract_DB[WCAD Tax Parcel ID],MATCH(SP_ACQ_Lib[[#This Row],[Acquisition Tract No.]],SP_AcqTract_DB[Acquisition Tract No.],0))</f>
        <v>R018697;#147</v>
      </c>
      <c r="W748" s="48" t="str">
        <f>INDEX(SP_TaxPar_DB[Acquisition Tract No.],MATCH(LEFT(SP_ACQ_Lib[[#This Row],[Tax Parcel ID]],7),SP_TaxPar_DB[Tax Parcel ID],0))</f>
        <v>T072</v>
      </c>
      <c r="X748" s="238" t="str">
        <f>IF(OR(SP_ACQ_Lib[[#This Row],[Acquisition Tract No.]]="",SP_ACQ_Lib[[#This Row],[ACQ Document Type]]=""),0,CONCATENATE("COW-FRMP_TR-",SP_ACQ_Lib[[#This Row],[Acquisition Tract No.]]," ",SP_ACQ_Lib[[#This Row],[ACQ Document Type]]))</f>
        <v>COW-FRMP_TR-T072 ENVIRONMENTAL Right-of-Entry Package</v>
      </c>
      <c r="Y748" s="239">
        <f>IF(OR(SP_ACQ_Lib[[#This Row],[File Name Convention]]=0,LEFT(SP_ACQ_Lib[[#This Row],[Name]],LEN(SP_ACQ_Lib[[#This Row],[File Name Convention]]))&lt;&gt;SP_ACQ_Lib[[#This Row],[File Name Convention]],ISERROR(SEARCH(SP_ACQ_Lib[[#This Row],[ACQ Document Type]],SP_ACQ_Lib[[#This Row],[Name]]))),1,0)</f>
        <v>0</v>
      </c>
    </row>
    <row r="749" spans="1:25" ht="15" x14ac:dyDescent="0.2">
      <c r="A749" s="157" t="str">
        <f>CONCATENATE(SP_ACQ_Lib[[#This Row],[Acquisition Tract No.]],"_",SP_ACQ_Lib[[#This Row],[ACQ Document Type]])</f>
        <v>T072_ROE Right-of-Entry Package</v>
      </c>
      <c r="B749" s="14" t="s">
        <v>5667</v>
      </c>
      <c r="C749" s="193" t="s">
        <v>5271</v>
      </c>
      <c r="D749" s="12" t="s">
        <v>2937</v>
      </c>
      <c r="E749" s="8" t="s">
        <v>1146</v>
      </c>
      <c r="F749" s="8" t="s">
        <v>2687</v>
      </c>
      <c r="G749" s="8" t="s">
        <v>5659</v>
      </c>
      <c r="H749" s="7" t="s">
        <v>592</v>
      </c>
      <c r="I749" s="16">
        <v>43984</v>
      </c>
      <c r="J749" s="16"/>
      <c r="K749" s="17"/>
      <c r="L749" s="3"/>
      <c r="M749" s="8" t="s">
        <v>4206</v>
      </c>
      <c r="N749" s="11">
        <v>43985.514317129629</v>
      </c>
      <c r="O749" s="8" t="s">
        <v>4206</v>
      </c>
      <c r="P749" s="11">
        <v>43985.50986111111</v>
      </c>
      <c r="Q749" s="13">
        <v>1022682</v>
      </c>
      <c r="R749" s="194" t="s">
        <v>594</v>
      </c>
      <c r="S749" s="14" t="s">
        <v>5691</v>
      </c>
      <c r="T749" s="163">
        <v>1093</v>
      </c>
      <c r="U749" s="164" t="str">
        <f>CONCATENATE(LEFT(SP_ACQ_Lib[[#This Row],[Tax Parcel ID]],7),"_",SP_ACQ_Lib[[#This Row],[ACQ Document Type]])</f>
        <v>R018697_ROE Right-of-Entry Package</v>
      </c>
      <c r="V749" s="65" t="str">
        <f>INDEX(SP_AcqTract_DB[WCAD Tax Parcel ID],MATCH(SP_ACQ_Lib[[#This Row],[Acquisition Tract No.]],SP_AcqTract_DB[Acquisition Tract No.],0))</f>
        <v>R018697;#147</v>
      </c>
      <c r="W749" s="48" t="str">
        <f>INDEX(SP_TaxPar_DB[Acquisition Tract No.],MATCH(LEFT(SP_ACQ_Lib[[#This Row],[Tax Parcel ID]],7),SP_TaxPar_DB[Tax Parcel ID],0))</f>
        <v>T072</v>
      </c>
      <c r="X749" s="238" t="str">
        <f>IF(OR(SP_ACQ_Lib[[#This Row],[Acquisition Tract No.]]="",SP_ACQ_Lib[[#This Row],[ACQ Document Type]]=""),0,CONCATENATE("COW-FRMP_TR-",SP_ACQ_Lib[[#This Row],[Acquisition Tract No.]]," ",SP_ACQ_Lib[[#This Row],[ACQ Document Type]]))</f>
        <v>COW-FRMP_TR-T072 ROE Right-of-Entry Package</v>
      </c>
      <c r="Y749" s="239">
        <f>IF(OR(SP_ACQ_Lib[[#This Row],[File Name Convention]]=0,LEFT(SP_ACQ_Lib[[#This Row],[Name]],LEN(SP_ACQ_Lib[[#This Row],[File Name Convention]]))&lt;&gt;SP_ACQ_Lib[[#This Row],[File Name Convention]],ISERROR(SEARCH(SP_ACQ_Lib[[#This Row],[ACQ Document Type]],SP_ACQ_Lib[[#This Row],[Name]]))),1,0)</f>
        <v>0</v>
      </c>
    </row>
    <row r="750" spans="1:25" ht="15" x14ac:dyDescent="0.2">
      <c r="A750" s="157" t="str">
        <f>CONCATENATE(SP_ACQ_Lib[[#This Row],[Acquisition Tract No.]],"_",SP_ACQ_Lib[[#This Row],[ACQ Document Type]])</f>
        <v>T072_TITLE Tax Card</v>
      </c>
      <c r="B750" s="14" t="s">
        <v>5406</v>
      </c>
      <c r="C750" s="193" t="s">
        <v>5271</v>
      </c>
      <c r="D750" s="12" t="s">
        <v>2937</v>
      </c>
      <c r="E750" s="8" t="s">
        <v>861</v>
      </c>
      <c r="F750" s="8" t="s">
        <v>1150</v>
      </c>
      <c r="G750" s="8" t="s">
        <v>1149</v>
      </c>
      <c r="H750" s="7" t="s">
        <v>592</v>
      </c>
      <c r="I750" s="16"/>
      <c r="J750" s="16"/>
      <c r="K750" s="17"/>
      <c r="L750" s="3"/>
      <c r="M750" s="8" t="s">
        <v>4206</v>
      </c>
      <c r="N750" s="11">
        <v>43979.413090277776</v>
      </c>
      <c r="O750" s="8" t="s">
        <v>4206</v>
      </c>
      <c r="P750" s="11">
        <v>43979.392511574071</v>
      </c>
      <c r="Q750" s="13">
        <v>686654</v>
      </c>
      <c r="R750" s="194" t="s">
        <v>594</v>
      </c>
      <c r="S750" s="14" t="s">
        <v>5499</v>
      </c>
      <c r="T750" s="163">
        <v>1057</v>
      </c>
      <c r="U750" s="164" t="str">
        <f>CONCATENATE(LEFT(SP_ACQ_Lib[[#This Row],[Tax Parcel ID]],7),"_",SP_ACQ_Lib[[#This Row],[ACQ Document Type]])</f>
        <v>R018697_TITLE Tax Card</v>
      </c>
      <c r="V750" s="65" t="str">
        <f>INDEX(SP_AcqTract_DB[WCAD Tax Parcel ID],MATCH(SP_ACQ_Lib[[#This Row],[Acquisition Tract No.]],SP_AcqTract_DB[Acquisition Tract No.],0))</f>
        <v>R018697;#147</v>
      </c>
      <c r="W750" s="48" t="str">
        <f>INDEX(SP_TaxPar_DB[Acquisition Tract No.],MATCH(LEFT(SP_ACQ_Lib[[#This Row],[Tax Parcel ID]],7),SP_TaxPar_DB[Tax Parcel ID],0))</f>
        <v>T072</v>
      </c>
      <c r="X750" s="238" t="str">
        <f>IF(OR(SP_ACQ_Lib[[#This Row],[Acquisition Tract No.]]="",SP_ACQ_Lib[[#This Row],[ACQ Document Type]]=""),0,CONCATENATE("COW-FRMP_TR-",SP_ACQ_Lib[[#This Row],[Acquisition Tract No.]]," ",SP_ACQ_Lib[[#This Row],[ACQ Document Type]]))</f>
        <v>COW-FRMP_TR-T072 TITLE Tax Card</v>
      </c>
      <c r="Y750" s="239">
        <f>IF(OR(SP_ACQ_Lib[[#This Row],[File Name Convention]]=0,LEFT(SP_ACQ_Lib[[#This Row],[Name]],LEN(SP_ACQ_Lib[[#This Row],[File Name Convention]]))&lt;&gt;SP_ACQ_Lib[[#This Row],[File Name Convention]],ISERROR(SEARCH(SP_ACQ_Lib[[#This Row],[ACQ Document Type]],SP_ACQ_Lib[[#This Row],[Name]]))),1,0)</f>
        <v>0</v>
      </c>
    </row>
    <row r="751" spans="1:25" ht="15" x14ac:dyDescent="0.2">
      <c r="A751" s="157" t="str">
        <f>CONCATENATE(SP_ACQ_Lib[[#This Row],[Acquisition Tract No.]],"_",SP_ACQ_Lib[[#This Row],[ACQ Document Type]])</f>
        <v>T091_CONTACT Negotiator Report</v>
      </c>
      <c r="B751" s="14" t="s">
        <v>5826</v>
      </c>
      <c r="C751" s="193" t="s">
        <v>5253</v>
      </c>
      <c r="D751" s="12" t="s">
        <v>2989</v>
      </c>
      <c r="E751" s="8" t="s">
        <v>865</v>
      </c>
      <c r="F751" s="8" t="s">
        <v>1068</v>
      </c>
      <c r="G751" s="8" t="s">
        <v>1067</v>
      </c>
      <c r="H751" s="7" t="s">
        <v>592</v>
      </c>
      <c r="I751" s="16"/>
      <c r="J751" s="16"/>
      <c r="K751" s="17"/>
      <c r="L751" s="3"/>
      <c r="M751" s="8" t="s">
        <v>6483</v>
      </c>
      <c r="N751" s="11">
        <v>44019.601423611108</v>
      </c>
      <c r="O751" s="8" t="s">
        <v>5648</v>
      </c>
      <c r="P751" s="11">
        <v>43990.325995370367</v>
      </c>
      <c r="Q751" s="13">
        <v>61984</v>
      </c>
      <c r="R751" s="194" t="s">
        <v>594</v>
      </c>
      <c r="S751" s="14" t="s">
        <v>5835</v>
      </c>
      <c r="T751" s="163">
        <v>1146</v>
      </c>
      <c r="U751" s="164" t="str">
        <f>CONCATENATE(LEFT(SP_ACQ_Lib[[#This Row],[Tax Parcel ID]],7),"_",SP_ACQ_Lib[[#This Row],[ACQ Document Type]])</f>
        <v>R022826_CONTACT Negotiator Report</v>
      </c>
      <c r="V751" s="65" t="str">
        <f>INDEX(SP_AcqTract_DB[WCAD Tax Parcel ID],MATCH(SP_ACQ_Lib[[#This Row],[Acquisition Tract No.]],SP_AcqTract_DB[Acquisition Tract No.],0))</f>
        <v>R022826;#159</v>
      </c>
      <c r="W751" s="48" t="str">
        <f>INDEX(SP_TaxPar_DB[Acquisition Tract No.],MATCH(LEFT(SP_ACQ_Lib[[#This Row],[Tax Parcel ID]],7),SP_TaxPar_DB[Tax Parcel ID],0))</f>
        <v>T091</v>
      </c>
      <c r="X751" s="238" t="str">
        <f>IF(OR(SP_ACQ_Lib[[#This Row],[Acquisition Tract No.]]="",SP_ACQ_Lib[[#This Row],[ACQ Document Type]]=""),0,CONCATENATE("COW-FRMP_TR-",SP_ACQ_Lib[[#This Row],[Acquisition Tract No.]]," ",SP_ACQ_Lib[[#This Row],[ACQ Document Type]]))</f>
        <v>COW-FRMP_TR-T091 CONTACT Negotiator Report</v>
      </c>
      <c r="Y751" s="239">
        <f>IF(OR(SP_ACQ_Lib[[#This Row],[File Name Convention]]=0,LEFT(SP_ACQ_Lib[[#This Row],[Name]],LEN(SP_ACQ_Lib[[#This Row],[File Name Convention]]))&lt;&gt;SP_ACQ_Lib[[#This Row],[File Name Convention]],ISERROR(SEARCH(SP_ACQ_Lib[[#This Row],[ACQ Document Type]],SP_ACQ_Lib[[#This Row],[Name]]))),1,0)</f>
        <v>0</v>
      </c>
    </row>
    <row r="752" spans="1:25" ht="15" x14ac:dyDescent="0.2">
      <c r="A752" s="157" t="str">
        <f>CONCATENATE(SP_ACQ_Lib[[#This Row],[Acquisition Tract No.]],"_",SP_ACQ_Lib[[#This Row],[ACQ Document Type]])</f>
        <v>T091_ENVIRONMENTAL Right-of-Entry Package</v>
      </c>
      <c r="B752" s="14" t="s">
        <v>5561</v>
      </c>
      <c r="C752" s="193" t="s">
        <v>5253</v>
      </c>
      <c r="D752" s="12" t="s">
        <v>2989</v>
      </c>
      <c r="E752" s="8" t="s">
        <v>2682</v>
      </c>
      <c r="F752" s="8" t="s">
        <v>2687</v>
      </c>
      <c r="G752" s="8" t="s">
        <v>2686</v>
      </c>
      <c r="H752" s="7" t="s">
        <v>592</v>
      </c>
      <c r="I752" s="16">
        <v>43845</v>
      </c>
      <c r="J752" s="16">
        <v>43852</v>
      </c>
      <c r="K752" s="17"/>
      <c r="L752" s="3"/>
      <c r="M752" s="8" t="s">
        <v>4206</v>
      </c>
      <c r="N752" s="11">
        <v>43983.597893518519</v>
      </c>
      <c r="O752" s="8" t="s">
        <v>4206</v>
      </c>
      <c r="P752" s="11">
        <v>43971.419907407406</v>
      </c>
      <c r="Q752" s="13">
        <v>996347</v>
      </c>
      <c r="R752" s="194" t="s">
        <v>594</v>
      </c>
      <c r="S752" s="14" t="s">
        <v>5148</v>
      </c>
      <c r="T752" s="163">
        <v>895</v>
      </c>
      <c r="U752" s="164" t="str">
        <f>CONCATENATE(LEFT(SP_ACQ_Lib[[#This Row],[Tax Parcel ID]],7),"_",SP_ACQ_Lib[[#This Row],[ACQ Document Type]])</f>
        <v>R022826_ENVIRONMENTAL Right-of-Entry Package</v>
      </c>
      <c r="V752" s="65" t="str">
        <f>INDEX(SP_AcqTract_DB[WCAD Tax Parcel ID],MATCH(SP_ACQ_Lib[[#This Row],[Acquisition Tract No.]],SP_AcqTract_DB[Acquisition Tract No.],0))</f>
        <v>R022826;#159</v>
      </c>
      <c r="W752" s="48" t="str">
        <f>INDEX(SP_TaxPar_DB[Acquisition Tract No.],MATCH(LEFT(SP_ACQ_Lib[[#This Row],[Tax Parcel ID]],7),SP_TaxPar_DB[Tax Parcel ID],0))</f>
        <v>T091</v>
      </c>
      <c r="X752" s="238" t="str">
        <f>IF(OR(SP_ACQ_Lib[[#This Row],[Acquisition Tract No.]]="",SP_ACQ_Lib[[#This Row],[ACQ Document Type]]=""),0,CONCATENATE("COW-FRMP_TR-",SP_ACQ_Lib[[#This Row],[Acquisition Tract No.]]," ",SP_ACQ_Lib[[#This Row],[ACQ Document Type]]))</f>
        <v>COW-FRMP_TR-T091 ENVIRONMENTAL Right-of-Entry Package</v>
      </c>
      <c r="Y752" s="239">
        <f>IF(OR(SP_ACQ_Lib[[#This Row],[File Name Convention]]=0,LEFT(SP_ACQ_Lib[[#This Row],[Name]],LEN(SP_ACQ_Lib[[#This Row],[File Name Convention]]))&lt;&gt;SP_ACQ_Lib[[#This Row],[File Name Convention]],ISERROR(SEARCH(SP_ACQ_Lib[[#This Row],[ACQ Document Type]],SP_ACQ_Lib[[#This Row],[Name]]))),1,0)</f>
        <v>0</v>
      </c>
    </row>
    <row r="753" spans="1:25" ht="15" x14ac:dyDescent="0.2">
      <c r="A753" s="157" t="str">
        <f>CONCATENATE(SP_ACQ_Lib[[#This Row],[Acquisition Tract No.]],"_",SP_ACQ_Lib[[#This Row],[ACQ Document Type]])</f>
        <v>T091_ROE Right-of-Entry Package</v>
      </c>
      <c r="B753" s="14" t="s">
        <v>5668</v>
      </c>
      <c r="C753" s="193" t="s">
        <v>5253</v>
      </c>
      <c r="D753" s="12" t="s">
        <v>2989</v>
      </c>
      <c r="E753" s="8" t="s">
        <v>1146</v>
      </c>
      <c r="F753" s="8" t="s">
        <v>2687</v>
      </c>
      <c r="G753" s="8" t="s">
        <v>5659</v>
      </c>
      <c r="H753" s="7" t="s">
        <v>592</v>
      </c>
      <c r="I753" s="16">
        <v>43984</v>
      </c>
      <c r="J753" s="16"/>
      <c r="K753" s="17"/>
      <c r="L753" s="3"/>
      <c r="M753" s="8" t="s">
        <v>4206</v>
      </c>
      <c r="N753" s="11">
        <v>43985.514733796299</v>
      </c>
      <c r="O753" s="8" t="s">
        <v>4206</v>
      </c>
      <c r="P753" s="11">
        <v>43985.509872685187</v>
      </c>
      <c r="Q753" s="13">
        <v>1078385</v>
      </c>
      <c r="R753" s="194" t="s">
        <v>594</v>
      </c>
      <c r="S753" s="14" t="s">
        <v>5692</v>
      </c>
      <c r="T753" s="163">
        <v>1094</v>
      </c>
      <c r="U753" s="164" t="str">
        <f>CONCATENATE(LEFT(SP_ACQ_Lib[[#This Row],[Tax Parcel ID]],7),"_",SP_ACQ_Lib[[#This Row],[ACQ Document Type]])</f>
        <v>R022826_ROE Right-of-Entry Package</v>
      </c>
      <c r="V753" s="65" t="str">
        <f>INDEX(SP_AcqTract_DB[WCAD Tax Parcel ID],MATCH(SP_ACQ_Lib[[#This Row],[Acquisition Tract No.]],SP_AcqTract_DB[Acquisition Tract No.],0))</f>
        <v>R022826;#159</v>
      </c>
      <c r="W753" s="48" t="str">
        <f>INDEX(SP_TaxPar_DB[Acquisition Tract No.],MATCH(LEFT(SP_ACQ_Lib[[#This Row],[Tax Parcel ID]],7),SP_TaxPar_DB[Tax Parcel ID],0))</f>
        <v>T091</v>
      </c>
      <c r="X753" s="238" t="str">
        <f>IF(OR(SP_ACQ_Lib[[#This Row],[Acquisition Tract No.]]="",SP_ACQ_Lib[[#This Row],[ACQ Document Type]]=""),0,CONCATENATE("COW-FRMP_TR-",SP_ACQ_Lib[[#This Row],[Acquisition Tract No.]]," ",SP_ACQ_Lib[[#This Row],[ACQ Document Type]]))</f>
        <v>COW-FRMP_TR-T091 ROE Right-of-Entry Package</v>
      </c>
      <c r="Y753" s="239">
        <f>IF(OR(SP_ACQ_Lib[[#This Row],[File Name Convention]]=0,LEFT(SP_ACQ_Lib[[#This Row],[Name]],LEN(SP_ACQ_Lib[[#This Row],[File Name Convention]]))&lt;&gt;SP_ACQ_Lib[[#This Row],[File Name Convention]],ISERROR(SEARCH(SP_ACQ_Lib[[#This Row],[ACQ Document Type]],SP_ACQ_Lib[[#This Row],[Name]]))),1,0)</f>
        <v>0</v>
      </c>
    </row>
    <row r="754" spans="1:25" ht="15" x14ac:dyDescent="0.2">
      <c r="A754" s="157" t="str">
        <f>CONCATENATE(SP_ACQ_Lib[[#This Row],[Acquisition Tract No.]],"_",SP_ACQ_Lib[[#This Row],[ACQ Document Type]])</f>
        <v>T091_TITLE Tax Card</v>
      </c>
      <c r="B754" s="14" t="s">
        <v>5562</v>
      </c>
      <c r="C754" s="193" t="s">
        <v>5253</v>
      </c>
      <c r="D754" s="12" t="s">
        <v>2989</v>
      </c>
      <c r="E754" s="8" t="s">
        <v>861</v>
      </c>
      <c r="F754" s="8" t="s">
        <v>1150</v>
      </c>
      <c r="G754" s="8" t="s">
        <v>1149</v>
      </c>
      <c r="H754" s="7" t="s">
        <v>592</v>
      </c>
      <c r="I754" s="16"/>
      <c r="J754" s="16"/>
      <c r="K754" s="17"/>
      <c r="L754" s="3"/>
      <c r="M754" s="8" t="s">
        <v>4206</v>
      </c>
      <c r="N754" s="11">
        <v>43983.531388888892</v>
      </c>
      <c r="O754" s="8" t="s">
        <v>4206</v>
      </c>
      <c r="P754" s="11">
        <v>43971.419930555552</v>
      </c>
      <c r="Q754" s="13">
        <v>746126</v>
      </c>
      <c r="R754" s="194" t="s">
        <v>594</v>
      </c>
      <c r="S754" s="14" t="s">
        <v>5149</v>
      </c>
      <c r="T754" s="163">
        <v>896</v>
      </c>
      <c r="U754" s="164" t="str">
        <f>CONCATENATE(LEFT(SP_ACQ_Lib[[#This Row],[Tax Parcel ID]],7),"_",SP_ACQ_Lib[[#This Row],[ACQ Document Type]])</f>
        <v>R022826_TITLE Tax Card</v>
      </c>
      <c r="V754" s="65" t="str">
        <f>INDEX(SP_AcqTract_DB[WCAD Tax Parcel ID],MATCH(SP_ACQ_Lib[[#This Row],[Acquisition Tract No.]],SP_AcqTract_DB[Acquisition Tract No.],0))</f>
        <v>R022826;#159</v>
      </c>
      <c r="W754" s="48" t="str">
        <f>INDEX(SP_TaxPar_DB[Acquisition Tract No.],MATCH(LEFT(SP_ACQ_Lib[[#This Row],[Tax Parcel ID]],7),SP_TaxPar_DB[Tax Parcel ID],0))</f>
        <v>T091</v>
      </c>
      <c r="X754" s="238" t="str">
        <f>IF(OR(SP_ACQ_Lib[[#This Row],[Acquisition Tract No.]]="",SP_ACQ_Lib[[#This Row],[ACQ Document Type]]=""),0,CONCATENATE("COW-FRMP_TR-",SP_ACQ_Lib[[#This Row],[Acquisition Tract No.]]," ",SP_ACQ_Lib[[#This Row],[ACQ Document Type]]))</f>
        <v>COW-FRMP_TR-T091 TITLE Tax Card</v>
      </c>
      <c r="Y754" s="239">
        <f>IF(OR(SP_ACQ_Lib[[#This Row],[File Name Convention]]=0,LEFT(SP_ACQ_Lib[[#This Row],[Name]],LEN(SP_ACQ_Lib[[#This Row],[File Name Convention]]))&lt;&gt;SP_ACQ_Lib[[#This Row],[File Name Convention]],ISERROR(SEARCH(SP_ACQ_Lib[[#This Row],[ACQ Document Type]],SP_ACQ_Lib[[#This Row],[Name]]))),1,0)</f>
        <v>0</v>
      </c>
    </row>
    <row r="755" spans="1:25" ht="15" x14ac:dyDescent="0.2">
      <c r="A755" s="157" t="str">
        <f>CONCATENATE(SP_ACQ_Lib[[#This Row],[Acquisition Tract No.]],"_",SP_ACQ_Lib[[#This Row],[ACQ Document Type]])</f>
        <v>T157_CONTACT Negotiator Report</v>
      </c>
      <c r="B755" s="14" t="s">
        <v>5407</v>
      </c>
      <c r="C755" s="15" t="s">
        <v>5254</v>
      </c>
      <c r="D755" s="12" t="s">
        <v>3204</v>
      </c>
      <c r="E755" s="8" t="s">
        <v>865</v>
      </c>
      <c r="F755" s="8" t="s">
        <v>1068</v>
      </c>
      <c r="G755" s="8" t="s">
        <v>1067</v>
      </c>
      <c r="H755" s="7" t="s">
        <v>592</v>
      </c>
      <c r="I755" s="16"/>
      <c r="J755" s="16"/>
      <c r="K755" s="17"/>
      <c r="L755" s="3"/>
      <c r="M755" s="8" t="s">
        <v>1744</v>
      </c>
      <c r="N755" s="11">
        <v>44011.501469907409</v>
      </c>
      <c r="O755" s="8" t="s">
        <v>4206</v>
      </c>
      <c r="P755" s="11">
        <v>43971.419942129629</v>
      </c>
      <c r="Q755" s="13">
        <v>43534</v>
      </c>
      <c r="R755" s="19" t="s">
        <v>594</v>
      </c>
      <c r="S755" s="14" t="s">
        <v>5232</v>
      </c>
      <c r="T755" s="163">
        <v>897</v>
      </c>
      <c r="U755" s="164" t="str">
        <f>CONCATENATE(LEFT(SP_ACQ_Lib[[#This Row],[Tax Parcel ID]],7),"_",SP_ACQ_Lib[[#This Row],[ACQ Document Type]])</f>
        <v>R026596_CONTACT Negotiator Report</v>
      </c>
      <c r="V755" s="65" t="str">
        <f>INDEX(SP_AcqTract_DB[WCAD Tax Parcel ID],MATCH(SP_ACQ_Lib[[#This Row],[Acquisition Tract No.]],SP_AcqTract_DB[Acquisition Tract No.],0))</f>
        <v>R026596;#209</v>
      </c>
      <c r="W755" s="48" t="str">
        <f>INDEX(SP_TaxPar_DB[Acquisition Tract No.],MATCH(LEFT(SP_ACQ_Lib[[#This Row],[Tax Parcel ID]],7),SP_TaxPar_DB[Tax Parcel ID],0))</f>
        <v>T157</v>
      </c>
      <c r="X755" s="238" t="str">
        <f>IF(OR(SP_ACQ_Lib[[#This Row],[Acquisition Tract No.]]="",SP_ACQ_Lib[[#This Row],[ACQ Document Type]]=""),0,CONCATENATE("COW-FRMP_TR-",SP_ACQ_Lib[[#This Row],[Acquisition Tract No.]]," ",SP_ACQ_Lib[[#This Row],[ACQ Document Type]]))</f>
        <v>COW-FRMP_TR-T157 CONTACT Negotiator Report</v>
      </c>
      <c r="Y755" s="239">
        <f>IF(OR(SP_ACQ_Lib[[#This Row],[File Name Convention]]=0,LEFT(SP_ACQ_Lib[[#This Row],[Name]],LEN(SP_ACQ_Lib[[#This Row],[File Name Convention]]))&lt;&gt;SP_ACQ_Lib[[#This Row],[File Name Convention]],ISERROR(SEARCH(SP_ACQ_Lib[[#This Row],[ACQ Document Type]],SP_ACQ_Lib[[#This Row],[Name]]))),1,0)</f>
        <v>0</v>
      </c>
    </row>
    <row r="756" spans="1:25" ht="15" x14ac:dyDescent="0.2">
      <c r="A756" s="157" t="str">
        <f>CONCATENATE(SP_ACQ_Lib[[#This Row],[Acquisition Tract No.]],"_",SP_ACQ_Lib[[#This Row],[ACQ Document Type]])</f>
        <v>T157_CONTACT Negotiator Report</v>
      </c>
      <c r="B756" s="14" t="s">
        <v>6338</v>
      </c>
      <c r="C756" s="15" t="s">
        <v>5254</v>
      </c>
      <c r="D756" s="12" t="s">
        <v>3204</v>
      </c>
      <c r="E756" s="8" t="s">
        <v>865</v>
      </c>
      <c r="F756" s="8" t="s">
        <v>1068</v>
      </c>
      <c r="G756" s="8" t="s">
        <v>1067</v>
      </c>
      <c r="H756" s="7" t="s">
        <v>592</v>
      </c>
      <c r="I756" s="16"/>
      <c r="J756" s="16"/>
      <c r="K756" s="17"/>
      <c r="L756" s="3"/>
      <c r="M756" s="8" t="s">
        <v>1744</v>
      </c>
      <c r="N756" s="11">
        <v>43999.739016203705</v>
      </c>
      <c r="O756" s="8" t="s">
        <v>1744</v>
      </c>
      <c r="P756" s="11">
        <v>43999.739016203705</v>
      </c>
      <c r="Q756" s="13">
        <v>46349</v>
      </c>
      <c r="R756" s="19" t="s">
        <v>594</v>
      </c>
      <c r="S756" s="14" t="s">
        <v>6407</v>
      </c>
      <c r="T756" s="163">
        <v>1223</v>
      </c>
      <c r="U756" s="164" t="str">
        <f>CONCATENATE(LEFT(SP_ACQ_Lib[[#This Row],[Tax Parcel ID]],7),"_",SP_ACQ_Lib[[#This Row],[ACQ Document Type]])</f>
        <v>R026596_CONTACT Negotiator Report</v>
      </c>
      <c r="V756" s="65" t="str">
        <f>INDEX(SP_AcqTract_DB[WCAD Tax Parcel ID],MATCH(SP_ACQ_Lib[[#This Row],[Acquisition Tract No.]],SP_AcqTract_DB[Acquisition Tract No.],0))</f>
        <v>R026596;#209</v>
      </c>
      <c r="W756" s="48" t="str">
        <f>INDEX(SP_TaxPar_DB[Acquisition Tract No.],MATCH(LEFT(SP_ACQ_Lib[[#This Row],[Tax Parcel ID]],7),SP_TaxPar_DB[Tax Parcel ID],0))</f>
        <v>T157</v>
      </c>
      <c r="X756" s="238" t="str">
        <f>IF(OR(SP_ACQ_Lib[[#This Row],[Acquisition Tract No.]]="",SP_ACQ_Lib[[#This Row],[ACQ Document Type]]=""),0,CONCATENATE("COW-FRMP_TR-",SP_ACQ_Lib[[#This Row],[Acquisition Tract No.]]," ",SP_ACQ_Lib[[#This Row],[ACQ Document Type]]))</f>
        <v>COW-FRMP_TR-T157 CONTACT Negotiator Report</v>
      </c>
      <c r="Y756" s="239">
        <f>IF(OR(SP_ACQ_Lib[[#This Row],[File Name Convention]]=0,LEFT(SP_ACQ_Lib[[#This Row],[Name]],LEN(SP_ACQ_Lib[[#This Row],[File Name Convention]]))&lt;&gt;SP_ACQ_Lib[[#This Row],[File Name Convention]],ISERROR(SEARCH(SP_ACQ_Lib[[#This Row],[ACQ Document Type]],SP_ACQ_Lib[[#This Row],[Name]]))),1,0)</f>
        <v>1</v>
      </c>
    </row>
    <row r="757" spans="1:25" ht="15" x14ac:dyDescent="0.2">
      <c r="A757" s="157" t="str">
        <f>CONCATENATE(SP_ACQ_Lib[[#This Row],[Acquisition Tract No.]],"_",SP_ACQ_Lib[[#This Row],[ACQ Document Type]])</f>
        <v>T157_ENVIRONMENTAL Right-of-Entry Package</v>
      </c>
      <c r="B757" s="14" t="s">
        <v>5563</v>
      </c>
      <c r="C757" s="15" t="s">
        <v>5254</v>
      </c>
      <c r="D757" s="12" t="s">
        <v>3204</v>
      </c>
      <c r="E757" s="8" t="s">
        <v>2682</v>
      </c>
      <c r="F757" s="8" t="s">
        <v>2687</v>
      </c>
      <c r="G757" s="8" t="s">
        <v>2686</v>
      </c>
      <c r="H757" s="7" t="s">
        <v>592</v>
      </c>
      <c r="I757" s="16">
        <v>43846</v>
      </c>
      <c r="J757" s="16">
        <v>43851</v>
      </c>
      <c r="K757" s="17"/>
      <c r="L757" s="3"/>
      <c r="M757" s="8" t="s">
        <v>4206</v>
      </c>
      <c r="N757" s="11">
        <v>43983.597893518519</v>
      </c>
      <c r="O757" s="8" t="s">
        <v>4206</v>
      </c>
      <c r="P757" s="11">
        <v>43971.419953703706</v>
      </c>
      <c r="Q757" s="13">
        <v>939587</v>
      </c>
      <c r="R757" s="19" t="s">
        <v>594</v>
      </c>
      <c r="S757" s="14" t="s">
        <v>5150</v>
      </c>
      <c r="T757" s="163">
        <v>898</v>
      </c>
      <c r="U757" s="164" t="str">
        <f>CONCATENATE(LEFT(SP_ACQ_Lib[[#This Row],[Tax Parcel ID]],7),"_",SP_ACQ_Lib[[#This Row],[ACQ Document Type]])</f>
        <v>R026596_ENVIRONMENTAL Right-of-Entry Package</v>
      </c>
      <c r="V757" s="65" t="str">
        <f>INDEX(SP_AcqTract_DB[WCAD Tax Parcel ID],MATCH(SP_ACQ_Lib[[#This Row],[Acquisition Tract No.]],SP_AcqTract_DB[Acquisition Tract No.],0))</f>
        <v>R026596;#209</v>
      </c>
      <c r="W757" s="48" t="str">
        <f>INDEX(SP_TaxPar_DB[Acquisition Tract No.],MATCH(LEFT(SP_ACQ_Lib[[#This Row],[Tax Parcel ID]],7),SP_TaxPar_DB[Tax Parcel ID],0))</f>
        <v>T157</v>
      </c>
      <c r="X757" s="238" t="str">
        <f>IF(OR(SP_ACQ_Lib[[#This Row],[Acquisition Tract No.]]="",SP_ACQ_Lib[[#This Row],[ACQ Document Type]]=""),0,CONCATENATE("COW-FRMP_TR-",SP_ACQ_Lib[[#This Row],[Acquisition Tract No.]]," ",SP_ACQ_Lib[[#This Row],[ACQ Document Type]]))</f>
        <v>COW-FRMP_TR-T157 ENVIRONMENTAL Right-of-Entry Package</v>
      </c>
      <c r="Y757" s="239">
        <f>IF(OR(SP_ACQ_Lib[[#This Row],[File Name Convention]]=0,LEFT(SP_ACQ_Lib[[#This Row],[Name]],LEN(SP_ACQ_Lib[[#This Row],[File Name Convention]]))&lt;&gt;SP_ACQ_Lib[[#This Row],[File Name Convention]],ISERROR(SEARCH(SP_ACQ_Lib[[#This Row],[ACQ Document Type]],SP_ACQ_Lib[[#This Row],[Name]]))),1,0)</f>
        <v>0</v>
      </c>
    </row>
    <row r="758" spans="1:25" ht="15" x14ac:dyDescent="0.2">
      <c r="A758" s="157" t="str">
        <f>CONCATENATE(SP_ACQ_Lib[[#This Row],[Acquisition Tract No.]],"_",SP_ACQ_Lib[[#This Row],[ACQ Document Type]])</f>
        <v>T157_ROE Right-of-Entry Package</v>
      </c>
      <c r="B758" s="14" t="s">
        <v>5669</v>
      </c>
      <c r="C758" s="15" t="s">
        <v>5254</v>
      </c>
      <c r="D758" s="12" t="s">
        <v>3204</v>
      </c>
      <c r="E758" s="8" t="s">
        <v>1146</v>
      </c>
      <c r="F758" s="8" t="s">
        <v>2687</v>
      </c>
      <c r="G758" s="8" t="s">
        <v>5659</v>
      </c>
      <c r="H758" s="7" t="s">
        <v>592</v>
      </c>
      <c r="I758" s="16">
        <v>43984</v>
      </c>
      <c r="J758" s="16"/>
      <c r="K758" s="17"/>
      <c r="L758" s="3"/>
      <c r="M758" s="8" t="s">
        <v>4206</v>
      </c>
      <c r="N758" s="11">
        <v>43985.516273148147</v>
      </c>
      <c r="O758" s="8" t="s">
        <v>4206</v>
      </c>
      <c r="P758" s="11">
        <v>43985.50990740741</v>
      </c>
      <c r="Q758" s="13">
        <v>1108501</v>
      </c>
      <c r="R758" s="19" t="s">
        <v>594</v>
      </c>
      <c r="S758" s="14" t="s">
        <v>5693</v>
      </c>
      <c r="T758" s="163">
        <v>1095</v>
      </c>
      <c r="U758" s="164" t="str">
        <f>CONCATENATE(LEFT(SP_ACQ_Lib[[#This Row],[Tax Parcel ID]],7),"_",SP_ACQ_Lib[[#This Row],[ACQ Document Type]])</f>
        <v>R026596_ROE Right-of-Entry Package</v>
      </c>
      <c r="V758" s="65" t="str">
        <f>INDEX(SP_AcqTract_DB[WCAD Tax Parcel ID],MATCH(SP_ACQ_Lib[[#This Row],[Acquisition Tract No.]],SP_AcqTract_DB[Acquisition Tract No.],0))</f>
        <v>R026596;#209</v>
      </c>
      <c r="W758" s="48" t="str">
        <f>INDEX(SP_TaxPar_DB[Acquisition Tract No.],MATCH(LEFT(SP_ACQ_Lib[[#This Row],[Tax Parcel ID]],7),SP_TaxPar_DB[Tax Parcel ID],0))</f>
        <v>T157</v>
      </c>
      <c r="X758" s="238" t="str">
        <f>IF(OR(SP_ACQ_Lib[[#This Row],[Acquisition Tract No.]]="",SP_ACQ_Lib[[#This Row],[ACQ Document Type]]=""),0,CONCATENATE("COW-FRMP_TR-",SP_ACQ_Lib[[#This Row],[Acquisition Tract No.]]," ",SP_ACQ_Lib[[#This Row],[ACQ Document Type]]))</f>
        <v>COW-FRMP_TR-T157 ROE Right-of-Entry Package</v>
      </c>
      <c r="Y758" s="239">
        <f>IF(OR(SP_ACQ_Lib[[#This Row],[File Name Convention]]=0,LEFT(SP_ACQ_Lib[[#This Row],[Name]],LEN(SP_ACQ_Lib[[#This Row],[File Name Convention]]))&lt;&gt;SP_ACQ_Lib[[#This Row],[File Name Convention]],ISERROR(SEARCH(SP_ACQ_Lib[[#This Row],[ACQ Document Type]],SP_ACQ_Lib[[#This Row],[Name]]))),1,0)</f>
        <v>0</v>
      </c>
    </row>
    <row r="759" spans="1:25" ht="15" x14ac:dyDescent="0.2">
      <c r="A759" s="157" t="str">
        <f>CONCATENATE(SP_ACQ_Lib[[#This Row],[Acquisition Tract No.]],"_",SP_ACQ_Lib[[#This Row],[ACQ Document Type]])</f>
        <v>T157_TITLE Tax Card</v>
      </c>
      <c r="B759" s="14" t="s">
        <v>5564</v>
      </c>
      <c r="C759" s="15" t="s">
        <v>5254</v>
      </c>
      <c r="D759" s="12" t="s">
        <v>3204</v>
      </c>
      <c r="E759" s="8" t="s">
        <v>861</v>
      </c>
      <c r="F759" s="8" t="s">
        <v>1150</v>
      </c>
      <c r="G759" s="8" t="s">
        <v>1149</v>
      </c>
      <c r="H759" s="7" t="s">
        <v>592</v>
      </c>
      <c r="I759" s="16"/>
      <c r="J759" s="16"/>
      <c r="K759" s="17"/>
      <c r="L759" s="3"/>
      <c r="M759" s="8" t="s">
        <v>4206</v>
      </c>
      <c r="N759" s="11">
        <v>43983.531643518516</v>
      </c>
      <c r="O759" s="8" t="s">
        <v>4206</v>
      </c>
      <c r="P759" s="11">
        <v>43959.529537037037</v>
      </c>
      <c r="Q759" s="13">
        <v>691429</v>
      </c>
      <c r="R759" s="19" t="s">
        <v>594</v>
      </c>
      <c r="S759" s="14" t="s">
        <v>5066</v>
      </c>
      <c r="T759" s="163">
        <v>873</v>
      </c>
      <c r="U759" s="164" t="str">
        <f>CONCATENATE(LEFT(SP_ACQ_Lib[[#This Row],[Tax Parcel ID]],7),"_",SP_ACQ_Lib[[#This Row],[ACQ Document Type]])</f>
        <v>R026596_TITLE Tax Card</v>
      </c>
      <c r="V759" s="65" t="str">
        <f>INDEX(SP_AcqTract_DB[WCAD Tax Parcel ID],MATCH(SP_ACQ_Lib[[#This Row],[Acquisition Tract No.]],SP_AcqTract_DB[Acquisition Tract No.],0))</f>
        <v>R026596;#209</v>
      </c>
      <c r="W759" s="48" t="str">
        <f>INDEX(SP_TaxPar_DB[Acquisition Tract No.],MATCH(LEFT(SP_ACQ_Lib[[#This Row],[Tax Parcel ID]],7),SP_TaxPar_DB[Tax Parcel ID],0))</f>
        <v>T157</v>
      </c>
      <c r="X759" s="238" t="str">
        <f>IF(OR(SP_ACQ_Lib[[#This Row],[Acquisition Tract No.]]="",SP_ACQ_Lib[[#This Row],[ACQ Document Type]]=""),0,CONCATENATE("COW-FRMP_TR-",SP_ACQ_Lib[[#This Row],[Acquisition Tract No.]]," ",SP_ACQ_Lib[[#This Row],[ACQ Document Type]]))</f>
        <v>COW-FRMP_TR-T157 TITLE Tax Card</v>
      </c>
      <c r="Y759" s="239">
        <f>IF(OR(SP_ACQ_Lib[[#This Row],[File Name Convention]]=0,LEFT(SP_ACQ_Lib[[#This Row],[Name]],LEN(SP_ACQ_Lib[[#This Row],[File Name Convention]]))&lt;&gt;SP_ACQ_Lib[[#This Row],[File Name Convention]],ISERROR(SEARCH(SP_ACQ_Lib[[#This Row],[ACQ Document Type]],SP_ACQ_Lib[[#This Row],[Name]]))),1,0)</f>
        <v>0</v>
      </c>
    </row>
    <row r="760" spans="1:25" ht="15" x14ac:dyDescent="0.2">
      <c r="A760" s="157" t="str">
        <f>CONCATENATE(SP_ACQ_Lib[[#This Row],[Acquisition Tract No.]],"_",SP_ACQ_Lib[[#This Row],[ACQ Document Type]])</f>
        <v>T158_CONTACT Negotiator Report</v>
      </c>
      <c r="B760" s="14" t="s">
        <v>5408</v>
      </c>
      <c r="C760" s="245" t="s">
        <v>5275</v>
      </c>
      <c r="D760" s="12" t="s">
        <v>3205</v>
      </c>
      <c r="E760" s="8" t="s">
        <v>865</v>
      </c>
      <c r="F760" s="8" t="s">
        <v>1068</v>
      </c>
      <c r="G760" s="8" t="s">
        <v>1067</v>
      </c>
      <c r="H760" s="7" t="s">
        <v>592</v>
      </c>
      <c r="I760" s="16"/>
      <c r="J760" s="16"/>
      <c r="K760" s="17"/>
      <c r="L760" s="3"/>
      <c r="M760" s="8" t="s">
        <v>1744</v>
      </c>
      <c r="N760" s="11">
        <v>44012.31758101852</v>
      </c>
      <c r="O760" s="8" t="s">
        <v>4206</v>
      </c>
      <c r="P760" s="11">
        <v>43971.419976851852</v>
      </c>
      <c r="Q760" s="13">
        <v>1700638</v>
      </c>
      <c r="R760" s="246" t="s">
        <v>594</v>
      </c>
      <c r="S760" s="14" t="s">
        <v>5233</v>
      </c>
      <c r="T760" s="163">
        <v>899</v>
      </c>
      <c r="U760" s="164" t="str">
        <f>CONCATENATE(LEFT(SP_ACQ_Lib[[#This Row],[Tax Parcel ID]],7),"_",SP_ACQ_Lib[[#This Row],[ACQ Document Type]])</f>
        <v>R026597_CONTACT Negotiator Report</v>
      </c>
      <c r="V760" s="65" t="str">
        <f>INDEX(SP_AcqTract_DB[WCAD Tax Parcel ID],MATCH(SP_ACQ_Lib[[#This Row],[Acquisition Tract No.]],SP_AcqTract_DB[Acquisition Tract No.],0))</f>
        <v>R026597;#210</v>
      </c>
      <c r="W760" s="48" t="str">
        <f>INDEX(SP_TaxPar_DB[Acquisition Tract No.],MATCH(LEFT(SP_ACQ_Lib[[#This Row],[Tax Parcel ID]],7),SP_TaxPar_DB[Tax Parcel ID],0))</f>
        <v>T158</v>
      </c>
      <c r="X760" s="238" t="str">
        <f>IF(OR(SP_ACQ_Lib[[#This Row],[Acquisition Tract No.]]="",SP_ACQ_Lib[[#This Row],[ACQ Document Type]]=""),0,CONCATENATE("COW-FRMP_TR-",SP_ACQ_Lib[[#This Row],[Acquisition Tract No.]]," ",SP_ACQ_Lib[[#This Row],[ACQ Document Type]]))</f>
        <v>COW-FRMP_TR-T158 CONTACT Negotiator Report</v>
      </c>
      <c r="Y760" s="239">
        <f>IF(OR(SP_ACQ_Lib[[#This Row],[File Name Convention]]=0,LEFT(SP_ACQ_Lib[[#This Row],[Name]],LEN(SP_ACQ_Lib[[#This Row],[File Name Convention]]))&lt;&gt;SP_ACQ_Lib[[#This Row],[File Name Convention]],ISERROR(SEARCH(SP_ACQ_Lib[[#This Row],[ACQ Document Type]],SP_ACQ_Lib[[#This Row],[Name]]))),1,0)</f>
        <v>0</v>
      </c>
    </row>
    <row r="761" spans="1:25" ht="15" x14ac:dyDescent="0.2">
      <c r="A761" s="157" t="str">
        <f>CONCATENATE(SP_ACQ_Lib[[#This Row],[Acquisition Tract No.]],"_",SP_ACQ_Lib[[#This Row],[ACQ Document Type]])</f>
        <v>T158_CONTACT Negotiator Report</v>
      </c>
      <c r="B761" s="14" t="s">
        <v>6339</v>
      </c>
      <c r="C761" s="245" t="s">
        <v>5275</v>
      </c>
      <c r="D761" s="12" t="s">
        <v>3205</v>
      </c>
      <c r="E761" s="8" t="s">
        <v>865</v>
      </c>
      <c r="F761" s="8" t="s">
        <v>1068</v>
      </c>
      <c r="G761" s="8" t="s">
        <v>1067</v>
      </c>
      <c r="H761" s="7" t="s">
        <v>592</v>
      </c>
      <c r="I761" s="16"/>
      <c r="J761" s="16"/>
      <c r="K761" s="17"/>
      <c r="L761" s="3"/>
      <c r="M761" s="8" t="s">
        <v>1744</v>
      </c>
      <c r="N761" s="11">
        <v>43999.738587962966</v>
      </c>
      <c r="O761" s="8" t="s">
        <v>1744</v>
      </c>
      <c r="P761" s="11">
        <v>43999.738587962966</v>
      </c>
      <c r="Q761" s="13">
        <v>881883</v>
      </c>
      <c r="R761" s="246" t="s">
        <v>594</v>
      </c>
      <c r="S761" s="14" t="s">
        <v>6408</v>
      </c>
      <c r="T761" s="163">
        <v>1222</v>
      </c>
      <c r="U761" s="164" t="str">
        <f>CONCATENATE(LEFT(SP_ACQ_Lib[[#This Row],[Tax Parcel ID]],7),"_",SP_ACQ_Lib[[#This Row],[ACQ Document Type]])</f>
        <v>R026597_CONTACT Negotiator Report</v>
      </c>
      <c r="V761" s="65" t="str">
        <f>INDEX(SP_AcqTract_DB[WCAD Tax Parcel ID],MATCH(SP_ACQ_Lib[[#This Row],[Acquisition Tract No.]],SP_AcqTract_DB[Acquisition Tract No.],0))</f>
        <v>R026597;#210</v>
      </c>
      <c r="W761" s="48" t="str">
        <f>INDEX(SP_TaxPar_DB[Acquisition Tract No.],MATCH(LEFT(SP_ACQ_Lib[[#This Row],[Tax Parcel ID]],7),SP_TaxPar_DB[Tax Parcel ID],0))</f>
        <v>T158</v>
      </c>
      <c r="X761" s="238" t="str">
        <f>IF(OR(SP_ACQ_Lib[[#This Row],[Acquisition Tract No.]]="",SP_ACQ_Lib[[#This Row],[ACQ Document Type]]=""),0,CONCATENATE("COW-FRMP_TR-",SP_ACQ_Lib[[#This Row],[Acquisition Tract No.]]," ",SP_ACQ_Lib[[#This Row],[ACQ Document Type]]))</f>
        <v>COW-FRMP_TR-T158 CONTACT Negotiator Report</v>
      </c>
      <c r="Y761" s="239">
        <f>IF(OR(SP_ACQ_Lib[[#This Row],[File Name Convention]]=0,LEFT(SP_ACQ_Lib[[#This Row],[Name]],LEN(SP_ACQ_Lib[[#This Row],[File Name Convention]]))&lt;&gt;SP_ACQ_Lib[[#This Row],[File Name Convention]],ISERROR(SEARCH(SP_ACQ_Lib[[#This Row],[ACQ Document Type]],SP_ACQ_Lib[[#This Row],[Name]]))),1,0)</f>
        <v>1</v>
      </c>
    </row>
    <row r="762" spans="1:25" ht="15" x14ac:dyDescent="0.2">
      <c r="A762" s="157" t="str">
        <f>CONCATENATE(SP_ACQ_Lib[[#This Row],[Acquisition Tract No.]],"_",SP_ACQ_Lib[[#This Row],[ACQ Document Type]])</f>
        <v>T158_ENVIRONMENTAL Right-of-Entry Executed</v>
      </c>
      <c r="B762" s="14" t="s">
        <v>5565</v>
      </c>
      <c r="C762" s="245" t="s">
        <v>5275</v>
      </c>
      <c r="D762" s="12" t="s">
        <v>3205</v>
      </c>
      <c r="E762" s="8" t="s">
        <v>2682</v>
      </c>
      <c r="F762" s="8" t="s">
        <v>2683</v>
      </c>
      <c r="G762" s="8" t="s">
        <v>2681</v>
      </c>
      <c r="H762" s="7" t="s">
        <v>592</v>
      </c>
      <c r="I762" s="16">
        <v>43900</v>
      </c>
      <c r="J762" s="16"/>
      <c r="K762" s="17"/>
      <c r="L762" s="3"/>
      <c r="M762" s="8" t="s">
        <v>4206</v>
      </c>
      <c r="N762" s="11">
        <v>43983.567847222221</v>
      </c>
      <c r="O762" s="8" t="s">
        <v>4206</v>
      </c>
      <c r="P762" s="11">
        <v>43971.420023148145</v>
      </c>
      <c r="Q762" s="13">
        <v>1598364</v>
      </c>
      <c r="R762" s="246" t="s">
        <v>594</v>
      </c>
      <c r="S762" s="14" t="s">
        <v>5152</v>
      </c>
      <c r="T762" s="163">
        <v>901</v>
      </c>
      <c r="U762" s="164" t="str">
        <f>CONCATENATE(LEFT(SP_ACQ_Lib[[#This Row],[Tax Parcel ID]],7),"_",SP_ACQ_Lib[[#This Row],[ACQ Document Type]])</f>
        <v>R026597_ENVIRONMENTAL Right-of-Entry Executed</v>
      </c>
      <c r="V762" s="65" t="str">
        <f>INDEX(SP_AcqTract_DB[WCAD Tax Parcel ID],MATCH(SP_ACQ_Lib[[#This Row],[Acquisition Tract No.]],SP_AcqTract_DB[Acquisition Tract No.],0))</f>
        <v>R026597;#210</v>
      </c>
      <c r="W762" s="48" t="str">
        <f>INDEX(SP_TaxPar_DB[Acquisition Tract No.],MATCH(LEFT(SP_ACQ_Lib[[#This Row],[Tax Parcel ID]],7),SP_TaxPar_DB[Tax Parcel ID],0))</f>
        <v>T158</v>
      </c>
      <c r="X762" s="238" t="str">
        <f>IF(OR(SP_ACQ_Lib[[#This Row],[Acquisition Tract No.]]="",SP_ACQ_Lib[[#This Row],[ACQ Document Type]]=""),0,CONCATENATE("COW-FRMP_TR-",SP_ACQ_Lib[[#This Row],[Acquisition Tract No.]]," ",SP_ACQ_Lib[[#This Row],[ACQ Document Type]]))</f>
        <v>COW-FRMP_TR-T158 ENVIRONMENTAL Right-of-Entry Executed</v>
      </c>
      <c r="Y762" s="239">
        <f>IF(OR(SP_ACQ_Lib[[#This Row],[File Name Convention]]=0,LEFT(SP_ACQ_Lib[[#This Row],[Name]],LEN(SP_ACQ_Lib[[#This Row],[File Name Convention]]))&lt;&gt;SP_ACQ_Lib[[#This Row],[File Name Convention]],ISERROR(SEARCH(SP_ACQ_Lib[[#This Row],[ACQ Document Type]],SP_ACQ_Lib[[#This Row],[Name]]))),1,0)</f>
        <v>0</v>
      </c>
    </row>
    <row r="763" spans="1:25" ht="15" x14ac:dyDescent="0.2">
      <c r="A763" s="157" t="str">
        <f>CONCATENATE(SP_ACQ_Lib[[#This Row],[Acquisition Tract No.]],"_",SP_ACQ_Lib[[#This Row],[ACQ Document Type]])</f>
        <v>T158_ENVIRONMENTAL Right-of-Entry Package</v>
      </c>
      <c r="B763" s="14" t="s">
        <v>5566</v>
      </c>
      <c r="C763" s="245" t="s">
        <v>5275</v>
      </c>
      <c r="D763" s="12" t="s">
        <v>3205</v>
      </c>
      <c r="E763" s="8" t="s">
        <v>2682</v>
      </c>
      <c r="F763" s="8" t="s">
        <v>2687</v>
      </c>
      <c r="G763" s="8" t="s">
        <v>2686</v>
      </c>
      <c r="H763" s="7" t="s">
        <v>592</v>
      </c>
      <c r="I763" s="16">
        <v>43846</v>
      </c>
      <c r="J763" s="16">
        <v>43852</v>
      </c>
      <c r="K763" s="17"/>
      <c r="L763" s="3"/>
      <c r="M763" s="8" t="s">
        <v>4206</v>
      </c>
      <c r="N763" s="11">
        <v>43983.597893518519</v>
      </c>
      <c r="O763" s="8" t="s">
        <v>4206</v>
      </c>
      <c r="P763" s="11">
        <v>43971.419988425929</v>
      </c>
      <c r="Q763" s="13">
        <v>952795</v>
      </c>
      <c r="R763" s="246" t="s">
        <v>594</v>
      </c>
      <c r="S763" s="14" t="s">
        <v>5151</v>
      </c>
      <c r="T763" s="163">
        <v>900</v>
      </c>
      <c r="U763" s="164" t="str">
        <f>CONCATENATE(LEFT(SP_ACQ_Lib[[#This Row],[Tax Parcel ID]],7),"_",SP_ACQ_Lib[[#This Row],[ACQ Document Type]])</f>
        <v>R026597_ENVIRONMENTAL Right-of-Entry Package</v>
      </c>
      <c r="V763" s="65" t="str">
        <f>INDEX(SP_AcqTract_DB[WCAD Tax Parcel ID],MATCH(SP_ACQ_Lib[[#This Row],[Acquisition Tract No.]],SP_AcqTract_DB[Acquisition Tract No.],0))</f>
        <v>R026597;#210</v>
      </c>
      <c r="W763" s="48" t="str">
        <f>INDEX(SP_TaxPar_DB[Acquisition Tract No.],MATCH(LEFT(SP_ACQ_Lib[[#This Row],[Tax Parcel ID]],7),SP_TaxPar_DB[Tax Parcel ID],0))</f>
        <v>T158</v>
      </c>
      <c r="X763" s="238" t="str">
        <f>IF(OR(SP_ACQ_Lib[[#This Row],[Acquisition Tract No.]]="",SP_ACQ_Lib[[#This Row],[ACQ Document Type]]=""),0,CONCATENATE("COW-FRMP_TR-",SP_ACQ_Lib[[#This Row],[Acquisition Tract No.]]," ",SP_ACQ_Lib[[#This Row],[ACQ Document Type]]))</f>
        <v>COW-FRMP_TR-T158 ENVIRONMENTAL Right-of-Entry Package</v>
      </c>
      <c r="Y763" s="239">
        <f>IF(OR(SP_ACQ_Lib[[#This Row],[File Name Convention]]=0,LEFT(SP_ACQ_Lib[[#This Row],[Name]],LEN(SP_ACQ_Lib[[#This Row],[File Name Convention]]))&lt;&gt;SP_ACQ_Lib[[#This Row],[File Name Convention]],ISERROR(SEARCH(SP_ACQ_Lib[[#This Row],[ACQ Document Type]],SP_ACQ_Lib[[#This Row],[Name]]))),1,0)</f>
        <v>0</v>
      </c>
    </row>
    <row r="764" spans="1:25" ht="15" x14ac:dyDescent="0.2">
      <c r="A764" s="157" t="str">
        <f>CONCATENATE(SP_ACQ_Lib[[#This Row],[Acquisition Tract No.]],"_",SP_ACQ_Lib[[#This Row],[ACQ Document Type]])</f>
        <v>T158_ROE Right-of-Entry Executed</v>
      </c>
      <c r="B764" s="14" t="s">
        <v>6539</v>
      </c>
      <c r="C764" s="245" t="s">
        <v>5275</v>
      </c>
      <c r="D764" s="12" t="s">
        <v>3205</v>
      </c>
      <c r="E764" s="8" t="s">
        <v>1146</v>
      </c>
      <c r="F764" s="8" t="s">
        <v>2683</v>
      </c>
      <c r="G764" s="8" t="s">
        <v>5660</v>
      </c>
      <c r="H764" s="7" t="s">
        <v>592</v>
      </c>
      <c r="I764" s="16">
        <v>44014</v>
      </c>
      <c r="J764" s="16">
        <v>44198</v>
      </c>
      <c r="K764" s="17"/>
      <c r="L764" s="3"/>
      <c r="M764" s="8" t="s">
        <v>4206</v>
      </c>
      <c r="N764" s="11">
        <v>44018.43</v>
      </c>
      <c r="O764" s="8" t="s">
        <v>4206</v>
      </c>
      <c r="P764" s="11">
        <v>44018.426770833335</v>
      </c>
      <c r="Q764" s="13">
        <v>2038972</v>
      </c>
      <c r="R764" s="246" t="s">
        <v>594</v>
      </c>
      <c r="S764" s="14" t="s">
        <v>6603</v>
      </c>
      <c r="T764" s="163">
        <v>1332</v>
      </c>
      <c r="U764" s="164" t="str">
        <f>CONCATENATE(LEFT(SP_ACQ_Lib[[#This Row],[Tax Parcel ID]],7),"_",SP_ACQ_Lib[[#This Row],[ACQ Document Type]])</f>
        <v>R026597_ROE Right-of-Entry Executed</v>
      </c>
      <c r="V764" s="65" t="str">
        <f>INDEX(SP_AcqTract_DB[WCAD Tax Parcel ID],MATCH(SP_ACQ_Lib[[#This Row],[Acquisition Tract No.]],SP_AcqTract_DB[Acquisition Tract No.],0))</f>
        <v>R026597;#210</v>
      </c>
      <c r="W764" s="48" t="str">
        <f>INDEX(SP_TaxPar_DB[Acquisition Tract No.],MATCH(LEFT(SP_ACQ_Lib[[#This Row],[Tax Parcel ID]],7),SP_TaxPar_DB[Tax Parcel ID],0))</f>
        <v>T158</v>
      </c>
      <c r="X764" s="238" t="str">
        <f>IF(OR(SP_ACQ_Lib[[#This Row],[Acquisition Tract No.]]="",SP_ACQ_Lib[[#This Row],[ACQ Document Type]]=""),0,CONCATENATE("COW-FRMP_TR-",SP_ACQ_Lib[[#This Row],[Acquisition Tract No.]]," ",SP_ACQ_Lib[[#This Row],[ACQ Document Type]]))</f>
        <v>COW-FRMP_TR-T158 ROE Right-of-Entry Executed</v>
      </c>
      <c r="Y764" s="239">
        <f>IF(OR(SP_ACQ_Lib[[#This Row],[File Name Convention]]=0,LEFT(SP_ACQ_Lib[[#This Row],[Name]],LEN(SP_ACQ_Lib[[#This Row],[File Name Convention]]))&lt;&gt;SP_ACQ_Lib[[#This Row],[File Name Convention]],ISERROR(SEARCH(SP_ACQ_Lib[[#This Row],[ACQ Document Type]],SP_ACQ_Lib[[#This Row],[Name]]))),1,0)</f>
        <v>0</v>
      </c>
    </row>
    <row r="765" spans="1:25" ht="15" x14ac:dyDescent="0.2">
      <c r="A765" s="157" t="str">
        <f>CONCATENATE(SP_ACQ_Lib[[#This Row],[Acquisition Tract No.]],"_",SP_ACQ_Lib[[#This Row],[ACQ Document Type]])</f>
        <v>T158_ROE Right-of-Entry Package</v>
      </c>
      <c r="B765" s="14" t="s">
        <v>5670</v>
      </c>
      <c r="C765" s="245" t="s">
        <v>5275</v>
      </c>
      <c r="D765" s="12" t="s">
        <v>3205</v>
      </c>
      <c r="E765" s="8" t="s">
        <v>1146</v>
      </c>
      <c r="F765" s="8" t="s">
        <v>2687</v>
      </c>
      <c r="G765" s="8" t="s">
        <v>5659</v>
      </c>
      <c r="H765" s="7" t="s">
        <v>592</v>
      </c>
      <c r="I765" s="16">
        <v>43984</v>
      </c>
      <c r="J765" s="16"/>
      <c r="K765" s="17"/>
      <c r="L765" s="3" t="s">
        <v>6236</v>
      </c>
      <c r="M765" s="8" t="s">
        <v>4206</v>
      </c>
      <c r="N765" s="11">
        <v>43998.607442129629</v>
      </c>
      <c r="O765" s="8" t="s">
        <v>4206</v>
      </c>
      <c r="P765" s="11">
        <v>43985.509930555556</v>
      </c>
      <c r="Q765" s="13">
        <v>1279994</v>
      </c>
      <c r="R765" s="246" t="s">
        <v>594</v>
      </c>
      <c r="S765" s="14" t="s">
        <v>5694</v>
      </c>
      <c r="T765" s="163">
        <v>1096</v>
      </c>
      <c r="U765" s="164" t="str">
        <f>CONCATENATE(LEFT(SP_ACQ_Lib[[#This Row],[Tax Parcel ID]],7),"_",SP_ACQ_Lib[[#This Row],[ACQ Document Type]])</f>
        <v>R026597_ROE Right-of-Entry Package</v>
      </c>
      <c r="V765" s="65" t="str">
        <f>INDEX(SP_AcqTract_DB[WCAD Tax Parcel ID],MATCH(SP_ACQ_Lib[[#This Row],[Acquisition Tract No.]],SP_AcqTract_DB[Acquisition Tract No.],0))</f>
        <v>R026597;#210</v>
      </c>
      <c r="W765" s="48" t="str">
        <f>INDEX(SP_TaxPar_DB[Acquisition Tract No.],MATCH(LEFT(SP_ACQ_Lib[[#This Row],[Tax Parcel ID]],7),SP_TaxPar_DB[Tax Parcel ID],0))</f>
        <v>T158</v>
      </c>
      <c r="X765" s="238" t="str">
        <f>IF(OR(SP_ACQ_Lib[[#This Row],[Acquisition Tract No.]]="",SP_ACQ_Lib[[#This Row],[ACQ Document Type]]=""),0,CONCATENATE("COW-FRMP_TR-",SP_ACQ_Lib[[#This Row],[Acquisition Tract No.]]," ",SP_ACQ_Lib[[#This Row],[ACQ Document Type]]))</f>
        <v>COW-FRMP_TR-T158 ROE Right-of-Entry Package</v>
      </c>
      <c r="Y765" s="239">
        <f>IF(OR(SP_ACQ_Lib[[#This Row],[File Name Convention]]=0,LEFT(SP_ACQ_Lib[[#This Row],[Name]],LEN(SP_ACQ_Lib[[#This Row],[File Name Convention]]))&lt;&gt;SP_ACQ_Lib[[#This Row],[File Name Convention]],ISERROR(SEARCH(SP_ACQ_Lib[[#This Row],[ACQ Document Type]],SP_ACQ_Lib[[#This Row],[Name]]))),1,0)</f>
        <v>0</v>
      </c>
    </row>
    <row r="766" spans="1:25" ht="15" x14ac:dyDescent="0.2">
      <c r="A766" s="157" t="str">
        <f>CONCATENATE(SP_ACQ_Lib[[#This Row],[Acquisition Tract No.]],"_",SP_ACQ_Lib[[#This Row],[ACQ Document Type]])</f>
        <v>T158_TITLE Tax Card</v>
      </c>
      <c r="B766" s="14" t="s">
        <v>5567</v>
      </c>
      <c r="C766" s="245" t="s">
        <v>5275</v>
      </c>
      <c r="D766" s="12" t="s">
        <v>3205</v>
      </c>
      <c r="E766" s="8" t="s">
        <v>861</v>
      </c>
      <c r="F766" s="8" t="s">
        <v>1150</v>
      </c>
      <c r="G766" s="8" t="s">
        <v>1149</v>
      </c>
      <c r="H766" s="7" t="s">
        <v>592</v>
      </c>
      <c r="I766" s="16"/>
      <c r="J766" s="16"/>
      <c r="K766" s="17"/>
      <c r="L766" s="3"/>
      <c r="M766" s="8" t="s">
        <v>4206</v>
      </c>
      <c r="N766" s="11">
        <v>43983.53466435185</v>
      </c>
      <c r="O766" s="8" t="s">
        <v>4206</v>
      </c>
      <c r="P766" s="11">
        <v>43971.420069444444</v>
      </c>
      <c r="Q766" s="13">
        <v>702130</v>
      </c>
      <c r="R766" s="246" t="s">
        <v>594</v>
      </c>
      <c r="S766" s="14" t="s">
        <v>5153</v>
      </c>
      <c r="T766" s="163">
        <v>902</v>
      </c>
      <c r="U766" s="164" t="str">
        <f>CONCATENATE(LEFT(SP_ACQ_Lib[[#This Row],[Tax Parcel ID]],7),"_",SP_ACQ_Lib[[#This Row],[ACQ Document Type]])</f>
        <v>R026597_TITLE Tax Card</v>
      </c>
      <c r="V766" s="65" t="str">
        <f>INDEX(SP_AcqTract_DB[WCAD Tax Parcel ID],MATCH(SP_ACQ_Lib[[#This Row],[Acquisition Tract No.]],SP_AcqTract_DB[Acquisition Tract No.],0))</f>
        <v>R026597;#210</v>
      </c>
      <c r="W766" s="48" t="str">
        <f>INDEX(SP_TaxPar_DB[Acquisition Tract No.],MATCH(LEFT(SP_ACQ_Lib[[#This Row],[Tax Parcel ID]],7),SP_TaxPar_DB[Tax Parcel ID],0))</f>
        <v>T158</v>
      </c>
      <c r="X766" s="238" t="str">
        <f>IF(OR(SP_ACQ_Lib[[#This Row],[Acquisition Tract No.]]="",SP_ACQ_Lib[[#This Row],[ACQ Document Type]]=""),0,CONCATENATE("COW-FRMP_TR-",SP_ACQ_Lib[[#This Row],[Acquisition Tract No.]]," ",SP_ACQ_Lib[[#This Row],[ACQ Document Type]]))</f>
        <v>COW-FRMP_TR-T158 TITLE Tax Card</v>
      </c>
      <c r="Y766" s="239">
        <f>IF(OR(SP_ACQ_Lib[[#This Row],[File Name Convention]]=0,LEFT(SP_ACQ_Lib[[#This Row],[Name]],LEN(SP_ACQ_Lib[[#This Row],[File Name Convention]]))&lt;&gt;SP_ACQ_Lib[[#This Row],[File Name Convention]],ISERROR(SEARCH(SP_ACQ_Lib[[#This Row],[ACQ Document Type]],SP_ACQ_Lib[[#This Row],[Name]]))),1,0)</f>
        <v>0</v>
      </c>
    </row>
    <row r="767" spans="1:25" ht="15" x14ac:dyDescent="0.2">
      <c r="A767" s="157" t="str">
        <f>CONCATENATE(SP_ACQ_Lib[[#This Row],[Acquisition Tract No.]],"_",SP_ACQ_Lib[[#This Row],[ACQ Document Type]])</f>
        <v>T159_CONTACT Negotiator Report</v>
      </c>
      <c r="B767" s="14" t="s">
        <v>5409</v>
      </c>
      <c r="C767" s="245" t="s">
        <v>5277</v>
      </c>
      <c r="D767" s="12" t="s">
        <v>3206</v>
      </c>
      <c r="E767" s="8" t="s">
        <v>865</v>
      </c>
      <c r="F767" s="8" t="s">
        <v>1068</v>
      </c>
      <c r="G767" s="8" t="s">
        <v>1067</v>
      </c>
      <c r="H767" s="7" t="s">
        <v>592</v>
      </c>
      <c r="I767" s="16"/>
      <c r="J767" s="16"/>
      <c r="K767" s="17"/>
      <c r="L767" s="3"/>
      <c r="M767" s="8" t="s">
        <v>1744</v>
      </c>
      <c r="N767" s="11">
        <v>43992.618414351855</v>
      </c>
      <c r="O767" s="8" t="s">
        <v>4206</v>
      </c>
      <c r="P767" s="11">
        <v>43971.420081018521</v>
      </c>
      <c r="Q767" s="13">
        <v>44264</v>
      </c>
      <c r="R767" s="246" t="s">
        <v>594</v>
      </c>
      <c r="S767" s="14" t="s">
        <v>5234</v>
      </c>
      <c r="T767" s="163">
        <v>903</v>
      </c>
      <c r="U767" s="164" t="str">
        <f>CONCATENATE(LEFT(SP_ACQ_Lib[[#This Row],[Tax Parcel ID]],7),"_",SP_ACQ_Lib[[#This Row],[ACQ Document Type]])</f>
        <v>R026598_CONTACT Negotiator Report</v>
      </c>
      <c r="V767" s="65" t="str">
        <f>INDEX(SP_AcqTract_DB[WCAD Tax Parcel ID],MATCH(SP_ACQ_Lib[[#This Row],[Acquisition Tract No.]],SP_AcqTract_DB[Acquisition Tract No.],0))</f>
        <v>R026598;#211</v>
      </c>
      <c r="W767" s="48" t="str">
        <f>INDEX(SP_TaxPar_DB[Acquisition Tract No.],MATCH(LEFT(SP_ACQ_Lib[[#This Row],[Tax Parcel ID]],7),SP_TaxPar_DB[Tax Parcel ID],0))</f>
        <v>T159</v>
      </c>
      <c r="X767" s="238" t="str">
        <f>IF(OR(SP_ACQ_Lib[[#This Row],[Acquisition Tract No.]]="",SP_ACQ_Lib[[#This Row],[ACQ Document Type]]=""),0,CONCATENATE("COW-FRMP_TR-",SP_ACQ_Lib[[#This Row],[Acquisition Tract No.]]," ",SP_ACQ_Lib[[#This Row],[ACQ Document Type]]))</f>
        <v>COW-FRMP_TR-T159 CONTACT Negotiator Report</v>
      </c>
      <c r="Y767" s="239">
        <f>IF(OR(SP_ACQ_Lib[[#This Row],[File Name Convention]]=0,LEFT(SP_ACQ_Lib[[#This Row],[Name]],LEN(SP_ACQ_Lib[[#This Row],[File Name Convention]]))&lt;&gt;SP_ACQ_Lib[[#This Row],[File Name Convention]],ISERROR(SEARCH(SP_ACQ_Lib[[#This Row],[ACQ Document Type]],SP_ACQ_Lib[[#This Row],[Name]]))),1,0)</f>
        <v>0</v>
      </c>
    </row>
    <row r="768" spans="1:25" ht="15" x14ac:dyDescent="0.2">
      <c r="A768" s="157" t="str">
        <f>CONCATENATE(SP_ACQ_Lib[[#This Row],[Acquisition Tract No.]],"_",SP_ACQ_Lib[[#This Row],[ACQ Document Type]])</f>
        <v>T159_ENVIRONMENTAL Right-of-Entry Package</v>
      </c>
      <c r="B768" s="14" t="s">
        <v>5568</v>
      </c>
      <c r="C768" s="245" t="s">
        <v>5277</v>
      </c>
      <c r="D768" s="12" t="s">
        <v>3206</v>
      </c>
      <c r="E768" s="8" t="s">
        <v>2682</v>
      </c>
      <c r="F768" s="8" t="s">
        <v>2687</v>
      </c>
      <c r="G768" s="8" t="s">
        <v>2686</v>
      </c>
      <c r="H768" s="7" t="s">
        <v>592</v>
      </c>
      <c r="I768" s="16">
        <v>43846</v>
      </c>
      <c r="J768" s="16">
        <v>43862</v>
      </c>
      <c r="K768" s="17"/>
      <c r="L768" s="3" t="s">
        <v>4346</v>
      </c>
      <c r="M768" s="8" t="s">
        <v>4206</v>
      </c>
      <c r="N768" s="11">
        <v>43983.597893518519</v>
      </c>
      <c r="O768" s="8" t="s">
        <v>4206</v>
      </c>
      <c r="P768" s="11">
        <v>43971.420092592591</v>
      </c>
      <c r="Q768" s="13">
        <v>1011942</v>
      </c>
      <c r="R768" s="246" t="s">
        <v>594</v>
      </c>
      <c r="S768" s="14" t="s">
        <v>5154</v>
      </c>
      <c r="T768" s="163">
        <v>904</v>
      </c>
      <c r="U768" s="164" t="str">
        <f>CONCATENATE(LEFT(SP_ACQ_Lib[[#This Row],[Tax Parcel ID]],7),"_",SP_ACQ_Lib[[#This Row],[ACQ Document Type]])</f>
        <v>R026598_ENVIRONMENTAL Right-of-Entry Package</v>
      </c>
      <c r="V768" s="65" t="str">
        <f>INDEX(SP_AcqTract_DB[WCAD Tax Parcel ID],MATCH(SP_ACQ_Lib[[#This Row],[Acquisition Tract No.]],SP_AcqTract_DB[Acquisition Tract No.],0))</f>
        <v>R026598;#211</v>
      </c>
      <c r="W768" s="48" t="str">
        <f>INDEX(SP_TaxPar_DB[Acquisition Tract No.],MATCH(LEFT(SP_ACQ_Lib[[#This Row],[Tax Parcel ID]],7),SP_TaxPar_DB[Tax Parcel ID],0))</f>
        <v>T159</v>
      </c>
      <c r="X768" s="238" t="str">
        <f>IF(OR(SP_ACQ_Lib[[#This Row],[Acquisition Tract No.]]="",SP_ACQ_Lib[[#This Row],[ACQ Document Type]]=""),0,CONCATENATE("COW-FRMP_TR-",SP_ACQ_Lib[[#This Row],[Acquisition Tract No.]]," ",SP_ACQ_Lib[[#This Row],[ACQ Document Type]]))</f>
        <v>COW-FRMP_TR-T159 ENVIRONMENTAL Right-of-Entry Package</v>
      </c>
      <c r="Y768" s="239">
        <f>IF(OR(SP_ACQ_Lib[[#This Row],[File Name Convention]]=0,LEFT(SP_ACQ_Lib[[#This Row],[Name]],LEN(SP_ACQ_Lib[[#This Row],[File Name Convention]]))&lt;&gt;SP_ACQ_Lib[[#This Row],[File Name Convention]],ISERROR(SEARCH(SP_ACQ_Lib[[#This Row],[ACQ Document Type]],SP_ACQ_Lib[[#This Row],[Name]]))),1,0)</f>
        <v>0</v>
      </c>
    </row>
    <row r="769" spans="1:25" ht="15" x14ac:dyDescent="0.2">
      <c r="A769" s="157" t="str">
        <f>CONCATENATE(SP_ACQ_Lib[[#This Row],[Acquisition Tract No.]],"_",SP_ACQ_Lib[[#This Row],[ACQ Document Type]])</f>
        <v>T159_ROE Right-of-Entry Package</v>
      </c>
      <c r="B769" s="14" t="s">
        <v>5671</v>
      </c>
      <c r="C769" s="245" t="s">
        <v>5277</v>
      </c>
      <c r="D769" s="12" t="s">
        <v>3206</v>
      </c>
      <c r="E769" s="8" t="s">
        <v>1146</v>
      </c>
      <c r="F769" s="8" t="s">
        <v>2687</v>
      </c>
      <c r="G769" s="8" t="s">
        <v>5659</v>
      </c>
      <c r="H769" s="7" t="s">
        <v>592</v>
      </c>
      <c r="I769" s="16">
        <v>43984</v>
      </c>
      <c r="J769" s="16"/>
      <c r="K769" s="17"/>
      <c r="L769" s="3"/>
      <c r="M769" s="8" t="s">
        <v>4206</v>
      </c>
      <c r="N769" s="11">
        <v>43985.519305555557</v>
      </c>
      <c r="O769" s="8" t="s">
        <v>4206</v>
      </c>
      <c r="P769" s="11">
        <v>43985.509953703702</v>
      </c>
      <c r="Q769" s="13">
        <v>1210862</v>
      </c>
      <c r="R769" s="246" t="s">
        <v>594</v>
      </c>
      <c r="S769" s="14" t="s">
        <v>5695</v>
      </c>
      <c r="T769" s="163">
        <v>1097</v>
      </c>
      <c r="U769" s="164" t="str">
        <f>CONCATENATE(LEFT(SP_ACQ_Lib[[#This Row],[Tax Parcel ID]],7),"_",SP_ACQ_Lib[[#This Row],[ACQ Document Type]])</f>
        <v>R026598_ROE Right-of-Entry Package</v>
      </c>
      <c r="V769" s="65" t="str">
        <f>INDEX(SP_AcqTract_DB[WCAD Tax Parcel ID],MATCH(SP_ACQ_Lib[[#This Row],[Acquisition Tract No.]],SP_AcqTract_DB[Acquisition Tract No.],0))</f>
        <v>R026598;#211</v>
      </c>
      <c r="W769" s="48" t="str">
        <f>INDEX(SP_TaxPar_DB[Acquisition Tract No.],MATCH(LEFT(SP_ACQ_Lib[[#This Row],[Tax Parcel ID]],7),SP_TaxPar_DB[Tax Parcel ID],0))</f>
        <v>T159</v>
      </c>
      <c r="X769" s="238" t="str">
        <f>IF(OR(SP_ACQ_Lib[[#This Row],[Acquisition Tract No.]]="",SP_ACQ_Lib[[#This Row],[ACQ Document Type]]=""),0,CONCATENATE("COW-FRMP_TR-",SP_ACQ_Lib[[#This Row],[Acquisition Tract No.]]," ",SP_ACQ_Lib[[#This Row],[ACQ Document Type]]))</f>
        <v>COW-FRMP_TR-T159 ROE Right-of-Entry Package</v>
      </c>
      <c r="Y769" s="239">
        <f>IF(OR(SP_ACQ_Lib[[#This Row],[File Name Convention]]=0,LEFT(SP_ACQ_Lib[[#This Row],[Name]],LEN(SP_ACQ_Lib[[#This Row],[File Name Convention]]))&lt;&gt;SP_ACQ_Lib[[#This Row],[File Name Convention]],ISERROR(SEARCH(SP_ACQ_Lib[[#This Row],[ACQ Document Type]],SP_ACQ_Lib[[#This Row],[Name]]))),1,0)</f>
        <v>0</v>
      </c>
    </row>
    <row r="770" spans="1:25" ht="15" x14ac:dyDescent="0.2">
      <c r="A770" s="157" t="str">
        <f>CONCATENATE(SP_ACQ_Lib[[#This Row],[Acquisition Tract No.]],"_",SP_ACQ_Lib[[#This Row],[ACQ Document Type]])</f>
        <v>T159_TITLE Tax Card</v>
      </c>
      <c r="B770" s="14" t="s">
        <v>5410</v>
      </c>
      <c r="C770" s="245" t="s">
        <v>5277</v>
      </c>
      <c r="D770" s="12" t="s">
        <v>3206</v>
      </c>
      <c r="E770" s="8" t="s">
        <v>861</v>
      </c>
      <c r="F770" s="8" t="s">
        <v>1150</v>
      </c>
      <c r="G770" s="8" t="s">
        <v>1149</v>
      </c>
      <c r="H770" s="7" t="s">
        <v>592</v>
      </c>
      <c r="I770" s="16"/>
      <c r="J770" s="16"/>
      <c r="K770" s="17"/>
      <c r="L770" s="3"/>
      <c r="M770" s="8" t="s">
        <v>4206</v>
      </c>
      <c r="N770" s="11">
        <v>43978.565694444442</v>
      </c>
      <c r="O770" s="8" t="s">
        <v>4206</v>
      </c>
      <c r="P770" s="11">
        <v>43971.420127314814</v>
      </c>
      <c r="Q770" s="13">
        <v>699485</v>
      </c>
      <c r="R770" s="246" t="s">
        <v>594</v>
      </c>
      <c r="S770" s="14" t="s">
        <v>5155</v>
      </c>
      <c r="T770" s="163">
        <v>905</v>
      </c>
      <c r="U770" s="164" t="str">
        <f>CONCATENATE(LEFT(SP_ACQ_Lib[[#This Row],[Tax Parcel ID]],7),"_",SP_ACQ_Lib[[#This Row],[ACQ Document Type]])</f>
        <v>R026598_TITLE Tax Card</v>
      </c>
      <c r="V770" s="65" t="str">
        <f>INDEX(SP_AcqTract_DB[WCAD Tax Parcel ID],MATCH(SP_ACQ_Lib[[#This Row],[Acquisition Tract No.]],SP_AcqTract_DB[Acquisition Tract No.],0))</f>
        <v>R026598;#211</v>
      </c>
      <c r="W770" s="48" t="str">
        <f>INDEX(SP_TaxPar_DB[Acquisition Tract No.],MATCH(LEFT(SP_ACQ_Lib[[#This Row],[Tax Parcel ID]],7),SP_TaxPar_DB[Tax Parcel ID],0))</f>
        <v>T159</v>
      </c>
      <c r="X770" s="238" t="str">
        <f>IF(OR(SP_ACQ_Lib[[#This Row],[Acquisition Tract No.]]="",SP_ACQ_Lib[[#This Row],[ACQ Document Type]]=""),0,CONCATENATE("COW-FRMP_TR-",SP_ACQ_Lib[[#This Row],[Acquisition Tract No.]]," ",SP_ACQ_Lib[[#This Row],[ACQ Document Type]]))</f>
        <v>COW-FRMP_TR-T159 TITLE Tax Card</v>
      </c>
      <c r="Y770" s="239">
        <f>IF(OR(SP_ACQ_Lib[[#This Row],[File Name Convention]]=0,LEFT(SP_ACQ_Lib[[#This Row],[Name]],LEN(SP_ACQ_Lib[[#This Row],[File Name Convention]]))&lt;&gt;SP_ACQ_Lib[[#This Row],[File Name Convention]],ISERROR(SEARCH(SP_ACQ_Lib[[#This Row],[ACQ Document Type]],SP_ACQ_Lib[[#This Row],[Name]]))),1,0)</f>
        <v>0</v>
      </c>
    </row>
    <row r="771" spans="1:25" ht="15" x14ac:dyDescent="0.2">
      <c r="A771" s="157" t="str">
        <f>CONCATENATE(SP_ACQ_Lib[[#This Row],[Acquisition Tract No.]],"_",SP_ACQ_Lib[[#This Row],[ACQ Document Type]])</f>
        <v>T162_CONTACT Negotiator Report</v>
      </c>
      <c r="B771" s="14" t="s">
        <v>5411</v>
      </c>
      <c r="C771" s="245" t="s">
        <v>5279</v>
      </c>
      <c r="D771" s="12" t="s">
        <v>3211</v>
      </c>
      <c r="E771" s="8" t="s">
        <v>865</v>
      </c>
      <c r="F771" s="8" t="s">
        <v>1068</v>
      </c>
      <c r="G771" s="8" t="s">
        <v>1067</v>
      </c>
      <c r="H771" s="7" t="s">
        <v>592</v>
      </c>
      <c r="I771" s="16"/>
      <c r="J771" s="16"/>
      <c r="K771" s="17"/>
      <c r="L771" s="3" t="s">
        <v>5535</v>
      </c>
      <c r="M771" s="8" t="s">
        <v>1744</v>
      </c>
      <c r="N771" s="11">
        <v>44011.926620370374</v>
      </c>
      <c r="O771" s="8" t="s">
        <v>4206</v>
      </c>
      <c r="P771" s="11">
        <v>43971.420138888891</v>
      </c>
      <c r="Q771" s="13">
        <v>46377</v>
      </c>
      <c r="R771" s="246" t="s">
        <v>594</v>
      </c>
      <c r="S771" s="14" t="s">
        <v>5235</v>
      </c>
      <c r="T771" s="163">
        <v>906</v>
      </c>
      <c r="U771" s="164" t="str">
        <f>CONCATENATE(LEFT(SP_ACQ_Lib[[#This Row],[Tax Parcel ID]],7),"_",SP_ACQ_Lib[[#This Row],[ACQ Document Type]])</f>
        <v>R026604_CONTACT Negotiator Report</v>
      </c>
      <c r="V771" s="65" t="str">
        <f>INDEX(SP_AcqTract_DB[WCAD Tax Parcel ID],MATCH(SP_ACQ_Lib[[#This Row],[Acquisition Tract No.]],SP_AcqTract_DB[Acquisition Tract No.],0))</f>
        <v>R026604;#213</v>
      </c>
      <c r="W771" s="48" t="str">
        <f>INDEX(SP_TaxPar_DB[Acquisition Tract No.],MATCH(LEFT(SP_ACQ_Lib[[#This Row],[Tax Parcel ID]],7),SP_TaxPar_DB[Tax Parcel ID],0))</f>
        <v>T162</v>
      </c>
      <c r="X771" s="238" t="str">
        <f>IF(OR(SP_ACQ_Lib[[#This Row],[Acquisition Tract No.]]="",SP_ACQ_Lib[[#This Row],[ACQ Document Type]]=""),0,CONCATENATE("COW-FRMP_TR-",SP_ACQ_Lib[[#This Row],[Acquisition Tract No.]]," ",SP_ACQ_Lib[[#This Row],[ACQ Document Type]]))</f>
        <v>COW-FRMP_TR-T162 CONTACT Negotiator Report</v>
      </c>
      <c r="Y771" s="239">
        <f>IF(OR(SP_ACQ_Lib[[#This Row],[File Name Convention]]=0,LEFT(SP_ACQ_Lib[[#This Row],[Name]],LEN(SP_ACQ_Lib[[#This Row],[File Name Convention]]))&lt;&gt;SP_ACQ_Lib[[#This Row],[File Name Convention]],ISERROR(SEARCH(SP_ACQ_Lib[[#This Row],[ACQ Document Type]],SP_ACQ_Lib[[#This Row],[Name]]))),1,0)</f>
        <v>0</v>
      </c>
    </row>
    <row r="772" spans="1:25" ht="15" x14ac:dyDescent="0.2">
      <c r="A772" s="157" t="str">
        <f>CONCATENATE(SP_ACQ_Lib[[#This Row],[Acquisition Tract No.]],"_",SP_ACQ_Lib[[#This Row],[ACQ Document Type]])</f>
        <v>T162_ENVIRONMENTAL Right-of-Entry Executed</v>
      </c>
      <c r="B772" s="14" t="s">
        <v>5569</v>
      </c>
      <c r="C772" s="245" t="s">
        <v>5279</v>
      </c>
      <c r="D772" s="12" t="s">
        <v>3211</v>
      </c>
      <c r="E772" s="8" t="s">
        <v>2682</v>
      </c>
      <c r="F772" s="8" t="s">
        <v>2683</v>
      </c>
      <c r="G772" s="8" t="s">
        <v>2681</v>
      </c>
      <c r="H772" s="7" t="s">
        <v>592</v>
      </c>
      <c r="I772" s="16">
        <v>43880</v>
      </c>
      <c r="J772" s="16"/>
      <c r="K772" s="17"/>
      <c r="L772" s="3"/>
      <c r="M772" s="8" t="s">
        <v>4206</v>
      </c>
      <c r="N772" s="11">
        <v>43983.568078703705</v>
      </c>
      <c r="O772" s="8" t="s">
        <v>4206</v>
      </c>
      <c r="P772" s="11">
        <v>43971.42015046296</v>
      </c>
      <c r="Q772" s="13">
        <v>1692319</v>
      </c>
      <c r="R772" s="246" t="s">
        <v>594</v>
      </c>
      <c r="S772" s="14" t="s">
        <v>5156</v>
      </c>
      <c r="T772" s="163">
        <v>907</v>
      </c>
      <c r="U772" s="164" t="str">
        <f>CONCATENATE(LEFT(SP_ACQ_Lib[[#This Row],[Tax Parcel ID]],7),"_",SP_ACQ_Lib[[#This Row],[ACQ Document Type]])</f>
        <v>R026604_ENVIRONMENTAL Right-of-Entry Executed</v>
      </c>
      <c r="V772" s="65" t="str">
        <f>INDEX(SP_AcqTract_DB[WCAD Tax Parcel ID],MATCH(SP_ACQ_Lib[[#This Row],[Acquisition Tract No.]],SP_AcqTract_DB[Acquisition Tract No.],0))</f>
        <v>R026604;#213</v>
      </c>
      <c r="W772" s="48" t="str">
        <f>INDEX(SP_TaxPar_DB[Acquisition Tract No.],MATCH(LEFT(SP_ACQ_Lib[[#This Row],[Tax Parcel ID]],7),SP_TaxPar_DB[Tax Parcel ID],0))</f>
        <v>T162</v>
      </c>
      <c r="X772" s="238" t="str">
        <f>IF(OR(SP_ACQ_Lib[[#This Row],[Acquisition Tract No.]]="",SP_ACQ_Lib[[#This Row],[ACQ Document Type]]=""),0,CONCATENATE("COW-FRMP_TR-",SP_ACQ_Lib[[#This Row],[Acquisition Tract No.]]," ",SP_ACQ_Lib[[#This Row],[ACQ Document Type]]))</f>
        <v>COW-FRMP_TR-T162 ENVIRONMENTAL Right-of-Entry Executed</v>
      </c>
      <c r="Y772" s="239">
        <f>IF(OR(SP_ACQ_Lib[[#This Row],[File Name Convention]]=0,LEFT(SP_ACQ_Lib[[#This Row],[Name]],LEN(SP_ACQ_Lib[[#This Row],[File Name Convention]]))&lt;&gt;SP_ACQ_Lib[[#This Row],[File Name Convention]],ISERROR(SEARCH(SP_ACQ_Lib[[#This Row],[ACQ Document Type]],SP_ACQ_Lib[[#This Row],[Name]]))),1,0)</f>
        <v>0</v>
      </c>
    </row>
    <row r="773" spans="1:25" ht="15" x14ac:dyDescent="0.2">
      <c r="A773" s="157" t="str">
        <f>CONCATENATE(SP_ACQ_Lib[[#This Row],[Acquisition Tract No.]],"_",SP_ACQ_Lib[[#This Row],[ACQ Document Type]])</f>
        <v>T162_ROE Right-of-Entry Executed</v>
      </c>
      <c r="B773" s="14" t="s">
        <v>6340</v>
      </c>
      <c r="C773" s="245" t="s">
        <v>5279</v>
      </c>
      <c r="D773" s="12" t="s">
        <v>3211</v>
      </c>
      <c r="E773" s="8" t="s">
        <v>1146</v>
      </c>
      <c r="F773" s="8" t="s">
        <v>2683</v>
      </c>
      <c r="G773" s="8" t="s">
        <v>5660</v>
      </c>
      <c r="H773" s="7" t="s">
        <v>592</v>
      </c>
      <c r="I773" s="16">
        <v>43999</v>
      </c>
      <c r="J773" s="16">
        <v>44182</v>
      </c>
      <c r="K773" s="17"/>
      <c r="L773" s="3"/>
      <c r="M773" s="8" t="s">
        <v>4206</v>
      </c>
      <c r="N773" s="11">
        <v>44005.615104166667</v>
      </c>
      <c r="O773" s="8" t="s">
        <v>4206</v>
      </c>
      <c r="P773" s="11">
        <v>44005.613437499997</v>
      </c>
      <c r="Q773" s="13">
        <v>1963265</v>
      </c>
      <c r="R773" s="246" t="s">
        <v>594</v>
      </c>
      <c r="S773" s="14" t="s">
        <v>6409</v>
      </c>
      <c r="T773" s="163">
        <v>1276</v>
      </c>
      <c r="U773" s="164" t="str">
        <f>CONCATENATE(LEFT(SP_ACQ_Lib[[#This Row],[Tax Parcel ID]],7),"_",SP_ACQ_Lib[[#This Row],[ACQ Document Type]])</f>
        <v>R026604_ROE Right-of-Entry Executed</v>
      </c>
      <c r="V773" s="65" t="str">
        <f>INDEX(SP_AcqTract_DB[WCAD Tax Parcel ID],MATCH(SP_ACQ_Lib[[#This Row],[Acquisition Tract No.]],SP_AcqTract_DB[Acquisition Tract No.],0))</f>
        <v>R026604;#213</v>
      </c>
      <c r="W773" s="48" t="str">
        <f>INDEX(SP_TaxPar_DB[Acquisition Tract No.],MATCH(LEFT(SP_ACQ_Lib[[#This Row],[Tax Parcel ID]],7),SP_TaxPar_DB[Tax Parcel ID],0))</f>
        <v>T162</v>
      </c>
      <c r="X773" s="238" t="str">
        <f>IF(OR(SP_ACQ_Lib[[#This Row],[Acquisition Tract No.]]="",SP_ACQ_Lib[[#This Row],[ACQ Document Type]]=""),0,CONCATENATE("COW-FRMP_TR-",SP_ACQ_Lib[[#This Row],[Acquisition Tract No.]]," ",SP_ACQ_Lib[[#This Row],[ACQ Document Type]]))</f>
        <v>COW-FRMP_TR-T162 ROE Right-of-Entry Executed</v>
      </c>
      <c r="Y773" s="239">
        <f>IF(OR(SP_ACQ_Lib[[#This Row],[File Name Convention]]=0,LEFT(SP_ACQ_Lib[[#This Row],[Name]],LEN(SP_ACQ_Lib[[#This Row],[File Name Convention]]))&lt;&gt;SP_ACQ_Lib[[#This Row],[File Name Convention]],ISERROR(SEARCH(SP_ACQ_Lib[[#This Row],[ACQ Document Type]],SP_ACQ_Lib[[#This Row],[Name]]))),1,0)</f>
        <v>0</v>
      </c>
    </row>
    <row r="774" spans="1:25" ht="15" x14ac:dyDescent="0.2">
      <c r="A774" s="157" t="str">
        <f>CONCATENATE(SP_ACQ_Lib[[#This Row],[Acquisition Tract No.]],"_",SP_ACQ_Lib[[#This Row],[ACQ Document Type]])</f>
        <v>T162_ROE Right-of-Entry Package</v>
      </c>
      <c r="B774" s="14" t="s">
        <v>5672</v>
      </c>
      <c r="C774" s="245" t="s">
        <v>5279</v>
      </c>
      <c r="D774" s="12" t="s">
        <v>3211</v>
      </c>
      <c r="E774" s="8" t="s">
        <v>1146</v>
      </c>
      <c r="F774" s="8" t="s">
        <v>2687</v>
      </c>
      <c r="G774" s="8" t="s">
        <v>5659</v>
      </c>
      <c r="H774" s="7" t="s">
        <v>592</v>
      </c>
      <c r="I774" s="16">
        <v>43984</v>
      </c>
      <c r="J774" s="16"/>
      <c r="K774" s="17"/>
      <c r="L774" s="3"/>
      <c r="M774" s="8" t="s">
        <v>4206</v>
      </c>
      <c r="N774" s="11">
        <v>43985.528912037036</v>
      </c>
      <c r="O774" s="8" t="s">
        <v>4206</v>
      </c>
      <c r="P774" s="11">
        <v>43985.520289351851</v>
      </c>
      <c r="Q774" s="13">
        <v>1244225</v>
      </c>
      <c r="R774" s="246" t="s">
        <v>594</v>
      </c>
      <c r="S774" s="14" t="s">
        <v>5696</v>
      </c>
      <c r="T774" s="163">
        <v>1098</v>
      </c>
      <c r="U774" s="164" t="str">
        <f>CONCATENATE(LEFT(SP_ACQ_Lib[[#This Row],[Tax Parcel ID]],7),"_",SP_ACQ_Lib[[#This Row],[ACQ Document Type]])</f>
        <v>R026604_ROE Right-of-Entry Package</v>
      </c>
      <c r="V774" s="65" t="str">
        <f>INDEX(SP_AcqTract_DB[WCAD Tax Parcel ID],MATCH(SP_ACQ_Lib[[#This Row],[Acquisition Tract No.]],SP_AcqTract_DB[Acquisition Tract No.],0))</f>
        <v>R026604;#213</v>
      </c>
      <c r="W774" s="48" t="str">
        <f>INDEX(SP_TaxPar_DB[Acquisition Tract No.],MATCH(LEFT(SP_ACQ_Lib[[#This Row],[Tax Parcel ID]],7),SP_TaxPar_DB[Tax Parcel ID],0))</f>
        <v>T162</v>
      </c>
      <c r="X774" s="238" t="str">
        <f>IF(OR(SP_ACQ_Lib[[#This Row],[Acquisition Tract No.]]="",SP_ACQ_Lib[[#This Row],[ACQ Document Type]]=""),0,CONCATENATE("COW-FRMP_TR-",SP_ACQ_Lib[[#This Row],[Acquisition Tract No.]]," ",SP_ACQ_Lib[[#This Row],[ACQ Document Type]]))</f>
        <v>COW-FRMP_TR-T162 ROE Right-of-Entry Package</v>
      </c>
      <c r="Y774" s="239">
        <f>IF(OR(SP_ACQ_Lib[[#This Row],[File Name Convention]]=0,LEFT(SP_ACQ_Lib[[#This Row],[Name]],LEN(SP_ACQ_Lib[[#This Row],[File Name Convention]]))&lt;&gt;SP_ACQ_Lib[[#This Row],[File Name Convention]],ISERROR(SEARCH(SP_ACQ_Lib[[#This Row],[ACQ Document Type]],SP_ACQ_Lib[[#This Row],[Name]]))),1,0)</f>
        <v>0</v>
      </c>
    </row>
    <row r="775" spans="1:25" ht="15" x14ac:dyDescent="0.2">
      <c r="A775" s="157" t="str">
        <f>CONCATENATE(SP_ACQ_Lib[[#This Row],[Acquisition Tract No.]],"_",SP_ACQ_Lib[[#This Row],[ACQ Document Type]])</f>
        <v>T162_TITLE Tax Card</v>
      </c>
      <c r="B775" s="14" t="s">
        <v>5412</v>
      </c>
      <c r="C775" s="245" t="s">
        <v>5279</v>
      </c>
      <c r="D775" s="12" t="s">
        <v>3211</v>
      </c>
      <c r="E775" s="8" t="s">
        <v>861</v>
      </c>
      <c r="F775" s="8" t="s">
        <v>1150</v>
      </c>
      <c r="G775" s="8" t="s">
        <v>1149</v>
      </c>
      <c r="H775" s="7" t="s">
        <v>592</v>
      </c>
      <c r="I775" s="16"/>
      <c r="J775" s="16"/>
      <c r="K775" s="17"/>
      <c r="L775" s="3"/>
      <c r="M775" s="8" t="s">
        <v>4206</v>
      </c>
      <c r="N775" s="11">
        <v>43979.346145833333</v>
      </c>
      <c r="O775" s="8" t="s">
        <v>4206</v>
      </c>
      <c r="P775" s="11">
        <v>43971.42019675926</v>
      </c>
      <c r="Q775" s="13">
        <v>676713</v>
      </c>
      <c r="R775" s="246" t="s">
        <v>594</v>
      </c>
      <c r="S775" s="14" t="s">
        <v>5157</v>
      </c>
      <c r="T775" s="163">
        <v>908</v>
      </c>
      <c r="U775" s="164" t="str">
        <f>CONCATENATE(LEFT(SP_ACQ_Lib[[#This Row],[Tax Parcel ID]],7),"_",SP_ACQ_Lib[[#This Row],[ACQ Document Type]])</f>
        <v>R026604_TITLE Tax Card</v>
      </c>
      <c r="V775" s="65" t="str">
        <f>INDEX(SP_AcqTract_DB[WCAD Tax Parcel ID],MATCH(SP_ACQ_Lib[[#This Row],[Acquisition Tract No.]],SP_AcqTract_DB[Acquisition Tract No.],0))</f>
        <v>R026604;#213</v>
      </c>
      <c r="W775" s="48" t="str">
        <f>INDEX(SP_TaxPar_DB[Acquisition Tract No.],MATCH(LEFT(SP_ACQ_Lib[[#This Row],[Tax Parcel ID]],7),SP_TaxPar_DB[Tax Parcel ID],0))</f>
        <v>T162</v>
      </c>
      <c r="X775" s="238" t="str">
        <f>IF(OR(SP_ACQ_Lib[[#This Row],[Acquisition Tract No.]]="",SP_ACQ_Lib[[#This Row],[ACQ Document Type]]=""),0,CONCATENATE("COW-FRMP_TR-",SP_ACQ_Lib[[#This Row],[Acquisition Tract No.]]," ",SP_ACQ_Lib[[#This Row],[ACQ Document Type]]))</f>
        <v>COW-FRMP_TR-T162 TITLE Tax Card</v>
      </c>
      <c r="Y775" s="239">
        <f>IF(OR(SP_ACQ_Lib[[#This Row],[File Name Convention]]=0,LEFT(SP_ACQ_Lib[[#This Row],[Name]],LEN(SP_ACQ_Lib[[#This Row],[File Name Convention]]))&lt;&gt;SP_ACQ_Lib[[#This Row],[File Name Convention]],ISERROR(SEARCH(SP_ACQ_Lib[[#This Row],[ACQ Document Type]],SP_ACQ_Lib[[#This Row],[Name]]))),1,0)</f>
        <v>0</v>
      </c>
    </row>
    <row r="776" spans="1:25" ht="15" x14ac:dyDescent="0.2">
      <c r="A776" s="157" t="str">
        <f>CONCATENATE(SP_ACQ_Lib[[#This Row],[Acquisition Tract No.]],"_",SP_ACQ_Lib[[#This Row],[ACQ Document Type]])</f>
        <v>T163_CONTACT Negotiator Report</v>
      </c>
      <c r="B776" s="14" t="s">
        <v>5413</v>
      </c>
      <c r="C776" s="245" t="s">
        <v>5281</v>
      </c>
      <c r="D776" s="12" t="s">
        <v>3212</v>
      </c>
      <c r="E776" s="8" t="s">
        <v>865</v>
      </c>
      <c r="F776" s="8" t="s">
        <v>1068</v>
      </c>
      <c r="G776" s="8" t="s">
        <v>1067</v>
      </c>
      <c r="H776" s="7" t="s">
        <v>592</v>
      </c>
      <c r="I776" s="16">
        <v>43873</v>
      </c>
      <c r="J776" s="16"/>
      <c r="K776" s="17"/>
      <c r="L776" s="3"/>
      <c r="M776" s="8" t="s">
        <v>1744</v>
      </c>
      <c r="N776" s="11">
        <v>44011.895115740743</v>
      </c>
      <c r="O776" s="8" t="s">
        <v>4206</v>
      </c>
      <c r="P776" s="11">
        <v>43971.420219907406</v>
      </c>
      <c r="Q776" s="13">
        <v>170747</v>
      </c>
      <c r="R776" s="246" t="s">
        <v>594</v>
      </c>
      <c r="S776" s="14" t="s">
        <v>5236</v>
      </c>
      <c r="T776" s="163">
        <v>909</v>
      </c>
      <c r="U776" s="164" t="str">
        <f>CONCATENATE(LEFT(SP_ACQ_Lib[[#This Row],[Tax Parcel ID]],7),"_",SP_ACQ_Lib[[#This Row],[ACQ Document Type]])</f>
        <v>R026605_CONTACT Negotiator Report</v>
      </c>
      <c r="V776" s="65" t="str">
        <f>INDEX(SP_AcqTract_DB[WCAD Tax Parcel ID],MATCH(SP_ACQ_Lib[[#This Row],[Acquisition Tract No.]],SP_AcqTract_DB[Acquisition Tract No.],0))</f>
        <v>R026605;#214</v>
      </c>
      <c r="W776" s="48" t="str">
        <f>INDEX(SP_TaxPar_DB[Acquisition Tract No.],MATCH(LEFT(SP_ACQ_Lib[[#This Row],[Tax Parcel ID]],7),SP_TaxPar_DB[Tax Parcel ID],0))</f>
        <v>T163</v>
      </c>
      <c r="X776" s="238" t="str">
        <f>IF(OR(SP_ACQ_Lib[[#This Row],[Acquisition Tract No.]]="",SP_ACQ_Lib[[#This Row],[ACQ Document Type]]=""),0,CONCATENATE("COW-FRMP_TR-",SP_ACQ_Lib[[#This Row],[Acquisition Tract No.]]," ",SP_ACQ_Lib[[#This Row],[ACQ Document Type]]))</f>
        <v>COW-FRMP_TR-T163 CONTACT Negotiator Report</v>
      </c>
      <c r="Y776" s="239">
        <f>IF(OR(SP_ACQ_Lib[[#This Row],[File Name Convention]]=0,LEFT(SP_ACQ_Lib[[#This Row],[Name]],LEN(SP_ACQ_Lib[[#This Row],[File Name Convention]]))&lt;&gt;SP_ACQ_Lib[[#This Row],[File Name Convention]],ISERROR(SEARCH(SP_ACQ_Lib[[#This Row],[ACQ Document Type]],SP_ACQ_Lib[[#This Row],[Name]]))),1,0)</f>
        <v>0</v>
      </c>
    </row>
    <row r="777" spans="1:25" ht="15" x14ac:dyDescent="0.2">
      <c r="A777" s="157" t="str">
        <f>CONCATENATE(SP_ACQ_Lib[[#This Row],[Acquisition Tract No.]],"_",SP_ACQ_Lib[[#This Row],[ACQ Document Type]])</f>
        <v>T163_ENVIRONMENTAL Right-of-Entry Package</v>
      </c>
      <c r="B777" s="14" t="s">
        <v>5570</v>
      </c>
      <c r="C777" s="245" t="s">
        <v>5281</v>
      </c>
      <c r="D777" s="12" t="s">
        <v>3212</v>
      </c>
      <c r="E777" s="8" t="s">
        <v>2682</v>
      </c>
      <c r="F777" s="8" t="s">
        <v>2687</v>
      </c>
      <c r="G777" s="8" t="s">
        <v>2686</v>
      </c>
      <c r="H777" s="7" t="s">
        <v>592</v>
      </c>
      <c r="I777" s="16">
        <v>43850</v>
      </c>
      <c r="J777" s="16">
        <v>43853</v>
      </c>
      <c r="K777" s="17"/>
      <c r="L777" s="3"/>
      <c r="M777" s="8" t="s">
        <v>4206</v>
      </c>
      <c r="N777" s="11">
        <v>43983.597893518519</v>
      </c>
      <c r="O777" s="8" t="s">
        <v>4206</v>
      </c>
      <c r="P777" s="11">
        <v>43971.420231481483</v>
      </c>
      <c r="Q777" s="13">
        <v>949692</v>
      </c>
      <c r="R777" s="246" t="s">
        <v>594</v>
      </c>
      <c r="S777" s="14" t="s">
        <v>5158</v>
      </c>
      <c r="T777" s="163">
        <v>910</v>
      </c>
      <c r="U777" s="164" t="str">
        <f>CONCATENATE(LEFT(SP_ACQ_Lib[[#This Row],[Tax Parcel ID]],7),"_",SP_ACQ_Lib[[#This Row],[ACQ Document Type]])</f>
        <v>R026605_ENVIRONMENTAL Right-of-Entry Package</v>
      </c>
      <c r="V777" s="65" t="str">
        <f>INDEX(SP_AcqTract_DB[WCAD Tax Parcel ID],MATCH(SP_ACQ_Lib[[#This Row],[Acquisition Tract No.]],SP_AcqTract_DB[Acquisition Tract No.],0))</f>
        <v>R026605;#214</v>
      </c>
      <c r="W777" s="48" t="str">
        <f>INDEX(SP_TaxPar_DB[Acquisition Tract No.],MATCH(LEFT(SP_ACQ_Lib[[#This Row],[Tax Parcel ID]],7),SP_TaxPar_DB[Tax Parcel ID],0))</f>
        <v>T163</v>
      </c>
      <c r="X777" s="238" t="str">
        <f>IF(OR(SP_ACQ_Lib[[#This Row],[Acquisition Tract No.]]="",SP_ACQ_Lib[[#This Row],[ACQ Document Type]]=""),0,CONCATENATE("COW-FRMP_TR-",SP_ACQ_Lib[[#This Row],[Acquisition Tract No.]]," ",SP_ACQ_Lib[[#This Row],[ACQ Document Type]]))</f>
        <v>COW-FRMP_TR-T163 ENVIRONMENTAL Right-of-Entry Package</v>
      </c>
      <c r="Y777" s="239">
        <f>IF(OR(SP_ACQ_Lib[[#This Row],[File Name Convention]]=0,LEFT(SP_ACQ_Lib[[#This Row],[Name]],LEN(SP_ACQ_Lib[[#This Row],[File Name Convention]]))&lt;&gt;SP_ACQ_Lib[[#This Row],[File Name Convention]],ISERROR(SEARCH(SP_ACQ_Lib[[#This Row],[ACQ Document Type]],SP_ACQ_Lib[[#This Row],[Name]]))),1,0)</f>
        <v>0</v>
      </c>
    </row>
    <row r="778" spans="1:25" ht="15" x14ac:dyDescent="0.2">
      <c r="A778" s="157" t="str">
        <f>CONCATENATE(SP_ACQ_Lib[[#This Row],[Acquisition Tract No.]],"_",SP_ACQ_Lib[[#This Row],[ACQ Document Type]])</f>
        <v>T163_ROE Right-of-Entry Package</v>
      </c>
      <c r="B778" s="14" t="s">
        <v>5673</v>
      </c>
      <c r="C778" s="245" t="s">
        <v>5281</v>
      </c>
      <c r="D778" s="12" t="s">
        <v>3212</v>
      </c>
      <c r="E778" s="8" t="s">
        <v>1146</v>
      </c>
      <c r="F778" s="8" t="s">
        <v>2687</v>
      </c>
      <c r="G778" s="8" t="s">
        <v>5659</v>
      </c>
      <c r="H778" s="7" t="s">
        <v>592</v>
      </c>
      <c r="I778" s="16">
        <v>43984</v>
      </c>
      <c r="J778" s="16"/>
      <c r="K778" s="17"/>
      <c r="L778" s="3"/>
      <c r="M778" s="8" t="s">
        <v>4206</v>
      </c>
      <c r="N778" s="11">
        <v>43985.529143518521</v>
      </c>
      <c r="O778" s="8" t="s">
        <v>4206</v>
      </c>
      <c r="P778" s="11">
        <v>43985.520312499997</v>
      </c>
      <c r="Q778" s="13">
        <v>1266119</v>
      </c>
      <c r="R778" s="246" t="s">
        <v>594</v>
      </c>
      <c r="S778" s="14" t="s">
        <v>5697</v>
      </c>
      <c r="T778" s="163">
        <v>1099</v>
      </c>
      <c r="U778" s="164" t="str">
        <f>CONCATENATE(LEFT(SP_ACQ_Lib[[#This Row],[Tax Parcel ID]],7),"_",SP_ACQ_Lib[[#This Row],[ACQ Document Type]])</f>
        <v>R026605_ROE Right-of-Entry Package</v>
      </c>
      <c r="V778" s="65" t="str">
        <f>INDEX(SP_AcqTract_DB[WCAD Tax Parcel ID],MATCH(SP_ACQ_Lib[[#This Row],[Acquisition Tract No.]],SP_AcqTract_DB[Acquisition Tract No.],0))</f>
        <v>R026605;#214</v>
      </c>
      <c r="W778" s="48" t="str">
        <f>INDEX(SP_TaxPar_DB[Acquisition Tract No.],MATCH(LEFT(SP_ACQ_Lib[[#This Row],[Tax Parcel ID]],7),SP_TaxPar_DB[Tax Parcel ID],0))</f>
        <v>T163</v>
      </c>
      <c r="X778" s="238" t="str">
        <f>IF(OR(SP_ACQ_Lib[[#This Row],[Acquisition Tract No.]]="",SP_ACQ_Lib[[#This Row],[ACQ Document Type]]=""),0,CONCATENATE("COW-FRMP_TR-",SP_ACQ_Lib[[#This Row],[Acquisition Tract No.]]," ",SP_ACQ_Lib[[#This Row],[ACQ Document Type]]))</f>
        <v>COW-FRMP_TR-T163 ROE Right-of-Entry Package</v>
      </c>
      <c r="Y778" s="239">
        <f>IF(OR(SP_ACQ_Lib[[#This Row],[File Name Convention]]=0,LEFT(SP_ACQ_Lib[[#This Row],[Name]],LEN(SP_ACQ_Lib[[#This Row],[File Name Convention]]))&lt;&gt;SP_ACQ_Lib[[#This Row],[File Name Convention]],ISERROR(SEARCH(SP_ACQ_Lib[[#This Row],[ACQ Document Type]],SP_ACQ_Lib[[#This Row],[Name]]))),1,0)</f>
        <v>0</v>
      </c>
    </row>
    <row r="779" spans="1:25" ht="15" x14ac:dyDescent="0.2">
      <c r="A779" s="157" t="str">
        <f>CONCATENATE(SP_ACQ_Lib[[#This Row],[Acquisition Tract No.]],"_",SP_ACQ_Lib[[#This Row],[ACQ Document Type]])</f>
        <v>T163_TITLE Tax Card</v>
      </c>
      <c r="B779" s="14" t="s">
        <v>5414</v>
      </c>
      <c r="C779" s="245" t="s">
        <v>5281</v>
      </c>
      <c r="D779" s="12" t="s">
        <v>3212</v>
      </c>
      <c r="E779" s="8" t="s">
        <v>861</v>
      </c>
      <c r="F779" s="8" t="s">
        <v>1150</v>
      </c>
      <c r="G779" s="8" t="s">
        <v>1149</v>
      </c>
      <c r="H779" s="7" t="s">
        <v>592</v>
      </c>
      <c r="I779" s="16"/>
      <c r="J779" s="16"/>
      <c r="K779" s="17"/>
      <c r="L779" s="3"/>
      <c r="M779" s="8" t="s">
        <v>4206</v>
      </c>
      <c r="N779" s="11">
        <v>43979.346296296295</v>
      </c>
      <c r="O779" s="8" t="s">
        <v>4206</v>
      </c>
      <c r="P779" s="11">
        <v>43971.420243055552</v>
      </c>
      <c r="Q779" s="13">
        <v>763447</v>
      </c>
      <c r="R779" s="246" t="s">
        <v>594</v>
      </c>
      <c r="S779" s="14" t="s">
        <v>5159</v>
      </c>
      <c r="T779" s="163">
        <v>911</v>
      </c>
      <c r="U779" s="164" t="str">
        <f>CONCATENATE(LEFT(SP_ACQ_Lib[[#This Row],[Tax Parcel ID]],7),"_",SP_ACQ_Lib[[#This Row],[ACQ Document Type]])</f>
        <v>R026605_TITLE Tax Card</v>
      </c>
      <c r="V779" s="65" t="str">
        <f>INDEX(SP_AcqTract_DB[WCAD Tax Parcel ID],MATCH(SP_ACQ_Lib[[#This Row],[Acquisition Tract No.]],SP_AcqTract_DB[Acquisition Tract No.],0))</f>
        <v>R026605;#214</v>
      </c>
      <c r="W779" s="48" t="str">
        <f>INDEX(SP_TaxPar_DB[Acquisition Tract No.],MATCH(LEFT(SP_ACQ_Lib[[#This Row],[Tax Parcel ID]],7),SP_TaxPar_DB[Tax Parcel ID],0))</f>
        <v>T163</v>
      </c>
      <c r="X779" s="238" t="str">
        <f>IF(OR(SP_ACQ_Lib[[#This Row],[Acquisition Tract No.]]="",SP_ACQ_Lib[[#This Row],[ACQ Document Type]]=""),0,CONCATENATE("COW-FRMP_TR-",SP_ACQ_Lib[[#This Row],[Acquisition Tract No.]]," ",SP_ACQ_Lib[[#This Row],[ACQ Document Type]]))</f>
        <v>COW-FRMP_TR-T163 TITLE Tax Card</v>
      </c>
      <c r="Y779" s="239">
        <f>IF(OR(SP_ACQ_Lib[[#This Row],[File Name Convention]]=0,LEFT(SP_ACQ_Lib[[#This Row],[Name]],LEN(SP_ACQ_Lib[[#This Row],[File Name Convention]]))&lt;&gt;SP_ACQ_Lib[[#This Row],[File Name Convention]],ISERROR(SEARCH(SP_ACQ_Lib[[#This Row],[ACQ Document Type]],SP_ACQ_Lib[[#This Row],[Name]]))),1,0)</f>
        <v>0</v>
      </c>
    </row>
    <row r="780" spans="1:25" ht="15" x14ac:dyDescent="0.2">
      <c r="A780" s="157" t="str">
        <f>CONCATENATE(SP_ACQ_Lib[[#This Row],[Acquisition Tract No.]],"_",SP_ACQ_Lib[[#This Row],[ACQ Document Type]])</f>
        <v>T164_CONTACT Negotiator Report</v>
      </c>
      <c r="B780" s="14" t="s">
        <v>5415</v>
      </c>
      <c r="C780" s="245" t="s">
        <v>5283</v>
      </c>
      <c r="D780" s="12" t="s">
        <v>3213</v>
      </c>
      <c r="E780" s="8" t="s">
        <v>865</v>
      </c>
      <c r="F780" s="8" t="s">
        <v>1068</v>
      </c>
      <c r="G780" s="8" t="s">
        <v>1067</v>
      </c>
      <c r="H780" s="7" t="s">
        <v>592</v>
      </c>
      <c r="I780" s="16">
        <v>43873</v>
      </c>
      <c r="J780" s="16"/>
      <c r="K780" s="17"/>
      <c r="L780" s="3"/>
      <c r="M780" s="8" t="s">
        <v>1744</v>
      </c>
      <c r="N780" s="11">
        <v>44000.915648148148</v>
      </c>
      <c r="O780" s="8" t="s">
        <v>4206</v>
      </c>
      <c r="P780" s="11">
        <v>43971.420266203706</v>
      </c>
      <c r="Q780" s="13">
        <v>63965</v>
      </c>
      <c r="R780" s="246" t="s">
        <v>594</v>
      </c>
      <c r="S780" s="14" t="s">
        <v>5237</v>
      </c>
      <c r="T780" s="163">
        <v>912</v>
      </c>
      <c r="U780" s="164" t="str">
        <f>CONCATENATE(LEFT(SP_ACQ_Lib[[#This Row],[Tax Parcel ID]],7),"_",SP_ACQ_Lib[[#This Row],[ACQ Document Type]])</f>
        <v>R026606_CONTACT Negotiator Report</v>
      </c>
      <c r="V780" s="65" t="str">
        <f>INDEX(SP_AcqTract_DB[WCAD Tax Parcel ID],MATCH(SP_ACQ_Lib[[#This Row],[Acquisition Tract No.]],SP_AcqTract_DB[Acquisition Tract No.],0))</f>
        <v>R026606;#215</v>
      </c>
      <c r="W780" s="48" t="str">
        <f>INDEX(SP_TaxPar_DB[Acquisition Tract No.],MATCH(LEFT(SP_ACQ_Lib[[#This Row],[Tax Parcel ID]],7),SP_TaxPar_DB[Tax Parcel ID],0))</f>
        <v>T164</v>
      </c>
      <c r="X780" s="238" t="str">
        <f>IF(OR(SP_ACQ_Lib[[#This Row],[Acquisition Tract No.]]="",SP_ACQ_Lib[[#This Row],[ACQ Document Type]]=""),0,CONCATENATE("COW-FRMP_TR-",SP_ACQ_Lib[[#This Row],[Acquisition Tract No.]]," ",SP_ACQ_Lib[[#This Row],[ACQ Document Type]]))</f>
        <v>COW-FRMP_TR-T164 CONTACT Negotiator Report</v>
      </c>
      <c r="Y780" s="239">
        <f>IF(OR(SP_ACQ_Lib[[#This Row],[File Name Convention]]=0,LEFT(SP_ACQ_Lib[[#This Row],[Name]],LEN(SP_ACQ_Lib[[#This Row],[File Name Convention]]))&lt;&gt;SP_ACQ_Lib[[#This Row],[File Name Convention]],ISERROR(SEARCH(SP_ACQ_Lib[[#This Row],[ACQ Document Type]],SP_ACQ_Lib[[#This Row],[Name]]))),1,0)</f>
        <v>0</v>
      </c>
    </row>
    <row r="781" spans="1:25" ht="15" x14ac:dyDescent="0.2">
      <c r="A781" s="157" t="str">
        <f>CONCATENATE(SP_ACQ_Lib[[#This Row],[Acquisition Tract No.]],"_",SP_ACQ_Lib[[#This Row],[ACQ Document Type]])</f>
        <v>T164_ENVIRONMENTAL Right-of-Entry Executed</v>
      </c>
      <c r="B781" s="14" t="s">
        <v>5571</v>
      </c>
      <c r="C781" s="245" t="s">
        <v>5283</v>
      </c>
      <c r="D781" s="12" t="s">
        <v>3213</v>
      </c>
      <c r="E781" s="8" t="s">
        <v>2682</v>
      </c>
      <c r="F781" s="8" t="s">
        <v>2683</v>
      </c>
      <c r="G781" s="8" t="s">
        <v>2681</v>
      </c>
      <c r="H781" s="7" t="s">
        <v>592</v>
      </c>
      <c r="I781" s="16">
        <v>43880</v>
      </c>
      <c r="J781" s="16"/>
      <c r="K781" s="17"/>
      <c r="L781" s="3"/>
      <c r="M781" s="8" t="s">
        <v>4206</v>
      </c>
      <c r="N781" s="11">
        <v>43983.568310185183</v>
      </c>
      <c r="O781" s="8" t="s">
        <v>4206</v>
      </c>
      <c r="P781" s="11">
        <v>43971.420300925929</v>
      </c>
      <c r="Q781" s="13">
        <v>1786377</v>
      </c>
      <c r="R781" s="246" t="s">
        <v>594</v>
      </c>
      <c r="S781" s="14" t="s">
        <v>5161</v>
      </c>
      <c r="T781" s="163">
        <v>914</v>
      </c>
      <c r="U781" s="164" t="str">
        <f>CONCATENATE(LEFT(SP_ACQ_Lib[[#This Row],[Tax Parcel ID]],7),"_",SP_ACQ_Lib[[#This Row],[ACQ Document Type]])</f>
        <v>R026606_ENVIRONMENTAL Right-of-Entry Executed</v>
      </c>
      <c r="V781" s="65" t="str">
        <f>INDEX(SP_AcqTract_DB[WCAD Tax Parcel ID],MATCH(SP_ACQ_Lib[[#This Row],[Acquisition Tract No.]],SP_AcqTract_DB[Acquisition Tract No.],0))</f>
        <v>R026606;#215</v>
      </c>
      <c r="W781" s="48" t="str">
        <f>INDEX(SP_TaxPar_DB[Acquisition Tract No.],MATCH(LEFT(SP_ACQ_Lib[[#This Row],[Tax Parcel ID]],7),SP_TaxPar_DB[Tax Parcel ID],0))</f>
        <v>T164</v>
      </c>
      <c r="X781" s="238" t="str">
        <f>IF(OR(SP_ACQ_Lib[[#This Row],[Acquisition Tract No.]]="",SP_ACQ_Lib[[#This Row],[ACQ Document Type]]=""),0,CONCATENATE("COW-FRMP_TR-",SP_ACQ_Lib[[#This Row],[Acquisition Tract No.]]," ",SP_ACQ_Lib[[#This Row],[ACQ Document Type]]))</f>
        <v>COW-FRMP_TR-T164 ENVIRONMENTAL Right-of-Entry Executed</v>
      </c>
      <c r="Y781" s="239">
        <f>IF(OR(SP_ACQ_Lib[[#This Row],[File Name Convention]]=0,LEFT(SP_ACQ_Lib[[#This Row],[Name]],LEN(SP_ACQ_Lib[[#This Row],[File Name Convention]]))&lt;&gt;SP_ACQ_Lib[[#This Row],[File Name Convention]],ISERROR(SEARCH(SP_ACQ_Lib[[#This Row],[ACQ Document Type]],SP_ACQ_Lib[[#This Row],[Name]]))),1,0)</f>
        <v>0</v>
      </c>
    </row>
    <row r="782" spans="1:25" ht="15" x14ac:dyDescent="0.2">
      <c r="A782" s="157" t="str">
        <f>CONCATENATE(SP_ACQ_Lib[[#This Row],[Acquisition Tract No.]],"_",SP_ACQ_Lib[[#This Row],[ACQ Document Type]])</f>
        <v>T164_ENVIRONMENTAL Right-of-Entry Package</v>
      </c>
      <c r="B782" s="14" t="s">
        <v>5572</v>
      </c>
      <c r="C782" s="245" t="s">
        <v>5283</v>
      </c>
      <c r="D782" s="12" t="s">
        <v>3213</v>
      </c>
      <c r="E782" s="8" t="s">
        <v>2682</v>
      </c>
      <c r="F782" s="8" t="s">
        <v>2687</v>
      </c>
      <c r="G782" s="8" t="s">
        <v>2686</v>
      </c>
      <c r="H782" s="7" t="s">
        <v>592</v>
      </c>
      <c r="I782" s="16">
        <v>43850</v>
      </c>
      <c r="J782" s="16">
        <v>43852</v>
      </c>
      <c r="K782" s="17"/>
      <c r="L782" s="3"/>
      <c r="M782" s="8" t="s">
        <v>4206</v>
      </c>
      <c r="N782" s="11">
        <v>43983.597893518519</v>
      </c>
      <c r="O782" s="8" t="s">
        <v>4206</v>
      </c>
      <c r="P782" s="11">
        <v>43971.420277777775</v>
      </c>
      <c r="Q782" s="13">
        <v>883254</v>
      </c>
      <c r="R782" s="246" t="s">
        <v>594</v>
      </c>
      <c r="S782" s="14" t="s">
        <v>5160</v>
      </c>
      <c r="T782" s="163">
        <v>913</v>
      </c>
      <c r="U782" s="164" t="str">
        <f>CONCATENATE(LEFT(SP_ACQ_Lib[[#This Row],[Tax Parcel ID]],7),"_",SP_ACQ_Lib[[#This Row],[ACQ Document Type]])</f>
        <v>R026606_ENVIRONMENTAL Right-of-Entry Package</v>
      </c>
      <c r="V782" s="65" t="str">
        <f>INDEX(SP_AcqTract_DB[WCAD Tax Parcel ID],MATCH(SP_ACQ_Lib[[#This Row],[Acquisition Tract No.]],SP_AcqTract_DB[Acquisition Tract No.],0))</f>
        <v>R026606;#215</v>
      </c>
      <c r="W782" s="48" t="str">
        <f>INDEX(SP_TaxPar_DB[Acquisition Tract No.],MATCH(LEFT(SP_ACQ_Lib[[#This Row],[Tax Parcel ID]],7),SP_TaxPar_DB[Tax Parcel ID],0))</f>
        <v>T164</v>
      </c>
      <c r="X782" s="238" t="str">
        <f>IF(OR(SP_ACQ_Lib[[#This Row],[Acquisition Tract No.]]="",SP_ACQ_Lib[[#This Row],[ACQ Document Type]]=""),0,CONCATENATE("COW-FRMP_TR-",SP_ACQ_Lib[[#This Row],[Acquisition Tract No.]]," ",SP_ACQ_Lib[[#This Row],[ACQ Document Type]]))</f>
        <v>COW-FRMP_TR-T164 ENVIRONMENTAL Right-of-Entry Package</v>
      </c>
      <c r="Y782" s="239">
        <f>IF(OR(SP_ACQ_Lib[[#This Row],[File Name Convention]]=0,LEFT(SP_ACQ_Lib[[#This Row],[Name]],LEN(SP_ACQ_Lib[[#This Row],[File Name Convention]]))&lt;&gt;SP_ACQ_Lib[[#This Row],[File Name Convention]],ISERROR(SEARCH(SP_ACQ_Lib[[#This Row],[ACQ Document Type]],SP_ACQ_Lib[[#This Row],[Name]]))),1,0)</f>
        <v>0</v>
      </c>
    </row>
    <row r="783" spans="1:25" ht="15" x14ac:dyDescent="0.2">
      <c r="A783" s="157" t="str">
        <f>CONCATENATE(SP_ACQ_Lib[[#This Row],[Acquisition Tract No.]],"_",SP_ACQ_Lib[[#This Row],[ACQ Document Type]])</f>
        <v>T164_ROE Right-of-Entry Executed</v>
      </c>
      <c r="B783" s="14" t="s">
        <v>6341</v>
      </c>
      <c r="C783" s="245" t="s">
        <v>5283</v>
      </c>
      <c r="D783" s="12" t="s">
        <v>3213</v>
      </c>
      <c r="E783" s="8" t="s">
        <v>1146</v>
      </c>
      <c r="F783" s="8" t="s">
        <v>2683</v>
      </c>
      <c r="G783" s="8" t="s">
        <v>5660</v>
      </c>
      <c r="H783" s="7" t="s">
        <v>592</v>
      </c>
      <c r="I783" s="16">
        <v>43999</v>
      </c>
      <c r="J783" s="16">
        <v>44182</v>
      </c>
      <c r="K783" s="17"/>
      <c r="L783" s="3"/>
      <c r="M783" s="8" t="s">
        <v>4206</v>
      </c>
      <c r="N783" s="11">
        <v>44005.615590277775</v>
      </c>
      <c r="O783" s="8" t="s">
        <v>4206</v>
      </c>
      <c r="P783" s="11">
        <v>44005.61346064815</v>
      </c>
      <c r="Q783" s="13">
        <v>1993790</v>
      </c>
      <c r="R783" s="246" t="s">
        <v>594</v>
      </c>
      <c r="S783" s="14" t="s">
        <v>6410</v>
      </c>
      <c r="T783" s="163">
        <v>1277</v>
      </c>
      <c r="U783" s="164" t="str">
        <f>CONCATENATE(LEFT(SP_ACQ_Lib[[#This Row],[Tax Parcel ID]],7),"_",SP_ACQ_Lib[[#This Row],[ACQ Document Type]])</f>
        <v>R026606_ROE Right-of-Entry Executed</v>
      </c>
      <c r="V783" s="65" t="str">
        <f>INDEX(SP_AcqTract_DB[WCAD Tax Parcel ID],MATCH(SP_ACQ_Lib[[#This Row],[Acquisition Tract No.]],SP_AcqTract_DB[Acquisition Tract No.],0))</f>
        <v>R026606;#215</v>
      </c>
      <c r="W783" s="48" t="str">
        <f>INDEX(SP_TaxPar_DB[Acquisition Tract No.],MATCH(LEFT(SP_ACQ_Lib[[#This Row],[Tax Parcel ID]],7),SP_TaxPar_DB[Tax Parcel ID],0))</f>
        <v>T164</v>
      </c>
      <c r="X783" s="238" t="str">
        <f>IF(OR(SP_ACQ_Lib[[#This Row],[Acquisition Tract No.]]="",SP_ACQ_Lib[[#This Row],[ACQ Document Type]]=""),0,CONCATENATE("COW-FRMP_TR-",SP_ACQ_Lib[[#This Row],[Acquisition Tract No.]]," ",SP_ACQ_Lib[[#This Row],[ACQ Document Type]]))</f>
        <v>COW-FRMP_TR-T164 ROE Right-of-Entry Executed</v>
      </c>
      <c r="Y783" s="239">
        <f>IF(OR(SP_ACQ_Lib[[#This Row],[File Name Convention]]=0,LEFT(SP_ACQ_Lib[[#This Row],[Name]],LEN(SP_ACQ_Lib[[#This Row],[File Name Convention]]))&lt;&gt;SP_ACQ_Lib[[#This Row],[File Name Convention]],ISERROR(SEARCH(SP_ACQ_Lib[[#This Row],[ACQ Document Type]],SP_ACQ_Lib[[#This Row],[Name]]))),1,0)</f>
        <v>0</v>
      </c>
    </row>
    <row r="784" spans="1:25" ht="15" x14ac:dyDescent="0.2">
      <c r="A784" s="157" t="str">
        <f>CONCATENATE(SP_ACQ_Lib[[#This Row],[Acquisition Tract No.]],"_",SP_ACQ_Lib[[#This Row],[ACQ Document Type]])</f>
        <v>T164_ROE Right-of-Entry Package</v>
      </c>
      <c r="B784" s="14" t="s">
        <v>5674</v>
      </c>
      <c r="C784" s="245" t="s">
        <v>5283</v>
      </c>
      <c r="D784" s="12" t="s">
        <v>3213</v>
      </c>
      <c r="E784" s="8" t="s">
        <v>1146</v>
      </c>
      <c r="F784" s="8" t="s">
        <v>2687</v>
      </c>
      <c r="G784" s="8" t="s">
        <v>5659</v>
      </c>
      <c r="H784" s="7" t="s">
        <v>592</v>
      </c>
      <c r="I784" s="16">
        <v>43984</v>
      </c>
      <c r="J784" s="16"/>
      <c r="K784" s="17"/>
      <c r="L784" s="3"/>
      <c r="M784" s="8" t="s">
        <v>4206</v>
      </c>
      <c r="N784" s="11">
        <v>43985.523611111108</v>
      </c>
      <c r="O784" s="8" t="s">
        <v>4206</v>
      </c>
      <c r="P784" s="11">
        <v>43985.520335648151</v>
      </c>
      <c r="Q784" s="13">
        <v>1261327</v>
      </c>
      <c r="R784" s="246" t="s">
        <v>594</v>
      </c>
      <c r="S784" s="14" t="s">
        <v>5698</v>
      </c>
      <c r="T784" s="163">
        <v>1100</v>
      </c>
      <c r="U784" s="164" t="str">
        <f>CONCATENATE(LEFT(SP_ACQ_Lib[[#This Row],[Tax Parcel ID]],7),"_",SP_ACQ_Lib[[#This Row],[ACQ Document Type]])</f>
        <v>R026606_ROE Right-of-Entry Package</v>
      </c>
      <c r="V784" s="65" t="str">
        <f>INDEX(SP_AcqTract_DB[WCAD Tax Parcel ID],MATCH(SP_ACQ_Lib[[#This Row],[Acquisition Tract No.]],SP_AcqTract_DB[Acquisition Tract No.],0))</f>
        <v>R026606;#215</v>
      </c>
      <c r="W784" s="48" t="str">
        <f>INDEX(SP_TaxPar_DB[Acquisition Tract No.],MATCH(LEFT(SP_ACQ_Lib[[#This Row],[Tax Parcel ID]],7),SP_TaxPar_DB[Tax Parcel ID],0))</f>
        <v>T164</v>
      </c>
      <c r="X784" s="238" t="str">
        <f>IF(OR(SP_ACQ_Lib[[#This Row],[Acquisition Tract No.]]="",SP_ACQ_Lib[[#This Row],[ACQ Document Type]]=""),0,CONCATENATE("COW-FRMP_TR-",SP_ACQ_Lib[[#This Row],[Acquisition Tract No.]]," ",SP_ACQ_Lib[[#This Row],[ACQ Document Type]]))</f>
        <v>COW-FRMP_TR-T164 ROE Right-of-Entry Package</v>
      </c>
      <c r="Y784" s="239">
        <f>IF(OR(SP_ACQ_Lib[[#This Row],[File Name Convention]]=0,LEFT(SP_ACQ_Lib[[#This Row],[Name]],LEN(SP_ACQ_Lib[[#This Row],[File Name Convention]]))&lt;&gt;SP_ACQ_Lib[[#This Row],[File Name Convention]],ISERROR(SEARCH(SP_ACQ_Lib[[#This Row],[ACQ Document Type]],SP_ACQ_Lib[[#This Row],[Name]]))),1,0)</f>
        <v>0</v>
      </c>
    </row>
    <row r="785" spans="1:25" ht="15" x14ac:dyDescent="0.2">
      <c r="A785" s="157" t="str">
        <f>CONCATENATE(SP_ACQ_Lib[[#This Row],[Acquisition Tract No.]],"_",SP_ACQ_Lib[[#This Row],[ACQ Document Type]])</f>
        <v>T164_TITLE Tax Card</v>
      </c>
      <c r="B785" s="14" t="s">
        <v>5416</v>
      </c>
      <c r="C785" s="245" t="s">
        <v>5283</v>
      </c>
      <c r="D785" s="12" t="s">
        <v>3213</v>
      </c>
      <c r="E785" s="8" t="s">
        <v>861</v>
      </c>
      <c r="F785" s="8" t="s">
        <v>1150</v>
      </c>
      <c r="G785" s="8" t="s">
        <v>1149</v>
      </c>
      <c r="H785" s="7" t="s">
        <v>592</v>
      </c>
      <c r="I785" s="16"/>
      <c r="J785" s="16"/>
      <c r="K785" s="17"/>
      <c r="L785" s="3"/>
      <c r="M785" s="8" t="s">
        <v>4206</v>
      </c>
      <c r="N785" s="11">
        <v>43979.346516203703</v>
      </c>
      <c r="O785" s="8" t="s">
        <v>4206</v>
      </c>
      <c r="P785" s="11">
        <v>43971.420335648145</v>
      </c>
      <c r="Q785" s="13">
        <v>779747</v>
      </c>
      <c r="R785" s="246" t="s">
        <v>594</v>
      </c>
      <c r="S785" s="14" t="s">
        <v>5162</v>
      </c>
      <c r="T785" s="163">
        <v>915</v>
      </c>
      <c r="U785" s="164" t="str">
        <f>CONCATENATE(LEFT(SP_ACQ_Lib[[#This Row],[Tax Parcel ID]],7),"_",SP_ACQ_Lib[[#This Row],[ACQ Document Type]])</f>
        <v>R026606_TITLE Tax Card</v>
      </c>
      <c r="V785" s="65" t="str">
        <f>INDEX(SP_AcqTract_DB[WCAD Tax Parcel ID],MATCH(SP_ACQ_Lib[[#This Row],[Acquisition Tract No.]],SP_AcqTract_DB[Acquisition Tract No.],0))</f>
        <v>R026606;#215</v>
      </c>
      <c r="W785" s="48" t="str">
        <f>INDEX(SP_TaxPar_DB[Acquisition Tract No.],MATCH(LEFT(SP_ACQ_Lib[[#This Row],[Tax Parcel ID]],7),SP_TaxPar_DB[Tax Parcel ID],0))</f>
        <v>T164</v>
      </c>
      <c r="X785" s="238" t="str">
        <f>IF(OR(SP_ACQ_Lib[[#This Row],[Acquisition Tract No.]]="",SP_ACQ_Lib[[#This Row],[ACQ Document Type]]=""),0,CONCATENATE("COW-FRMP_TR-",SP_ACQ_Lib[[#This Row],[Acquisition Tract No.]]," ",SP_ACQ_Lib[[#This Row],[ACQ Document Type]]))</f>
        <v>COW-FRMP_TR-T164 TITLE Tax Card</v>
      </c>
      <c r="Y785" s="239">
        <f>IF(OR(SP_ACQ_Lib[[#This Row],[File Name Convention]]=0,LEFT(SP_ACQ_Lib[[#This Row],[Name]],LEN(SP_ACQ_Lib[[#This Row],[File Name Convention]]))&lt;&gt;SP_ACQ_Lib[[#This Row],[File Name Convention]],ISERROR(SEARCH(SP_ACQ_Lib[[#This Row],[ACQ Document Type]],SP_ACQ_Lib[[#This Row],[Name]]))),1,0)</f>
        <v>0</v>
      </c>
    </row>
    <row r="786" spans="1:25" ht="15" x14ac:dyDescent="0.2">
      <c r="A786" s="157" t="str">
        <f>CONCATENATE(SP_ACQ_Lib[[#This Row],[Acquisition Tract No.]],"_",SP_ACQ_Lib[[#This Row],[ACQ Document Type]])</f>
        <v>T167_CONTACT Negotiator Report</v>
      </c>
      <c r="B786" s="14" t="s">
        <v>5417</v>
      </c>
      <c r="C786" s="245" t="s">
        <v>5285</v>
      </c>
      <c r="D786" s="12" t="s">
        <v>3219</v>
      </c>
      <c r="E786" s="8" t="s">
        <v>865</v>
      </c>
      <c r="F786" s="8" t="s">
        <v>1068</v>
      </c>
      <c r="G786" s="8" t="s">
        <v>1067</v>
      </c>
      <c r="H786" s="7" t="s">
        <v>592</v>
      </c>
      <c r="I786" s="16"/>
      <c r="J786" s="16"/>
      <c r="K786" s="17"/>
      <c r="L786" s="3"/>
      <c r="M786" s="8" t="s">
        <v>5648</v>
      </c>
      <c r="N786" s="11">
        <v>43997.354317129626</v>
      </c>
      <c r="O786" s="8" t="s">
        <v>4206</v>
      </c>
      <c r="P786" s="11">
        <v>43971.420347222222</v>
      </c>
      <c r="Q786" s="13">
        <v>66702</v>
      </c>
      <c r="R786" s="246" t="s">
        <v>594</v>
      </c>
      <c r="S786" s="14" t="s">
        <v>5532</v>
      </c>
      <c r="T786" s="163">
        <v>916</v>
      </c>
      <c r="U786" s="164" t="str">
        <f>CONCATENATE(LEFT(SP_ACQ_Lib[[#This Row],[Tax Parcel ID]],7),"_",SP_ACQ_Lib[[#This Row],[ACQ Document Type]])</f>
        <v>R026610_CONTACT Negotiator Report</v>
      </c>
      <c r="V786" s="65" t="str">
        <f>INDEX(SP_AcqTract_DB[WCAD Tax Parcel ID],MATCH(SP_ACQ_Lib[[#This Row],[Acquisition Tract No.]],SP_AcqTract_DB[Acquisition Tract No.],0))</f>
        <v>R026610;#217</v>
      </c>
      <c r="W786" s="48" t="str">
        <f>INDEX(SP_TaxPar_DB[Acquisition Tract No.],MATCH(LEFT(SP_ACQ_Lib[[#This Row],[Tax Parcel ID]],7),SP_TaxPar_DB[Tax Parcel ID],0))</f>
        <v>T167</v>
      </c>
      <c r="X786" s="238" t="str">
        <f>IF(OR(SP_ACQ_Lib[[#This Row],[Acquisition Tract No.]]="",SP_ACQ_Lib[[#This Row],[ACQ Document Type]]=""),0,CONCATENATE("COW-FRMP_TR-",SP_ACQ_Lib[[#This Row],[Acquisition Tract No.]]," ",SP_ACQ_Lib[[#This Row],[ACQ Document Type]]))</f>
        <v>COW-FRMP_TR-T167 CONTACT Negotiator Report</v>
      </c>
      <c r="Y786" s="239">
        <f>IF(OR(SP_ACQ_Lib[[#This Row],[File Name Convention]]=0,LEFT(SP_ACQ_Lib[[#This Row],[Name]],LEN(SP_ACQ_Lib[[#This Row],[File Name Convention]]))&lt;&gt;SP_ACQ_Lib[[#This Row],[File Name Convention]],ISERROR(SEARCH(SP_ACQ_Lib[[#This Row],[ACQ Document Type]],SP_ACQ_Lib[[#This Row],[Name]]))),1,0)</f>
        <v>0</v>
      </c>
    </row>
    <row r="787" spans="1:25" ht="15" x14ac:dyDescent="0.2">
      <c r="A787" s="157" t="str">
        <f>CONCATENATE(SP_ACQ_Lib[[#This Row],[Acquisition Tract No.]],"_",SP_ACQ_Lib[[#This Row],[ACQ Document Type]])</f>
        <v>T167_ENVIRONMENTAL Right-of-Entry Executed</v>
      </c>
      <c r="B787" s="14" t="s">
        <v>5573</v>
      </c>
      <c r="C787" s="245" t="s">
        <v>5285</v>
      </c>
      <c r="D787" s="12" t="s">
        <v>3219</v>
      </c>
      <c r="E787" s="8" t="s">
        <v>2682</v>
      </c>
      <c r="F787" s="8" t="s">
        <v>2683</v>
      </c>
      <c r="G787" s="8" t="s">
        <v>2681</v>
      </c>
      <c r="H787" s="7" t="s">
        <v>592</v>
      </c>
      <c r="I787" s="16">
        <v>43860</v>
      </c>
      <c r="J787" s="16"/>
      <c r="K787" s="17"/>
      <c r="L787" s="3"/>
      <c r="M787" s="8" t="s">
        <v>4206</v>
      </c>
      <c r="N787" s="11">
        <v>43983.568576388891</v>
      </c>
      <c r="O787" s="8" t="s">
        <v>4206</v>
      </c>
      <c r="P787" s="11">
        <v>43971.420381944445</v>
      </c>
      <c r="Q787" s="13">
        <v>2076417</v>
      </c>
      <c r="R787" s="246" t="s">
        <v>594</v>
      </c>
      <c r="S787" s="14" t="s">
        <v>5164</v>
      </c>
      <c r="T787" s="163">
        <v>918</v>
      </c>
      <c r="U787" s="164" t="str">
        <f>CONCATENATE(LEFT(SP_ACQ_Lib[[#This Row],[Tax Parcel ID]],7),"_",SP_ACQ_Lib[[#This Row],[ACQ Document Type]])</f>
        <v>R026610_ENVIRONMENTAL Right-of-Entry Executed</v>
      </c>
      <c r="V787" s="65" t="str">
        <f>INDEX(SP_AcqTract_DB[WCAD Tax Parcel ID],MATCH(SP_ACQ_Lib[[#This Row],[Acquisition Tract No.]],SP_AcqTract_DB[Acquisition Tract No.],0))</f>
        <v>R026610;#217</v>
      </c>
      <c r="W787" s="48" t="str">
        <f>INDEX(SP_TaxPar_DB[Acquisition Tract No.],MATCH(LEFT(SP_ACQ_Lib[[#This Row],[Tax Parcel ID]],7),SP_TaxPar_DB[Tax Parcel ID],0))</f>
        <v>T167</v>
      </c>
      <c r="X787" s="238" t="str">
        <f>IF(OR(SP_ACQ_Lib[[#This Row],[Acquisition Tract No.]]="",SP_ACQ_Lib[[#This Row],[ACQ Document Type]]=""),0,CONCATENATE("COW-FRMP_TR-",SP_ACQ_Lib[[#This Row],[Acquisition Tract No.]]," ",SP_ACQ_Lib[[#This Row],[ACQ Document Type]]))</f>
        <v>COW-FRMP_TR-T167 ENVIRONMENTAL Right-of-Entry Executed</v>
      </c>
      <c r="Y787" s="239">
        <f>IF(OR(SP_ACQ_Lib[[#This Row],[File Name Convention]]=0,LEFT(SP_ACQ_Lib[[#This Row],[Name]],LEN(SP_ACQ_Lib[[#This Row],[File Name Convention]]))&lt;&gt;SP_ACQ_Lib[[#This Row],[File Name Convention]],ISERROR(SEARCH(SP_ACQ_Lib[[#This Row],[ACQ Document Type]],SP_ACQ_Lib[[#This Row],[Name]]))),1,0)</f>
        <v>0</v>
      </c>
    </row>
    <row r="788" spans="1:25" ht="15" x14ac:dyDescent="0.2">
      <c r="A788" s="157" t="str">
        <f>CONCATENATE(SP_ACQ_Lib[[#This Row],[Acquisition Tract No.]],"_",SP_ACQ_Lib[[#This Row],[ACQ Document Type]])</f>
        <v>T167_ENVIRONMENTAL Right-of-Entry Package</v>
      </c>
      <c r="B788" s="14" t="s">
        <v>5574</v>
      </c>
      <c r="C788" s="245" t="s">
        <v>5285</v>
      </c>
      <c r="D788" s="12" t="s">
        <v>3219</v>
      </c>
      <c r="E788" s="8" t="s">
        <v>2682</v>
      </c>
      <c r="F788" s="8" t="s">
        <v>2687</v>
      </c>
      <c r="G788" s="8" t="s">
        <v>2686</v>
      </c>
      <c r="H788" s="7" t="s">
        <v>592</v>
      </c>
      <c r="I788" s="16">
        <v>43850</v>
      </c>
      <c r="J788" s="16">
        <v>43854</v>
      </c>
      <c r="K788" s="17"/>
      <c r="L788" s="3"/>
      <c r="M788" s="8" t="s">
        <v>4206</v>
      </c>
      <c r="N788" s="11">
        <v>43983.597893518519</v>
      </c>
      <c r="O788" s="8" t="s">
        <v>4206</v>
      </c>
      <c r="P788" s="11">
        <v>43971.420358796298</v>
      </c>
      <c r="Q788" s="13">
        <v>884718</v>
      </c>
      <c r="R788" s="246" t="s">
        <v>594</v>
      </c>
      <c r="S788" s="14" t="s">
        <v>5163</v>
      </c>
      <c r="T788" s="163">
        <v>917</v>
      </c>
      <c r="U788" s="164" t="str">
        <f>CONCATENATE(LEFT(SP_ACQ_Lib[[#This Row],[Tax Parcel ID]],7),"_",SP_ACQ_Lib[[#This Row],[ACQ Document Type]])</f>
        <v>R026610_ENVIRONMENTAL Right-of-Entry Package</v>
      </c>
      <c r="V788" s="65" t="str">
        <f>INDEX(SP_AcqTract_DB[WCAD Tax Parcel ID],MATCH(SP_ACQ_Lib[[#This Row],[Acquisition Tract No.]],SP_AcqTract_DB[Acquisition Tract No.],0))</f>
        <v>R026610;#217</v>
      </c>
      <c r="W788" s="48" t="str">
        <f>INDEX(SP_TaxPar_DB[Acquisition Tract No.],MATCH(LEFT(SP_ACQ_Lib[[#This Row],[Tax Parcel ID]],7),SP_TaxPar_DB[Tax Parcel ID],0))</f>
        <v>T167</v>
      </c>
      <c r="X788" s="238" t="str">
        <f>IF(OR(SP_ACQ_Lib[[#This Row],[Acquisition Tract No.]]="",SP_ACQ_Lib[[#This Row],[ACQ Document Type]]=""),0,CONCATENATE("COW-FRMP_TR-",SP_ACQ_Lib[[#This Row],[Acquisition Tract No.]]," ",SP_ACQ_Lib[[#This Row],[ACQ Document Type]]))</f>
        <v>COW-FRMP_TR-T167 ENVIRONMENTAL Right-of-Entry Package</v>
      </c>
      <c r="Y788" s="239">
        <f>IF(OR(SP_ACQ_Lib[[#This Row],[File Name Convention]]=0,LEFT(SP_ACQ_Lib[[#This Row],[Name]],LEN(SP_ACQ_Lib[[#This Row],[File Name Convention]]))&lt;&gt;SP_ACQ_Lib[[#This Row],[File Name Convention]],ISERROR(SEARCH(SP_ACQ_Lib[[#This Row],[ACQ Document Type]],SP_ACQ_Lib[[#This Row],[Name]]))),1,0)</f>
        <v>0</v>
      </c>
    </row>
    <row r="789" spans="1:25" ht="15" x14ac:dyDescent="0.2">
      <c r="A789" s="157" t="str">
        <f>CONCATENATE(SP_ACQ_Lib[[#This Row],[Acquisition Tract No.]],"_",SP_ACQ_Lib[[#This Row],[ACQ Document Type]])</f>
        <v>T167_ROE Right-of-Entry Executed</v>
      </c>
      <c r="B789" s="14" t="s">
        <v>6342</v>
      </c>
      <c r="C789" s="245" t="s">
        <v>5285</v>
      </c>
      <c r="D789" s="12" t="s">
        <v>3219</v>
      </c>
      <c r="E789" s="8" t="s">
        <v>1146</v>
      </c>
      <c r="F789" s="8" t="s">
        <v>2683</v>
      </c>
      <c r="G789" s="8" t="s">
        <v>5660</v>
      </c>
      <c r="H789" s="7" t="s">
        <v>592</v>
      </c>
      <c r="I789" s="16">
        <v>43991</v>
      </c>
      <c r="J789" s="16">
        <v>44174</v>
      </c>
      <c r="K789" s="17"/>
      <c r="L789" s="3"/>
      <c r="M789" s="8" t="s">
        <v>4206</v>
      </c>
      <c r="N789" s="11">
        <v>44004.441747685189</v>
      </c>
      <c r="O789" s="8" t="s">
        <v>4206</v>
      </c>
      <c r="P789" s="11">
        <v>44004.430798611109</v>
      </c>
      <c r="Q789" s="13">
        <v>2280959</v>
      </c>
      <c r="R789" s="246" t="s">
        <v>594</v>
      </c>
      <c r="S789" s="14" t="s">
        <v>6411</v>
      </c>
      <c r="T789" s="163">
        <v>1241</v>
      </c>
      <c r="U789" s="164" t="str">
        <f>CONCATENATE(LEFT(SP_ACQ_Lib[[#This Row],[Tax Parcel ID]],7),"_",SP_ACQ_Lib[[#This Row],[ACQ Document Type]])</f>
        <v>R026610_ROE Right-of-Entry Executed</v>
      </c>
      <c r="V789" s="65" t="str">
        <f>INDEX(SP_AcqTract_DB[WCAD Tax Parcel ID],MATCH(SP_ACQ_Lib[[#This Row],[Acquisition Tract No.]],SP_AcqTract_DB[Acquisition Tract No.],0))</f>
        <v>R026610;#217</v>
      </c>
      <c r="W789" s="48" t="str">
        <f>INDEX(SP_TaxPar_DB[Acquisition Tract No.],MATCH(LEFT(SP_ACQ_Lib[[#This Row],[Tax Parcel ID]],7),SP_TaxPar_DB[Tax Parcel ID],0))</f>
        <v>T167</v>
      </c>
      <c r="X789" s="238" t="str">
        <f>IF(OR(SP_ACQ_Lib[[#This Row],[Acquisition Tract No.]]="",SP_ACQ_Lib[[#This Row],[ACQ Document Type]]=""),0,CONCATENATE("COW-FRMP_TR-",SP_ACQ_Lib[[#This Row],[Acquisition Tract No.]]," ",SP_ACQ_Lib[[#This Row],[ACQ Document Type]]))</f>
        <v>COW-FRMP_TR-T167 ROE Right-of-Entry Executed</v>
      </c>
      <c r="Y789" s="239">
        <f>IF(OR(SP_ACQ_Lib[[#This Row],[File Name Convention]]=0,LEFT(SP_ACQ_Lib[[#This Row],[Name]],LEN(SP_ACQ_Lib[[#This Row],[File Name Convention]]))&lt;&gt;SP_ACQ_Lib[[#This Row],[File Name Convention]],ISERROR(SEARCH(SP_ACQ_Lib[[#This Row],[ACQ Document Type]],SP_ACQ_Lib[[#This Row],[Name]]))),1,0)</f>
        <v>0</v>
      </c>
    </row>
    <row r="790" spans="1:25" ht="15" x14ac:dyDescent="0.2">
      <c r="A790" s="157" t="str">
        <f>CONCATENATE(SP_ACQ_Lib[[#This Row],[Acquisition Tract No.]],"_",SP_ACQ_Lib[[#This Row],[ACQ Document Type]])</f>
        <v>T167_ROE Right-of-Entry Package</v>
      </c>
      <c r="B790" s="14" t="s">
        <v>5675</v>
      </c>
      <c r="C790" s="245" t="s">
        <v>5285</v>
      </c>
      <c r="D790" s="12" t="s">
        <v>3219</v>
      </c>
      <c r="E790" s="8" t="s">
        <v>1146</v>
      </c>
      <c r="F790" s="8" t="s">
        <v>2687</v>
      </c>
      <c r="G790" s="8" t="s">
        <v>5659</v>
      </c>
      <c r="H790" s="7" t="s">
        <v>592</v>
      </c>
      <c r="I790" s="16">
        <v>43984</v>
      </c>
      <c r="J790" s="16"/>
      <c r="K790" s="17"/>
      <c r="L790" s="3"/>
      <c r="M790" s="8" t="s">
        <v>4206</v>
      </c>
      <c r="N790" s="11">
        <v>43985.523888888885</v>
      </c>
      <c r="O790" s="8" t="s">
        <v>4206</v>
      </c>
      <c r="P790" s="11">
        <v>43985.52034722222</v>
      </c>
      <c r="Q790" s="13">
        <v>1241441</v>
      </c>
      <c r="R790" s="246" t="s">
        <v>594</v>
      </c>
      <c r="S790" s="14" t="s">
        <v>5699</v>
      </c>
      <c r="T790" s="163">
        <v>1101</v>
      </c>
      <c r="U790" s="164" t="str">
        <f>CONCATENATE(LEFT(SP_ACQ_Lib[[#This Row],[Tax Parcel ID]],7),"_",SP_ACQ_Lib[[#This Row],[ACQ Document Type]])</f>
        <v>R026610_ROE Right-of-Entry Package</v>
      </c>
      <c r="V790" s="65" t="str">
        <f>INDEX(SP_AcqTract_DB[WCAD Tax Parcel ID],MATCH(SP_ACQ_Lib[[#This Row],[Acquisition Tract No.]],SP_AcqTract_DB[Acquisition Tract No.],0))</f>
        <v>R026610;#217</v>
      </c>
      <c r="W790" s="48" t="str">
        <f>INDEX(SP_TaxPar_DB[Acquisition Tract No.],MATCH(LEFT(SP_ACQ_Lib[[#This Row],[Tax Parcel ID]],7),SP_TaxPar_DB[Tax Parcel ID],0))</f>
        <v>T167</v>
      </c>
      <c r="X790" s="238" t="str">
        <f>IF(OR(SP_ACQ_Lib[[#This Row],[Acquisition Tract No.]]="",SP_ACQ_Lib[[#This Row],[ACQ Document Type]]=""),0,CONCATENATE("COW-FRMP_TR-",SP_ACQ_Lib[[#This Row],[Acquisition Tract No.]]," ",SP_ACQ_Lib[[#This Row],[ACQ Document Type]]))</f>
        <v>COW-FRMP_TR-T167 ROE Right-of-Entry Package</v>
      </c>
      <c r="Y790" s="239">
        <f>IF(OR(SP_ACQ_Lib[[#This Row],[File Name Convention]]=0,LEFT(SP_ACQ_Lib[[#This Row],[Name]],LEN(SP_ACQ_Lib[[#This Row],[File Name Convention]]))&lt;&gt;SP_ACQ_Lib[[#This Row],[File Name Convention]],ISERROR(SEARCH(SP_ACQ_Lib[[#This Row],[ACQ Document Type]],SP_ACQ_Lib[[#This Row],[Name]]))),1,0)</f>
        <v>0</v>
      </c>
    </row>
    <row r="791" spans="1:25" ht="15" x14ac:dyDescent="0.2">
      <c r="A791" s="157" t="str">
        <f>CONCATENATE(SP_ACQ_Lib[[#This Row],[Acquisition Tract No.]],"_",SP_ACQ_Lib[[#This Row],[ACQ Document Type]])</f>
        <v>T168_CONTACT Negotiator Report</v>
      </c>
      <c r="B791" s="14" t="s">
        <v>5418</v>
      </c>
      <c r="C791" s="245" t="s">
        <v>5287</v>
      </c>
      <c r="D791" s="12" t="s">
        <v>3220</v>
      </c>
      <c r="E791" s="8" t="s">
        <v>865</v>
      </c>
      <c r="F791" s="8" t="s">
        <v>1068</v>
      </c>
      <c r="G791" s="8" t="s">
        <v>1067</v>
      </c>
      <c r="H791" s="7" t="s">
        <v>592</v>
      </c>
      <c r="I791" s="16">
        <v>43873</v>
      </c>
      <c r="J791" s="16"/>
      <c r="K791" s="17"/>
      <c r="L791" s="3"/>
      <c r="M791" s="8" t="s">
        <v>6483</v>
      </c>
      <c r="N791" s="11">
        <v>44019.647638888891</v>
      </c>
      <c r="O791" s="8" t="s">
        <v>4206</v>
      </c>
      <c r="P791" s="11">
        <v>43971.420439814814</v>
      </c>
      <c r="Q791" s="13">
        <v>67848</v>
      </c>
      <c r="R791" s="246" t="s">
        <v>594</v>
      </c>
      <c r="S791" s="14" t="s">
        <v>5532</v>
      </c>
      <c r="T791" s="163">
        <v>919</v>
      </c>
      <c r="U791" s="164" t="str">
        <f>CONCATENATE(LEFT(SP_ACQ_Lib[[#This Row],[Tax Parcel ID]],7),"_",SP_ACQ_Lib[[#This Row],[ACQ Document Type]])</f>
        <v>R026611_CONTACT Negotiator Report</v>
      </c>
      <c r="V791" s="65" t="str">
        <f>INDEX(SP_AcqTract_DB[WCAD Tax Parcel ID],MATCH(SP_ACQ_Lib[[#This Row],[Acquisition Tract No.]],SP_AcqTract_DB[Acquisition Tract No.],0))</f>
        <v>R026611;#218</v>
      </c>
      <c r="W791" s="48" t="str">
        <f>INDEX(SP_TaxPar_DB[Acquisition Tract No.],MATCH(LEFT(SP_ACQ_Lib[[#This Row],[Tax Parcel ID]],7),SP_TaxPar_DB[Tax Parcel ID],0))</f>
        <v>T168</v>
      </c>
      <c r="X791" s="238" t="str">
        <f>IF(OR(SP_ACQ_Lib[[#This Row],[Acquisition Tract No.]]="",SP_ACQ_Lib[[#This Row],[ACQ Document Type]]=""),0,CONCATENATE("COW-FRMP_TR-",SP_ACQ_Lib[[#This Row],[Acquisition Tract No.]]," ",SP_ACQ_Lib[[#This Row],[ACQ Document Type]]))</f>
        <v>COW-FRMP_TR-T168 CONTACT Negotiator Report</v>
      </c>
      <c r="Y791" s="239">
        <f>IF(OR(SP_ACQ_Lib[[#This Row],[File Name Convention]]=0,LEFT(SP_ACQ_Lib[[#This Row],[Name]],LEN(SP_ACQ_Lib[[#This Row],[File Name Convention]]))&lt;&gt;SP_ACQ_Lib[[#This Row],[File Name Convention]],ISERROR(SEARCH(SP_ACQ_Lib[[#This Row],[ACQ Document Type]],SP_ACQ_Lib[[#This Row],[Name]]))),1,0)</f>
        <v>0</v>
      </c>
    </row>
    <row r="792" spans="1:25" ht="15" x14ac:dyDescent="0.2">
      <c r="A792" s="157" t="str">
        <f>CONCATENATE(SP_ACQ_Lib[[#This Row],[Acquisition Tract No.]],"_",SP_ACQ_Lib[[#This Row],[ACQ Document Type]])</f>
        <v>T168_ENVIRONMENTAL Right-of-Entry Package</v>
      </c>
      <c r="B792" s="14" t="s">
        <v>5575</v>
      </c>
      <c r="C792" s="245" t="s">
        <v>5287</v>
      </c>
      <c r="D792" s="12" t="s">
        <v>3220</v>
      </c>
      <c r="E792" s="8" t="s">
        <v>2682</v>
      </c>
      <c r="F792" s="8" t="s">
        <v>2687</v>
      </c>
      <c r="G792" s="8" t="s">
        <v>2686</v>
      </c>
      <c r="H792" s="7" t="s">
        <v>592</v>
      </c>
      <c r="I792" s="16">
        <v>43850</v>
      </c>
      <c r="J792" s="16">
        <v>43853</v>
      </c>
      <c r="K792" s="17"/>
      <c r="L792" s="3"/>
      <c r="M792" s="8" t="s">
        <v>4206</v>
      </c>
      <c r="N792" s="11">
        <v>43983.597986111112</v>
      </c>
      <c r="O792" s="8" t="s">
        <v>4206</v>
      </c>
      <c r="P792" s="11">
        <v>43971.420439814814</v>
      </c>
      <c r="Q792" s="13">
        <v>765623</v>
      </c>
      <c r="R792" s="246" t="s">
        <v>594</v>
      </c>
      <c r="S792" s="14" t="s">
        <v>5165</v>
      </c>
      <c r="T792" s="163">
        <v>920</v>
      </c>
      <c r="U792" s="164" t="str">
        <f>CONCATENATE(LEFT(SP_ACQ_Lib[[#This Row],[Tax Parcel ID]],7),"_",SP_ACQ_Lib[[#This Row],[ACQ Document Type]])</f>
        <v>R026611_ENVIRONMENTAL Right-of-Entry Package</v>
      </c>
      <c r="V792" s="65" t="str">
        <f>INDEX(SP_AcqTract_DB[WCAD Tax Parcel ID],MATCH(SP_ACQ_Lib[[#This Row],[Acquisition Tract No.]],SP_AcqTract_DB[Acquisition Tract No.],0))</f>
        <v>R026611;#218</v>
      </c>
      <c r="W792" s="48" t="str">
        <f>INDEX(SP_TaxPar_DB[Acquisition Tract No.],MATCH(LEFT(SP_ACQ_Lib[[#This Row],[Tax Parcel ID]],7),SP_TaxPar_DB[Tax Parcel ID],0))</f>
        <v>T168</v>
      </c>
      <c r="X792" s="238" t="str">
        <f>IF(OR(SP_ACQ_Lib[[#This Row],[Acquisition Tract No.]]="",SP_ACQ_Lib[[#This Row],[ACQ Document Type]]=""),0,CONCATENATE("COW-FRMP_TR-",SP_ACQ_Lib[[#This Row],[Acquisition Tract No.]]," ",SP_ACQ_Lib[[#This Row],[ACQ Document Type]]))</f>
        <v>COW-FRMP_TR-T168 ENVIRONMENTAL Right-of-Entry Package</v>
      </c>
      <c r="Y792" s="239">
        <f>IF(OR(SP_ACQ_Lib[[#This Row],[File Name Convention]]=0,LEFT(SP_ACQ_Lib[[#This Row],[Name]],LEN(SP_ACQ_Lib[[#This Row],[File Name Convention]]))&lt;&gt;SP_ACQ_Lib[[#This Row],[File Name Convention]],ISERROR(SEARCH(SP_ACQ_Lib[[#This Row],[ACQ Document Type]],SP_ACQ_Lib[[#This Row],[Name]]))),1,0)</f>
        <v>0</v>
      </c>
    </row>
    <row r="793" spans="1:25" ht="15" x14ac:dyDescent="0.2">
      <c r="A793" s="157" t="str">
        <f>CONCATENATE(SP_ACQ_Lib[[#This Row],[Acquisition Tract No.]],"_",SP_ACQ_Lib[[#This Row],[ACQ Document Type]])</f>
        <v>T168_ROE Right-of-Entry Package</v>
      </c>
      <c r="B793" s="14" t="s">
        <v>5676</v>
      </c>
      <c r="C793" s="245" t="s">
        <v>5287</v>
      </c>
      <c r="D793" s="12" t="s">
        <v>3220</v>
      </c>
      <c r="E793" s="8" t="s">
        <v>1146</v>
      </c>
      <c r="F793" s="8" t="s">
        <v>2687</v>
      </c>
      <c r="G793" s="8" t="s">
        <v>5659</v>
      </c>
      <c r="H793" s="7" t="s">
        <v>592</v>
      </c>
      <c r="I793" s="16">
        <v>43984</v>
      </c>
      <c r="J793" s="16"/>
      <c r="K793" s="17"/>
      <c r="L793" s="3"/>
      <c r="M793" s="8" t="s">
        <v>4206</v>
      </c>
      <c r="N793" s="11">
        <v>43985.524189814816</v>
      </c>
      <c r="O793" s="8" t="s">
        <v>4206</v>
      </c>
      <c r="P793" s="11">
        <v>43985.520370370374</v>
      </c>
      <c r="Q793" s="13">
        <v>1293121</v>
      </c>
      <c r="R793" s="246" t="s">
        <v>594</v>
      </c>
      <c r="S793" s="14" t="s">
        <v>5700</v>
      </c>
      <c r="T793" s="163">
        <v>1102</v>
      </c>
      <c r="U793" s="164" t="str">
        <f>CONCATENATE(LEFT(SP_ACQ_Lib[[#This Row],[Tax Parcel ID]],7),"_",SP_ACQ_Lib[[#This Row],[ACQ Document Type]])</f>
        <v>R026611_ROE Right-of-Entry Package</v>
      </c>
      <c r="V793" s="65" t="str">
        <f>INDEX(SP_AcqTract_DB[WCAD Tax Parcel ID],MATCH(SP_ACQ_Lib[[#This Row],[Acquisition Tract No.]],SP_AcqTract_DB[Acquisition Tract No.],0))</f>
        <v>R026611;#218</v>
      </c>
      <c r="W793" s="48" t="str">
        <f>INDEX(SP_TaxPar_DB[Acquisition Tract No.],MATCH(LEFT(SP_ACQ_Lib[[#This Row],[Tax Parcel ID]],7),SP_TaxPar_DB[Tax Parcel ID],0))</f>
        <v>T168</v>
      </c>
      <c r="X793" s="238" t="str">
        <f>IF(OR(SP_ACQ_Lib[[#This Row],[Acquisition Tract No.]]="",SP_ACQ_Lib[[#This Row],[ACQ Document Type]]=""),0,CONCATENATE("COW-FRMP_TR-",SP_ACQ_Lib[[#This Row],[Acquisition Tract No.]]," ",SP_ACQ_Lib[[#This Row],[ACQ Document Type]]))</f>
        <v>COW-FRMP_TR-T168 ROE Right-of-Entry Package</v>
      </c>
      <c r="Y793" s="239">
        <f>IF(OR(SP_ACQ_Lib[[#This Row],[File Name Convention]]=0,LEFT(SP_ACQ_Lib[[#This Row],[Name]],LEN(SP_ACQ_Lib[[#This Row],[File Name Convention]]))&lt;&gt;SP_ACQ_Lib[[#This Row],[File Name Convention]],ISERROR(SEARCH(SP_ACQ_Lib[[#This Row],[ACQ Document Type]],SP_ACQ_Lib[[#This Row],[Name]]))),1,0)</f>
        <v>0</v>
      </c>
    </row>
    <row r="794" spans="1:25" ht="15" x14ac:dyDescent="0.2">
      <c r="A794" s="157" t="str">
        <f>CONCATENATE(SP_ACQ_Lib[[#This Row],[Acquisition Tract No.]],"_",SP_ACQ_Lib[[#This Row],[ACQ Document Type]])</f>
        <v>T168_TITLE Tax Card</v>
      </c>
      <c r="B794" s="14" t="s">
        <v>5419</v>
      </c>
      <c r="C794" s="245" t="s">
        <v>5287</v>
      </c>
      <c r="D794" s="12" t="s">
        <v>3220</v>
      </c>
      <c r="E794" s="8" t="s">
        <v>861</v>
      </c>
      <c r="F794" s="8" t="s">
        <v>1150</v>
      </c>
      <c r="G794" s="8" t="s">
        <v>1149</v>
      </c>
      <c r="H794" s="7" t="s">
        <v>592</v>
      </c>
      <c r="I794" s="16"/>
      <c r="J794" s="16"/>
      <c r="K794" s="17"/>
      <c r="L794" s="3"/>
      <c r="M794" s="8" t="s">
        <v>4206</v>
      </c>
      <c r="N794" s="11">
        <v>43979.346817129626</v>
      </c>
      <c r="O794" s="8" t="s">
        <v>4206</v>
      </c>
      <c r="P794" s="11">
        <v>43971.42046296296</v>
      </c>
      <c r="Q794" s="13">
        <v>652443</v>
      </c>
      <c r="R794" s="246" t="s">
        <v>594</v>
      </c>
      <c r="S794" s="14" t="s">
        <v>5166</v>
      </c>
      <c r="T794" s="163">
        <v>921</v>
      </c>
      <c r="U794" s="164" t="str">
        <f>CONCATENATE(LEFT(SP_ACQ_Lib[[#This Row],[Tax Parcel ID]],7),"_",SP_ACQ_Lib[[#This Row],[ACQ Document Type]])</f>
        <v>R026611_TITLE Tax Card</v>
      </c>
      <c r="V794" s="65" t="str">
        <f>INDEX(SP_AcqTract_DB[WCAD Tax Parcel ID],MATCH(SP_ACQ_Lib[[#This Row],[Acquisition Tract No.]],SP_AcqTract_DB[Acquisition Tract No.],0))</f>
        <v>R026611;#218</v>
      </c>
      <c r="W794" s="48" t="str">
        <f>INDEX(SP_TaxPar_DB[Acquisition Tract No.],MATCH(LEFT(SP_ACQ_Lib[[#This Row],[Tax Parcel ID]],7),SP_TaxPar_DB[Tax Parcel ID],0))</f>
        <v>T168</v>
      </c>
      <c r="X794" s="238" t="str">
        <f>IF(OR(SP_ACQ_Lib[[#This Row],[Acquisition Tract No.]]="",SP_ACQ_Lib[[#This Row],[ACQ Document Type]]=""),0,CONCATENATE("COW-FRMP_TR-",SP_ACQ_Lib[[#This Row],[Acquisition Tract No.]]," ",SP_ACQ_Lib[[#This Row],[ACQ Document Type]]))</f>
        <v>COW-FRMP_TR-T168 TITLE Tax Card</v>
      </c>
      <c r="Y794" s="239">
        <f>IF(OR(SP_ACQ_Lib[[#This Row],[File Name Convention]]=0,LEFT(SP_ACQ_Lib[[#This Row],[Name]],LEN(SP_ACQ_Lib[[#This Row],[File Name Convention]]))&lt;&gt;SP_ACQ_Lib[[#This Row],[File Name Convention]],ISERROR(SEARCH(SP_ACQ_Lib[[#This Row],[ACQ Document Type]],SP_ACQ_Lib[[#This Row],[Name]]))),1,0)</f>
        <v>0</v>
      </c>
    </row>
    <row r="795" spans="1:25" ht="15" x14ac:dyDescent="0.2">
      <c r="A795" s="157" t="str">
        <f>CONCATENATE(SP_ACQ_Lib[[#This Row],[Acquisition Tract No.]],"_",SP_ACQ_Lib[[#This Row],[ACQ Document Type]])</f>
        <v>T169_CONTACT Negotiator Report</v>
      </c>
      <c r="B795" s="14" t="s">
        <v>5420</v>
      </c>
      <c r="C795" s="245" t="s">
        <v>5289</v>
      </c>
      <c r="D795" s="12" t="s">
        <v>3221</v>
      </c>
      <c r="E795" s="8" t="s">
        <v>865</v>
      </c>
      <c r="F795" s="8" t="s">
        <v>1068</v>
      </c>
      <c r="G795" s="8" t="s">
        <v>1067</v>
      </c>
      <c r="H795" s="7" t="s">
        <v>592</v>
      </c>
      <c r="I795" s="16">
        <v>43873</v>
      </c>
      <c r="J795" s="16"/>
      <c r="K795" s="17"/>
      <c r="L795" s="3"/>
      <c r="M795" s="8" t="s">
        <v>4206</v>
      </c>
      <c r="N795" s="11">
        <v>43978.543576388889</v>
      </c>
      <c r="O795" s="8" t="s">
        <v>4206</v>
      </c>
      <c r="P795" s="11">
        <v>43971.420474537037</v>
      </c>
      <c r="Q795" s="13">
        <v>70127</v>
      </c>
      <c r="R795" s="246" t="s">
        <v>594</v>
      </c>
      <c r="S795" s="14" t="s">
        <v>5238</v>
      </c>
      <c r="T795" s="163">
        <v>922</v>
      </c>
      <c r="U795" s="164" t="str">
        <f>CONCATENATE(LEFT(SP_ACQ_Lib[[#This Row],[Tax Parcel ID]],7),"_",SP_ACQ_Lib[[#This Row],[ACQ Document Type]])</f>
        <v>R026612_CONTACT Negotiator Report</v>
      </c>
      <c r="V795" s="65" t="str">
        <f>INDEX(SP_AcqTract_DB[WCAD Tax Parcel ID],MATCH(SP_ACQ_Lib[[#This Row],[Acquisition Tract No.]],SP_AcqTract_DB[Acquisition Tract No.],0))</f>
        <v>R026612;#219</v>
      </c>
      <c r="W795" s="48" t="str">
        <f>INDEX(SP_TaxPar_DB[Acquisition Tract No.],MATCH(LEFT(SP_ACQ_Lib[[#This Row],[Tax Parcel ID]],7),SP_TaxPar_DB[Tax Parcel ID],0))</f>
        <v>T169</v>
      </c>
      <c r="X795" s="238" t="str">
        <f>IF(OR(SP_ACQ_Lib[[#This Row],[Acquisition Tract No.]]="",SP_ACQ_Lib[[#This Row],[ACQ Document Type]]=""),0,CONCATENATE("COW-FRMP_TR-",SP_ACQ_Lib[[#This Row],[Acquisition Tract No.]]," ",SP_ACQ_Lib[[#This Row],[ACQ Document Type]]))</f>
        <v>COW-FRMP_TR-T169 CONTACT Negotiator Report</v>
      </c>
      <c r="Y795" s="239">
        <f>IF(OR(SP_ACQ_Lib[[#This Row],[File Name Convention]]=0,LEFT(SP_ACQ_Lib[[#This Row],[Name]],LEN(SP_ACQ_Lib[[#This Row],[File Name Convention]]))&lt;&gt;SP_ACQ_Lib[[#This Row],[File Name Convention]],ISERROR(SEARCH(SP_ACQ_Lib[[#This Row],[ACQ Document Type]],SP_ACQ_Lib[[#This Row],[Name]]))),1,0)</f>
        <v>0</v>
      </c>
    </row>
    <row r="796" spans="1:25" ht="15" x14ac:dyDescent="0.2">
      <c r="A796" s="157" t="str">
        <f>CONCATENATE(SP_ACQ_Lib[[#This Row],[Acquisition Tract No.]],"_",SP_ACQ_Lib[[#This Row],[ACQ Document Type]])</f>
        <v>T169_ENVIRONMENTAL Right-of-Entry Executed</v>
      </c>
      <c r="B796" s="14" t="s">
        <v>5576</v>
      </c>
      <c r="C796" s="245" t="s">
        <v>5289</v>
      </c>
      <c r="D796" s="12" t="s">
        <v>3221</v>
      </c>
      <c r="E796" s="8" t="s">
        <v>2682</v>
      </c>
      <c r="F796" s="8" t="s">
        <v>2683</v>
      </c>
      <c r="G796" s="8" t="s">
        <v>2681</v>
      </c>
      <c r="H796" s="7" t="s">
        <v>592</v>
      </c>
      <c r="I796" s="16">
        <v>43900</v>
      </c>
      <c r="J796" s="16"/>
      <c r="K796" s="17"/>
      <c r="L796" s="3"/>
      <c r="M796" s="8" t="s">
        <v>4206</v>
      </c>
      <c r="N796" s="11">
        <v>43983.568819444445</v>
      </c>
      <c r="O796" s="8" t="s">
        <v>4206</v>
      </c>
      <c r="P796" s="11">
        <v>43971.420520833337</v>
      </c>
      <c r="Q796" s="13">
        <v>1697764</v>
      </c>
      <c r="R796" s="246" t="s">
        <v>594</v>
      </c>
      <c r="S796" s="14" t="s">
        <v>5168</v>
      </c>
      <c r="T796" s="163">
        <v>924</v>
      </c>
      <c r="U796" s="164" t="str">
        <f>CONCATENATE(LEFT(SP_ACQ_Lib[[#This Row],[Tax Parcel ID]],7),"_",SP_ACQ_Lib[[#This Row],[ACQ Document Type]])</f>
        <v>R026612_ENVIRONMENTAL Right-of-Entry Executed</v>
      </c>
      <c r="V796" s="65" t="str">
        <f>INDEX(SP_AcqTract_DB[WCAD Tax Parcel ID],MATCH(SP_ACQ_Lib[[#This Row],[Acquisition Tract No.]],SP_AcqTract_DB[Acquisition Tract No.],0))</f>
        <v>R026612;#219</v>
      </c>
      <c r="W796" s="48" t="str">
        <f>INDEX(SP_TaxPar_DB[Acquisition Tract No.],MATCH(LEFT(SP_ACQ_Lib[[#This Row],[Tax Parcel ID]],7),SP_TaxPar_DB[Tax Parcel ID],0))</f>
        <v>T169</v>
      </c>
      <c r="X796" s="238" t="str">
        <f>IF(OR(SP_ACQ_Lib[[#This Row],[Acquisition Tract No.]]="",SP_ACQ_Lib[[#This Row],[ACQ Document Type]]=""),0,CONCATENATE("COW-FRMP_TR-",SP_ACQ_Lib[[#This Row],[Acquisition Tract No.]]," ",SP_ACQ_Lib[[#This Row],[ACQ Document Type]]))</f>
        <v>COW-FRMP_TR-T169 ENVIRONMENTAL Right-of-Entry Executed</v>
      </c>
      <c r="Y796" s="239">
        <f>IF(OR(SP_ACQ_Lib[[#This Row],[File Name Convention]]=0,LEFT(SP_ACQ_Lib[[#This Row],[Name]],LEN(SP_ACQ_Lib[[#This Row],[File Name Convention]]))&lt;&gt;SP_ACQ_Lib[[#This Row],[File Name Convention]],ISERROR(SEARCH(SP_ACQ_Lib[[#This Row],[ACQ Document Type]],SP_ACQ_Lib[[#This Row],[Name]]))),1,0)</f>
        <v>0</v>
      </c>
    </row>
    <row r="797" spans="1:25" ht="15" x14ac:dyDescent="0.2">
      <c r="A797" s="157" t="str">
        <f>CONCATENATE(SP_ACQ_Lib[[#This Row],[Acquisition Tract No.]],"_",SP_ACQ_Lib[[#This Row],[ACQ Document Type]])</f>
        <v>T169_ENVIRONMENTAL Right-of-Entry Package</v>
      </c>
      <c r="B797" s="14" t="s">
        <v>5577</v>
      </c>
      <c r="C797" s="245" t="s">
        <v>5289</v>
      </c>
      <c r="D797" s="12" t="s">
        <v>3221</v>
      </c>
      <c r="E797" s="8" t="s">
        <v>2682</v>
      </c>
      <c r="F797" s="8" t="s">
        <v>2687</v>
      </c>
      <c r="G797" s="8" t="s">
        <v>2686</v>
      </c>
      <c r="H797" s="7" t="s">
        <v>592</v>
      </c>
      <c r="I797" s="16">
        <v>43850</v>
      </c>
      <c r="J797" s="16">
        <v>43857</v>
      </c>
      <c r="K797" s="17"/>
      <c r="L797" s="3"/>
      <c r="M797" s="8" t="s">
        <v>4206</v>
      </c>
      <c r="N797" s="11">
        <v>43983.597986111112</v>
      </c>
      <c r="O797" s="8" t="s">
        <v>4206</v>
      </c>
      <c r="P797" s="11">
        <v>43971.420486111114</v>
      </c>
      <c r="Q797" s="13">
        <v>759086</v>
      </c>
      <c r="R797" s="246" t="s">
        <v>594</v>
      </c>
      <c r="S797" s="14" t="s">
        <v>5167</v>
      </c>
      <c r="T797" s="163">
        <v>923</v>
      </c>
      <c r="U797" s="164" t="str">
        <f>CONCATENATE(LEFT(SP_ACQ_Lib[[#This Row],[Tax Parcel ID]],7),"_",SP_ACQ_Lib[[#This Row],[ACQ Document Type]])</f>
        <v>R026612_ENVIRONMENTAL Right-of-Entry Package</v>
      </c>
      <c r="V797" s="65" t="str">
        <f>INDEX(SP_AcqTract_DB[WCAD Tax Parcel ID],MATCH(SP_ACQ_Lib[[#This Row],[Acquisition Tract No.]],SP_AcqTract_DB[Acquisition Tract No.],0))</f>
        <v>R026612;#219</v>
      </c>
      <c r="W797" s="48" t="str">
        <f>INDEX(SP_TaxPar_DB[Acquisition Tract No.],MATCH(LEFT(SP_ACQ_Lib[[#This Row],[Tax Parcel ID]],7),SP_TaxPar_DB[Tax Parcel ID],0))</f>
        <v>T169</v>
      </c>
      <c r="X797" s="238" t="str">
        <f>IF(OR(SP_ACQ_Lib[[#This Row],[Acquisition Tract No.]]="",SP_ACQ_Lib[[#This Row],[ACQ Document Type]]=""),0,CONCATENATE("COW-FRMP_TR-",SP_ACQ_Lib[[#This Row],[Acquisition Tract No.]]," ",SP_ACQ_Lib[[#This Row],[ACQ Document Type]]))</f>
        <v>COW-FRMP_TR-T169 ENVIRONMENTAL Right-of-Entry Package</v>
      </c>
      <c r="Y797" s="239">
        <f>IF(OR(SP_ACQ_Lib[[#This Row],[File Name Convention]]=0,LEFT(SP_ACQ_Lib[[#This Row],[Name]],LEN(SP_ACQ_Lib[[#This Row],[File Name Convention]]))&lt;&gt;SP_ACQ_Lib[[#This Row],[File Name Convention]],ISERROR(SEARCH(SP_ACQ_Lib[[#This Row],[ACQ Document Type]],SP_ACQ_Lib[[#This Row],[Name]]))),1,0)</f>
        <v>0</v>
      </c>
    </row>
    <row r="798" spans="1:25" ht="15" x14ac:dyDescent="0.2">
      <c r="A798" s="157" t="str">
        <f>CONCATENATE(SP_ACQ_Lib[[#This Row],[Acquisition Tract No.]],"_",SP_ACQ_Lib[[#This Row],[ACQ Document Type]])</f>
        <v>T169_TITLE Tax Card</v>
      </c>
      <c r="B798" s="14" t="s">
        <v>5421</v>
      </c>
      <c r="C798" s="245" t="s">
        <v>5289</v>
      </c>
      <c r="D798" s="12" t="s">
        <v>3221</v>
      </c>
      <c r="E798" s="8" t="s">
        <v>861</v>
      </c>
      <c r="F798" s="8" t="s">
        <v>1150</v>
      </c>
      <c r="G798" s="8" t="s">
        <v>1149</v>
      </c>
      <c r="H798" s="7" t="s">
        <v>592</v>
      </c>
      <c r="I798" s="16"/>
      <c r="J798" s="16"/>
      <c r="K798" s="17"/>
      <c r="L798" s="3"/>
      <c r="M798" s="8" t="s">
        <v>4206</v>
      </c>
      <c r="N798" s="11">
        <v>43979.346932870372</v>
      </c>
      <c r="O798" s="8" t="s">
        <v>4206</v>
      </c>
      <c r="P798" s="11">
        <v>43971.420555555553</v>
      </c>
      <c r="Q798" s="13">
        <v>648712</v>
      </c>
      <c r="R798" s="246" t="s">
        <v>594</v>
      </c>
      <c r="S798" s="14" t="s">
        <v>5169</v>
      </c>
      <c r="T798" s="163">
        <v>925</v>
      </c>
      <c r="U798" s="164" t="str">
        <f>CONCATENATE(LEFT(SP_ACQ_Lib[[#This Row],[Tax Parcel ID]],7),"_",SP_ACQ_Lib[[#This Row],[ACQ Document Type]])</f>
        <v>R026612_TITLE Tax Card</v>
      </c>
      <c r="V798" s="65" t="str">
        <f>INDEX(SP_AcqTract_DB[WCAD Tax Parcel ID],MATCH(SP_ACQ_Lib[[#This Row],[Acquisition Tract No.]],SP_AcqTract_DB[Acquisition Tract No.],0))</f>
        <v>R026612;#219</v>
      </c>
      <c r="W798" s="48" t="str">
        <f>INDEX(SP_TaxPar_DB[Acquisition Tract No.],MATCH(LEFT(SP_ACQ_Lib[[#This Row],[Tax Parcel ID]],7),SP_TaxPar_DB[Tax Parcel ID],0))</f>
        <v>T169</v>
      </c>
      <c r="X798" s="238" t="str">
        <f>IF(OR(SP_ACQ_Lib[[#This Row],[Acquisition Tract No.]]="",SP_ACQ_Lib[[#This Row],[ACQ Document Type]]=""),0,CONCATENATE("COW-FRMP_TR-",SP_ACQ_Lib[[#This Row],[Acquisition Tract No.]]," ",SP_ACQ_Lib[[#This Row],[ACQ Document Type]]))</f>
        <v>COW-FRMP_TR-T169 TITLE Tax Card</v>
      </c>
      <c r="Y798" s="239">
        <f>IF(OR(SP_ACQ_Lib[[#This Row],[File Name Convention]]=0,LEFT(SP_ACQ_Lib[[#This Row],[Name]],LEN(SP_ACQ_Lib[[#This Row],[File Name Convention]]))&lt;&gt;SP_ACQ_Lib[[#This Row],[File Name Convention]],ISERROR(SEARCH(SP_ACQ_Lib[[#This Row],[ACQ Document Type]],SP_ACQ_Lib[[#This Row],[Name]]))),1,0)</f>
        <v>0</v>
      </c>
    </row>
    <row r="799" spans="1:25" ht="15" x14ac:dyDescent="0.2">
      <c r="A799" s="157" t="str">
        <f>CONCATENATE(SP_ACQ_Lib[[#This Row],[Acquisition Tract No.]],"_",SP_ACQ_Lib[[#This Row],[ACQ Document Type]])</f>
        <v>T181_CONTACT Negotiator Report</v>
      </c>
      <c r="B799" s="14" t="s">
        <v>5422</v>
      </c>
      <c r="C799" s="245" t="s">
        <v>5291</v>
      </c>
      <c r="D799" s="12" t="s">
        <v>3242</v>
      </c>
      <c r="E799" s="8" t="s">
        <v>865</v>
      </c>
      <c r="F799" s="8" t="s">
        <v>1068</v>
      </c>
      <c r="G799" s="8" t="s">
        <v>1067</v>
      </c>
      <c r="H799" s="7" t="s">
        <v>592</v>
      </c>
      <c r="I799" s="16">
        <v>43873</v>
      </c>
      <c r="J799" s="16"/>
      <c r="K799" s="17"/>
      <c r="L799" s="3"/>
      <c r="M799" s="8" t="s">
        <v>6483</v>
      </c>
      <c r="N799" s="11">
        <v>44014.490104166667</v>
      </c>
      <c r="O799" s="8" t="s">
        <v>4206</v>
      </c>
      <c r="P799" s="11">
        <v>43971.420567129629</v>
      </c>
      <c r="Q799" s="13">
        <v>132916</v>
      </c>
      <c r="R799" s="246" t="s">
        <v>594</v>
      </c>
      <c r="S799" s="14" t="s">
        <v>5239</v>
      </c>
      <c r="T799" s="163">
        <v>926</v>
      </c>
      <c r="U799" s="164" t="str">
        <f>CONCATENATE(LEFT(SP_ACQ_Lib[[#This Row],[Tax Parcel ID]],7),"_",SP_ACQ_Lib[[#This Row],[ACQ Document Type]])</f>
        <v>R026931_CONTACT Negotiator Report</v>
      </c>
      <c r="V799" s="65" t="str">
        <f>INDEX(SP_AcqTract_DB[WCAD Tax Parcel ID],MATCH(SP_ACQ_Lib[[#This Row],[Acquisition Tract No.]],SP_AcqTract_DB[Acquisition Tract No.],0))</f>
        <v>R026931;#224</v>
      </c>
      <c r="W799" s="48" t="str">
        <f>INDEX(SP_TaxPar_DB[Acquisition Tract No.],MATCH(LEFT(SP_ACQ_Lib[[#This Row],[Tax Parcel ID]],7),SP_TaxPar_DB[Tax Parcel ID],0))</f>
        <v>T181</v>
      </c>
      <c r="X799" s="238" t="str">
        <f>IF(OR(SP_ACQ_Lib[[#This Row],[Acquisition Tract No.]]="",SP_ACQ_Lib[[#This Row],[ACQ Document Type]]=""),0,CONCATENATE("COW-FRMP_TR-",SP_ACQ_Lib[[#This Row],[Acquisition Tract No.]]," ",SP_ACQ_Lib[[#This Row],[ACQ Document Type]]))</f>
        <v>COW-FRMP_TR-T181 CONTACT Negotiator Report</v>
      </c>
      <c r="Y799" s="239">
        <f>IF(OR(SP_ACQ_Lib[[#This Row],[File Name Convention]]=0,LEFT(SP_ACQ_Lib[[#This Row],[Name]],LEN(SP_ACQ_Lib[[#This Row],[File Name Convention]]))&lt;&gt;SP_ACQ_Lib[[#This Row],[File Name Convention]],ISERROR(SEARCH(SP_ACQ_Lib[[#This Row],[ACQ Document Type]],SP_ACQ_Lib[[#This Row],[Name]]))),1,0)</f>
        <v>0</v>
      </c>
    </row>
    <row r="800" spans="1:25" ht="15" x14ac:dyDescent="0.2">
      <c r="A800" s="157" t="str">
        <f>CONCATENATE(SP_ACQ_Lib[[#This Row],[Acquisition Tract No.]],"_",SP_ACQ_Lib[[#This Row],[ACQ Document Type]])</f>
        <v>T181_ENVIRONMENTAL Right-of-Entry Executed</v>
      </c>
      <c r="B800" s="14" t="s">
        <v>5578</v>
      </c>
      <c r="C800" s="245" t="s">
        <v>5291</v>
      </c>
      <c r="D800" s="12" t="s">
        <v>3242</v>
      </c>
      <c r="E800" s="8" t="s">
        <v>2682</v>
      </c>
      <c r="F800" s="8" t="s">
        <v>2683</v>
      </c>
      <c r="G800" s="8" t="s">
        <v>2681</v>
      </c>
      <c r="H800" s="7" t="s">
        <v>592</v>
      </c>
      <c r="I800" s="16">
        <v>43949</v>
      </c>
      <c r="J800" s="16"/>
      <c r="K800" s="17"/>
      <c r="L800" s="3"/>
      <c r="M800" s="8" t="s">
        <v>4206</v>
      </c>
      <c r="N800" s="11">
        <v>43983.569039351853</v>
      </c>
      <c r="O800" s="8" t="s">
        <v>4206</v>
      </c>
      <c r="P800" s="11">
        <v>43971.420613425929</v>
      </c>
      <c r="Q800" s="13">
        <v>1874891</v>
      </c>
      <c r="R800" s="246" t="s">
        <v>594</v>
      </c>
      <c r="S800" s="14" t="s">
        <v>5171</v>
      </c>
      <c r="T800" s="163">
        <v>928</v>
      </c>
      <c r="U800" s="164" t="str">
        <f>CONCATENATE(LEFT(SP_ACQ_Lib[[#This Row],[Tax Parcel ID]],7),"_",SP_ACQ_Lib[[#This Row],[ACQ Document Type]])</f>
        <v>R026931_ENVIRONMENTAL Right-of-Entry Executed</v>
      </c>
      <c r="V800" s="65" t="str">
        <f>INDEX(SP_AcqTract_DB[WCAD Tax Parcel ID],MATCH(SP_ACQ_Lib[[#This Row],[Acquisition Tract No.]],SP_AcqTract_DB[Acquisition Tract No.],0))</f>
        <v>R026931;#224</v>
      </c>
      <c r="W800" s="48" t="str">
        <f>INDEX(SP_TaxPar_DB[Acquisition Tract No.],MATCH(LEFT(SP_ACQ_Lib[[#This Row],[Tax Parcel ID]],7),SP_TaxPar_DB[Tax Parcel ID],0))</f>
        <v>T181</v>
      </c>
      <c r="X800" s="238" t="str">
        <f>IF(OR(SP_ACQ_Lib[[#This Row],[Acquisition Tract No.]]="",SP_ACQ_Lib[[#This Row],[ACQ Document Type]]=""),0,CONCATENATE("COW-FRMP_TR-",SP_ACQ_Lib[[#This Row],[Acquisition Tract No.]]," ",SP_ACQ_Lib[[#This Row],[ACQ Document Type]]))</f>
        <v>COW-FRMP_TR-T181 ENVIRONMENTAL Right-of-Entry Executed</v>
      </c>
      <c r="Y800" s="239">
        <f>IF(OR(SP_ACQ_Lib[[#This Row],[File Name Convention]]=0,LEFT(SP_ACQ_Lib[[#This Row],[Name]],LEN(SP_ACQ_Lib[[#This Row],[File Name Convention]]))&lt;&gt;SP_ACQ_Lib[[#This Row],[File Name Convention]],ISERROR(SEARCH(SP_ACQ_Lib[[#This Row],[ACQ Document Type]],SP_ACQ_Lib[[#This Row],[Name]]))),1,0)</f>
        <v>0</v>
      </c>
    </row>
    <row r="801" spans="1:25" ht="15" x14ac:dyDescent="0.2">
      <c r="A801" s="157" t="str">
        <f>CONCATENATE(SP_ACQ_Lib[[#This Row],[Acquisition Tract No.]],"_",SP_ACQ_Lib[[#This Row],[ACQ Document Type]])</f>
        <v>T181_ENVIRONMENTAL Right-of-Entry Package</v>
      </c>
      <c r="B801" s="14" t="s">
        <v>5579</v>
      </c>
      <c r="C801" s="245" t="s">
        <v>5291</v>
      </c>
      <c r="D801" s="12" t="s">
        <v>3242</v>
      </c>
      <c r="E801" s="8" t="s">
        <v>2682</v>
      </c>
      <c r="F801" s="8" t="s">
        <v>2687</v>
      </c>
      <c r="G801" s="8" t="s">
        <v>2686</v>
      </c>
      <c r="H801" s="7" t="s">
        <v>592</v>
      </c>
      <c r="I801" s="16">
        <v>43850</v>
      </c>
      <c r="J801" s="16">
        <v>43858</v>
      </c>
      <c r="K801" s="17"/>
      <c r="L801" s="3"/>
      <c r="M801" s="8" t="s">
        <v>4206</v>
      </c>
      <c r="N801" s="11">
        <v>43983.597986111112</v>
      </c>
      <c r="O801" s="8" t="s">
        <v>4206</v>
      </c>
      <c r="P801" s="11">
        <v>43971.420578703706</v>
      </c>
      <c r="Q801" s="13">
        <v>1011528</v>
      </c>
      <c r="R801" s="246" t="s">
        <v>594</v>
      </c>
      <c r="S801" s="14" t="s">
        <v>5170</v>
      </c>
      <c r="T801" s="163">
        <v>927</v>
      </c>
      <c r="U801" s="164" t="str">
        <f>CONCATENATE(LEFT(SP_ACQ_Lib[[#This Row],[Tax Parcel ID]],7),"_",SP_ACQ_Lib[[#This Row],[ACQ Document Type]])</f>
        <v>R026931_ENVIRONMENTAL Right-of-Entry Package</v>
      </c>
      <c r="V801" s="65" t="str">
        <f>INDEX(SP_AcqTract_DB[WCAD Tax Parcel ID],MATCH(SP_ACQ_Lib[[#This Row],[Acquisition Tract No.]],SP_AcqTract_DB[Acquisition Tract No.],0))</f>
        <v>R026931;#224</v>
      </c>
      <c r="W801" s="48" t="str">
        <f>INDEX(SP_TaxPar_DB[Acquisition Tract No.],MATCH(LEFT(SP_ACQ_Lib[[#This Row],[Tax Parcel ID]],7),SP_TaxPar_DB[Tax Parcel ID],0))</f>
        <v>T181</v>
      </c>
      <c r="X801" s="238" t="str">
        <f>IF(OR(SP_ACQ_Lib[[#This Row],[Acquisition Tract No.]]="",SP_ACQ_Lib[[#This Row],[ACQ Document Type]]=""),0,CONCATENATE("COW-FRMP_TR-",SP_ACQ_Lib[[#This Row],[Acquisition Tract No.]]," ",SP_ACQ_Lib[[#This Row],[ACQ Document Type]]))</f>
        <v>COW-FRMP_TR-T181 ENVIRONMENTAL Right-of-Entry Package</v>
      </c>
      <c r="Y801" s="239">
        <f>IF(OR(SP_ACQ_Lib[[#This Row],[File Name Convention]]=0,LEFT(SP_ACQ_Lib[[#This Row],[Name]],LEN(SP_ACQ_Lib[[#This Row],[File Name Convention]]))&lt;&gt;SP_ACQ_Lib[[#This Row],[File Name Convention]],ISERROR(SEARCH(SP_ACQ_Lib[[#This Row],[ACQ Document Type]],SP_ACQ_Lib[[#This Row],[Name]]))),1,0)</f>
        <v>0</v>
      </c>
    </row>
    <row r="802" spans="1:25" ht="15" x14ac:dyDescent="0.2">
      <c r="A802" s="157" t="str">
        <f>CONCATENATE(SP_ACQ_Lib[[#This Row],[Acquisition Tract No.]],"_",SP_ACQ_Lib[[#This Row],[ACQ Document Type]])</f>
        <v>T181_ROE Right-of-Entry Package</v>
      </c>
      <c r="B802" s="14" t="s">
        <v>5677</v>
      </c>
      <c r="C802" s="245" t="s">
        <v>5291</v>
      </c>
      <c r="D802" s="12" t="s">
        <v>3242</v>
      </c>
      <c r="E802" s="8" t="s">
        <v>1146</v>
      </c>
      <c r="F802" s="8" t="s">
        <v>2687</v>
      </c>
      <c r="G802" s="8" t="s">
        <v>5659</v>
      </c>
      <c r="H802" s="7" t="s">
        <v>592</v>
      </c>
      <c r="I802" s="16">
        <v>43984</v>
      </c>
      <c r="J802" s="16"/>
      <c r="K802" s="17"/>
      <c r="L802" s="3"/>
      <c r="M802" s="8" t="s">
        <v>4206</v>
      </c>
      <c r="N802" s="11">
        <v>43985.524560185186</v>
      </c>
      <c r="O802" s="8" t="s">
        <v>4206</v>
      </c>
      <c r="P802" s="11">
        <v>43985.520405092589</v>
      </c>
      <c r="Q802" s="13">
        <v>1607510</v>
      </c>
      <c r="R802" s="246" t="s">
        <v>594</v>
      </c>
      <c r="S802" s="14" t="s">
        <v>5701</v>
      </c>
      <c r="T802" s="163">
        <v>1103</v>
      </c>
      <c r="U802" s="164" t="str">
        <f>CONCATENATE(LEFT(SP_ACQ_Lib[[#This Row],[Tax Parcel ID]],7),"_",SP_ACQ_Lib[[#This Row],[ACQ Document Type]])</f>
        <v>R026931_ROE Right-of-Entry Package</v>
      </c>
      <c r="V802" s="65" t="str">
        <f>INDEX(SP_AcqTract_DB[WCAD Tax Parcel ID],MATCH(SP_ACQ_Lib[[#This Row],[Acquisition Tract No.]],SP_AcqTract_DB[Acquisition Tract No.],0))</f>
        <v>R026931;#224</v>
      </c>
      <c r="W802" s="48" t="str">
        <f>INDEX(SP_TaxPar_DB[Acquisition Tract No.],MATCH(LEFT(SP_ACQ_Lib[[#This Row],[Tax Parcel ID]],7),SP_TaxPar_DB[Tax Parcel ID],0))</f>
        <v>T181</v>
      </c>
      <c r="X802" s="238" t="str">
        <f>IF(OR(SP_ACQ_Lib[[#This Row],[Acquisition Tract No.]]="",SP_ACQ_Lib[[#This Row],[ACQ Document Type]]=""),0,CONCATENATE("COW-FRMP_TR-",SP_ACQ_Lib[[#This Row],[Acquisition Tract No.]]," ",SP_ACQ_Lib[[#This Row],[ACQ Document Type]]))</f>
        <v>COW-FRMP_TR-T181 ROE Right-of-Entry Package</v>
      </c>
      <c r="Y802" s="239">
        <f>IF(OR(SP_ACQ_Lib[[#This Row],[File Name Convention]]=0,LEFT(SP_ACQ_Lib[[#This Row],[Name]],LEN(SP_ACQ_Lib[[#This Row],[File Name Convention]]))&lt;&gt;SP_ACQ_Lib[[#This Row],[File Name Convention]],ISERROR(SEARCH(SP_ACQ_Lib[[#This Row],[ACQ Document Type]],SP_ACQ_Lib[[#This Row],[Name]]))),1,0)</f>
        <v>0</v>
      </c>
    </row>
    <row r="803" spans="1:25" ht="15" x14ac:dyDescent="0.2">
      <c r="A803" s="157" t="str">
        <f>CONCATENATE(SP_ACQ_Lib[[#This Row],[Acquisition Tract No.]],"_",SP_ACQ_Lib[[#This Row],[ACQ Document Type]])</f>
        <v>T181_TITLE Tax Card</v>
      </c>
      <c r="B803" s="14" t="s">
        <v>5423</v>
      </c>
      <c r="C803" s="245" t="s">
        <v>5291</v>
      </c>
      <c r="D803" s="12" t="s">
        <v>3242</v>
      </c>
      <c r="E803" s="8" t="s">
        <v>861</v>
      </c>
      <c r="F803" s="8" t="s">
        <v>1150</v>
      </c>
      <c r="G803" s="8" t="s">
        <v>1149</v>
      </c>
      <c r="H803" s="7" t="s">
        <v>592</v>
      </c>
      <c r="I803" s="16"/>
      <c r="J803" s="16"/>
      <c r="K803" s="17"/>
      <c r="L803" s="3"/>
      <c r="M803" s="8" t="s">
        <v>4206</v>
      </c>
      <c r="N803" s="11">
        <v>43979.347037037034</v>
      </c>
      <c r="O803" s="8" t="s">
        <v>4206</v>
      </c>
      <c r="P803" s="11">
        <v>43971.420659722222</v>
      </c>
      <c r="Q803" s="13">
        <v>901314</v>
      </c>
      <c r="R803" s="246" t="s">
        <v>594</v>
      </c>
      <c r="S803" s="14" t="s">
        <v>5172</v>
      </c>
      <c r="T803" s="163">
        <v>929</v>
      </c>
      <c r="U803" s="164" t="str">
        <f>CONCATENATE(LEFT(SP_ACQ_Lib[[#This Row],[Tax Parcel ID]],7),"_",SP_ACQ_Lib[[#This Row],[ACQ Document Type]])</f>
        <v>R026931_TITLE Tax Card</v>
      </c>
      <c r="V803" s="65" t="str">
        <f>INDEX(SP_AcqTract_DB[WCAD Tax Parcel ID],MATCH(SP_ACQ_Lib[[#This Row],[Acquisition Tract No.]],SP_AcqTract_DB[Acquisition Tract No.],0))</f>
        <v>R026931;#224</v>
      </c>
      <c r="W803" s="48" t="str">
        <f>INDEX(SP_TaxPar_DB[Acquisition Tract No.],MATCH(LEFT(SP_ACQ_Lib[[#This Row],[Tax Parcel ID]],7),SP_TaxPar_DB[Tax Parcel ID],0))</f>
        <v>T181</v>
      </c>
      <c r="X803" s="238" t="str">
        <f>IF(OR(SP_ACQ_Lib[[#This Row],[Acquisition Tract No.]]="",SP_ACQ_Lib[[#This Row],[ACQ Document Type]]=""),0,CONCATENATE("COW-FRMP_TR-",SP_ACQ_Lib[[#This Row],[Acquisition Tract No.]]," ",SP_ACQ_Lib[[#This Row],[ACQ Document Type]]))</f>
        <v>COW-FRMP_TR-T181 TITLE Tax Card</v>
      </c>
      <c r="Y803" s="239">
        <f>IF(OR(SP_ACQ_Lib[[#This Row],[File Name Convention]]=0,LEFT(SP_ACQ_Lib[[#This Row],[Name]],LEN(SP_ACQ_Lib[[#This Row],[File Name Convention]]))&lt;&gt;SP_ACQ_Lib[[#This Row],[File Name Convention]],ISERROR(SEARCH(SP_ACQ_Lib[[#This Row],[ACQ Document Type]],SP_ACQ_Lib[[#This Row],[Name]]))),1,0)</f>
        <v>0</v>
      </c>
    </row>
    <row r="804" spans="1:25" ht="15" x14ac:dyDescent="0.2">
      <c r="A804" s="157" t="str">
        <f>CONCATENATE(SP_ACQ_Lib[[#This Row],[Acquisition Tract No.]],"_",SP_ACQ_Lib[[#This Row],[ACQ Document Type]])</f>
        <v>T182_CONTACT Negotiator Report</v>
      </c>
      <c r="B804" s="14" t="s">
        <v>5424</v>
      </c>
      <c r="C804" s="245" t="s">
        <v>5293</v>
      </c>
      <c r="D804" s="12" t="s">
        <v>3243</v>
      </c>
      <c r="E804" s="8" t="s">
        <v>865</v>
      </c>
      <c r="F804" s="8" t="s">
        <v>1068</v>
      </c>
      <c r="G804" s="8" t="s">
        <v>1067</v>
      </c>
      <c r="H804" s="7" t="s">
        <v>592</v>
      </c>
      <c r="I804" s="16">
        <v>43873</v>
      </c>
      <c r="J804" s="16"/>
      <c r="K804" s="17"/>
      <c r="L804" s="3"/>
      <c r="M804" s="8" t="s">
        <v>1744</v>
      </c>
      <c r="N804" s="11">
        <v>44004.885578703703</v>
      </c>
      <c r="O804" s="8" t="s">
        <v>4206</v>
      </c>
      <c r="P804" s="11">
        <v>43979.392592592594</v>
      </c>
      <c r="Q804" s="13">
        <v>443454</v>
      </c>
      <c r="R804" s="246" t="s">
        <v>594</v>
      </c>
      <c r="S804" s="14" t="s">
        <v>5500</v>
      </c>
      <c r="T804" s="163">
        <v>1061</v>
      </c>
      <c r="U804" s="164" t="str">
        <f>CONCATENATE(LEFT(SP_ACQ_Lib[[#This Row],[Tax Parcel ID]],7),"_",SP_ACQ_Lib[[#This Row],[ACQ Document Type]])</f>
        <v>R026936_CONTACT Negotiator Report</v>
      </c>
      <c r="V804" s="65" t="str">
        <f>INDEX(SP_AcqTract_DB[WCAD Tax Parcel ID],MATCH(SP_ACQ_Lib[[#This Row],[Acquisition Tract No.]],SP_AcqTract_DB[Acquisition Tract No.],0))</f>
        <v>R026936;#225</v>
      </c>
      <c r="W804" s="48" t="str">
        <f>INDEX(SP_TaxPar_DB[Acquisition Tract No.],MATCH(LEFT(SP_ACQ_Lib[[#This Row],[Tax Parcel ID]],7),SP_TaxPar_DB[Tax Parcel ID],0))</f>
        <v>T182</v>
      </c>
      <c r="X804" s="238" t="str">
        <f>IF(OR(SP_ACQ_Lib[[#This Row],[Acquisition Tract No.]]="",SP_ACQ_Lib[[#This Row],[ACQ Document Type]]=""),0,CONCATENATE("COW-FRMP_TR-",SP_ACQ_Lib[[#This Row],[Acquisition Tract No.]]," ",SP_ACQ_Lib[[#This Row],[ACQ Document Type]]))</f>
        <v>COW-FRMP_TR-T182 CONTACT Negotiator Report</v>
      </c>
      <c r="Y804" s="239">
        <f>IF(OR(SP_ACQ_Lib[[#This Row],[File Name Convention]]=0,LEFT(SP_ACQ_Lib[[#This Row],[Name]],LEN(SP_ACQ_Lib[[#This Row],[File Name Convention]]))&lt;&gt;SP_ACQ_Lib[[#This Row],[File Name Convention]],ISERROR(SEARCH(SP_ACQ_Lib[[#This Row],[ACQ Document Type]],SP_ACQ_Lib[[#This Row],[Name]]))),1,0)</f>
        <v>0</v>
      </c>
    </row>
    <row r="805" spans="1:25" ht="15" x14ac:dyDescent="0.2">
      <c r="A805" s="157" t="str">
        <f>CONCATENATE(SP_ACQ_Lib[[#This Row],[Acquisition Tract No.]],"_",SP_ACQ_Lib[[#This Row],[ACQ Document Type]])</f>
        <v>T182_ENVIRONMENTAL Right-of-Entry Executed</v>
      </c>
      <c r="B805" s="14" t="s">
        <v>5580</v>
      </c>
      <c r="C805" s="245" t="s">
        <v>5293</v>
      </c>
      <c r="D805" s="12" t="s">
        <v>3243</v>
      </c>
      <c r="E805" s="8" t="s">
        <v>2682</v>
      </c>
      <c r="F805" s="8" t="s">
        <v>2683</v>
      </c>
      <c r="G805" s="8" t="s">
        <v>2681</v>
      </c>
      <c r="H805" s="7" t="s">
        <v>592</v>
      </c>
      <c r="I805" s="16">
        <v>43864</v>
      </c>
      <c r="J805" s="16"/>
      <c r="K805" s="17"/>
      <c r="L805" s="3"/>
      <c r="M805" s="8" t="s">
        <v>4206</v>
      </c>
      <c r="N805" s="11">
        <v>43983.569293981483</v>
      </c>
      <c r="O805" s="8" t="s">
        <v>4206</v>
      </c>
      <c r="P805" s="11">
        <v>43979.392604166664</v>
      </c>
      <c r="Q805" s="13">
        <v>1803947</v>
      </c>
      <c r="R805" s="246" t="s">
        <v>594</v>
      </c>
      <c r="S805" s="14" t="s">
        <v>5501</v>
      </c>
      <c r="T805" s="163">
        <v>1062</v>
      </c>
      <c r="U805" s="164" t="str">
        <f>CONCATENATE(LEFT(SP_ACQ_Lib[[#This Row],[Tax Parcel ID]],7),"_",SP_ACQ_Lib[[#This Row],[ACQ Document Type]])</f>
        <v>R026936_ENVIRONMENTAL Right-of-Entry Executed</v>
      </c>
      <c r="V805" s="65" t="str">
        <f>INDEX(SP_AcqTract_DB[WCAD Tax Parcel ID],MATCH(SP_ACQ_Lib[[#This Row],[Acquisition Tract No.]],SP_AcqTract_DB[Acquisition Tract No.],0))</f>
        <v>R026936;#225</v>
      </c>
      <c r="W805" s="48" t="str">
        <f>INDEX(SP_TaxPar_DB[Acquisition Tract No.],MATCH(LEFT(SP_ACQ_Lib[[#This Row],[Tax Parcel ID]],7),SP_TaxPar_DB[Tax Parcel ID],0))</f>
        <v>T182</v>
      </c>
      <c r="X805" s="238" t="str">
        <f>IF(OR(SP_ACQ_Lib[[#This Row],[Acquisition Tract No.]]="",SP_ACQ_Lib[[#This Row],[ACQ Document Type]]=""),0,CONCATENATE("COW-FRMP_TR-",SP_ACQ_Lib[[#This Row],[Acquisition Tract No.]]," ",SP_ACQ_Lib[[#This Row],[ACQ Document Type]]))</f>
        <v>COW-FRMP_TR-T182 ENVIRONMENTAL Right-of-Entry Executed</v>
      </c>
      <c r="Y805" s="239">
        <f>IF(OR(SP_ACQ_Lib[[#This Row],[File Name Convention]]=0,LEFT(SP_ACQ_Lib[[#This Row],[Name]],LEN(SP_ACQ_Lib[[#This Row],[File Name Convention]]))&lt;&gt;SP_ACQ_Lib[[#This Row],[File Name Convention]],ISERROR(SEARCH(SP_ACQ_Lib[[#This Row],[ACQ Document Type]],SP_ACQ_Lib[[#This Row],[Name]]))),1,0)</f>
        <v>0</v>
      </c>
    </row>
    <row r="806" spans="1:25" ht="15" x14ac:dyDescent="0.2">
      <c r="A806" s="157" t="str">
        <f>CONCATENATE(SP_ACQ_Lib[[#This Row],[Acquisition Tract No.]],"_",SP_ACQ_Lib[[#This Row],[ACQ Document Type]])</f>
        <v>T182_ROE Right-of-Entry Executed</v>
      </c>
      <c r="B806" s="14" t="s">
        <v>6343</v>
      </c>
      <c r="C806" s="245" t="s">
        <v>5293</v>
      </c>
      <c r="D806" s="12" t="s">
        <v>3243</v>
      </c>
      <c r="E806" s="8" t="s">
        <v>1146</v>
      </c>
      <c r="F806" s="8" t="s">
        <v>2683</v>
      </c>
      <c r="G806" s="8" t="s">
        <v>5660</v>
      </c>
      <c r="H806" s="7" t="s">
        <v>592</v>
      </c>
      <c r="I806" s="16">
        <v>43999</v>
      </c>
      <c r="J806" s="16">
        <v>44182</v>
      </c>
      <c r="K806" s="17"/>
      <c r="L806" s="3"/>
      <c r="M806" s="8" t="s">
        <v>4206</v>
      </c>
      <c r="N806" s="11">
        <v>44005.61619212963</v>
      </c>
      <c r="O806" s="8" t="s">
        <v>4206</v>
      </c>
      <c r="P806" s="11">
        <v>44005.61346064815</v>
      </c>
      <c r="Q806" s="13">
        <v>1255500</v>
      </c>
      <c r="R806" s="246" t="s">
        <v>594</v>
      </c>
      <c r="S806" s="14" t="s">
        <v>6412</v>
      </c>
      <c r="T806" s="163">
        <v>1278</v>
      </c>
      <c r="U806" s="164" t="str">
        <f>CONCATENATE(LEFT(SP_ACQ_Lib[[#This Row],[Tax Parcel ID]],7),"_",SP_ACQ_Lib[[#This Row],[ACQ Document Type]])</f>
        <v>R026936_ROE Right-of-Entry Executed</v>
      </c>
      <c r="V806" s="65" t="str">
        <f>INDEX(SP_AcqTract_DB[WCAD Tax Parcel ID],MATCH(SP_ACQ_Lib[[#This Row],[Acquisition Tract No.]],SP_AcqTract_DB[Acquisition Tract No.],0))</f>
        <v>R026936;#225</v>
      </c>
      <c r="W806" s="48" t="str">
        <f>INDEX(SP_TaxPar_DB[Acquisition Tract No.],MATCH(LEFT(SP_ACQ_Lib[[#This Row],[Tax Parcel ID]],7),SP_TaxPar_DB[Tax Parcel ID],0))</f>
        <v>T182</v>
      </c>
      <c r="X806" s="238" t="str">
        <f>IF(OR(SP_ACQ_Lib[[#This Row],[Acquisition Tract No.]]="",SP_ACQ_Lib[[#This Row],[ACQ Document Type]]=""),0,CONCATENATE("COW-FRMP_TR-",SP_ACQ_Lib[[#This Row],[Acquisition Tract No.]]," ",SP_ACQ_Lib[[#This Row],[ACQ Document Type]]))</f>
        <v>COW-FRMP_TR-T182 ROE Right-of-Entry Executed</v>
      </c>
      <c r="Y806" s="239">
        <f>IF(OR(SP_ACQ_Lib[[#This Row],[File Name Convention]]=0,LEFT(SP_ACQ_Lib[[#This Row],[Name]],LEN(SP_ACQ_Lib[[#This Row],[File Name Convention]]))&lt;&gt;SP_ACQ_Lib[[#This Row],[File Name Convention]],ISERROR(SEARCH(SP_ACQ_Lib[[#This Row],[ACQ Document Type]],SP_ACQ_Lib[[#This Row],[Name]]))),1,0)</f>
        <v>0</v>
      </c>
    </row>
    <row r="807" spans="1:25" ht="15" x14ac:dyDescent="0.2">
      <c r="A807" s="157" t="str">
        <f>CONCATENATE(SP_ACQ_Lib[[#This Row],[Acquisition Tract No.]],"_",SP_ACQ_Lib[[#This Row],[ACQ Document Type]])</f>
        <v>T182_ROE Right-of-Entry Package</v>
      </c>
      <c r="B807" s="14" t="s">
        <v>5678</v>
      </c>
      <c r="C807" s="245" t="s">
        <v>5293</v>
      </c>
      <c r="D807" s="12" t="s">
        <v>3243</v>
      </c>
      <c r="E807" s="8" t="s">
        <v>1146</v>
      </c>
      <c r="F807" s="8" t="s">
        <v>2687</v>
      </c>
      <c r="G807" s="8" t="s">
        <v>5659</v>
      </c>
      <c r="H807" s="7" t="s">
        <v>592</v>
      </c>
      <c r="I807" s="16">
        <v>43984</v>
      </c>
      <c r="J807" s="16"/>
      <c r="K807" s="17"/>
      <c r="L807" s="3"/>
      <c r="M807" s="8" t="s">
        <v>4206</v>
      </c>
      <c r="N807" s="11">
        <v>43985.526099537034</v>
      </c>
      <c r="O807" s="8" t="s">
        <v>4206</v>
      </c>
      <c r="P807" s="11">
        <v>43985.520439814813</v>
      </c>
      <c r="Q807" s="13">
        <v>1046568</v>
      </c>
      <c r="R807" s="246" t="s">
        <v>594</v>
      </c>
      <c r="S807" s="14" t="s">
        <v>5702</v>
      </c>
      <c r="T807" s="163">
        <v>1104</v>
      </c>
      <c r="U807" s="164" t="str">
        <f>CONCATENATE(LEFT(SP_ACQ_Lib[[#This Row],[Tax Parcel ID]],7),"_",SP_ACQ_Lib[[#This Row],[ACQ Document Type]])</f>
        <v>R026936_ROE Right-of-Entry Package</v>
      </c>
      <c r="V807" s="65" t="str">
        <f>INDEX(SP_AcqTract_DB[WCAD Tax Parcel ID],MATCH(SP_ACQ_Lib[[#This Row],[Acquisition Tract No.]],SP_AcqTract_DB[Acquisition Tract No.],0))</f>
        <v>R026936;#225</v>
      </c>
      <c r="W807" s="48" t="str">
        <f>INDEX(SP_TaxPar_DB[Acquisition Tract No.],MATCH(LEFT(SP_ACQ_Lib[[#This Row],[Tax Parcel ID]],7),SP_TaxPar_DB[Tax Parcel ID],0))</f>
        <v>T182</v>
      </c>
      <c r="X807" s="238" t="str">
        <f>IF(OR(SP_ACQ_Lib[[#This Row],[Acquisition Tract No.]]="",SP_ACQ_Lib[[#This Row],[ACQ Document Type]]=""),0,CONCATENATE("COW-FRMP_TR-",SP_ACQ_Lib[[#This Row],[Acquisition Tract No.]]," ",SP_ACQ_Lib[[#This Row],[ACQ Document Type]]))</f>
        <v>COW-FRMP_TR-T182 ROE Right-of-Entry Package</v>
      </c>
      <c r="Y807" s="239">
        <f>IF(OR(SP_ACQ_Lib[[#This Row],[File Name Convention]]=0,LEFT(SP_ACQ_Lib[[#This Row],[Name]],LEN(SP_ACQ_Lib[[#This Row],[File Name Convention]]))&lt;&gt;SP_ACQ_Lib[[#This Row],[File Name Convention]],ISERROR(SEARCH(SP_ACQ_Lib[[#This Row],[ACQ Document Type]],SP_ACQ_Lib[[#This Row],[Name]]))),1,0)</f>
        <v>0</v>
      </c>
    </row>
    <row r="808" spans="1:25" ht="15" x14ac:dyDescent="0.2">
      <c r="A808" s="157" t="str">
        <f>CONCATENATE(SP_ACQ_Lib[[#This Row],[Acquisition Tract No.]],"_",SP_ACQ_Lib[[#This Row],[ACQ Document Type]])</f>
        <v>T182_TITLE Tax Card</v>
      </c>
      <c r="B808" s="14" t="s">
        <v>5425</v>
      </c>
      <c r="C808" s="245" t="s">
        <v>5293</v>
      </c>
      <c r="D808" s="12" t="s">
        <v>3243</v>
      </c>
      <c r="E808" s="8" t="s">
        <v>861</v>
      </c>
      <c r="F808" s="8" t="s">
        <v>1150</v>
      </c>
      <c r="G808" s="8" t="s">
        <v>1149</v>
      </c>
      <c r="H808" s="7" t="s">
        <v>592</v>
      </c>
      <c r="I808" s="16"/>
      <c r="J808" s="16"/>
      <c r="K808" s="17"/>
      <c r="L808" s="3"/>
      <c r="M808" s="8" t="s">
        <v>4206</v>
      </c>
      <c r="N808" s="11">
        <v>43979.413587962961</v>
      </c>
      <c r="O808" s="8" t="s">
        <v>4206</v>
      </c>
      <c r="P808" s="11">
        <v>43979.392650462964</v>
      </c>
      <c r="Q808" s="13">
        <v>712306</v>
      </c>
      <c r="R808" s="246" t="s">
        <v>594</v>
      </c>
      <c r="S808" s="14" t="s">
        <v>5502</v>
      </c>
      <c r="T808" s="163">
        <v>1063</v>
      </c>
      <c r="U808" s="164" t="str">
        <f>CONCATENATE(LEFT(SP_ACQ_Lib[[#This Row],[Tax Parcel ID]],7),"_",SP_ACQ_Lib[[#This Row],[ACQ Document Type]])</f>
        <v>R026936_TITLE Tax Card</v>
      </c>
      <c r="V808" s="65" t="str">
        <f>INDEX(SP_AcqTract_DB[WCAD Tax Parcel ID],MATCH(SP_ACQ_Lib[[#This Row],[Acquisition Tract No.]],SP_AcqTract_DB[Acquisition Tract No.],0))</f>
        <v>R026936;#225</v>
      </c>
      <c r="W808" s="48" t="str">
        <f>INDEX(SP_TaxPar_DB[Acquisition Tract No.],MATCH(LEFT(SP_ACQ_Lib[[#This Row],[Tax Parcel ID]],7),SP_TaxPar_DB[Tax Parcel ID],0))</f>
        <v>T182</v>
      </c>
      <c r="X808" s="238" t="str">
        <f>IF(OR(SP_ACQ_Lib[[#This Row],[Acquisition Tract No.]]="",SP_ACQ_Lib[[#This Row],[ACQ Document Type]]=""),0,CONCATENATE("COW-FRMP_TR-",SP_ACQ_Lib[[#This Row],[Acquisition Tract No.]]," ",SP_ACQ_Lib[[#This Row],[ACQ Document Type]]))</f>
        <v>COW-FRMP_TR-T182 TITLE Tax Card</v>
      </c>
      <c r="Y808" s="239">
        <f>IF(OR(SP_ACQ_Lib[[#This Row],[File Name Convention]]=0,LEFT(SP_ACQ_Lib[[#This Row],[Name]],LEN(SP_ACQ_Lib[[#This Row],[File Name Convention]]))&lt;&gt;SP_ACQ_Lib[[#This Row],[File Name Convention]],ISERROR(SEARCH(SP_ACQ_Lib[[#This Row],[ACQ Document Type]],SP_ACQ_Lib[[#This Row],[Name]]))),1,0)</f>
        <v>0</v>
      </c>
    </row>
    <row r="809" spans="1:25" ht="15" x14ac:dyDescent="0.2">
      <c r="A809" s="157" t="str">
        <f>CONCATENATE(SP_ACQ_Lib[[#This Row],[Acquisition Tract No.]],"_",SP_ACQ_Lib[[#This Row],[ACQ Document Type]])</f>
        <v>T183_CONTACT Negotiator Report</v>
      </c>
      <c r="B809" s="14" t="s">
        <v>5426</v>
      </c>
      <c r="C809" s="245" t="s">
        <v>5295</v>
      </c>
      <c r="D809" s="12" t="s">
        <v>3244</v>
      </c>
      <c r="E809" s="8" t="s">
        <v>865</v>
      </c>
      <c r="F809" s="8" t="s">
        <v>1068</v>
      </c>
      <c r="G809" s="8" t="s">
        <v>1067</v>
      </c>
      <c r="H809" s="7" t="s">
        <v>592</v>
      </c>
      <c r="I809" s="16">
        <v>43873</v>
      </c>
      <c r="J809" s="16"/>
      <c r="K809" s="17"/>
      <c r="L809" s="3"/>
      <c r="M809" s="8" t="s">
        <v>6483</v>
      </c>
      <c r="N809" s="11">
        <v>44021.423587962963</v>
      </c>
      <c r="O809" s="8" t="s">
        <v>4206</v>
      </c>
      <c r="P809" s="11">
        <v>43971.420682870368</v>
      </c>
      <c r="Q809" s="13">
        <v>69129</v>
      </c>
      <c r="R809" s="246" t="s">
        <v>594</v>
      </c>
      <c r="S809" s="14" t="s">
        <v>5240</v>
      </c>
      <c r="T809" s="163">
        <v>930</v>
      </c>
      <c r="U809" s="164" t="str">
        <f>CONCATENATE(LEFT(SP_ACQ_Lib[[#This Row],[Tax Parcel ID]],7),"_",SP_ACQ_Lib[[#This Row],[ACQ Document Type]])</f>
        <v>R026940_CONTACT Negotiator Report</v>
      </c>
      <c r="V809" s="65" t="str">
        <f>INDEX(SP_AcqTract_DB[WCAD Tax Parcel ID],MATCH(SP_ACQ_Lib[[#This Row],[Acquisition Tract No.]],SP_AcqTract_DB[Acquisition Tract No.],0))</f>
        <v>R026940;#226</v>
      </c>
      <c r="W809" s="48" t="str">
        <f>INDEX(SP_TaxPar_DB[Acquisition Tract No.],MATCH(LEFT(SP_ACQ_Lib[[#This Row],[Tax Parcel ID]],7),SP_TaxPar_DB[Tax Parcel ID],0))</f>
        <v>T183</v>
      </c>
      <c r="X809" s="238" t="str">
        <f>IF(OR(SP_ACQ_Lib[[#This Row],[Acquisition Tract No.]]="",SP_ACQ_Lib[[#This Row],[ACQ Document Type]]=""),0,CONCATENATE("COW-FRMP_TR-",SP_ACQ_Lib[[#This Row],[Acquisition Tract No.]]," ",SP_ACQ_Lib[[#This Row],[ACQ Document Type]]))</f>
        <v>COW-FRMP_TR-T183 CONTACT Negotiator Report</v>
      </c>
      <c r="Y809" s="239">
        <f>IF(OR(SP_ACQ_Lib[[#This Row],[File Name Convention]]=0,LEFT(SP_ACQ_Lib[[#This Row],[Name]],LEN(SP_ACQ_Lib[[#This Row],[File Name Convention]]))&lt;&gt;SP_ACQ_Lib[[#This Row],[File Name Convention]],ISERROR(SEARCH(SP_ACQ_Lib[[#This Row],[ACQ Document Type]],SP_ACQ_Lib[[#This Row],[Name]]))),1,0)</f>
        <v>0</v>
      </c>
    </row>
    <row r="810" spans="1:25" ht="15" x14ac:dyDescent="0.2">
      <c r="A810" s="157" t="str">
        <f>CONCATENATE(SP_ACQ_Lib[[#This Row],[Acquisition Tract No.]],"_",SP_ACQ_Lib[[#This Row],[ACQ Document Type]])</f>
        <v>T183_ROE Right-of-Entry Package</v>
      </c>
      <c r="B810" s="14" t="s">
        <v>5679</v>
      </c>
      <c r="C810" s="245" t="s">
        <v>5295</v>
      </c>
      <c r="D810" s="12" t="s">
        <v>3244</v>
      </c>
      <c r="E810" s="8" t="s">
        <v>1146</v>
      </c>
      <c r="F810" s="8" t="s">
        <v>2687</v>
      </c>
      <c r="G810" s="8" t="s">
        <v>5659</v>
      </c>
      <c r="H810" s="7" t="s">
        <v>592</v>
      </c>
      <c r="I810" s="16">
        <v>43984</v>
      </c>
      <c r="J810" s="16"/>
      <c r="K810" s="17"/>
      <c r="L810" s="3"/>
      <c r="M810" s="8" t="s">
        <v>4206</v>
      </c>
      <c r="N810" s="11">
        <v>43985.52648148148</v>
      </c>
      <c r="O810" s="8" t="s">
        <v>4206</v>
      </c>
      <c r="P810" s="11">
        <v>43985.520462962966</v>
      </c>
      <c r="Q810" s="13">
        <v>1449276</v>
      </c>
      <c r="R810" s="246" t="s">
        <v>594</v>
      </c>
      <c r="S810" s="14" t="s">
        <v>5703</v>
      </c>
      <c r="T810" s="163">
        <v>1105</v>
      </c>
      <c r="U810" s="164" t="str">
        <f>CONCATENATE(LEFT(SP_ACQ_Lib[[#This Row],[Tax Parcel ID]],7),"_",SP_ACQ_Lib[[#This Row],[ACQ Document Type]])</f>
        <v>R026940_ROE Right-of-Entry Package</v>
      </c>
      <c r="V810" s="65" t="str">
        <f>INDEX(SP_AcqTract_DB[WCAD Tax Parcel ID],MATCH(SP_ACQ_Lib[[#This Row],[Acquisition Tract No.]],SP_AcqTract_DB[Acquisition Tract No.],0))</f>
        <v>R026940;#226</v>
      </c>
      <c r="W810" s="48" t="str">
        <f>INDEX(SP_TaxPar_DB[Acquisition Tract No.],MATCH(LEFT(SP_ACQ_Lib[[#This Row],[Tax Parcel ID]],7),SP_TaxPar_DB[Tax Parcel ID],0))</f>
        <v>T183</v>
      </c>
      <c r="X810" s="238" t="str">
        <f>IF(OR(SP_ACQ_Lib[[#This Row],[Acquisition Tract No.]]="",SP_ACQ_Lib[[#This Row],[ACQ Document Type]]=""),0,CONCATENATE("COW-FRMP_TR-",SP_ACQ_Lib[[#This Row],[Acquisition Tract No.]]," ",SP_ACQ_Lib[[#This Row],[ACQ Document Type]]))</f>
        <v>COW-FRMP_TR-T183 ROE Right-of-Entry Package</v>
      </c>
      <c r="Y810" s="239">
        <f>IF(OR(SP_ACQ_Lib[[#This Row],[File Name Convention]]=0,LEFT(SP_ACQ_Lib[[#This Row],[Name]],LEN(SP_ACQ_Lib[[#This Row],[File Name Convention]]))&lt;&gt;SP_ACQ_Lib[[#This Row],[File Name Convention]],ISERROR(SEARCH(SP_ACQ_Lib[[#This Row],[ACQ Document Type]],SP_ACQ_Lib[[#This Row],[Name]]))),1,0)</f>
        <v>0</v>
      </c>
    </row>
    <row r="811" spans="1:25" ht="15" x14ac:dyDescent="0.2">
      <c r="A811" s="157" t="str">
        <f>CONCATENATE(SP_ACQ_Lib[[#This Row],[Acquisition Tract No.]],"_",SP_ACQ_Lib[[#This Row],[ACQ Document Type]])</f>
        <v>T183_TITLE Tax Card</v>
      </c>
      <c r="B811" s="14" t="s">
        <v>5427</v>
      </c>
      <c r="C811" s="245" t="s">
        <v>5295</v>
      </c>
      <c r="D811" s="12" t="s">
        <v>3244</v>
      </c>
      <c r="E811" s="8" t="s">
        <v>861</v>
      </c>
      <c r="F811" s="8" t="s">
        <v>1150</v>
      </c>
      <c r="G811" s="8" t="s">
        <v>1149</v>
      </c>
      <c r="H811" s="7" t="s">
        <v>592</v>
      </c>
      <c r="I811" s="16"/>
      <c r="J811" s="16"/>
      <c r="K811" s="17"/>
      <c r="L811" s="3"/>
      <c r="M811" s="8" t="s">
        <v>4206</v>
      </c>
      <c r="N811" s="11">
        <v>43979.348749999997</v>
      </c>
      <c r="O811" s="8" t="s">
        <v>4206</v>
      </c>
      <c r="P811" s="11">
        <v>43971.420694444445</v>
      </c>
      <c r="Q811" s="13">
        <v>752392</v>
      </c>
      <c r="R811" s="246" t="s">
        <v>594</v>
      </c>
      <c r="S811" s="14" t="s">
        <v>5173</v>
      </c>
      <c r="T811" s="163">
        <v>931</v>
      </c>
      <c r="U811" s="164" t="str">
        <f>CONCATENATE(LEFT(SP_ACQ_Lib[[#This Row],[Tax Parcel ID]],7),"_",SP_ACQ_Lib[[#This Row],[ACQ Document Type]])</f>
        <v>R026940_TITLE Tax Card</v>
      </c>
      <c r="V811" s="65" t="str">
        <f>INDEX(SP_AcqTract_DB[WCAD Tax Parcel ID],MATCH(SP_ACQ_Lib[[#This Row],[Acquisition Tract No.]],SP_AcqTract_DB[Acquisition Tract No.],0))</f>
        <v>R026940;#226</v>
      </c>
      <c r="W811" s="48" t="str">
        <f>INDEX(SP_TaxPar_DB[Acquisition Tract No.],MATCH(LEFT(SP_ACQ_Lib[[#This Row],[Tax Parcel ID]],7),SP_TaxPar_DB[Tax Parcel ID],0))</f>
        <v>T183</v>
      </c>
      <c r="X811" s="238" t="str">
        <f>IF(OR(SP_ACQ_Lib[[#This Row],[Acquisition Tract No.]]="",SP_ACQ_Lib[[#This Row],[ACQ Document Type]]=""),0,CONCATENATE("COW-FRMP_TR-",SP_ACQ_Lib[[#This Row],[Acquisition Tract No.]]," ",SP_ACQ_Lib[[#This Row],[ACQ Document Type]]))</f>
        <v>COW-FRMP_TR-T183 TITLE Tax Card</v>
      </c>
      <c r="Y811" s="239">
        <f>IF(OR(SP_ACQ_Lib[[#This Row],[File Name Convention]]=0,LEFT(SP_ACQ_Lib[[#This Row],[Name]],LEN(SP_ACQ_Lib[[#This Row],[File Name Convention]]))&lt;&gt;SP_ACQ_Lib[[#This Row],[File Name Convention]],ISERROR(SEARCH(SP_ACQ_Lib[[#This Row],[ACQ Document Type]],SP_ACQ_Lib[[#This Row],[Name]]))),1,0)</f>
        <v>0</v>
      </c>
    </row>
    <row r="812" spans="1:25" ht="15" x14ac:dyDescent="0.2">
      <c r="A812" s="157" t="str">
        <f>CONCATENATE(SP_ACQ_Lib[[#This Row],[Acquisition Tract No.]],"_",SP_ACQ_Lib[[#This Row],[ACQ Document Type]])</f>
        <v>T184_CONTACT Negotiator Report</v>
      </c>
      <c r="B812" s="14" t="s">
        <v>5428</v>
      </c>
      <c r="C812" s="245" t="s">
        <v>5297</v>
      </c>
      <c r="D812" s="12" t="s">
        <v>3245</v>
      </c>
      <c r="E812" s="8" t="s">
        <v>865</v>
      </c>
      <c r="F812" s="8" t="s">
        <v>1068</v>
      </c>
      <c r="G812" s="8" t="s">
        <v>1067</v>
      </c>
      <c r="H812" s="7" t="s">
        <v>592</v>
      </c>
      <c r="I812" s="16">
        <v>43873</v>
      </c>
      <c r="J812" s="16"/>
      <c r="K812" s="17"/>
      <c r="L812" s="3"/>
      <c r="M812" s="8" t="s">
        <v>1744</v>
      </c>
      <c r="N812" s="11">
        <v>44011.920277777775</v>
      </c>
      <c r="O812" s="8" t="s">
        <v>4206</v>
      </c>
      <c r="P812" s="11">
        <v>43979.39267361111</v>
      </c>
      <c r="Q812" s="13">
        <v>798765</v>
      </c>
      <c r="R812" s="246" t="s">
        <v>594</v>
      </c>
      <c r="S812" s="14" t="s">
        <v>5503</v>
      </c>
      <c r="T812" s="163">
        <v>1064</v>
      </c>
      <c r="U812" s="164" t="str">
        <f>CONCATENATE(LEFT(SP_ACQ_Lib[[#This Row],[Tax Parcel ID]],7),"_",SP_ACQ_Lib[[#This Row],[ACQ Document Type]])</f>
        <v>R026941_CONTACT Negotiator Report</v>
      </c>
      <c r="V812" s="65" t="str">
        <f>INDEX(SP_AcqTract_DB[WCAD Tax Parcel ID],MATCH(SP_ACQ_Lib[[#This Row],[Acquisition Tract No.]],SP_AcqTract_DB[Acquisition Tract No.],0))</f>
        <v>R026941;#227</v>
      </c>
      <c r="W812" s="48" t="str">
        <f>INDEX(SP_TaxPar_DB[Acquisition Tract No.],MATCH(LEFT(SP_ACQ_Lib[[#This Row],[Tax Parcel ID]],7),SP_TaxPar_DB[Tax Parcel ID],0))</f>
        <v>T184</v>
      </c>
      <c r="X812" s="238" t="str">
        <f>IF(OR(SP_ACQ_Lib[[#This Row],[Acquisition Tract No.]]="",SP_ACQ_Lib[[#This Row],[ACQ Document Type]]=""),0,CONCATENATE("COW-FRMP_TR-",SP_ACQ_Lib[[#This Row],[Acquisition Tract No.]]," ",SP_ACQ_Lib[[#This Row],[ACQ Document Type]]))</f>
        <v>COW-FRMP_TR-T184 CONTACT Negotiator Report</v>
      </c>
      <c r="Y812" s="239">
        <f>IF(OR(SP_ACQ_Lib[[#This Row],[File Name Convention]]=0,LEFT(SP_ACQ_Lib[[#This Row],[Name]],LEN(SP_ACQ_Lib[[#This Row],[File Name Convention]]))&lt;&gt;SP_ACQ_Lib[[#This Row],[File Name Convention]],ISERROR(SEARCH(SP_ACQ_Lib[[#This Row],[ACQ Document Type]],SP_ACQ_Lib[[#This Row],[Name]]))),1,0)</f>
        <v>0</v>
      </c>
    </row>
    <row r="813" spans="1:25" ht="15" x14ac:dyDescent="0.2">
      <c r="A813" s="157" t="str">
        <f>CONCATENATE(SP_ACQ_Lib[[#This Row],[Acquisition Tract No.]],"_",SP_ACQ_Lib[[#This Row],[ACQ Document Type]])</f>
        <v>T184_ENVIRONMENTAL Right-of-Entry Executed</v>
      </c>
      <c r="B813" s="14" t="s">
        <v>5581</v>
      </c>
      <c r="C813" s="245" t="s">
        <v>5297</v>
      </c>
      <c r="D813" s="12" t="s">
        <v>3245</v>
      </c>
      <c r="E813" s="8" t="s">
        <v>2682</v>
      </c>
      <c r="F813" s="8" t="s">
        <v>2683</v>
      </c>
      <c r="G813" s="8" t="s">
        <v>2681</v>
      </c>
      <c r="H813" s="7" t="s">
        <v>592</v>
      </c>
      <c r="I813" s="16">
        <v>43943</v>
      </c>
      <c r="J813" s="16"/>
      <c r="K813" s="17"/>
      <c r="L813" s="3"/>
      <c r="M813" s="8" t="s">
        <v>4206</v>
      </c>
      <c r="N813" s="11">
        <v>43983.569548611114</v>
      </c>
      <c r="O813" s="8" t="s">
        <v>4206</v>
      </c>
      <c r="P813" s="11">
        <v>43979.392685185187</v>
      </c>
      <c r="Q813" s="13">
        <v>1767311</v>
      </c>
      <c r="R813" s="246" t="s">
        <v>594</v>
      </c>
      <c r="S813" s="14" t="s">
        <v>5504</v>
      </c>
      <c r="T813" s="163">
        <v>1065</v>
      </c>
      <c r="U813" s="164" t="str">
        <f>CONCATENATE(LEFT(SP_ACQ_Lib[[#This Row],[Tax Parcel ID]],7),"_",SP_ACQ_Lib[[#This Row],[ACQ Document Type]])</f>
        <v>R026941_ENVIRONMENTAL Right-of-Entry Executed</v>
      </c>
      <c r="V813" s="65" t="str">
        <f>INDEX(SP_AcqTract_DB[WCAD Tax Parcel ID],MATCH(SP_ACQ_Lib[[#This Row],[Acquisition Tract No.]],SP_AcqTract_DB[Acquisition Tract No.],0))</f>
        <v>R026941;#227</v>
      </c>
      <c r="W813" s="48" t="str">
        <f>INDEX(SP_TaxPar_DB[Acquisition Tract No.],MATCH(LEFT(SP_ACQ_Lib[[#This Row],[Tax Parcel ID]],7),SP_TaxPar_DB[Tax Parcel ID],0))</f>
        <v>T184</v>
      </c>
      <c r="X813" s="238" t="str">
        <f>IF(OR(SP_ACQ_Lib[[#This Row],[Acquisition Tract No.]]="",SP_ACQ_Lib[[#This Row],[ACQ Document Type]]=""),0,CONCATENATE("COW-FRMP_TR-",SP_ACQ_Lib[[#This Row],[Acquisition Tract No.]]," ",SP_ACQ_Lib[[#This Row],[ACQ Document Type]]))</f>
        <v>COW-FRMP_TR-T184 ENVIRONMENTAL Right-of-Entry Executed</v>
      </c>
      <c r="Y813" s="239">
        <f>IF(OR(SP_ACQ_Lib[[#This Row],[File Name Convention]]=0,LEFT(SP_ACQ_Lib[[#This Row],[Name]],LEN(SP_ACQ_Lib[[#This Row],[File Name Convention]]))&lt;&gt;SP_ACQ_Lib[[#This Row],[File Name Convention]],ISERROR(SEARCH(SP_ACQ_Lib[[#This Row],[ACQ Document Type]],SP_ACQ_Lib[[#This Row],[Name]]))),1,0)</f>
        <v>0</v>
      </c>
    </row>
    <row r="814" spans="1:25" ht="15" x14ac:dyDescent="0.2">
      <c r="A814" s="157" t="str">
        <f>CONCATENATE(SP_ACQ_Lib[[#This Row],[Acquisition Tract No.]],"_",SP_ACQ_Lib[[#This Row],[ACQ Document Type]])</f>
        <v>T184_ENVIRONMENTAL Right-of-Entry Package</v>
      </c>
      <c r="B814" s="14" t="s">
        <v>5582</v>
      </c>
      <c r="C814" s="245" t="s">
        <v>5297</v>
      </c>
      <c r="D814" s="12" t="s">
        <v>3245</v>
      </c>
      <c r="E814" s="8" t="s">
        <v>2682</v>
      </c>
      <c r="F814" s="8" t="s">
        <v>2687</v>
      </c>
      <c r="G814" s="8" t="s">
        <v>2686</v>
      </c>
      <c r="H814" s="7" t="s">
        <v>592</v>
      </c>
      <c r="I814" s="16">
        <v>43850</v>
      </c>
      <c r="J814" s="16">
        <v>43853</v>
      </c>
      <c r="K814" s="17"/>
      <c r="L814" s="3"/>
      <c r="M814" s="8" t="s">
        <v>4206</v>
      </c>
      <c r="N814" s="11">
        <v>43983.597997685189</v>
      </c>
      <c r="O814" s="8" t="s">
        <v>4206</v>
      </c>
      <c r="P814" s="11">
        <v>43979.39271990741</v>
      </c>
      <c r="Q814" s="13">
        <v>858772</v>
      </c>
      <c r="R814" s="246" t="s">
        <v>594</v>
      </c>
      <c r="S814" s="14" t="s">
        <v>5505</v>
      </c>
      <c r="T814" s="163">
        <v>1066</v>
      </c>
      <c r="U814" s="164" t="str">
        <f>CONCATENATE(LEFT(SP_ACQ_Lib[[#This Row],[Tax Parcel ID]],7),"_",SP_ACQ_Lib[[#This Row],[ACQ Document Type]])</f>
        <v>R026941_ENVIRONMENTAL Right-of-Entry Package</v>
      </c>
      <c r="V814" s="65" t="str">
        <f>INDEX(SP_AcqTract_DB[WCAD Tax Parcel ID],MATCH(SP_ACQ_Lib[[#This Row],[Acquisition Tract No.]],SP_AcqTract_DB[Acquisition Tract No.],0))</f>
        <v>R026941;#227</v>
      </c>
      <c r="W814" s="48" t="str">
        <f>INDEX(SP_TaxPar_DB[Acquisition Tract No.],MATCH(LEFT(SP_ACQ_Lib[[#This Row],[Tax Parcel ID]],7),SP_TaxPar_DB[Tax Parcel ID],0))</f>
        <v>T184</v>
      </c>
      <c r="X814" s="238" t="str">
        <f>IF(OR(SP_ACQ_Lib[[#This Row],[Acquisition Tract No.]]="",SP_ACQ_Lib[[#This Row],[ACQ Document Type]]=""),0,CONCATENATE("COW-FRMP_TR-",SP_ACQ_Lib[[#This Row],[Acquisition Tract No.]]," ",SP_ACQ_Lib[[#This Row],[ACQ Document Type]]))</f>
        <v>COW-FRMP_TR-T184 ENVIRONMENTAL Right-of-Entry Package</v>
      </c>
      <c r="Y814" s="239">
        <f>IF(OR(SP_ACQ_Lib[[#This Row],[File Name Convention]]=0,LEFT(SP_ACQ_Lib[[#This Row],[Name]],LEN(SP_ACQ_Lib[[#This Row],[File Name Convention]]))&lt;&gt;SP_ACQ_Lib[[#This Row],[File Name Convention]],ISERROR(SEARCH(SP_ACQ_Lib[[#This Row],[ACQ Document Type]],SP_ACQ_Lib[[#This Row],[Name]]))),1,0)</f>
        <v>0</v>
      </c>
    </row>
    <row r="815" spans="1:25" ht="15" x14ac:dyDescent="0.2">
      <c r="A815" s="157" t="str">
        <f>CONCATENATE(SP_ACQ_Lib[[#This Row],[Acquisition Tract No.]],"_",SP_ACQ_Lib[[#This Row],[ACQ Document Type]])</f>
        <v>T184_ROE Right-of-Entry Package</v>
      </c>
      <c r="B815" s="14" t="s">
        <v>5680</v>
      </c>
      <c r="C815" s="245" t="s">
        <v>5297</v>
      </c>
      <c r="D815" s="12" t="s">
        <v>3245</v>
      </c>
      <c r="E815" s="8" t="s">
        <v>1146</v>
      </c>
      <c r="F815" s="8" t="s">
        <v>2687</v>
      </c>
      <c r="G815" s="8" t="s">
        <v>5659</v>
      </c>
      <c r="H815" s="7" t="s">
        <v>592</v>
      </c>
      <c r="I815" s="16">
        <v>43984</v>
      </c>
      <c r="J815" s="16"/>
      <c r="K815" s="17"/>
      <c r="L815" s="3"/>
      <c r="M815" s="8" t="s">
        <v>4206</v>
      </c>
      <c r="N815" s="11">
        <v>43985.526932870373</v>
      </c>
      <c r="O815" s="8" t="s">
        <v>4206</v>
      </c>
      <c r="P815" s="11">
        <v>43985.520486111112</v>
      </c>
      <c r="Q815" s="13">
        <v>1086316</v>
      </c>
      <c r="R815" s="246" t="s">
        <v>594</v>
      </c>
      <c r="S815" s="14" t="s">
        <v>5704</v>
      </c>
      <c r="T815" s="163">
        <v>1106</v>
      </c>
      <c r="U815" s="164" t="str">
        <f>CONCATENATE(LEFT(SP_ACQ_Lib[[#This Row],[Tax Parcel ID]],7),"_",SP_ACQ_Lib[[#This Row],[ACQ Document Type]])</f>
        <v>R026941_ROE Right-of-Entry Package</v>
      </c>
      <c r="V815" s="65" t="str">
        <f>INDEX(SP_AcqTract_DB[WCAD Tax Parcel ID],MATCH(SP_ACQ_Lib[[#This Row],[Acquisition Tract No.]],SP_AcqTract_DB[Acquisition Tract No.],0))</f>
        <v>R026941;#227</v>
      </c>
      <c r="W815" s="48" t="str">
        <f>INDEX(SP_TaxPar_DB[Acquisition Tract No.],MATCH(LEFT(SP_ACQ_Lib[[#This Row],[Tax Parcel ID]],7),SP_TaxPar_DB[Tax Parcel ID],0))</f>
        <v>T184</v>
      </c>
      <c r="X815" s="238" t="str">
        <f>IF(OR(SP_ACQ_Lib[[#This Row],[Acquisition Tract No.]]="",SP_ACQ_Lib[[#This Row],[ACQ Document Type]]=""),0,CONCATENATE("COW-FRMP_TR-",SP_ACQ_Lib[[#This Row],[Acquisition Tract No.]]," ",SP_ACQ_Lib[[#This Row],[ACQ Document Type]]))</f>
        <v>COW-FRMP_TR-T184 ROE Right-of-Entry Package</v>
      </c>
      <c r="Y815" s="239">
        <f>IF(OR(SP_ACQ_Lib[[#This Row],[File Name Convention]]=0,LEFT(SP_ACQ_Lib[[#This Row],[Name]],LEN(SP_ACQ_Lib[[#This Row],[File Name Convention]]))&lt;&gt;SP_ACQ_Lib[[#This Row],[File Name Convention]],ISERROR(SEARCH(SP_ACQ_Lib[[#This Row],[ACQ Document Type]],SP_ACQ_Lib[[#This Row],[Name]]))),1,0)</f>
        <v>0</v>
      </c>
    </row>
    <row r="816" spans="1:25" ht="15" x14ac:dyDescent="0.2">
      <c r="A816" s="157" t="str">
        <f>CONCATENATE(SP_ACQ_Lib[[#This Row],[Acquisition Tract No.]],"_",SP_ACQ_Lib[[#This Row],[ACQ Document Type]])</f>
        <v>T184_TITLE Tax Card</v>
      </c>
      <c r="B816" s="14" t="s">
        <v>5429</v>
      </c>
      <c r="C816" s="245" t="s">
        <v>5297</v>
      </c>
      <c r="D816" s="12" t="s">
        <v>3245</v>
      </c>
      <c r="E816" s="8" t="s">
        <v>861</v>
      </c>
      <c r="F816" s="8" t="s">
        <v>1150</v>
      </c>
      <c r="G816" s="8" t="s">
        <v>1149</v>
      </c>
      <c r="H816" s="7" t="s">
        <v>592</v>
      </c>
      <c r="I816" s="16"/>
      <c r="J816" s="16"/>
      <c r="K816" s="17"/>
      <c r="L816" s="3"/>
      <c r="M816" s="8" t="s">
        <v>4206</v>
      </c>
      <c r="N816" s="11">
        <v>43979.413912037038</v>
      </c>
      <c r="O816" s="8" t="s">
        <v>4206</v>
      </c>
      <c r="P816" s="11">
        <v>43979.392743055556</v>
      </c>
      <c r="Q816" s="13">
        <v>751771</v>
      </c>
      <c r="R816" s="246" t="s">
        <v>594</v>
      </c>
      <c r="S816" s="14" t="s">
        <v>5506</v>
      </c>
      <c r="T816" s="163">
        <v>1067</v>
      </c>
      <c r="U816" s="164" t="str">
        <f>CONCATENATE(LEFT(SP_ACQ_Lib[[#This Row],[Tax Parcel ID]],7),"_",SP_ACQ_Lib[[#This Row],[ACQ Document Type]])</f>
        <v>R026941_TITLE Tax Card</v>
      </c>
      <c r="V816" s="65" t="str">
        <f>INDEX(SP_AcqTract_DB[WCAD Tax Parcel ID],MATCH(SP_ACQ_Lib[[#This Row],[Acquisition Tract No.]],SP_AcqTract_DB[Acquisition Tract No.],0))</f>
        <v>R026941;#227</v>
      </c>
      <c r="W816" s="48" t="str">
        <f>INDEX(SP_TaxPar_DB[Acquisition Tract No.],MATCH(LEFT(SP_ACQ_Lib[[#This Row],[Tax Parcel ID]],7),SP_TaxPar_DB[Tax Parcel ID],0))</f>
        <v>T184</v>
      </c>
      <c r="X816" s="238" t="str">
        <f>IF(OR(SP_ACQ_Lib[[#This Row],[Acquisition Tract No.]]="",SP_ACQ_Lib[[#This Row],[ACQ Document Type]]=""),0,CONCATENATE("COW-FRMP_TR-",SP_ACQ_Lib[[#This Row],[Acquisition Tract No.]]," ",SP_ACQ_Lib[[#This Row],[ACQ Document Type]]))</f>
        <v>COW-FRMP_TR-T184 TITLE Tax Card</v>
      </c>
      <c r="Y816" s="239">
        <f>IF(OR(SP_ACQ_Lib[[#This Row],[File Name Convention]]=0,LEFT(SP_ACQ_Lib[[#This Row],[Name]],LEN(SP_ACQ_Lib[[#This Row],[File Name Convention]]))&lt;&gt;SP_ACQ_Lib[[#This Row],[File Name Convention]],ISERROR(SEARCH(SP_ACQ_Lib[[#This Row],[ACQ Document Type]],SP_ACQ_Lib[[#This Row],[Name]]))),1,0)</f>
        <v>0</v>
      </c>
    </row>
    <row r="817" spans="1:25" ht="15" x14ac:dyDescent="0.2">
      <c r="A817" s="157" t="str">
        <f>CONCATENATE(SP_ACQ_Lib[[#This Row],[Acquisition Tract No.]],"_",SP_ACQ_Lib[[#This Row],[ACQ Document Type]])</f>
        <v>T185_CONTACT Negotiator Report</v>
      </c>
      <c r="B817" s="14" t="s">
        <v>5430</v>
      </c>
      <c r="C817" s="245" t="s">
        <v>5299</v>
      </c>
      <c r="D817" s="12" t="s">
        <v>3246</v>
      </c>
      <c r="E817" s="8" t="s">
        <v>865</v>
      </c>
      <c r="F817" s="8" t="s">
        <v>1068</v>
      </c>
      <c r="G817" s="8" t="s">
        <v>1067</v>
      </c>
      <c r="H817" s="7" t="s">
        <v>592</v>
      </c>
      <c r="I817" s="16">
        <v>43873</v>
      </c>
      <c r="J817" s="16"/>
      <c r="K817" s="17"/>
      <c r="L817" s="3"/>
      <c r="M817" s="8" t="s">
        <v>6483</v>
      </c>
      <c r="N817" s="11">
        <v>44021.424155092594</v>
      </c>
      <c r="O817" s="8" t="s">
        <v>4206</v>
      </c>
      <c r="P817" s="11">
        <v>43971.420717592591</v>
      </c>
      <c r="Q817" s="13">
        <v>68677</v>
      </c>
      <c r="R817" s="246" t="s">
        <v>594</v>
      </c>
      <c r="S817" s="14" t="s">
        <v>5241</v>
      </c>
      <c r="T817" s="163">
        <v>932</v>
      </c>
      <c r="U817" s="164" t="str">
        <f>CONCATENATE(LEFT(SP_ACQ_Lib[[#This Row],[Tax Parcel ID]],7),"_",SP_ACQ_Lib[[#This Row],[ACQ Document Type]])</f>
        <v>R026942_CONTACT Negotiator Report</v>
      </c>
      <c r="V817" s="65" t="str">
        <f>INDEX(SP_AcqTract_DB[WCAD Tax Parcel ID],MATCH(SP_ACQ_Lib[[#This Row],[Acquisition Tract No.]],SP_AcqTract_DB[Acquisition Tract No.],0))</f>
        <v>R026942;#228</v>
      </c>
      <c r="W817" s="48" t="str">
        <f>INDEX(SP_TaxPar_DB[Acquisition Tract No.],MATCH(LEFT(SP_ACQ_Lib[[#This Row],[Tax Parcel ID]],7),SP_TaxPar_DB[Tax Parcel ID],0))</f>
        <v>T185</v>
      </c>
      <c r="X817" s="238" t="str">
        <f>IF(OR(SP_ACQ_Lib[[#This Row],[Acquisition Tract No.]]="",SP_ACQ_Lib[[#This Row],[ACQ Document Type]]=""),0,CONCATENATE("COW-FRMP_TR-",SP_ACQ_Lib[[#This Row],[Acquisition Tract No.]]," ",SP_ACQ_Lib[[#This Row],[ACQ Document Type]]))</f>
        <v>COW-FRMP_TR-T185 CONTACT Negotiator Report</v>
      </c>
      <c r="Y817" s="239">
        <f>IF(OR(SP_ACQ_Lib[[#This Row],[File Name Convention]]=0,LEFT(SP_ACQ_Lib[[#This Row],[Name]],LEN(SP_ACQ_Lib[[#This Row],[File Name Convention]]))&lt;&gt;SP_ACQ_Lib[[#This Row],[File Name Convention]],ISERROR(SEARCH(SP_ACQ_Lib[[#This Row],[ACQ Document Type]],SP_ACQ_Lib[[#This Row],[Name]]))),1,0)</f>
        <v>0</v>
      </c>
    </row>
    <row r="818" spans="1:25" ht="15" x14ac:dyDescent="0.2">
      <c r="A818" s="157" t="str">
        <f>CONCATENATE(SP_ACQ_Lib[[#This Row],[Acquisition Tract No.]],"_",SP_ACQ_Lib[[#This Row],[ACQ Document Type]])</f>
        <v>T185_ROE Right-of-Entry Package</v>
      </c>
      <c r="B818" s="14" t="s">
        <v>5681</v>
      </c>
      <c r="C818" s="245" t="s">
        <v>5299</v>
      </c>
      <c r="D818" s="12" t="s">
        <v>3246</v>
      </c>
      <c r="E818" s="8" t="s">
        <v>1146</v>
      </c>
      <c r="F818" s="8" t="s">
        <v>2687</v>
      </c>
      <c r="G818" s="8" t="s">
        <v>5659</v>
      </c>
      <c r="H818" s="7" t="s">
        <v>592</v>
      </c>
      <c r="I818" s="16">
        <v>43984</v>
      </c>
      <c r="J818" s="16"/>
      <c r="K818" s="17"/>
      <c r="L818" s="3"/>
      <c r="M818" s="8" t="s">
        <v>4206</v>
      </c>
      <c r="N818" s="11">
        <v>43985.527199074073</v>
      </c>
      <c r="O818" s="8" t="s">
        <v>4206</v>
      </c>
      <c r="P818" s="11">
        <v>43985.520509259259</v>
      </c>
      <c r="Q818" s="13">
        <v>1381366</v>
      </c>
      <c r="R818" s="246" t="s">
        <v>594</v>
      </c>
      <c r="S818" s="14" t="s">
        <v>5705</v>
      </c>
      <c r="T818" s="163">
        <v>1107</v>
      </c>
      <c r="U818" s="164" t="str">
        <f>CONCATENATE(LEFT(SP_ACQ_Lib[[#This Row],[Tax Parcel ID]],7),"_",SP_ACQ_Lib[[#This Row],[ACQ Document Type]])</f>
        <v>R026942_ROE Right-of-Entry Package</v>
      </c>
      <c r="V818" s="65" t="str">
        <f>INDEX(SP_AcqTract_DB[WCAD Tax Parcel ID],MATCH(SP_ACQ_Lib[[#This Row],[Acquisition Tract No.]],SP_AcqTract_DB[Acquisition Tract No.],0))</f>
        <v>R026942;#228</v>
      </c>
      <c r="W818" s="48" t="str">
        <f>INDEX(SP_TaxPar_DB[Acquisition Tract No.],MATCH(LEFT(SP_ACQ_Lib[[#This Row],[Tax Parcel ID]],7),SP_TaxPar_DB[Tax Parcel ID],0))</f>
        <v>T185</v>
      </c>
      <c r="X818" s="238" t="str">
        <f>IF(OR(SP_ACQ_Lib[[#This Row],[Acquisition Tract No.]]="",SP_ACQ_Lib[[#This Row],[ACQ Document Type]]=""),0,CONCATENATE("COW-FRMP_TR-",SP_ACQ_Lib[[#This Row],[Acquisition Tract No.]]," ",SP_ACQ_Lib[[#This Row],[ACQ Document Type]]))</f>
        <v>COW-FRMP_TR-T185 ROE Right-of-Entry Package</v>
      </c>
      <c r="Y818" s="239">
        <f>IF(OR(SP_ACQ_Lib[[#This Row],[File Name Convention]]=0,LEFT(SP_ACQ_Lib[[#This Row],[Name]],LEN(SP_ACQ_Lib[[#This Row],[File Name Convention]]))&lt;&gt;SP_ACQ_Lib[[#This Row],[File Name Convention]],ISERROR(SEARCH(SP_ACQ_Lib[[#This Row],[ACQ Document Type]],SP_ACQ_Lib[[#This Row],[Name]]))),1,0)</f>
        <v>0</v>
      </c>
    </row>
    <row r="819" spans="1:25" ht="15" x14ac:dyDescent="0.2">
      <c r="A819" s="157" t="str">
        <f>CONCATENATE(SP_ACQ_Lib[[#This Row],[Acquisition Tract No.]],"_",SP_ACQ_Lib[[#This Row],[ACQ Document Type]])</f>
        <v>T185_TITLE Tax Card</v>
      </c>
      <c r="B819" s="14" t="s">
        <v>5431</v>
      </c>
      <c r="C819" s="245" t="s">
        <v>5299</v>
      </c>
      <c r="D819" s="12" t="s">
        <v>3246</v>
      </c>
      <c r="E819" s="8" t="s">
        <v>861</v>
      </c>
      <c r="F819" s="8" t="s">
        <v>1150</v>
      </c>
      <c r="G819" s="8" t="s">
        <v>1149</v>
      </c>
      <c r="H819" s="7" t="s">
        <v>592</v>
      </c>
      <c r="I819" s="16"/>
      <c r="J819" s="16"/>
      <c r="K819" s="17"/>
      <c r="L819" s="3"/>
      <c r="M819" s="8" t="s">
        <v>4206</v>
      </c>
      <c r="N819" s="11">
        <v>43979.34878472222</v>
      </c>
      <c r="O819" s="8" t="s">
        <v>4206</v>
      </c>
      <c r="P819" s="11">
        <v>43971.420729166668</v>
      </c>
      <c r="Q819" s="13">
        <v>734637</v>
      </c>
      <c r="R819" s="246" t="s">
        <v>594</v>
      </c>
      <c r="S819" s="14" t="s">
        <v>5174</v>
      </c>
      <c r="T819" s="163">
        <v>933</v>
      </c>
      <c r="U819" s="164" t="str">
        <f>CONCATENATE(LEFT(SP_ACQ_Lib[[#This Row],[Tax Parcel ID]],7),"_",SP_ACQ_Lib[[#This Row],[ACQ Document Type]])</f>
        <v>R026942_TITLE Tax Card</v>
      </c>
      <c r="V819" s="65" t="str">
        <f>INDEX(SP_AcqTract_DB[WCAD Tax Parcel ID],MATCH(SP_ACQ_Lib[[#This Row],[Acquisition Tract No.]],SP_AcqTract_DB[Acquisition Tract No.],0))</f>
        <v>R026942;#228</v>
      </c>
      <c r="W819" s="48" t="str">
        <f>INDEX(SP_TaxPar_DB[Acquisition Tract No.],MATCH(LEFT(SP_ACQ_Lib[[#This Row],[Tax Parcel ID]],7),SP_TaxPar_DB[Tax Parcel ID],0))</f>
        <v>T185</v>
      </c>
      <c r="X819" s="238" t="str">
        <f>IF(OR(SP_ACQ_Lib[[#This Row],[Acquisition Tract No.]]="",SP_ACQ_Lib[[#This Row],[ACQ Document Type]]=""),0,CONCATENATE("COW-FRMP_TR-",SP_ACQ_Lib[[#This Row],[Acquisition Tract No.]]," ",SP_ACQ_Lib[[#This Row],[ACQ Document Type]]))</f>
        <v>COW-FRMP_TR-T185 TITLE Tax Card</v>
      </c>
      <c r="Y819" s="239">
        <f>IF(OR(SP_ACQ_Lib[[#This Row],[File Name Convention]]=0,LEFT(SP_ACQ_Lib[[#This Row],[Name]],LEN(SP_ACQ_Lib[[#This Row],[File Name Convention]]))&lt;&gt;SP_ACQ_Lib[[#This Row],[File Name Convention]],ISERROR(SEARCH(SP_ACQ_Lib[[#This Row],[ACQ Document Type]],SP_ACQ_Lib[[#This Row],[Name]]))),1,0)</f>
        <v>0</v>
      </c>
    </row>
    <row r="820" spans="1:25" ht="15" x14ac:dyDescent="0.2">
      <c r="A820" s="157" t="str">
        <f>CONCATENATE(SP_ACQ_Lib[[#This Row],[Acquisition Tract No.]],"_",SP_ACQ_Lib[[#This Row],[ACQ Document Type]])</f>
        <v>T186_CONTACT Negotiator Report</v>
      </c>
      <c r="B820" s="14" t="s">
        <v>5432</v>
      </c>
      <c r="C820" s="245" t="s">
        <v>5301</v>
      </c>
      <c r="D820" s="12" t="s">
        <v>3247</v>
      </c>
      <c r="E820" s="8" t="s">
        <v>865</v>
      </c>
      <c r="F820" s="8" t="s">
        <v>1068</v>
      </c>
      <c r="G820" s="8" t="s">
        <v>1067</v>
      </c>
      <c r="H820" s="7" t="s">
        <v>592</v>
      </c>
      <c r="I820" s="16">
        <v>43873</v>
      </c>
      <c r="J820" s="16"/>
      <c r="K820" s="17"/>
      <c r="L820" s="3"/>
      <c r="M820" s="8" t="s">
        <v>1744</v>
      </c>
      <c r="N820" s="11">
        <v>44011.922488425924</v>
      </c>
      <c r="O820" s="8" t="s">
        <v>4206</v>
      </c>
      <c r="P820" s="11">
        <v>43971.420740740738</v>
      </c>
      <c r="Q820" s="13">
        <v>61906</v>
      </c>
      <c r="R820" s="246" t="s">
        <v>594</v>
      </c>
      <c r="S820" s="14" t="s">
        <v>5242</v>
      </c>
      <c r="T820" s="163">
        <v>934</v>
      </c>
      <c r="U820" s="164" t="str">
        <f>CONCATENATE(LEFT(SP_ACQ_Lib[[#This Row],[Tax Parcel ID]],7),"_",SP_ACQ_Lib[[#This Row],[ACQ Document Type]])</f>
        <v>R026943_CONTACT Negotiator Report</v>
      </c>
      <c r="V820" s="65" t="str">
        <f>INDEX(SP_AcqTract_DB[WCAD Tax Parcel ID],MATCH(SP_ACQ_Lib[[#This Row],[Acquisition Tract No.]],SP_AcqTract_DB[Acquisition Tract No.],0))</f>
        <v>R026943;#229</v>
      </c>
      <c r="W820" s="48" t="str">
        <f>INDEX(SP_TaxPar_DB[Acquisition Tract No.],MATCH(LEFT(SP_ACQ_Lib[[#This Row],[Tax Parcel ID]],7),SP_TaxPar_DB[Tax Parcel ID],0))</f>
        <v>T186</v>
      </c>
      <c r="X820" s="238" t="str">
        <f>IF(OR(SP_ACQ_Lib[[#This Row],[Acquisition Tract No.]]="",SP_ACQ_Lib[[#This Row],[ACQ Document Type]]=""),0,CONCATENATE("COW-FRMP_TR-",SP_ACQ_Lib[[#This Row],[Acquisition Tract No.]]," ",SP_ACQ_Lib[[#This Row],[ACQ Document Type]]))</f>
        <v>COW-FRMP_TR-T186 CONTACT Negotiator Report</v>
      </c>
      <c r="Y820" s="239">
        <f>IF(OR(SP_ACQ_Lib[[#This Row],[File Name Convention]]=0,LEFT(SP_ACQ_Lib[[#This Row],[Name]],LEN(SP_ACQ_Lib[[#This Row],[File Name Convention]]))&lt;&gt;SP_ACQ_Lib[[#This Row],[File Name Convention]],ISERROR(SEARCH(SP_ACQ_Lib[[#This Row],[ACQ Document Type]],SP_ACQ_Lib[[#This Row],[Name]]))),1,0)</f>
        <v>0</v>
      </c>
    </row>
    <row r="821" spans="1:25" ht="15" x14ac:dyDescent="0.2">
      <c r="A821" s="157" t="str">
        <f>CONCATENATE(SP_ACQ_Lib[[#This Row],[Acquisition Tract No.]],"_",SP_ACQ_Lib[[#This Row],[ACQ Document Type]])</f>
        <v>T186_ENVIRONMENTAL Right-of-Entry Executed</v>
      </c>
      <c r="B821" s="14" t="s">
        <v>5583</v>
      </c>
      <c r="C821" s="245" t="s">
        <v>5301</v>
      </c>
      <c r="D821" s="12" t="s">
        <v>3247</v>
      </c>
      <c r="E821" s="8" t="s">
        <v>2682</v>
      </c>
      <c r="F821" s="8" t="s">
        <v>2683</v>
      </c>
      <c r="G821" s="8" t="s">
        <v>2681</v>
      </c>
      <c r="H821" s="7" t="s">
        <v>592</v>
      </c>
      <c r="I821" s="16">
        <v>43920</v>
      </c>
      <c r="J821" s="16"/>
      <c r="K821" s="17"/>
      <c r="L821" s="3"/>
      <c r="M821" s="8" t="s">
        <v>4206</v>
      </c>
      <c r="N821" s="11">
        <v>43983.569710648146</v>
      </c>
      <c r="O821" s="8" t="s">
        <v>4206</v>
      </c>
      <c r="P821" s="11">
        <v>43971.420752314814</v>
      </c>
      <c r="Q821" s="13">
        <v>657072</v>
      </c>
      <c r="R821" s="246" t="s">
        <v>594</v>
      </c>
      <c r="S821" s="14" t="s">
        <v>5175</v>
      </c>
      <c r="T821" s="163">
        <v>935</v>
      </c>
      <c r="U821" s="164" t="str">
        <f>CONCATENATE(LEFT(SP_ACQ_Lib[[#This Row],[Tax Parcel ID]],7),"_",SP_ACQ_Lib[[#This Row],[ACQ Document Type]])</f>
        <v>R026943_ENVIRONMENTAL Right-of-Entry Executed</v>
      </c>
      <c r="V821" s="65" t="str">
        <f>INDEX(SP_AcqTract_DB[WCAD Tax Parcel ID],MATCH(SP_ACQ_Lib[[#This Row],[Acquisition Tract No.]],SP_AcqTract_DB[Acquisition Tract No.],0))</f>
        <v>R026943;#229</v>
      </c>
      <c r="W821" s="48" t="str">
        <f>INDEX(SP_TaxPar_DB[Acquisition Tract No.],MATCH(LEFT(SP_ACQ_Lib[[#This Row],[Tax Parcel ID]],7),SP_TaxPar_DB[Tax Parcel ID],0))</f>
        <v>T186</v>
      </c>
      <c r="X821" s="238" t="str">
        <f>IF(OR(SP_ACQ_Lib[[#This Row],[Acquisition Tract No.]]="",SP_ACQ_Lib[[#This Row],[ACQ Document Type]]=""),0,CONCATENATE("COW-FRMP_TR-",SP_ACQ_Lib[[#This Row],[Acquisition Tract No.]]," ",SP_ACQ_Lib[[#This Row],[ACQ Document Type]]))</f>
        <v>COW-FRMP_TR-T186 ENVIRONMENTAL Right-of-Entry Executed</v>
      </c>
      <c r="Y821" s="239">
        <f>IF(OR(SP_ACQ_Lib[[#This Row],[File Name Convention]]=0,LEFT(SP_ACQ_Lib[[#This Row],[Name]],LEN(SP_ACQ_Lib[[#This Row],[File Name Convention]]))&lt;&gt;SP_ACQ_Lib[[#This Row],[File Name Convention]],ISERROR(SEARCH(SP_ACQ_Lib[[#This Row],[ACQ Document Type]],SP_ACQ_Lib[[#This Row],[Name]]))),1,0)</f>
        <v>0</v>
      </c>
    </row>
    <row r="822" spans="1:25" ht="15" x14ac:dyDescent="0.2">
      <c r="A822" s="157" t="str">
        <f>CONCATENATE(SP_ACQ_Lib[[#This Row],[Acquisition Tract No.]],"_",SP_ACQ_Lib[[#This Row],[ACQ Document Type]])</f>
        <v>T186_ROE Right-of-Entry Executed</v>
      </c>
      <c r="B822" s="14" t="s">
        <v>6344</v>
      </c>
      <c r="C822" s="245" t="s">
        <v>5301</v>
      </c>
      <c r="D822" s="12" t="s">
        <v>3247</v>
      </c>
      <c r="E822" s="8" t="s">
        <v>1146</v>
      </c>
      <c r="F822" s="8" t="s">
        <v>2683</v>
      </c>
      <c r="G822" s="8" t="s">
        <v>5660</v>
      </c>
      <c r="H822" s="7" t="s">
        <v>592</v>
      </c>
      <c r="I822" s="16">
        <v>43994</v>
      </c>
      <c r="J822" s="16">
        <v>44177</v>
      </c>
      <c r="K822" s="17"/>
      <c r="L822" s="3"/>
      <c r="M822" s="8" t="s">
        <v>4206</v>
      </c>
      <c r="N822" s="11">
        <v>44004.441921296297</v>
      </c>
      <c r="O822" s="8" t="s">
        <v>4206</v>
      </c>
      <c r="P822" s="11">
        <v>44004.430833333332</v>
      </c>
      <c r="Q822" s="13">
        <v>2531071</v>
      </c>
      <c r="R822" s="246" t="s">
        <v>594</v>
      </c>
      <c r="S822" s="14" t="s">
        <v>6413</v>
      </c>
      <c r="T822" s="163">
        <v>1242</v>
      </c>
      <c r="U822" s="164" t="str">
        <f>CONCATENATE(LEFT(SP_ACQ_Lib[[#This Row],[Tax Parcel ID]],7),"_",SP_ACQ_Lib[[#This Row],[ACQ Document Type]])</f>
        <v>R026943_ROE Right-of-Entry Executed</v>
      </c>
      <c r="V822" s="65" t="str">
        <f>INDEX(SP_AcqTract_DB[WCAD Tax Parcel ID],MATCH(SP_ACQ_Lib[[#This Row],[Acquisition Tract No.]],SP_AcqTract_DB[Acquisition Tract No.],0))</f>
        <v>R026943;#229</v>
      </c>
      <c r="W822" s="48" t="str">
        <f>INDEX(SP_TaxPar_DB[Acquisition Tract No.],MATCH(LEFT(SP_ACQ_Lib[[#This Row],[Tax Parcel ID]],7),SP_TaxPar_DB[Tax Parcel ID],0))</f>
        <v>T186</v>
      </c>
      <c r="X822" s="238" t="str">
        <f>IF(OR(SP_ACQ_Lib[[#This Row],[Acquisition Tract No.]]="",SP_ACQ_Lib[[#This Row],[ACQ Document Type]]=""),0,CONCATENATE("COW-FRMP_TR-",SP_ACQ_Lib[[#This Row],[Acquisition Tract No.]]," ",SP_ACQ_Lib[[#This Row],[ACQ Document Type]]))</f>
        <v>COW-FRMP_TR-T186 ROE Right-of-Entry Executed</v>
      </c>
      <c r="Y822" s="239">
        <f>IF(OR(SP_ACQ_Lib[[#This Row],[File Name Convention]]=0,LEFT(SP_ACQ_Lib[[#This Row],[Name]],LEN(SP_ACQ_Lib[[#This Row],[File Name Convention]]))&lt;&gt;SP_ACQ_Lib[[#This Row],[File Name Convention]],ISERROR(SEARCH(SP_ACQ_Lib[[#This Row],[ACQ Document Type]],SP_ACQ_Lib[[#This Row],[Name]]))),1,0)</f>
        <v>0</v>
      </c>
    </row>
    <row r="823" spans="1:25" ht="15" x14ac:dyDescent="0.2">
      <c r="A823" s="157" t="str">
        <f>CONCATENATE(SP_ACQ_Lib[[#This Row],[Acquisition Tract No.]],"_",SP_ACQ_Lib[[#This Row],[ACQ Document Type]])</f>
        <v>T186_ROE Right-of-Entry Package</v>
      </c>
      <c r="B823" s="14" t="s">
        <v>5682</v>
      </c>
      <c r="C823" s="15" t="s">
        <v>5301</v>
      </c>
      <c r="D823" s="12" t="s">
        <v>3247</v>
      </c>
      <c r="E823" s="8" t="s">
        <v>1146</v>
      </c>
      <c r="F823" s="8" t="s">
        <v>2687</v>
      </c>
      <c r="G823" s="8" t="s">
        <v>5659</v>
      </c>
      <c r="H823" s="7" t="s">
        <v>592</v>
      </c>
      <c r="I823" s="16">
        <v>43984</v>
      </c>
      <c r="J823" s="16"/>
      <c r="K823" s="17"/>
      <c r="L823" s="3"/>
      <c r="M823" s="8" t="s">
        <v>4206</v>
      </c>
      <c r="N823" s="11">
        <v>43985.445474537039</v>
      </c>
      <c r="O823" s="8" t="s">
        <v>4206</v>
      </c>
      <c r="P823" s="11">
        <v>43984.744409722225</v>
      </c>
      <c r="Q823" s="13">
        <v>1489508</v>
      </c>
      <c r="R823" s="19" t="s">
        <v>594</v>
      </c>
      <c r="S823" s="14" t="s">
        <v>5657</v>
      </c>
      <c r="T823" s="163">
        <v>1084</v>
      </c>
      <c r="U823" s="164" t="str">
        <f>CONCATENATE(LEFT(SP_ACQ_Lib[[#This Row],[Tax Parcel ID]],7),"_",SP_ACQ_Lib[[#This Row],[ACQ Document Type]])</f>
        <v>R026943_ROE Right-of-Entry Package</v>
      </c>
      <c r="V823" s="65" t="str">
        <f>INDEX(SP_AcqTract_DB[WCAD Tax Parcel ID],MATCH(SP_ACQ_Lib[[#This Row],[Acquisition Tract No.]],SP_AcqTract_DB[Acquisition Tract No.],0))</f>
        <v>R026943;#229</v>
      </c>
      <c r="W823" s="48" t="str">
        <f>INDEX(SP_TaxPar_DB[Acquisition Tract No.],MATCH(LEFT(SP_ACQ_Lib[[#This Row],[Tax Parcel ID]],7),SP_TaxPar_DB[Tax Parcel ID],0))</f>
        <v>T186</v>
      </c>
      <c r="X823" s="238" t="str">
        <f>IF(OR(SP_ACQ_Lib[[#This Row],[Acquisition Tract No.]]="",SP_ACQ_Lib[[#This Row],[ACQ Document Type]]=""),0,CONCATENATE("COW-FRMP_TR-",SP_ACQ_Lib[[#This Row],[Acquisition Tract No.]]," ",SP_ACQ_Lib[[#This Row],[ACQ Document Type]]))</f>
        <v>COW-FRMP_TR-T186 ROE Right-of-Entry Package</v>
      </c>
      <c r="Y823" s="239">
        <f>IF(OR(SP_ACQ_Lib[[#This Row],[File Name Convention]]=0,LEFT(SP_ACQ_Lib[[#This Row],[Name]],LEN(SP_ACQ_Lib[[#This Row],[File Name Convention]]))&lt;&gt;SP_ACQ_Lib[[#This Row],[File Name Convention]],ISERROR(SEARCH(SP_ACQ_Lib[[#This Row],[ACQ Document Type]],SP_ACQ_Lib[[#This Row],[Name]]))),1,0)</f>
        <v>0</v>
      </c>
    </row>
    <row r="824" spans="1:25" ht="15" x14ac:dyDescent="0.2">
      <c r="A824" s="157" t="str">
        <f>CONCATENATE(SP_ACQ_Lib[[#This Row],[Acquisition Tract No.]],"_",SP_ACQ_Lib[[#This Row],[ACQ Document Type]])</f>
        <v>T186_TITLE Tax Card</v>
      </c>
      <c r="B824" s="14" t="s">
        <v>5433</v>
      </c>
      <c r="C824" s="15" t="s">
        <v>5301</v>
      </c>
      <c r="D824" s="12" t="s">
        <v>3247</v>
      </c>
      <c r="E824" s="8" t="s">
        <v>861</v>
      </c>
      <c r="F824" s="8" t="s">
        <v>1150</v>
      </c>
      <c r="G824" s="8" t="s">
        <v>1149</v>
      </c>
      <c r="H824" s="7" t="s">
        <v>592</v>
      </c>
      <c r="I824" s="16"/>
      <c r="J824" s="16"/>
      <c r="K824" s="17"/>
      <c r="L824" s="3"/>
      <c r="M824" s="8" t="s">
        <v>4206</v>
      </c>
      <c r="N824" s="11">
        <v>43979.348796296297</v>
      </c>
      <c r="O824" s="8" t="s">
        <v>4206</v>
      </c>
      <c r="P824" s="11">
        <v>43971.420763888891</v>
      </c>
      <c r="Q824" s="13">
        <v>741557</v>
      </c>
      <c r="R824" s="19" t="s">
        <v>594</v>
      </c>
      <c r="S824" s="14" t="s">
        <v>5176</v>
      </c>
      <c r="T824" s="163">
        <v>936</v>
      </c>
      <c r="U824" s="164" t="str">
        <f>CONCATENATE(LEFT(SP_ACQ_Lib[[#This Row],[Tax Parcel ID]],7),"_",SP_ACQ_Lib[[#This Row],[ACQ Document Type]])</f>
        <v>R026943_TITLE Tax Card</v>
      </c>
      <c r="V824" s="65" t="str">
        <f>INDEX(SP_AcqTract_DB[WCAD Tax Parcel ID],MATCH(SP_ACQ_Lib[[#This Row],[Acquisition Tract No.]],SP_AcqTract_DB[Acquisition Tract No.],0))</f>
        <v>R026943;#229</v>
      </c>
      <c r="W824" s="48" t="str">
        <f>INDEX(SP_TaxPar_DB[Acquisition Tract No.],MATCH(LEFT(SP_ACQ_Lib[[#This Row],[Tax Parcel ID]],7),SP_TaxPar_DB[Tax Parcel ID],0))</f>
        <v>T186</v>
      </c>
      <c r="X824" s="238" t="str">
        <f>IF(OR(SP_ACQ_Lib[[#This Row],[Acquisition Tract No.]]="",SP_ACQ_Lib[[#This Row],[ACQ Document Type]]=""),0,CONCATENATE("COW-FRMP_TR-",SP_ACQ_Lib[[#This Row],[Acquisition Tract No.]]," ",SP_ACQ_Lib[[#This Row],[ACQ Document Type]]))</f>
        <v>COW-FRMP_TR-T186 TITLE Tax Card</v>
      </c>
      <c r="Y824" s="239">
        <f>IF(OR(SP_ACQ_Lib[[#This Row],[File Name Convention]]=0,LEFT(SP_ACQ_Lib[[#This Row],[Name]],LEN(SP_ACQ_Lib[[#This Row],[File Name Convention]]))&lt;&gt;SP_ACQ_Lib[[#This Row],[File Name Convention]],ISERROR(SEARCH(SP_ACQ_Lib[[#This Row],[ACQ Document Type]],SP_ACQ_Lib[[#This Row],[Name]]))),1,0)</f>
        <v>0</v>
      </c>
    </row>
    <row r="825" spans="1:25" ht="15" x14ac:dyDescent="0.2">
      <c r="A825" s="157" t="str">
        <f>CONCATENATE(SP_ACQ_Lib[[#This Row],[Acquisition Tract No.]],"_",SP_ACQ_Lib[[#This Row],[ACQ Document Type]])</f>
        <v>T187_CONTACT Negotiator Report</v>
      </c>
      <c r="B825" s="14" t="s">
        <v>5434</v>
      </c>
      <c r="C825" s="15" t="s">
        <v>5303</v>
      </c>
      <c r="D825" s="12" t="s">
        <v>3248</v>
      </c>
      <c r="E825" s="8" t="s">
        <v>865</v>
      </c>
      <c r="F825" s="8" t="s">
        <v>1068</v>
      </c>
      <c r="G825" s="8" t="s">
        <v>1067</v>
      </c>
      <c r="H825" s="7" t="s">
        <v>592</v>
      </c>
      <c r="I825" s="16">
        <v>43873</v>
      </c>
      <c r="J825" s="16"/>
      <c r="K825" s="17"/>
      <c r="L825" s="3"/>
      <c r="M825" s="8" t="s">
        <v>6483</v>
      </c>
      <c r="N825" s="11">
        <v>44019.6562962963</v>
      </c>
      <c r="O825" s="8" t="s">
        <v>4206</v>
      </c>
      <c r="P825" s="11">
        <v>43971.420787037037</v>
      </c>
      <c r="Q825" s="13">
        <v>64306</v>
      </c>
      <c r="R825" s="19" t="s">
        <v>594</v>
      </c>
      <c r="S825" s="14" t="s">
        <v>5532</v>
      </c>
      <c r="T825" s="163">
        <v>937</v>
      </c>
      <c r="U825" s="164" t="str">
        <f>CONCATENATE(LEFT(SP_ACQ_Lib[[#This Row],[Tax Parcel ID]],7),"_",SP_ACQ_Lib[[#This Row],[ACQ Document Type]])</f>
        <v>R026948_CONTACT Negotiator Report</v>
      </c>
      <c r="V825" s="65" t="str">
        <f>INDEX(SP_AcqTract_DB[WCAD Tax Parcel ID],MATCH(SP_ACQ_Lib[[#This Row],[Acquisition Tract No.]],SP_AcqTract_DB[Acquisition Tract No.],0))</f>
        <v>R026948;#230</v>
      </c>
      <c r="W825" s="48" t="str">
        <f>INDEX(SP_TaxPar_DB[Acquisition Tract No.],MATCH(LEFT(SP_ACQ_Lib[[#This Row],[Tax Parcel ID]],7),SP_TaxPar_DB[Tax Parcel ID],0))</f>
        <v>T187</v>
      </c>
      <c r="X825" s="238" t="str">
        <f>IF(OR(SP_ACQ_Lib[[#This Row],[Acquisition Tract No.]]="",SP_ACQ_Lib[[#This Row],[ACQ Document Type]]=""),0,CONCATENATE("COW-FRMP_TR-",SP_ACQ_Lib[[#This Row],[Acquisition Tract No.]]," ",SP_ACQ_Lib[[#This Row],[ACQ Document Type]]))</f>
        <v>COW-FRMP_TR-T187 CONTACT Negotiator Report</v>
      </c>
      <c r="Y825" s="239">
        <f>IF(OR(SP_ACQ_Lib[[#This Row],[File Name Convention]]=0,LEFT(SP_ACQ_Lib[[#This Row],[Name]],LEN(SP_ACQ_Lib[[#This Row],[File Name Convention]]))&lt;&gt;SP_ACQ_Lib[[#This Row],[File Name Convention]],ISERROR(SEARCH(SP_ACQ_Lib[[#This Row],[ACQ Document Type]],SP_ACQ_Lib[[#This Row],[Name]]))),1,0)</f>
        <v>0</v>
      </c>
    </row>
    <row r="826" spans="1:25" ht="15" x14ac:dyDescent="0.2">
      <c r="A826" s="157" t="str">
        <f>CONCATENATE(SP_ACQ_Lib[[#This Row],[Acquisition Tract No.]],"_",SP_ACQ_Lib[[#This Row],[ACQ Document Type]])</f>
        <v>T187_ENVIRONMENTAL Right-of-Entry Executed</v>
      </c>
      <c r="B826" s="14" t="s">
        <v>5584</v>
      </c>
      <c r="C826" s="263" t="s">
        <v>5303</v>
      </c>
      <c r="D826" s="12" t="s">
        <v>3248</v>
      </c>
      <c r="E826" s="8" t="s">
        <v>2682</v>
      </c>
      <c r="F826" s="8" t="s">
        <v>2683</v>
      </c>
      <c r="G826" s="8" t="s">
        <v>2681</v>
      </c>
      <c r="H826" s="7" t="s">
        <v>592</v>
      </c>
      <c r="I826" s="16">
        <v>43872</v>
      </c>
      <c r="J826" s="16"/>
      <c r="K826" s="17"/>
      <c r="L826" s="3"/>
      <c r="M826" s="8" t="s">
        <v>4206</v>
      </c>
      <c r="N826" s="11">
        <v>43983.569907407407</v>
      </c>
      <c r="O826" s="8" t="s">
        <v>4206</v>
      </c>
      <c r="P826" s="11">
        <v>43971.42082175926</v>
      </c>
      <c r="Q826" s="13">
        <v>549564</v>
      </c>
      <c r="R826" s="264" t="s">
        <v>594</v>
      </c>
      <c r="S826" s="14" t="s">
        <v>5178</v>
      </c>
      <c r="T826" s="163">
        <v>939</v>
      </c>
      <c r="U826" s="164" t="str">
        <f>CONCATENATE(LEFT(SP_ACQ_Lib[[#This Row],[Tax Parcel ID]],7),"_",SP_ACQ_Lib[[#This Row],[ACQ Document Type]])</f>
        <v>R026948_ENVIRONMENTAL Right-of-Entry Executed</v>
      </c>
      <c r="V826" s="65" t="str">
        <f>INDEX(SP_AcqTract_DB[WCAD Tax Parcel ID],MATCH(SP_ACQ_Lib[[#This Row],[Acquisition Tract No.]],SP_AcqTract_DB[Acquisition Tract No.],0))</f>
        <v>R026948;#230</v>
      </c>
      <c r="W826" s="48" t="str">
        <f>INDEX(SP_TaxPar_DB[Acquisition Tract No.],MATCH(LEFT(SP_ACQ_Lib[[#This Row],[Tax Parcel ID]],7),SP_TaxPar_DB[Tax Parcel ID],0))</f>
        <v>T187</v>
      </c>
      <c r="X826" s="238" t="str">
        <f>IF(OR(SP_ACQ_Lib[[#This Row],[Acquisition Tract No.]]="",SP_ACQ_Lib[[#This Row],[ACQ Document Type]]=""),0,CONCATENATE("COW-FRMP_TR-",SP_ACQ_Lib[[#This Row],[Acquisition Tract No.]]," ",SP_ACQ_Lib[[#This Row],[ACQ Document Type]]))</f>
        <v>COW-FRMP_TR-T187 ENVIRONMENTAL Right-of-Entry Executed</v>
      </c>
      <c r="Y826" s="239">
        <f>IF(OR(SP_ACQ_Lib[[#This Row],[File Name Convention]]=0,LEFT(SP_ACQ_Lib[[#This Row],[Name]],LEN(SP_ACQ_Lib[[#This Row],[File Name Convention]]))&lt;&gt;SP_ACQ_Lib[[#This Row],[File Name Convention]],ISERROR(SEARCH(SP_ACQ_Lib[[#This Row],[ACQ Document Type]],SP_ACQ_Lib[[#This Row],[Name]]))),1,0)</f>
        <v>0</v>
      </c>
    </row>
    <row r="827" spans="1:25" ht="15" x14ac:dyDescent="0.2">
      <c r="A827" s="157" t="str">
        <f>CONCATENATE(SP_ACQ_Lib[[#This Row],[Acquisition Tract No.]],"_",SP_ACQ_Lib[[#This Row],[ACQ Document Type]])</f>
        <v>T187_ENVIRONMENTAL Right-of-Entry Package</v>
      </c>
      <c r="B827" s="14" t="s">
        <v>5585</v>
      </c>
      <c r="C827" s="263" t="s">
        <v>5303</v>
      </c>
      <c r="D827" s="12" t="s">
        <v>3248</v>
      </c>
      <c r="E827" s="8" t="s">
        <v>2682</v>
      </c>
      <c r="F827" s="8" t="s">
        <v>2687</v>
      </c>
      <c r="G827" s="8" t="s">
        <v>2686</v>
      </c>
      <c r="H827" s="7" t="s">
        <v>592</v>
      </c>
      <c r="I827" s="16">
        <v>43850</v>
      </c>
      <c r="J827" s="16">
        <v>43853</v>
      </c>
      <c r="K827" s="17"/>
      <c r="L827" s="3"/>
      <c r="M827" s="8" t="s">
        <v>4206</v>
      </c>
      <c r="N827" s="11">
        <v>43983.597997685189</v>
      </c>
      <c r="O827" s="8" t="s">
        <v>4206</v>
      </c>
      <c r="P827" s="11">
        <v>43971.420798611114</v>
      </c>
      <c r="Q827" s="13">
        <v>946138</v>
      </c>
      <c r="R827" s="264" t="s">
        <v>594</v>
      </c>
      <c r="S827" s="14" t="s">
        <v>5177</v>
      </c>
      <c r="T827" s="163">
        <v>938</v>
      </c>
      <c r="U827" s="164" t="str">
        <f>CONCATENATE(LEFT(SP_ACQ_Lib[[#This Row],[Tax Parcel ID]],7),"_",SP_ACQ_Lib[[#This Row],[ACQ Document Type]])</f>
        <v>R026948_ENVIRONMENTAL Right-of-Entry Package</v>
      </c>
      <c r="V827" s="65" t="str">
        <f>INDEX(SP_AcqTract_DB[WCAD Tax Parcel ID],MATCH(SP_ACQ_Lib[[#This Row],[Acquisition Tract No.]],SP_AcqTract_DB[Acquisition Tract No.],0))</f>
        <v>R026948;#230</v>
      </c>
      <c r="W827" s="48" t="str">
        <f>INDEX(SP_TaxPar_DB[Acquisition Tract No.],MATCH(LEFT(SP_ACQ_Lib[[#This Row],[Tax Parcel ID]],7),SP_TaxPar_DB[Tax Parcel ID],0))</f>
        <v>T187</v>
      </c>
      <c r="X827" s="238" t="str">
        <f>IF(OR(SP_ACQ_Lib[[#This Row],[Acquisition Tract No.]]="",SP_ACQ_Lib[[#This Row],[ACQ Document Type]]=""),0,CONCATENATE("COW-FRMP_TR-",SP_ACQ_Lib[[#This Row],[Acquisition Tract No.]]," ",SP_ACQ_Lib[[#This Row],[ACQ Document Type]]))</f>
        <v>COW-FRMP_TR-T187 ENVIRONMENTAL Right-of-Entry Package</v>
      </c>
      <c r="Y827" s="239">
        <f>IF(OR(SP_ACQ_Lib[[#This Row],[File Name Convention]]=0,LEFT(SP_ACQ_Lib[[#This Row],[Name]],LEN(SP_ACQ_Lib[[#This Row],[File Name Convention]]))&lt;&gt;SP_ACQ_Lib[[#This Row],[File Name Convention]],ISERROR(SEARCH(SP_ACQ_Lib[[#This Row],[ACQ Document Type]],SP_ACQ_Lib[[#This Row],[Name]]))),1,0)</f>
        <v>0</v>
      </c>
    </row>
    <row r="828" spans="1:25" ht="15" x14ac:dyDescent="0.2">
      <c r="A828" s="157" t="str">
        <f>CONCATENATE(SP_ACQ_Lib[[#This Row],[Acquisition Tract No.]],"_",SP_ACQ_Lib[[#This Row],[ACQ Document Type]])</f>
        <v>T187_ROE Right-of-Entry Package</v>
      </c>
      <c r="B828" s="14" t="s">
        <v>5760</v>
      </c>
      <c r="C828" s="263" t="s">
        <v>5303</v>
      </c>
      <c r="D828" s="12" t="s">
        <v>3248</v>
      </c>
      <c r="E828" s="8" t="s">
        <v>1146</v>
      </c>
      <c r="F828" s="8" t="s">
        <v>2687</v>
      </c>
      <c r="G828" s="8" t="s">
        <v>5659</v>
      </c>
      <c r="H828" s="7" t="s">
        <v>592</v>
      </c>
      <c r="I828" s="16">
        <v>43985</v>
      </c>
      <c r="J828" s="16"/>
      <c r="K828" s="17"/>
      <c r="L828" s="3"/>
      <c r="M828" s="8" t="s">
        <v>4206</v>
      </c>
      <c r="N828" s="11">
        <v>43986.573703703703</v>
      </c>
      <c r="O828" s="8" t="s">
        <v>4206</v>
      </c>
      <c r="P828" s="11">
        <v>43986.569988425923</v>
      </c>
      <c r="Q828" s="13">
        <v>1469220</v>
      </c>
      <c r="R828" s="264" t="s">
        <v>594</v>
      </c>
      <c r="S828" s="14" t="s">
        <v>5792</v>
      </c>
      <c r="T828" s="163">
        <v>1127</v>
      </c>
      <c r="U828" s="164" t="str">
        <f>CONCATENATE(LEFT(SP_ACQ_Lib[[#This Row],[Tax Parcel ID]],7),"_",SP_ACQ_Lib[[#This Row],[ACQ Document Type]])</f>
        <v>R026948_ROE Right-of-Entry Package</v>
      </c>
      <c r="V828" s="65" t="str">
        <f>INDEX(SP_AcqTract_DB[WCAD Tax Parcel ID],MATCH(SP_ACQ_Lib[[#This Row],[Acquisition Tract No.]],SP_AcqTract_DB[Acquisition Tract No.],0))</f>
        <v>R026948;#230</v>
      </c>
      <c r="W828" s="48" t="str">
        <f>INDEX(SP_TaxPar_DB[Acquisition Tract No.],MATCH(LEFT(SP_ACQ_Lib[[#This Row],[Tax Parcel ID]],7),SP_TaxPar_DB[Tax Parcel ID],0))</f>
        <v>T187</v>
      </c>
      <c r="X828" s="238" t="str">
        <f>IF(OR(SP_ACQ_Lib[[#This Row],[Acquisition Tract No.]]="",SP_ACQ_Lib[[#This Row],[ACQ Document Type]]=""),0,CONCATENATE("COW-FRMP_TR-",SP_ACQ_Lib[[#This Row],[Acquisition Tract No.]]," ",SP_ACQ_Lib[[#This Row],[ACQ Document Type]]))</f>
        <v>COW-FRMP_TR-T187 ROE Right-of-Entry Package</v>
      </c>
      <c r="Y828" s="239">
        <f>IF(OR(SP_ACQ_Lib[[#This Row],[File Name Convention]]=0,LEFT(SP_ACQ_Lib[[#This Row],[Name]],LEN(SP_ACQ_Lib[[#This Row],[File Name Convention]]))&lt;&gt;SP_ACQ_Lib[[#This Row],[File Name Convention]],ISERROR(SEARCH(SP_ACQ_Lib[[#This Row],[ACQ Document Type]],SP_ACQ_Lib[[#This Row],[Name]]))),1,0)</f>
        <v>0</v>
      </c>
    </row>
    <row r="829" spans="1:25" ht="15" x14ac:dyDescent="0.2">
      <c r="A829" s="157" t="str">
        <f>CONCATENATE(SP_ACQ_Lib[[#This Row],[Acquisition Tract No.]],"_",SP_ACQ_Lib[[#This Row],[ACQ Document Type]])</f>
        <v>T187_TITLE Tax Card</v>
      </c>
      <c r="B829" s="14" t="s">
        <v>5435</v>
      </c>
      <c r="C829" s="263" t="s">
        <v>5303</v>
      </c>
      <c r="D829" s="12" t="s">
        <v>3248</v>
      </c>
      <c r="E829" s="8" t="s">
        <v>861</v>
      </c>
      <c r="F829" s="8" t="s">
        <v>1150</v>
      </c>
      <c r="G829" s="8" t="s">
        <v>1149</v>
      </c>
      <c r="H829" s="7" t="s">
        <v>592</v>
      </c>
      <c r="I829" s="16"/>
      <c r="J829" s="16"/>
      <c r="K829" s="17"/>
      <c r="L829" s="3"/>
      <c r="M829" s="8" t="s">
        <v>4206</v>
      </c>
      <c r="N829" s="11">
        <v>43979.348796296297</v>
      </c>
      <c r="O829" s="8" t="s">
        <v>4206</v>
      </c>
      <c r="P829" s="11">
        <v>43971.42083333333</v>
      </c>
      <c r="Q829" s="13">
        <v>833994</v>
      </c>
      <c r="R829" s="264" t="s">
        <v>594</v>
      </c>
      <c r="S829" s="14" t="s">
        <v>5179</v>
      </c>
      <c r="T829" s="163">
        <v>940</v>
      </c>
      <c r="U829" s="164" t="str">
        <f>CONCATENATE(LEFT(SP_ACQ_Lib[[#This Row],[Tax Parcel ID]],7),"_",SP_ACQ_Lib[[#This Row],[ACQ Document Type]])</f>
        <v>R026948_TITLE Tax Card</v>
      </c>
      <c r="V829" s="65" t="str">
        <f>INDEX(SP_AcqTract_DB[WCAD Tax Parcel ID],MATCH(SP_ACQ_Lib[[#This Row],[Acquisition Tract No.]],SP_AcqTract_DB[Acquisition Tract No.],0))</f>
        <v>R026948;#230</v>
      </c>
      <c r="W829" s="48" t="str">
        <f>INDEX(SP_TaxPar_DB[Acquisition Tract No.],MATCH(LEFT(SP_ACQ_Lib[[#This Row],[Tax Parcel ID]],7),SP_TaxPar_DB[Tax Parcel ID],0))</f>
        <v>T187</v>
      </c>
      <c r="X829" s="238" t="str">
        <f>IF(OR(SP_ACQ_Lib[[#This Row],[Acquisition Tract No.]]="",SP_ACQ_Lib[[#This Row],[ACQ Document Type]]=""),0,CONCATENATE("COW-FRMP_TR-",SP_ACQ_Lib[[#This Row],[Acquisition Tract No.]]," ",SP_ACQ_Lib[[#This Row],[ACQ Document Type]]))</f>
        <v>COW-FRMP_TR-T187 TITLE Tax Card</v>
      </c>
      <c r="Y829" s="239">
        <f>IF(OR(SP_ACQ_Lib[[#This Row],[File Name Convention]]=0,LEFT(SP_ACQ_Lib[[#This Row],[Name]],LEN(SP_ACQ_Lib[[#This Row],[File Name Convention]]))&lt;&gt;SP_ACQ_Lib[[#This Row],[File Name Convention]],ISERROR(SEARCH(SP_ACQ_Lib[[#This Row],[ACQ Document Type]],SP_ACQ_Lib[[#This Row],[Name]]))),1,0)</f>
        <v>0</v>
      </c>
    </row>
    <row r="830" spans="1:25" ht="15" x14ac:dyDescent="0.2">
      <c r="A830" s="157" t="str">
        <f>CONCATENATE(SP_ACQ_Lib[[#This Row],[Acquisition Tract No.]],"_",SP_ACQ_Lib[[#This Row],[ACQ Document Type]])</f>
        <v>T188_CONTACT Negotiator Report</v>
      </c>
      <c r="B830" s="14" t="s">
        <v>5436</v>
      </c>
      <c r="C830" s="263" t="s">
        <v>5305</v>
      </c>
      <c r="D830" s="12" t="s">
        <v>3249</v>
      </c>
      <c r="E830" s="8" t="s">
        <v>865</v>
      </c>
      <c r="F830" s="8" t="s">
        <v>1068</v>
      </c>
      <c r="G830" s="8" t="s">
        <v>1067</v>
      </c>
      <c r="H830" s="7" t="s">
        <v>592</v>
      </c>
      <c r="I830" s="16">
        <v>43873</v>
      </c>
      <c r="J830" s="16"/>
      <c r="K830" s="17"/>
      <c r="L830" s="3"/>
      <c r="M830" s="8" t="s">
        <v>1744</v>
      </c>
      <c r="N830" s="11">
        <v>44011.941319444442</v>
      </c>
      <c r="O830" s="8" t="s">
        <v>4206</v>
      </c>
      <c r="P830" s="11">
        <v>43979.392766203702</v>
      </c>
      <c r="Q830" s="13">
        <v>311123</v>
      </c>
      <c r="R830" s="264" t="s">
        <v>594</v>
      </c>
      <c r="S830" s="14" t="s">
        <v>5507</v>
      </c>
      <c r="T830" s="163">
        <v>1068</v>
      </c>
      <c r="U830" s="164" t="str">
        <f>CONCATENATE(LEFT(SP_ACQ_Lib[[#This Row],[Tax Parcel ID]],7),"_",SP_ACQ_Lib[[#This Row],[ACQ Document Type]])</f>
        <v>R026951_CONTACT Negotiator Report</v>
      </c>
      <c r="V830" s="65" t="str">
        <f>INDEX(SP_AcqTract_DB[WCAD Tax Parcel ID],MATCH(SP_ACQ_Lib[[#This Row],[Acquisition Tract No.]],SP_AcqTract_DB[Acquisition Tract No.],0))</f>
        <v>R026951;#231</v>
      </c>
      <c r="W830" s="48" t="str">
        <f>INDEX(SP_TaxPar_DB[Acquisition Tract No.],MATCH(LEFT(SP_ACQ_Lib[[#This Row],[Tax Parcel ID]],7),SP_TaxPar_DB[Tax Parcel ID],0))</f>
        <v>T188</v>
      </c>
      <c r="X830" s="238" t="str">
        <f>IF(OR(SP_ACQ_Lib[[#This Row],[Acquisition Tract No.]]="",SP_ACQ_Lib[[#This Row],[ACQ Document Type]]=""),0,CONCATENATE("COW-FRMP_TR-",SP_ACQ_Lib[[#This Row],[Acquisition Tract No.]]," ",SP_ACQ_Lib[[#This Row],[ACQ Document Type]]))</f>
        <v>COW-FRMP_TR-T188 CONTACT Negotiator Report</v>
      </c>
      <c r="Y830" s="239">
        <f>IF(OR(SP_ACQ_Lib[[#This Row],[File Name Convention]]=0,LEFT(SP_ACQ_Lib[[#This Row],[Name]],LEN(SP_ACQ_Lib[[#This Row],[File Name Convention]]))&lt;&gt;SP_ACQ_Lib[[#This Row],[File Name Convention]],ISERROR(SEARCH(SP_ACQ_Lib[[#This Row],[ACQ Document Type]],SP_ACQ_Lib[[#This Row],[Name]]))),1,0)</f>
        <v>0</v>
      </c>
    </row>
    <row r="831" spans="1:25" ht="15" x14ac:dyDescent="0.2">
      <c r="A831" s="157" t="str">
        <f>CONCATENATE(SP_ACQ_Lib[[#This Row],[Acquisition Tract No.]],"_",SP_ACQ_Lib[[#This Row],[ACQ Document Type]])</f>
        <v>T188_ENVIRONMENTAL Right-of-Entry Executed</v>
      </c>
      <c r="B831" s="14" t="s">
        <v>5586</v>
      </c>
      <c r="C831" s="263" t="s">
        <v>5305</v>
      </c>
      <c r="D831" s="12" t="s">
        <v>3249</v>
      </c>
      <c r="E831" s="8" t="s">
        <v>2682</v>
      </c>
      <c r="F831" s="8" t="s">
        <v>2683</v>
      </c>
      <c r="G831" s="8" t="s">
        <v>2681</v>
      </c>
      <c r="H831" s="7" t="s">
        <v>592</v>
      </c>
      <c r="I831" s="16">
        <v>43895</v>
      </c>
      <c r="J831" s="16"/>
      <c r="K831" s="17"/>
      <c r="L831" s="3"/>
      <c r="M831" s="8" t="s">
        <v>4206</v>
      </c>
      <c r="N831" s="11">
        <v>43983.570115740738</v>
      </c>
      <c r="O831" s="8" t="s">
        <v>4206</v>
      </c>
      <c r="P831" s="11">
        <v>43979.392777777779</v>
      </c>
      <c r="Q831" s="13">
        <v>2035751</v>
      </c>
      <c r="R831" s="264" t="s">
        <v>594</v>
      </c>
      <c r="S831" s="14" t="s">
        <v>5508</v>
      </c>
      <c r="T831" s="163">
        <v>1069</v>
      </c>
      <c r="U831" s="164" t="str">
        <f>CONCATENATE(LEFT(SP_ACQ_Lib[[#This Row],[Tax Parcel ID]],7),"_",SP_ACQ_Lib[[#This Row],[ACQ Document Type]])</f>
        <v>R026951_ENVIRONMENTAL Right-of-Entry Executed</v>
      </c>
      <c r="V831" s="65" t="str">
        <f>INDEX(SP_AcqTract_DB[WCAD Tax Parcel ID],MATCH(SP_ACQ_Lib[[#This Row],[Acquisition Tract No.]],SP_AcqTract_DB[Acquisition Tract No.],0))</f>
        <v>R026951;#231</v>
      </c>
      <c r="W831" s="48" t="str">
        <f>INDEX(SP_TaxPar_DB[Acquisition Tract No.],MATCH(LEFT(SP_ACQ_Lib[[#This Row],[Tax Parcel ID]],7),SP_TaxPar_DB[Tax Parcel ID],0))</f>
        <v>T188</v>
      </c>
      <c r="X831" s="238" t="str">
        <f>IF(OR(SP_ACQ_Lib[[#This Row],[Acquisition Tract No.]]="",SP_ACQ_Lib[[#This Row],[ACQ Document Type]]=""),0,CONCATENATE("COW-FRMP_TR-",SP_ACQ_Lib[[#This Row],[Acquisition Tract No.]]," ",SP_ACQ_Lib[[#This Row],[ACQ Document Type]]))</f>
        <v>COW-FRMP_TR-T188 ENVIRONMENTAL Right-of-Entry Executed</v>
      </c>
      <c r="Y831" s="239">
        <f>IF(OR(SP_ACQ_Lib[[#This Row],[File Name Convention]]=0,LEFT(SP_ACQ_Lib[[#This Row],[Name]],LEN(SP_ACQ_Lib[[#This Row],[File Name Convention]]))&lt;&gt;SP_ACQ_Lib[[#This Row],[File Name Convention]],ISERROR(SEARCH(SP_ACQ_Lib[[#This Row],[ACQ Document Type]],SP_ACQ_Lib[[#This Row],[Name]]))),1,0)</f>
        <v>0</v>
      </c>
    </row>
    <row r="832" spans="1:25" ht="15" x14ac:dyDescent="0.2">
      <c r="A832" s="157" t="str">
        <f>CONCATENATE(SP_ACQ_Lib[[#This Row],[Acquisition Tract No.]],"_",SP_ACQ_Lib[[#This Row],[ACQ Document Type]])</f>
        <v>T188_ENVIRONMENTAL Right-of-Entry Package</v>
      </c>
      <c r="B832" s="14" t="s">
        <v>5587</v>
      </c>
      <c r="C832" s="263" t="s">
        <v>5305</v>
      </c>
      <c r="D832" s="12" t="s">
        <v>3249</v>
      </c>
      <c r="E832" s="8" t="s">
        <v>2682</v>
      </c>
      <c r="F832" s="8" t="s">
        <v>2687</v>
      </c>
      <c r="G832" s="8" t="s">
        <v>2686</v>
      </c>
      <c r="H832" s="7" t="s">
        <v>592</v>
      </c>
      <c r="I832" s="16">
        <v>43850</v>
      </c>
      <c r="J832" s="16">
        <v>43853</v>
      </c>
      <c r="K832" s="17"/>
      <c r="L832" s="3"/>
      <c r="M832" s="8" t="s">
        <v>4206</v>
      </c>
      <c r="N832" s="11">
        <v>43983.597997685189</v>
      </c>
      <c r="O832" s="8" t="s">
        <v>4206</v>
      </c>
      <c r="P832" s="11">
        <v>43979.392824074072</v>
      </c>
      <c r="Q832" s="13">
        <v>869216</v>
      </c>
      <c r="R832" s="264" t="s">
        <v>594</v>
      </c>
      <c r="S832" s="14" t="s">
        <v>5509</v>
      </c>
      <c r="T832" s="163">
        <v>1070</v>
      </c>
      <c r="U832" s="164" t="str">
        <f>CONCATENATE(LEFT(SP_ACQ_Lib[[#This Row],[Tax Parcel ID]],7),"_",SP_ACQ_Lib[[#This Row],[ACQ Document Type]])</f>
        <v>R026951_ENVIRONMENTAL Right-of-Entry Package</v>
      </c>
      <c r="V832" s="65" t="str">
        <f>INDEX(SP_AcqTract_DB[WCAD Tax Parcel ID],MATCH(SP_ACQ_Lib[[#This Row],[Acquisition Tract No.]],SP_AcqTract_DB[Acquisition Tract No.],0))</f>
        <v>R026951;#231</v>
      </c>
      <c r="W832" s="48" t="str">
        <f>INDEX(SP_TaxPar_DB[Acquisition Tract No.],MATCH(LEFT(SP_ACQ_Lib[[#This Row],[Tax Parcel ID]],7),SP_TaxPar_DB[Tax Parcel ID],0))</f>
        <v>T188</v>
      </c>
      <c r="X832" s="238" t="str">
        <f>IF(OR(SP_ACQ_Lib[[#This Row],[Acquisition Tract No.]]="",SP_ACQ_Lib[[#This Row],[ACQ Document Type]]=""),0,CONCATENATE("COW-FRMP_TR-",SP_ACQ_Lib[[#This Row],[Acquisition Tract No.]]," ",SP_ACQ_Lib[[#This Row],[ACQ Document Type]]))</f>
        <v>COW-FRMP_TR-T188 ENVIRONMENTAL Right-of-Entry Package</v>
      </c>
      <c r="Y832" s="239">
        <f>IF(OR(SP_ACQ_Lib[[#This Row],[File Name Convention]]=0,LEFT(SP_ACQ_Lib[[#This Row],[Name]],LEN(SP_ACQ_Lib[[#This Row],[File Name Convention]]))&lt;&gt;SP_ACQ_Lib[[#This Row],[File Name Convention]],ISERROR(SEARCH(SP_ACQ_Lib[[#This Row],[ACQ Document Type]],SP_ACQ_Lib[[#This Row],[Name]]))),1,0)</f>
        <v>0</v>
      </c>
    </row>
    <row r="833" spans="1:25" ht="15" x14ac:dyDescent="0.2">
      <c r="A833" s="157" t="str">
        <f>CONCATENATE(SP_ACQ_Lib[[#This Row],[Acquisition Tract No.]],"_",SP_ACQ_Lib[[#This Row],[ACQ Document Type]])</f>
        <v>T188_ROE Right-of-Entry Package</v>
      </c>
      <c r="B833" s="14" t="s">
        <v>5761</v>
      </c>
      <c r="C833" s="263" t="s">
        <v>5305</v>
      </c>
      <c r="D833" s="12" t="s">
        <v>3249</v>
      </c>
      <c r="E833" s="8" t="s">
        <v>1146</v>
      </c>
      <c r="F833" s="8" t="s">
        <v>2687</v>
      </c>
      <c r="G833" s="8" t="s">
        <v>5659</v>
      </c>
      <c r="H833" s="7" t="s">
        <v>592</v>
      </c>
      <c r="I833" s="16">
        <v>43985</v>
      </c>
      <c r="J833" s="16"/>
      <c r="K833" s="17"/>
      <c r="L833" s="3"/>
      <c r="M833" s="8" t="s">
        <v>4206</v>
      </c>
      <c r="N833" s="11">
        <v>43986.574004629627</v>
      </c>
      <c r="O833" s="8" t="s">
        <v>4206</v>
      </c>
      <c r="P833" s="11">
        <v>43986.570023148146</v>
      </c>
      <c r="Q833" s="13">
        <v>1149336</v>
      </c>
      <c r="R833" s="264" t="s">
        <v>594</v>
      </c>
      <c r="S833" s="14" t="s">
        <v>5793</v>
      </c>
      <c r="T833" s="163">
        <v>1128</v>
      </c>
      <c r="U833" s="164" t="str">
        <f>CONCATENATE(LEFT(SP_ACQ_Lib[[#This Row],[Tax Parcel ID]],7),"_",SP_ACQ_Lib[[#This Row],[ACQ Document Type]])</f>
        <v>R026951_ROE Right-of-Entry Package</v>
      </c>
      <c r="V833" s="65" t="str">
        <f>INDEX(SP_AcqTract_DB[WCAD Tax Parcel ID],MATCH(SP_ACQ_Lib[[#This Row],[Acquisition Tract No.]],SP_AcqTract_DB[Acquisition Tract No.],0))</f>
        <v>R026951;#231</v>
      </c>
      <c r="W833" s="48" t="str">
        <f>INDEX(SP_TaxPar_DB[Acquisition Tract No.],MATCH(LEFT(SP_ACQ_Lib[[#This Row],[Tax Parcel ID]],7),SP_TaxPar_DB[Tax Parcel ID],0))</f>
        <v>T188</v>
      </c>
      <c r="X833" s="238" t="str">
        <f>IF(OR(SP_ACQ_Lib[[#This Row],[Acquisition Tract No.]]="",SP_ACQ_Lib[[#This Row],[ACQ Document Type]]=""),0,CONCATENATE("COW-FRMP_TR-",SP_ACQ_Lib[[#This Row],[Acquisition Tract No.]]," ",SP_ACQ_Lib[[#This Row],[ACQ Document Type]]))</f>
        <v>COW-FRMP_TR-T188 ROE Right-of-Entry Package</v>
      </c>
      <c r="Y833" s="239">
        <f>IF(OR(SP_ACQ_Lib[[#This Row],[File Name Convention]]=0,LEFT(SP_ACQ_Lib[[#This Row],[Name]],LEN(SP_ACQ_Lib[[#This Row],[File Name Convention]]))&lt;&gt;SP_ACQ_Lib[[#This Row],[File Name Convention]],ISERROR(SEARCH(SP_ACQ_Lib[[#This Row],[ACQ Document Type]],SP_ACQ_Lib[[#This Row],[Name]]))),1,0)</f>
        <v>0</v>
      </c>
    </row>
    <row r="834" spans="1:25" ht="15" x14ac:dyDescent="0.2">
      <c r="A834" s="157" t="str">
        <f>CONCATENATE(SP_ACQ_Lib[[#This Row],[Acquisition Tract No.]],"_",SP_ACQ_Lib[[#This Row],[ACQ Document Type]])</f>
        <v>T188_TITLE Tax Card</v>
      </c>
      <c r="B834" s="14" t="s">
        <v>5437</v>
      </c>
      <c r="C834" s="263" t="s">
        <v>5305</v>
      </c>
      <c r="D834" s="12" t="s">
        <v>3249</v>
      </c>
      <c r="E834" s="8" t="s">
        <v>861</v>
      </c>
      <c r="F834" s="8" t="s">
        <v>1150</v>
      </c>
      <c r="G834" s="8" t="s">
        <v>1149</v>
      </c>
      <c r="H834" s="7" t="s">
        <v>592</v>
      </c>
      <c r="I834" s="16"/>
      <c r="J834" s="16"/>
      <c r="K834" s="17"/>
      <c r="L834" s="3"/>
      <c r="M834" s="8" t="s">
        <v>4206</v>
      </c>
      <c r="N834" s="11">
        <v>43979.41505787037</v>
      </c>
      <c r="O834" s="8" t="s">
        <v>4206</v>
      </c>
      <c r="P834" s="11">
        <v>43979.392847222225</v>
      </c>
      <c r="Q834" s="13">
        <v>755874</v>
      </c>
      <c r="R834" s="264" t="s">
        <v>594</v>
      </c>
      <c r="S834" s="14" t="s">
        <v>5510</v>
      </c>
      <c r="T834" s="163">
        <v>1071</v>
      </c>
      <c r="U834" s="164" t="str">
        <f>CONCATENATE(LEFT(SP_ACQ_Lib[[#This Row],[Tax Parcel ID]],7),"_",SP_ACQ_Lib[[#This Row],[ACQ Document Type]])</f>
        <v>R026951_TITLE Tax Card</v>
      </c>
      <c r="V834" s="65" t="str">
        <f>INDEX(SP_AcqTract_DB[WCAD Tax Parcel ID],MATCH(SP_ACQ_Lib[[#This Row],[Acquisition Tract No.]],SP_AcqTract_DB[Acquisition Tract No.],0))</f>
        <v>R026951;#231</v>
      </c>
      <c r="W834" s="48" t="str">
        <f>INDEX(SP_TaxPar_DB[Acquisition Tract No.],MATCH(LEFT(SP_ACQ_Lib[[#This Row],[Tax Parcel ID]],7),SP_TaxPar_DB[Tax Parcel ID],0))</f>
        <v>T188</v>
      </c>
      <c r="X834" s="238" t="str">
        <f>IF(OR(SP_ACQ_Lib[[#This Row],[Acquisition Tract No.]]="",SP_ACQ_Lib[[#This Row],[ACQ Document Type]]=""),0,CONCATENATE("COW-FRMP_TR-",SP_ACQ_Lib[[#This Row],[Acquisition Tract No.]]," ",SP_ACQ_Lib[[#This Row],[ACQ Document Type]]))</f>
        <v>COW-FRMP_TR-T188 TITLE Tax Card</v>
      </c>
      <c r="Y834" s="239">
        <f>IF(OR(SP_ACQ_Lib[[#This Row],[File Name Convention]]=0,LEFT(SP_ACQ_Lib[[#This Row],[Name]],LEN(SP_ACQ_Lib[[#This Row],[File Name Convention]]))&lt;&gt;SP_ACQ_Lib[[#This Row],[File Name Convention]],ISERROR(SEARCH(SP_ACQ_Lib[[#This Row],[ACQ Document Type]],SP_ACQ_Lib[[#This Row],[Name]]))),1,0)</f>
        <v>0</v>
      </c>
    </row>
    <row r="835" spans="1:25" ht="15" x14ac:dyDescent="0.2">
      <c r="A835" s="157" t="str">
        <f>CONCATENATE(SP_ACQ_Lib[[#This Row],[Acquisition Tract No.]],"_",SP_ACQ_Lib[[#This Row],[ACQ Document Type]])</f>
        <v>T189_CONTACT Negotiator Report</v>
      </c>
      <c r="B835" s="14" t="s">
        <v>5438</v>
      </c>
      <c r="C835" s="263" t="s">
        <v>5307</v>
      </c>
      <c r="D835" s="12" t="s">
        <v>3250</v>
      </c>
      <c r="E835" s="8" t="s">
        <v>865</v>
      </c>
      <c r="F835" s="8" t="s">
        <v>1068</v>
      </c>
      <c r="G835" s="8" t="s">
        <v>1067</v>
      </c>
      <c r="H835" s="7" t="s">
        <v>592</v>
      </c>
      <c r="I835" s="16">
        <v>43873</v>
      </c>
      <c r="J835" s="16"/>
      <c r="K835" s="17"/>
      <c r="L835" s="3"/>
      <c r="M835" s="8" t="s">
        <v>1744</v>
      </c>
      <c r="N835" s="11">
        <v>44000.912893518522</v>
      </c>
      <c r="O835" s="8" t="s">
        <v>4206</v>
      </c>
      <c r="P835" s="11">
        <v>43979.392858796295</v>
      </c>
      <c r="Q835" s="13">
        <v>477234</v>
      </c>
      <c r="R835" s="264" t="s">
        <v>594</v>
      </c>
      <c r="S835" s="14" t="s">
        <v>5511</v>
      </c>
      <c r="T835" s="163">
        <v>1072</v>
      </c>
      <c r="U835" s="164" t="str">
        <f>CONCATENATE(LEFT(SP_ACQ_Lib[[#This Row],[Tax Parcel ID]],7),"_",SP_ACQ_Lib[[#This Row],[ACQ Document Type]])</f>
        <v>R026953_CONTACT Negotiator Report</v>
      </c>
      <c r="V835" s="65" t="str">
        <f>INDEX(SP_AcqTract_DB[WCAD Tax Parcel ID],MATCH(SP_ACQ_Lib[[#This Row],[Acquisition Tract No.]],SP_AcqTract_DB[Acquisition Tract No.],0))</f>
        <v>R026953;#232</v>
      </c>
      <c r="W835" s="48" t="str">
        <f>INDEX(SP_TaxPar_DB[Acquisition Tract No.],MATCH(LEFT(SP_ACQ_Lib[[#This Row],[Tax Parcel ID]],7),SP_TaxPar_DB[Tax Parcel ID],0))</f>
        <v>T189</v>
      </c>
      <c r="X835" s="238" t="str">
        <f>IF(OR(SP_ACQ_Lib[[#This Row],[Acquisition Tract No.]]="",SP_ACQ_Lib[[#This Row],[ACQ Document Type]]=""),0,CONCATENATE("COW-FRMP_TR-",SP_ACQ_Lib[[#This Row],[Acquisition Tract No.]]," ",SP_ACQ_Lib[[#This Row],[ACQ Document Type]]))</f>
        <v>COW-FRMP_TR-T189 CONTACT Negotiator Report</v>
      </c>
      <c r="Y835" s="239">
        <f>IF(OR(SP_ACQ_Lib[[#This Row],[File Name Convention]]=0,LEFT(SP_ACQ_Lib[[#This Row],[Name]],LEN(SP_ACQ_Lib[[#This Row],[File Name Convention]]))&lt;&gt;SP_ACQ_Lib[[#This Row],[File Name Convention]],ISERROR(SEARCH(SP_ACQ_Lib[[#This Row],[ACQ Document Type]],SP_ACQ_Lib[[#This Row],[Name]]))),1,0)</f>
        <v>0</v>
      </c>
    </row>
    <row r="836" spans="1:25" ht="15" x14ac:dyDescent="0.2">
      <c r="A836" s="157" t="str">
        <f>CONCATENATE(SP_ACQ_Lib[[#This Row],[Acquisition Tract No.]],"_",SP_ACQ_Lib[[#This Row],[ACQ Document Type]])</f>
        <v>T189_ENVIRONMENTAL Right-of-Entry Executed</v>
      </c>
      <c r="B836" s="14" t="s">
        <v>5588</v>
      </c>
      <c r="C836" s="263" t="s">
        <v>5307</v>
      </c>
      <c r="D836" s="12" t="s">
        <v>3250</v>
      </c>
      <c r="E836" s="8" t="s">
        <v>2682</v>
      </c>
      <c r="F836" s="8" t="s">
        <v>2683</v>
      </c>
      <c r="G836" s="8" t="s">
        <v>2681</v>
      </c>
      <c r="H836" s="7" t="s">
        <v>592</v>
      </c>
      <c r="I836" s="16">
        <v>43871</v>
      </c>
      <c r="J836" s="16"/>
      <c r="K836" s="17"/>
      <c r="L836" s="3"/>
      <c r="M836" s="8" t="s">
        <v>4206</v>
      </c>
      <c r="N836" s="11">
        <v>43983.570289351854</v>
      </c>
      <c r="O836" s="8" t="s">
        <v>4206</v>
      </c>
      <c r="P836" s="11">
        <v>43979.392881944441</v>
      </c>
      <c r="Q836" s="13">
        <v>1837365</v>
      </c>
      <c r="R836" s="264" t="s">
        <v>594</v>
      </c>
      <c r="S836" s="14" t="s">
        <v>5512</v>
      </c>
      <c r="T836" s="163">
        <v>1073</v>
      </c>
      <c r="U836" s="164" t="str">
        <f>CONCATENATE(LEFT(SP_ACQ_Lib[[#This Row],[Tax Parcel ID]],7),"_",SP_ACQ_Lib[[#This Row],[ACQ Document Type]])</f>
        <v>R026953_ENVIRONMENTAL Right-of-Entry Executed</v>
      </c>
      <c r="V836" s="65" t="str">
        <f>INDEX(SP_AcqTract_DB[WCAD Tax Parcel ID],MATCH(SP_ACQ_Lib[[#This Row],[Acquisition Tract No.]],SP_AcqTract_DB[Acquisition Tract No.],0))</f>
        <v>R026953;#232</v>
      </c>
      <c r="W836" s="48" t="str">
        <f>INDEX(SP_TaxPar_DB[Acquisition Tract No.],MATCH(LEFT(SP_ACQ_Lib[[#This Row],[Tax Parcel ID]],7),SP_TaxPar_DB[Tax Parcel ID],0))</f>
        <v>T189</v>
      </c>
      <c r="X836" s="238" t="str">
        <f>IF(OR(SP_ACQ_Lib[[#This Row],[Acquisition Tract No.]]="",SP_ACQ_Lib[[#This Row],[ACQ Document Type]]=""),0,CONCATENATE("COW-FRMP_TR-",SP_ACQ_Lib[[#This Row],[Acquisition Tract No.]]," ",SP_ACQ_Lib[[#This Row],[ACQ Document Type]]))</f>
        <v>COW-FRMP_TR-T189 ENVIRONMENTAL Right-of-Entry Executed</v>
      </c>
      <c r="Y836" s="239">
        <f>IF(OR(SP_ACQ_Lib[[#This Row],[File Name Convention]]=0,LEFT(SP_ACQ_Lib[[#This Row],[Name]],LEN(SP_ACQ_Lib[[#This Row],[File Name Convention]]))&lt;&gt;SP_ACQ_Lib[[#This Row],[File Name Convention]],ISERROR(SEARCH(SP_ACQ_Lib[[#This Row],[ACQ Document Type]],SP_ACQ_Lib[[#This Row],[Name]]))),1,0)</f>
        <v>0</v>
      </c>
    </row>
    <row r="837" spans="1:25" ht="15" x14ac:dyDescent="0.2">
      <c r="A837" s="157" t="str">
        <f>CONCATENATE(SP_ACQ_Lib[[#This Row],[Acquisition Tract No.]],"_",SP_ACQ_Lib[[#This Row],[ACQ Document Type]])</f>
        <v>T189_ROE Right-of-Entry Executed</v>
      </c>
      <c r="B837" s="14" t="s">
        <v>6345</v>
      </c>
      <c r="C837" s="263" t="s">
        <v>5307</v>
      </c>
      <c r="D837" s="12" t="s">
        <v>3250</v>
      </c>
      <c r="E837" s="8" t="s">
        <v>1146</v>
      </c>
      <c r="F837" s="8" t="s">
        <v>2683</v>
      </c>
      <c r="G837" s="8" t="s">
        <v>5660</v>
      </c>
      <c r="H837" s="7" t="s">
        <v>592</v>
      </c>
      <c r="I837" s="16">
        <v>43994</v>
      </c>
      <c r="J837" s="16">
        <v>44177</v>
      </c>
      <c r="K837" s="17"/>
      <c r="L837" s="3"/>
      <c r="M837" s="8" t="s">
        <v>4206</v>
      </c>
      <c r="N837" s="11">
        <v>44000.642939814818</v>
      </c>
      <c r="O837" s="8" t="s">
        <v>4206</v>
      </c>
      <c r="P837" s="11">
        <v>44000.543240740742</v>
      </c>
      <c r="Q837" s="13">
        <v>1804380</v>
      </c>
      <c r="R837" s="264" t="s">
        <v>594</v>
      </c>
      <c r="S837" s="14" t="s">
        <v>6414</v>
      </c>
      <c r="T837" s="163">
        <v>1231</v>
      </c>
      <c r="U837" s="164" t="str">
        <f>CONCATENATE(LEFT(SP_ACQ_Lib[[#This Row],[Tax Parcel ID]],7),"_",SP_ACQ_Lib[[#This Row],[ACQ Document Type]])</f>
        <v>R026953_ROE Right-of-Entry Executed</v>
      </c>
      <c r="V837" s="65" t="str">
        <f>INDEX(SP_AcqTract_DB[WCAD Tax Parcel ID],MATCH(SP_ACQ_Lib[[#This Row],[Acquisition Tract No.]],SP_AcqTract_DB[Acquisition Tract No.],0))</f>
        <v>R026953;#232</v>
      </c>
      <c r="W837" s="48" t="str">
        <f>INDEX(SP_TaxPar_DB[Acquisition Tract No.],MATCH(LEFT(SP_ACQ_Lib[[#This Row],[Tax Parcel ID]],7),SP_TaxPar_DB[Tax Parcel ID],0))</f>
        <v>T189</v>
      </c>
      <c r="X837" s="238" t="str">
        <f>IF(OR(SP_ACQ_Lib[[#This Row],[Acquisition Tract No.]]="",SP_ACQ_Lib[[#This Row],[ACQ Document Type]]=""),0,CONCATENATE("COW-FRMP_TR-",SP_ACQ_Lib[[#This Row],[Acquisition Tract No.]]," ",SP_ACQ_Lib[[#This Row],[ACQ Document Type]]))</f>
        <v>COW-FRMP_TR-T189 ROE Right-of-Entry Executed</v>
      </c>
      <c r="Y837" s="239">
        <f>IF(OR(SP_ACQ_Lib[[#This Row],[File Name Convention]]=0,LEFT(SP_ACQ_Lib[[#This Row],[Name]],LEN(SP_ACQ_Lib[[#This Row],[File Name Convention]]))&lt;&gt;SP_ACQ_Lib[[#This Row],[File Name Convention]],ISERROR(SEARCH(SP_ACQ_Lib[[#This Row],[ACQ Document Type]],SP_ACQ_Lib[[#This Row],[Name]]))),1,0)</f>
        <v>0</v>
      </c>
    </row>
    <row r="838" spans="1:25" ht="15" x14ac:dyDescent="0.2">
      <c r="A838" s="157" t="str">
        <f>CONCATENATE(SP_ACQ_Lib[[#This Row],[Acquisition Tract No.]],"_",SP_ACQ_Lib[[#This Row],[ACQ Document Type]])</f>
        <v>T189_ROE Right-of-Entry Package</v>
      </c>
      <c r="B838" s="14" t="s">
        <v>5762</v>
      </c>
      <c r="C838" s="263" t="s">
        <v>5307</v>
      </c>
      <c r="D838" s="12" t="s">
        <v>3250</v>
      </c>
      <c r="E838" s="8" t="s">
        <v>1146</v>
      </c>
      <c r="F838" s="8" t="s">
        <v>2687</v>
      </c>
      <c r="G838" s="8" t="s">
        <v>5659</v>
      </c>
      <c r="H838" s="7" t="s">
        <v>592</v>
      </c>
      <c r="I838" s="16">
        <v>43985</v>
      </c>
      <c r="J838" s="16"/>
      <c r="K838" s="17"/>
      <c r="L838" s="3"/>
      <c r="M838" s="8" t="s">
        <v>4206</v>
      </c>
      <c r="N838" s="11">
        <v>43986.574293981481</v>
      </c>
      <c r="O838" s="8" t="s">
        <v>4206</v>
      </c>
      <c r="P838" s="11">
        <v>43986.5700462963</v>
      </c>
      <c r="Q838" s="13">
        <v>1099593</v>
      </c>
      <c r="R838" s="264" t="s">
        <v>594</v>
      </c>
      <c r="S838" s="14" t="s">
        <v>5794</v>
      </c>
      <c r="T838" s="163">
        <v>1129</v>
      </c>
      <c r="U838" s="164" t="str">
        <f>CONCATENATE(LEFT(SP_ACQ_Lib[[#This Row],[Tax Parcel ID]],7),"_",SP_ACQ_Lib[[#This Row],[ACQ Document Type]])</f>
        <v>R026953_ROE Right-of-Entry Package</v>
      </c>
      <c r="V838" s="65" t="str">
        <f>INDEX(SP_AcqTract_DB[WCAD Tax Parcel ID],MATCH(SP_ACQ_Lib[[#This Row],[Acquisition Tract No.]],SP_AcqTract_DB[Acquisition Tract No.],0))</f>
        <v>R026953;#232</v>
      </c>
      <c r="W838" s="48" t="str">
        <f>INDEX(SP_TaxPar_DB[Acquisition Tract No.],MATCH(LEFT(SP_ACQ_Lib[[#This Row],[Tax Parcel ID]],7),SP_TaxPar_DB[Tax Parcel ID],0))</f>
        <v>T189</v>
      </c>
      <c r="X838" s="238" t="str">
        <f>IF(OR(SP_ACQ_Lib[[#This Row],[Acquisition Tract No.]]="",SP_ACQ_Lib[[#This Row],[ACQ Document Type]]=""),0,CONCATENATE("COW-FRMP_TR-",SP_ACQ_Lib[[#This Row],[Acquisition Tract No.]]," ",SP_ACQ_Lib[[#This Row],[ACQ Document Type]]))</f>
        <v>COW-FRMP_TR-T189 ROE Right-of-Entry Package</v>
      </c>
      <c r="Y838" s="239">
        <f>IF(OR(SP_ACQ_Lib[[#This Row],[File Name Convention]]=0,LEFT(SP_ACQ_Lib[[#This Row],[Name]],LEN(SP_ACQ_Lib[[#This Row],[File Name Convention]]))&lt;&gt;SP_ACQ_Lib[[#This Row],[File Name Convention]],ISERROR(SEARCH(SP_ACQ_Lib[[#This Row],[ACQ Document Type]],SP_ACQ_Lib[[#This Row],[Name]]))),1,0)</f>
        <v>0</v>
      </c>
    </row>
    <row r="839" spans="1:25" ht="15" x14ac:dyDescent="0.2">
      <c r="A839" s="157" t="str">
        <f>CONCATENATE(SP_ACQ_Lib[[#This Row],[Acquisition Tract No.]],"_",SP_ACQ_Lib[[#This Row],[ACQ Document Type]])</f>
        <v>T189_TITLE Tax Card</v>
      </c>
      <c r="B839" s="14" t="s">
        <v>5439</v>
      </c>
      <c r="C839" s="263" t="s">
        <v>5307</v>
      </c>
      <c r="D839" s="12" t="s">
        <v>3250</v>
      </c>
      <c r="E839" s="8" t="s">
        <v>861</v>
      </c>
      <c r="F839" s="8" t="s">
        <v>1150</v>
      </c>
      <c r="G839" s="8" t="s">
        <v>1149</v>
      </c>
      <c r="H839" s="7" t="s">
        <v>592</v>
      </c>
      <c r="I839" s="16"/>
      <c r="J839" s="16"/>
      <c r="K839" s="17"/>
      <c r="L839" s="3"/>
      <c r="M839" s="8" t="s">
        <v>4206</v>
      </c>
      <c r="N839" s="11">
        <v>43979.415462962963</v>
      </c>
      <c r="O839" s="8" t="s">
        <v>4206</v>
      </c>
      <c r="P839" s="11">
        <v>43979.392916666664</v>
      </c>
      <c r="Q839" s="13">
        <v>747293</v>
      </c>
      <c r="R839" s="264" t="s">
        <v>594</v>
      </c>
      <c r="S839" s="14" t="s">
        <v>5513</v>
      </c>
      <c r="T839" s="163">
        <v>1074</v>
      </c>
      <c r="U839" s="164" t="str">
        <f>CONCATENATE(LEFT(SP_ACQ_Lib[[#This Row],[Tax Parcel ID]],7),"_",SP_ACQ_Lib[[#This Row],[ACQ Document Type]])</f>
        <v>R026953_TITLE Tax Card</v>
      </c>
      <c r="V839" s="65" t="str">
        <f>INDEX(SP_AcqTract_DB[WCAD Tax Parcel ID],MATCH(SP_ACQ_Lib[[#This Row],[Acquisition Tract No.]],SP_AcqTract_DB[Acquisition Tract No.],0))</f>
        <v>R026953;#232</v>
      </c>
      <c r="W839" s="48" t="str">
        <f>INDEX(SP_TaxPar_DB[Acquisition Tract No.],MATCH(LEFT(SP_ACQ_Lib[[#This Row],[Tax Parcel ID]],7),SP_TaxPar_DB[Tax Parcel ID],0))</f>
        <v>T189</v>
      </c>
      <c r="X839" s="238" t="str">
        <f>IF(OR(SP_ACQ_Lib[[#This Row],[Acquisition Tract No.]]="",SP_ACQ_Lib[[#This Row],[ACQ Document Type]]=""),0,CONCATENATE("COW-FRMP_TR-",SP_ACQ_Lib[[#This Row],[Acquisition Tract No.]]," ",SP_ACQ_Lib[[#This Row],[ACQ Document Type]]))</f>
        <v>COW-FRMP_TR-T189 TITLE Tax Card</v>
      </c>
      <c r="Y839" s="239">
        <f>IF(OR(SP_ACQ_Lib[[#This Row],[File Name Convention]]=0,LEFT(SP_ACQ_Lib[[#This Row],[Name]],LEN(SP_ACQ_Lib[[#This Row],[File Name Convention]]))&lt;&gt;SP_ACQ_Lib[[#This Row],[File Name Convention]],ISERROR(SEARCH(SP_ACQ_Lib[[#This Row],[ACQ Document Type]],SP_ACQ_Lib[[#This Row],[Name]]))),1,0)</f>
        <v>0</v>
      </c>
    </row>
    <row r="840" spans="1:25" ht="15" x14ac:dyDescent="0.2">
      <c r="A840" s="157" t="str">
        <f>CONCATENATE(SP_ACQ_Lib[[#This Row],[Acquisition Tract No.]],"_",SP_ACQ_Lib[[#This Row],[ACQ Document Type]])</f>
        <v>T190_CONTACT Negotiator Report</v>
      </c>
      <c r="B840" s="14" t="s">
        <v>5440</v>
      </c>
      <c r="C840" s="263" t="s">
        <v>5309</v>
      </c>
      <c r="D840" s="12" t="s">
        <v>3251</v>
      </c>
      <c r="E840" s="8" t="s">
        <v>865</v>
      </c>
      <c r="F840" s="8" t="s">
        <v>1068</v>
      </c>
      <c r="G840" s="8" t="s">
        <v>1067</v>
      </c>
      <c r="H840" s="7" t="s">
        <v>592</v>
      </c>
      <c r="I840" s="16">
        <v>43873</v>
      </c>
      <c r="J840" s="16"/>
      <c r="K840" s="17"/>
      <c r="L840" s="3"/>
      <c r="M840" s="8" t="s">
        <v>6483</v>
      </c>
      <c r="N840" s="11">
        <v>44018.394803240742</v>
      </c>
      <c r="O840" s="8" t="s">
        <v>4206</v>
      </c>
      <c r="P840" s="11">
        <v>43979.392939814818</v>
      </c>
      <c r="Q840" s="13">
        <v>67041</v>
      </c>
      <c r="R840" s="264" t="s">
        <v>594</v>
      </c>
      <c r="S840" s="14" t="s">
        <v>5514</v>
      </c>
      <c r="T840" s="163">
        <v>1075</v>
      </c>
      <c r="U840" s="164" t="str">
        <f>CONCATENATE(LEFT(SP_ACQ_Lib[[#This Row],[Tax Parcel ID]],7),"_",SP_ACQ_Lib[[#This Row],[ACQ Document Type]])</f>
        <v>R026954_CONTACT Negotiator Report</v>
      </c>
      <c r="V840" s="65" t="str">
        <f>INDEX(SP_AcqTract_DB[WCAD Tax Parcel ID],MATCH(SP_ACQ_Lib[[#This Row],[Acquisition Tract No.]],SP_AcqTract_DB[Acquisition Tract No.],0))</f>
        <v>R026954;#233</v>
      </c>
      <c r="W840" s="48" t="str">
        <f>INDEX(SP_TaxPar_DB[Acquisition Tract No.],MATCH(LEFT(SP_ACQ_Lib[[#This Row],[Tax Parcel ID]],7),SP_TaxPar_DB[Tax Parcel ID],0))</f>
        <v>T190</v>
      </c>
      <c r="X840" s="238" t="str">
        <f>IF(OR(SP_ACQ_Lib[[#This Row],[Acquisition Tract No.]]="",SP_ACQ_Lib[[#This Row],[ACQ Document Type]]=""),0,CONCATENATE("COW-FRMP_TR-",SP_ACQ_Lib[[#This Row],[Acquisition Tract No.]]," ",SP_ACQ_Lib[[#This Row],[ACQ Document Type]]))</f>
        <v>COW-FRMP_TR-T190 CONTACT Negotiator Report</v>
      </c>
      <c r="Y840" s="239">
        <f>IF(OR(SP_ACQ_Lib[[#This Row],[File Name Convention]]=0,LEFT(SP_ACQ_Lib[[#This Row],[Name]],LEN(SP_ACQ_Lib[[#This Row],[File Name Convention]]))&lt;&gt;SP_ACQ_Lib[[#This Row],[File Name Convention]],ISERROR(SEARCH(SP_ACQ_Lib[[#This Row],[ACQ Document Type]],SP_ACQ_Lib[[#This Row],[Name]]))),1,0)</f>
        <v>0</v>
      </c>
    </row>
    <row r="841" spans="1:25" ht="15" x14ac:dyDescent="0.2">
      <c r="A841" s="157" t="str">
        <f>CONCATENATE(SP_ACQ_Lib[[#This Row],[Acquisition Tract No.]],"_",SP_ACQ_Lib[[#This Row],[ACQ Document Type]])</f>
        <v>T190_ENVIRONMENTAL Right-of-Entry Package</v>
      </c>
      <c r="B841" s="14" t="s">
        <v>5589</v>
      </c>
      <c r="C841" s="263" t="s">
        <v>5309</v>
      </c>
      <c r="D841" s="12" t="s">
        <v>3251</v>
      </c>
      <c r="E841" s="8" t="s">
        <v>2682</v>
      </c>
      <c r="F841" s="8" t="s">
        <v>2687</v>
      </c>
      <c r="G841" s="8" t="s">
        <v>2686</v>
      </c>
      <c r="H841" s="7" t="s">
        <v>592</v>
      </c>
      <c r="I841" s="16">
        <v>43850</v>
      </c>
      <c r="J841" s="16">
        <v>43853</v>
      </c>
      <c r="K841" s="17"/>
      <c r="L841" s="3"/>
      <c r="M841" s="8" t="s">
        <v>4206</v>
      </c>
      <c r="N841" s="11">
        <v>43983.597997685189</v>
      </c>
      <c r="O841" s="8" t="s">
        <v>4206</v>
      </c>
      <c r="P841" s="11">
        <v>43979.391701388886</v>
      </c>
      <c r="Q841" s="13">
        <v>876026</v>
      </c>
      <c r="R841" s="264" t="s">
        <v>594</v>
      </c>
      <c r="S841" s="14" t="s">
        <v>5515</v>
      </c>
      <c r="T841" s="163">
        <v>1023</v>
      </c>
      <c r="U841" s="164" t="str">
        <f>CONCATENATE(LEFT(SP_ACQ_Lib[[#This Row],[Tax Parcel ID]],7),"_",SP_ACQ_Lib[[#This Row],[ACQ Document Type]])</f>
        <v>R026954_ENVIRONMENTAL Right-of-Entry Package</v>
      </c>
      <c r="V841" s="65" t="str">
        <f>INDEX(SP_AcqTract_DB[WCAD Tax Parcel ID],MATCH(SP_ACQ_Lib[[#This Row],[Acquisition Tract No.]],SP_AcqTract_DB[Acquisition Tract No.],0))</f>
        <v>R026954;#233</v>
      </c>
      <c r="W841" s="48" t="str">
        <f>INDEX(SP_TaxPar_DB[Acquisition Tract No.],MATCH(LEFT(SP_ACQ_Lib[[#This Row],[Tax Parcel ID]],7),SP_TaxPar_DB[Tax Parcel ID],0))</f>
        <v>T190</v>
      </c>
      <c r="X841" s="238" t="str">
        <f>IF(OR(SP_ACQ_Lib[[#This Row],[Acquisition Tract No.]]="",SP_ACQ_Lib[[#This Row],[ACQ Document Type]]=""),0,CONCATENATE("COW-FRMP_TR-",SP_ACQ_Lib[[#This Row],[Acquisition Tract No.]]," ",SP_ACQ_Lib[[#This Row],[ACQ Document Type]]))</f>
        <v>COW-FRMP_TR-T190 ENVIRONMENTAL Right-of-Entry Package</v>
      </c>
      <c r="Y841" s="239">
        <f>IF(OR(SP_ACQ_Lib[[#This Row],[File Name Convention]]=0,LEFT(SP_ACQ_Lib[[#This Row],[Name]],LEN(SP_ACQ_Lib[[#This Row],[File Name Convention]]))&lt;&gt;SP_ACQ_Lib[[#This Row],[File Name Convention]],ISERROR(SEARCH(SP_ACQ_Lib[[#This Row],[ACQ Document Type]],SP_ACQ_Lib[[#This Row],[Name]]))),1,0)</f>
        <v>0</v>
      </c>
    </row>
    <row r="842" spans="1:25" ht="15" x14ac:dyDescent="0.2">
      <c r="A842" s="157" t="str">
        <f>CONCATENATE(SP_ACQ_Lib[[#This Row],[Acquisition Tract No.]],"_",SP_ACQ_Lib[[#This Row],[ACQ Document Type]])</f>
        <v>T190_ROE Right-of-Entry Executed</v>
      </c>
      <c r="B842" s="14" t="s">
        <v>6689</v>
      </c>
      <c r="C842" s="263" t="s">
        <v>5309</v>
      </c>
      <c r="D842" s="12" t="s">
        <v>3251</v>
      </c>
      <c r="E842" s="8" t="s">
        <v>1146</v>
      </c>
      <c r="F842" s="8" t="s">
        <v>2683</v>
      </c>
      <c r="G842" s="8" t="s">
        <v>5660</v>
      </c>
      <c r="H842" s="7" t="s">
        <v>592</v>
      </c>
      <c r="I842" s="16">
        <v>44017</v>
      </c>
      <c r="J842" s="16"/>
      <c r="K842" s="17"/>
      <c r="L842" s="3"/>
      <c r="M842" s="8" t="s">
        <v>4206</v>
      </c>
      <c r="N842" s="11">
        <v>44021.633252314816</v>
      </c>
      <c r="O842" s="8" t="s">
        <v>4206</v>
      </c>
      <c r="P842" s="11">
        <v>44021.632824074077</v>
      </c>
      <c r="Q842" s="13">
        <v>1925286</v>
      </c>
      <c r="R842" s="264" t="s">
        <v>594</v>
      </c>
      <c r="S842" s="14" t="s">
        <v>6699</v>
      </c>
      <c r="T842" s="163">
        <v>1368</v>
      </c>
      <c r="U842" s="164" t="str">
        <f>CONCATENATE(LEFT(SP_ACQ_Lib[[#This Row],[Tax Parcel ID]],7),"_",SP_ACQ_Lib[[#This Row],[ACQ Document Type]])</f>
        <v>R026954_ROE Right-of-Entry Executed</v>
      </c>
      <c r="V842" s="65" t="str">
        <f>INDEX(SP_AcqTract_DB[WCAD Tax Parcel ID],MATCH(SP_ACQ_Lib[[#This Row],[Acquisition Tract No.]],SP_AcqTract_DB[Acquisition Tract No.],0))</f>
        <v>R026954;#233</v>
      </c>
      <c r="W842" s="48" t="str">
        <f>INDEX(SP_TaxPar_DB[Acquisition Tract No.],MATCH(LEFT(SP_ACQ_Lib[[#This Row],[Tax Parcel ID]],7),SP_TaxPar_DB[Tax Parcel ID],0))</f>
        <v>T190</v>
      </c>
      <c r="X842" s="238" t="str">
        <f>IF(OR(SP_ACQ_Lib[[#This Row],[Acquisition Tract No.]]="",SP_ACQ_Lib[[#This Row],[ACQ Document Type]]=""),0,CONCATENATE("COW-FRMP_TR-",SP_ACQ_Lib[[#This Row],[Acquisition Tract No.]]," ",SP_ACQ_Lib[[#This Row],[ACQ Document Type]]))</f>
        <v>COW-FRMP_TR-T190 ROE Right-of-Entry Executed</v>
      </c>
      <c r="Y842" s="239">
        <f>IF(OR(SP_ACQ_Lib[[#This Row],[File Name Convention]]=0,LEFT(SP_ACQ_Lib[[#This Row],[Name]],LEN(SP_ACQ_Lib[[#This Row],[File Name Convention]]))&lt;&gt;SP_ACQ_Lib[[#This Row],[File Name Convention]],ISERROR(SEARCH(SP_ACQ_Lib[[#This Row],[ACQ Document Type]],SP_ACQ_Lib[[#This Row],[Name]]))),1,0)</f>
        <v>0</v>
      </c>
    </row>
    <row r="843" spans="1:25" ht="15" x14ac:dyDescent="0.2">
      <c r="A843" s="157" t="str">
        <f>CONCATENATE(SP_ACQ_Lib[[#This Row],[Acquisition Tract No.]],"_",SP_ACQ_Lib[[#This Row],[ACQ Document Type]])</f>
        <v>T190_ROE Right-of-Entry Package</v>
      </c>
      <c r="B843" s="14" t="s">
        <v>5763</v>
      </c>
      <c r="C843" s="263" t="s">
        <v>5309</v>
      </c>
      <c r="D843" s="12" t="s">
        <v>3251</v>
      </c>
      <c r="E843" s="8" t="s">
        <v>1146</v>
      </c>
      <c r="F843" s="8" t="s">
        <v>2687</v>
      </c>
      <c r="G843" s="8" t="s">
        <v>5659</v>
      </c>
      <c r="H843" s="7" t="s">
        <v>592</v>
      </c>
      <c r="I843" s="16">
        <v>43985</v>
      </c>
      <c r="J843" s="16"/>
      <c r="K843" s="17"/>
      <c r="L843" s="3"/>
      <c r="M843" s="8" t="s">
        <v>4206</v>
      </c>
      <c r="N843" s="11">
        <v>43986.574618055558</v>
      </c>
      <c r="O843" s="8" t="s">
        <v>4206</v>
      </c>
      <c r="P843" s="11">
        <v>43986.570069444446</v>
      </c>
      <c r="Q843" s="13">
        <v>1117031</v>
      </c>
      <c r="R843" s="264" t="s">
        <v>594</v>
      </c>
      <c r="S843" s="14" t="s">
        <v>5795</v>
      </c>
      <c r="T843" s="163">
        <v>1130</v>
      </c>
      <c r="U843" s="164" t="str">
        <f>CONCATENATE(LEFT(SP_ACQ_Lib[[#This Row],[Tax Parcel ID]],7),"_",SP_ACQ_Lib[[#This Row],[ACQ Document Type]])</f>
        <v>R026954_ROE Right-of-Entry Package</v>
      </c>
      <c r="V843" s="65" t="str">
        <f>INDEX(SP_AcqTract_DB[WCAD Tax Parcel ID],MATCH(SP_ACQ_Lib[[#This Row],[Acquisition Tract No.]],SP_AcqTract_DB[Acquisition Tract No.],0))</f>
        <v>R026954;#233</v>
      </c>
      <c r="W843" s="48" t="str">
        <f>INDEX(SP_TaxPar_DB[Acquisition Tract No.],MATCH(LEFT(SP_ACQ_Lib[[#This Row],[Tax Parcel ID]],7),SP_TaxPar_DB[Tax Parcel ID],0))</f>
        <v>T190</v>
      </c>
      <c r="X843" s="238" t="str">
        <f>IF(OR(SP_ACQ_Lib[[#This Row],[Acquisition Tract No.]]="",SP_ACQ_Lib[[#This Row],[ACQ Document Type]]=""),0,CONCATENATE("COW-FRMP_TR-",SP_ACQ_Lib[[#This Row],[Acquisition Tract No.]]," ",SP_ACQ_Lib[[#This Row],[ACQ Document Type]]))</f>
        <v>COW-FRMP_TR-T190 ROE Right-of-Entry Package</v>
      </c>
      <c r="Y843" s="239">
        <f>IF(OR(SP_ACQ_Lib[[#This Row],[File Name Convention]]=0,LEFT(SP_ACQ_Lib[[#This Row],[Name]],LEN(SP_ACQ_Lib[[#This Row],[File Name Convention]]))&lt;&gt;SP_ACQ_Lib[[#This Row],[File Name Convention]],ISERROR(SEARCH(SP_ACQ_Lib[[#This Row],[ACQ Document Type]],SP_ACQ_Lib[[#This Row],[Name]]))),1,0)</f>
        <v>0</v>
      </c>
    </row>
    <row r="844" spans="1:25" ht="15" x14ac:dyDescent="0.2">
      <c r="A844" s="157" t="str">
        <f>CONCATENATE(SP_ACQ_Lib[[#This Row],[Acquisition Tract No.]],"_",SP_ACQ_Lib[[#This Row],[ACQ Document Type]])</f>
        <v>T190_TITLE Tax Card</v>
      </c>
      <c r="B844" s="14" t="s">
        <v>5441</v>
      </c>
      <c r="C844" s="263" t="s">
        <v>5309</v>
      </c>
      <c r="D844" s="12" t="s">
        <v>3251</v>
      </c>
      <c r="E844" s="8" t="s">
        <v>861</v>
      </c>
      <c r="F844" s="8" t="s">
        <v>1150</v>
      </c>
      <c r="G844" s="8" t="s">
        <v>1149</v>
      </c>
      <c r="H844" s="7" t="s">
        <v>592</v>
      </c>
      <c r="I844" s="16"/>
      <c r="J844" s="16"/>
      <c r="K844" s="17"/>
      <c r="L844" s="3"/>
      <c r="M844" s="8" t="s">
        <v>4206</v>
      </c>
      <c r="N844" s="11">
        <v>43979.41578703704</v>
      </c>
      <c r="O844" s="8" t="s">
        <v>4206</v>
      </c>
      <c r="P844" s="11">
        <v>43979.391736111109</v>
      </c>
      <c r="Q844" s="13">
        <v>763596</v>
      </c>
      <c r="R844" s="264" t="s">
        <v>594</v>
      </c>
      <c r="S844" s="14" t="s">
        <v>5516</v>
      </c>
      <c r="T844" s="163">
        <v>1024</v>
      </c>
      <c r="U844" s="164" t="str">
        <f>CONCATENATE(LEFT(SP_ACQ_Lib[[#This Row],[Tax Parcel ID]],7),"_",SP_ACQ_Lib[[#This Row],[ACQ Document Type]])</f>
        <v>R026954_TITLE Tax Card</v>
      </c>
      <c r="V844" s="65" t="str">
        <f>INDEX(SP_AcqTract_DB[WCAD Tax Parcel ID],MATCH(SP_ACQ_Lib[[#This Row],[Acquisition Tract No.]],SP_AcqTract_DB[Acquisition Tract No.],0))</f>
        <v>R026954;#233</v>
      </c>
      <c r="W844" s="48" t="str">
        <f>INDEX(SP_TaxPar_DB[Acquisition Tract No.],MATCH(LEFT(SP_ACQ_Lib[[#This Row],[Tax Parcel ID]],7),SP_TaxPar_DB[Tax Parcel ID],0))</f>
        <v>T190</v>
      </c>
      <c r="X844" s="238" t="str">
        <f>IF(OR(SP_ACQ_Lib[[#This Row],[Acquisition Tract No.]]="",SP_ACQ_Lib[[#This Row],[ACQ Document Type]]=""),0,CONCATENATE("COW-FRMP_TR-",SP_ACQ_Lib[[#This Row],[Acquisition Tract No.]]," ",SP_ACQ_Lib[[#This Row],[ACQ Document Type]]))</f>
        <v>COW-FRMP_TR-T190 TITLE Tax Card</v>
      </c>
      <c r="Y844" s="239">
        <f>IF(OR(SP_ACQ_Lib[[#This Row],[File Name Convention]]=0,LEFT(SP_ACQ_Lib[[#This Row],[Name]],LEN(SP_ACQ_Lib[[#This Row],[File Name Convention]]))&lt;&gt;SP_ACQ_Lib[[#This Row],[File Name Convention]],ISERROR(SEARCH(SP_ACQ_Lib[[#This Row],[ACQ Document Type]],SP_ACQ_Lib[[#This Row],[Name]]))),1,0)</f>
        <v>0</v>
      </c>
    </row>
    <row r="845" spans="1:25" ht="15" x14ac:dyDescent="0.2">
      <c r="A845" s="157" t="str">
        <f>CONCATENATE(SP_ACQ_Lib[[#This Row],[Acquisition Tract No.]],"_",SP_ACQ_Lib[[#This Row],[ACQ Document Type]])</f>
        <v>T191_CONTACT Negotiator Report</v>
      </c>
      <c r="B845" s="14" t="s">
        <v>5442</v>
      </c>
      <c r="C845" s="263" t="s">
        <v>5311</v>
      </c>
      <c r="D845" s="12" t="s">
        <v>3252</v>
      </c>
      <c r="E845" s="8" t="s">
        <v>865</v>
      </c>
      <c r="F845" s="8" t="s">
        <v>1068</v>
      </c>
      <c r="G845" s="8" t="s">
        <v>1067</v>
      </c>
      <c r="H845" s="7" t="s">
        <v>592</v>
      </c>
      <c r="I845" s="16">
        <v>43873</v>
      </c>
      <c r="J845" s="16"/>
      <c r="K845" s="17"/>
      <c r="L845" s="3"/>
      <c r="M845" s="8" t="s">
        <v>1744</v>
      </c>
      <c r="N845" s="11">
        <v>44000.909641203703</v>
      </c>
      <c r="O845" s="8" t="s">
        <v>4206</v>
      </c>
      <c r="P845" s="11">
        <v>43979.391759259262</v>
      </c>
      <c r="Q845" s="13">
        <v>466559</v>
      </c>
      <c r="R845" s="264" t="s">
        <v>594</v>
      </c>
      <c r="S845" s="14" t="s">
        <v>5517</v>
      </c>
      <c r="T845" s="163">
        <v>1025</v>
      </c>
      <c r="U845" s="164" t="str">
        <f>CONCATENATE(LEFT(SP_ACQ_Lib[[#This Row],[Tax Parcel ID]],7),"_",SP_ACQ_Lib[[#This Row],[ACQ Document Type]])</f>
        <v>R026956_CONTACT Negotiator Report</v>
      </c>
      <c r="V845" s="65" t="str">
        <f>INDEX(SP_AcqTract_DB[WCAD Tax Parcel ID],MATCH(SP_ACQ_Lib[[#This Row],[Acquisition Tract No.]],SP_AcqTract_DB[Acquisition Tract No.],0))</f>
        <v>R026956;#234</v>
      </c>
      <c r="W845" s="48" t="str">
        <f>INDEX(SP_TaxPar_DB[Acquisition Tract No.],MATCH(LEFT(SP_ACQ_Lib[[#This Row],[Tax Parcel ID]],7),SP_TaxPar_DB[Tax Parcel ID],0))</f>
        <v>T191</v>
      </c>
      <c r="X845" s="238" t="str">
        <f>IF(OR(SP_ACQ_Lib[[#This Row],[Acquisition Tract No.]]="",SP_ACQ_Lib[[#This Row],[ACQ Document Type]]=""),0,CONCATENATE("COW-FRMP_TR-",SP_ACQ_Lib[[#This Row],[Acquisition Tract No.]]," ",SP_ACQ_Lib[[#This Row],[ACQ Document Type]]))</f>
        <v>COW-FRMP_TR-T191 CONTACT Negotiator Report</v>
      </c>
      <c r="Y845" s="239">
        <f>IF(OR(SP_ACQ_Lib[[#This Row],[File Name Convention]]=0,LEFT(SP_ACQ_Lib[[#This Row],[Name]],LEN(SP_ACQ_Lib[[#This Row],[File Name Convention]]))&lt;&gt;SP_ACQ_Lib[[#This Row],[File Name Convention]],ISERROR(SEARCH(SP_ACQ_Lib[[#This Row],[ACQ Document Type]],SP_ACQ_Lib[[#This Row],[Name]]))),1,0)</f>
        <v>0</v>
      </c>
    </row>
    <row r="846" spans="1:25" ht="15" x14ac:dyDescent="0.2">
      <c r="A846" s="157" t="str">
        <f>CONCATENATE(SP_ACQ_Lib[[#This Row],[Acquisition Tract No.]],"_",SP_ACQ_Lib[[#This Row],[ACQ Document Type]])</f>
        <v>T191_ENVIRONMENTAL Right-of-Entry Executed</v>
      </c>
      <c r="B846" s="14" t="s">
        <v>5590</v>
      </c>
      <c r="C846" s="263" t="s">
        <v>5311</v>
      </c>
      <c r="D846" s="12" t="s">
        <v>3252</v>
      </c>
      <c r="E846" s="8" t="s">
        <v>2682</v>
      </c>
      <c r="F846" s="8" t="s">
        <v>2683</v>
      </c>
      <c r="G846" s="8" t="s">
        <v>2681</v>
      </c>
      <c r="H846" s="7" t="s">
        <v>592</v>
      </c>
      <c r="I846" s="16">
        <v>43871</v>
      </c>
      <c r="J846" s="16"/>
      <c r="K846" s="17"/>
      <c r="L846" s="3"/>
      <c r="M846" s="8" t="s">
        <v>4206</v>
      </c>
      <c r="N846" s="11">
        <v>43983.570497685185</v>
      </c>
      <c r="O846" s="8" t="s">
        <v>4206</v>
      </c>
      <c r="P846" s="11">
        <v>43979.391770833332</v>
      </c>
      <c r="Q846" s="13">
        <v>2084132</v>
      </c>
      <c r="R846" s="264" t="s">
        <v>594</v>
      </c>
      <c r="S846" s="14" t="s">
        <v>5518</v>
      </c>
      <c r="T846" s="163">
        <v>1026</v>
      </c>
      <c r="U846" s="164" t="str">
        <f>CONCATENATE(LEFT(SP_ACQ_Lib[[#This Row],[Tax Parcel ID]],7),"_",SP_ACQ_Lib[[#This Row],[ACQ Document Type]])</f>
        <v>R026956_ENVIRONMENTAL Right-of-Entry Executed</v>
      </c>
      <c r="V846" s="65" t="str">
        <f>INDEX(SP_AcqTract_DB[WCAD Tax Parcel ID],MATCH(SP_ACQ_Lib[[#This Row],[Acquisition Tract No.]],SP_AcqTract_DB[Acquisition Tract No.],0))</f>
        <v>R026956;#234</v>
      </c>
      <c r="W846" s="48" t="str">
        <f>INDEX(SP_TaxPar_DB[Acquisition Tract No.],MATCH(LEFT(SP_ACQ_Lib[[#This Row],[Tax Parcel ID]],7),SP_TaxPar_DB[Tax Parcel ID],0))</f>
        <v>T191</v>
      </c>
      <c r="X846" s="238" t="str">
        <f>IF(OR(SP_ACQ_Lib[[#This Row],[Acquisition Tract No.]]="",SP_ACQ_Lib[[#This Row],[ACQ Document Type]]=""),0,CONCATENATE("COW-FRMP_TR-",SP_ACQ_Lib[[#This Row],[Acquisition Tract No.]]," ",SP_ACQ_Lib[[#This Row],[ACQ Document Type]]))</f>
        <v>COW-FRMP_TR-T191 ENVIRONMENTAL Right-of-Entry Executed</v>
      </c>
      <c r="Y846" s="239">
        <f>IF(OR(SP_ACQ_Lib[[#This Row],[File Name Convention]]=0,LEFT(SP_ACQ_Lib[[#This Row],[Name]],LEN(SP_ACQ_Lib[[#This Row],[File Name Convention]]))&lt;&gt;SP_ACQ_Lib[[#This Row],[File Name Convention]],ISERROR(SEARCH(SP_ACQ_Lib[[#This Row],[ACQ Document Type]],SP_ACQ_Lib[[#This Row],[Name]]))),1,0)</f>
        <v>0</v>
      </c>
    </row>
    <row r="847" spans="1:25" ht="15" x14ac:dyDescent="0.2">
      <c r="A847" s="157" t="str">
        <f>CONCATENATE(SP_ACQ_Lib[[#This Row],[Acquisition Tract No.]],"_",SP_ACQ_Lib[[#This Row],[ACQ Document Type]])</f>
        <v>T191_ROE Right-of-Entry Executed</v>
      </c>
      <c r="B847" s="14" t="s">
        <v>6346</v>
      </c>
      <c r="C847" s="263" t="s">
        <v>5311</v>
      </c>
      <c r="D847" s="12" t="s">
        <v>3252</v>
      </c>
      <c r="E847" s="8" t="s">
        <v>1146</v>
      </c>
      <c r="F847" s="8" t="s">
        <v>2683</v>
      </c>
      <c r="G847" s="8" t="s">
        <v>5660</v>
      </c>
      <c r="H847" s="7" t="s">
        <v>592</v>
      </c>
      <c r="I847" s="16">
        <v>43994</v>
      </c>
      <c r="J847" s="16">
        <v>44177</v>
      </c>
      <c r="K847" s="17"/>
      <c r="L847" s="3"/>
      <c r="M847" s="8" t="s">
        <v>4206</v>
      </c>
      <c r="N847" s="11">
        <v>44000.548726851855</v>
      </c>
      <c r="O847" s="8" t="s">
        <v>4206</v>
      </c>
      <c r="P847" s="11">
        <v>44000.543252314812</v>
      </c>
      <c r="Q847" s="13">
        <v>2064426</v>
      </c>
      <c r="R847" s="264" t="s">
        <v>594</v>
      </c>
      <c r="S847" s="14" t="s">
        <v>6415</v>
      </c>
      <c r="T847" s="163">
        <v>1232</v>
      </c>
      <c r="U847" s="164" t="str">
        <f>CONCATENATE(LEFT(SP_ACQ_Lib[[#This Row],[Tax Parcel ID]],7),"_",SP_ACQ_Lib[[#This Row],[ACQ Document Type]])</f>
        <v>R026956_ROE Right-of-Entry Executed</v>
      </c>
      <c r="V847" s="65" t="str">
        <f>INDEX(SP_AcqTract_DB[WCAD Tax Parcel ID],MATCH(SP_ACQ_Lib[[#This Row],[Acquisition Tract No.]],SP_AcqTract_DB[Acquisition Tract No.],0))</f>
        <v>R026956;#234</v>
      </c>
      <c r="W847" s="48" t="str">
        <f>INDEX(SP_TaxPar_DB[Acquisition Tract No.],MATCH(LEFT(SP_ACQ_Lib[[#This Row],[Tax Parcel ID]],7),SP_TaxPar_DB[Tax Parcel ID],0))</f>
        <v>T191</v>
      </c>
      <c r="X847" s="238" t="str">
        <f>IF(OR(SP_ACQ_Lib[[#This Row],[Acquisition Tract No.]]="",SP_ACQ_Lib[[#This Row],[ACQ Document Type]]=""),0,CONCATENATE("COW-FRMP_TR-",SP_ACQ_Lib[[#This Row],[Acquisition Tract No.]]," ",SP_ACQ_Lib[[#This Row],[ACQ Document Type]]))</f>
        <v>COW-FRMP_TR-T191 ROE Right-of-Entry Executed</v>
      </c>
      <c r="Y847" s="239">
        <f>IF(OR(SP_ACQ_Lib[[#This Row],[File Name Convention]]=0,LEFT(SP_ACQ_Lib[[#This Row],[Name]],LEN(SP_ACQ_Lib[[#This Row],[File Name Convention]]))&lt;&gt;SP_ACQ_Lib[[#This Row],[File Name Convention]],ISERROR(SEARCH(SP_ACQ_Lib[[#This Row],[ACQ Document Type]],SP_ACQ_Lib[[#This Row],[Name]]))),1,0)</f>
        <v>0</v>
      </c>
    </row>
    <row r="848" spans="1:25" ht="15" x14ac:dyDescent="0.2">
      <c r="A848" s="157" t="str">
        <f>CONCATENATE(SP_ACQ_Lib[[#This Row],[Acquisition Tract No.]],"_",SP_ACQ_Lib[[#This Row],[ACQ Document Type]])</f>
        <v>T191_ROE Right-of-Entry Package</v>
      </c>
      <c r="B848" s="14" t="s">
        <v>5764</v>
      </c>
      <c r="C848" s="263" t="s">
        <v>5311</v>
      </c>
      <c r="D848" s="12" t="s">
        <v>3252</v>
      </c>
      <c r="E848" s="8" t="s">
        <v>1146</v>
      </c>
      <c r="F848" s="8" t="s">
        <v>2687</v>
      </c>
      <c r="G848" s="8" t="s">
        <v>5659</v>
      </c>
      <c r="H848" s="7" t="s">
        <v>592</v>
      </c>
      <c r="I848" s="16">
        <v>43985</v>
      </c>
      <c r="J848" s="16"/>
      <c r="K848" s="17"/>
      <c r="L848" s="3"/>
      <c r="M848" s="8" t="s">
        <v>4206</v>
      </c>
      <c r="N848" s="11">
        <v>43986.574861111112</v>
      </c>
      <c r="O848" s="8" t="s">
        <v>4206</v>
      </c>
      <c r="P848" s="11">
        <v>43986.570104166669</v>
      </c>
      <c r="Q848" s="13">
        <v>1098645</v>
      </c>
      <c r="R848" s="264" t="s">
        <v>594</v>
      </c>
      <c r="S848" s="14" t="s">
        <v>5796</v>
      </c>
      <c r="T848" s="163">
        <v>1131</v>
      </c>
      <c r="U848" s="164" t="str">
        <f>CONCATENATE(LEFT(SP_ACQ_Lib[[#This Row],[Tax Parcel ID]],7),"_",SP_ACQ_Lib[[#This Row],[ACQ Document Type]])</f>
        <v>R026956_ROE Right-of-Entry Package</v>
      </c>
      <c r="V848" s="65" t="str">
        <f>INDEX(SP_AcqTract_DB[WCAD Tax Parcel ID],MATCH(SP_ACQ_Lib[[#This Row],[Acquisition Tract No.]],SP_AcqTract_DB[Acquisition Tract No.],0))</f>
        <v>R026956;#234</v>
      </c>
      <c r="W848" s="48" t="str">
        <f>INDEX(SP_TaxPar_DB[Acquisition Tract No.],MATCH(LEFT(SP_ACQ_Lib[[#This Row],[Tax Parcel ID]],7),SP_TaxPar_DB[Tax Parcel ID],0))</f>
        <v>T191</v>
      </c>
      <c r="X848" s="238" t="str">
        <f>IF(OR(SP_ACQ_Lib[[#This Row],[Acquisition Tract No.]]="",SP_ACQ_Lib[[#This Row],[ACQ Document Type]]=""),0,CONCATENATE("COW-FRMP_TR-",SP_ACQ_Lib[[#This Row],[Acquisition Tract No.]]," ",SP_ACQ_Lib[[#This Row],[ACQ Document Type]]))</f>
        <v>COW-FRMP_TR-T191 ROE Right-of-Entry Package</v>
      </c>
      <c r="Y848" s="239">
        <f>IF(OR(SP_ACQ_Lib[[#This Row],[File Name Convention]]=0,LEFT(SP_ACQ_Lib[[#This Row],[Name]],LEN(SP_ACQ_Lib[[#This Row],[File Name Convention]]))&lt;&gt;SP_ACQ_Lib[[#This Row],[File Name Convention]],ISERROR(SEARCH(SP_ACQ_Lib[[#This Row],[ACQ Document Type]],SP_ACQ_Lib[[#This Row],[Name]]))),1,0)</f>
        <v>0</v>
      </c>
    </row>
    <row r="849" spans="1:25" ht="15" x14ac:dyDescent="0.2">
      <c r="A849" s="157" t="str">
        <f>CONCATENATE(SP_ACQ_Lib[[#This Row],[Acquisition Tract No.]],"_",SP_ACQ_Lib[[#This Row],[ACQ Document Type]])</f>
        <v>T191_TITLE Tax Card</v>
      </c>
      <c r="B849" s="14" t="s">
        <v>5443</v>
      </c>
      <c r="C849" s="263" t="s">
        <v>5311</v>
      </c>
      <c r="D849" s="12" t="s">
        <v>3252</v>
      </c>
      <c r="E849" s="8" t="s">
        <v>861</v>
      </c>
      <c r="F849" s="8" t="s">
        <v>1150</v>
      </c>
      <c r="G849" s="8" t="s">
        <v>1149</v>
      </c>
      <c r="H849" s="7" t="s">
        <v>592</v>
      </c>
      <c r="I849" s="16"/>
      <c r="J849" s="16"/>
      <c r="K849" s="17"/>
      <c r="L849" s="3"/>
      <c r="M849" s="8" t="s">
        <v>4206</v>
      </c>
      <c r="N849" s="11">
        <v>43979.416296296295</v>
      </c>
      <c r="O849" s="8" t="s">
        <v>4206</v>
      </c>
      <c r="P849" s="11">
        <v>43979.391817129632</v>
      </c>
      <c r="Q849" s="13">
        <v>748033</v>
      </c>
      <c r="R849" s="264" t="s">
        <v>594</v>
      </c>
      <c r="S849" s="14" t="s">
        <v>5519</v>
      </c>
      <c r="T849" s="163">
        <v>1027</v>
      </c>
      <c r="U849" s="164" t="str">
        <f>CONCATENATE(LEFT(SP_ACQ_Lib[[#This Row],[Tax Parcel ID]],7),"_",SP_ACQ_Lib[[#This Row],[ACQ Document Type]])</f>
        <v>R026956_TITLE Tax Card</v>
      </c>
      <c r="V849" s="65" t="str">
        <f>INDEX(SP_AcqTract_DB[WCAD Tax Parcel ID],MATCH(SP_ACQ_Lib[[#This Row],[Acquisition Tract No.]],SP_AcqTract_DB[Acquisition Tract No.],0))</f>
        <v>R026956;#234</v>
      </c>
      <c r="W849" s="48" t="str">
        <f>INDEX(SP_TaxPar_DB[Acquisition Tract No.],MATCH(LEFT(SP_ACQ_Lib[[#This Row],[Tax Parcel ID]],7),SP_TaxPar_DB[Tax Parcel ID],0))</f>
        <v>T191</v>
      </c>
      <c r="X849" s="238" t="str">
        <f>IF(OR(SP_ACQ_Lib[[#This Row],[Acquisition Tract No.]]="",SP_ACQ_Lib[[#This Row],[ACQ Document Type]]=""),0,CONCATENATE("COW-FRMP_TR-",SP_ACQ_Lib[[#This Row],[Acquisition Tract No.]]," ",SP_ACQ_Lib[[#This Row],[ACQ Document Type]]))</f>
        <v>COW-FRMP_TR-T191 TITLE Tax Card</v>
      </c>
      <c r="Y849" s="239">
        <f>IF(OR(SP_ACQ_Lib[[#This Row],[File Name Convention]]=0,LEFT(SP_ACQ_Lib[[#This Row],[Name]],LEN(SP_ACQ_Lib[[#This Row],[File Name Convention]]))&lt;&gt;SP_ACQ_Lib[[#This Row],[File Name Convention]],ISERROR(SEARCH(SP_ACQ_Lib[[#This Row],[ACQ Document Type]],SP_ACQ_Lib[[#This Row],[Name]]))),1,0)</f>
        <v>0</v>
      </c>
    </row>
    <row r="850" spans="1:25" ht="15" x14ac:dyDescent="0.2">
      <c r="A850" s="157" t="str">
        <f>CONCATENATE(SP_ACQ_Lib[[#This Row],[Acquisition Tract No.]],"_",SP_ACQ_Lib[[#This Row],[ACQ Document Type]])</f>
        <v>T192_CONTACT Negotiator Report</v>
      </c>
      <c r="B850" s="14" t="s">
        <v>5444</v>
      </c>
      <c r="C850" s="263" t="s">
        <v>5313</v>
      </c>
      <c r="D850" s="12" t="s">
        <v>3253</v>
      </c>
      <c r="E850" s="8" t="s">
        <v>865</v>
      </c>
      <c r="F850" s="8" t="s">
        <v>1068</v>
      </c>
      <c r="G850" s="8" t="s">
        <v>1067</v>
      </c>
      <c r="H850" s="7" t="s">
        <v>592</v>
      </c>
      <c r="I850" s="16">
        <v>43895</v>
      </c>
      <c r="J850" s="16"/>
      <c r="K850" s="17"/>
      <c r="L850" s="3"/>
      <c r="M850" s="8" t="s">
        <v>4206</v>
      </c>
      <c r="N850" s="11">
        <v>43978.565358796295</v>
      </c>
      <c r="O850" s="8" t="s">
        <v>4206</v>
      </c>
      <c r="P850" s="11">
        <v>43971.420868055553</v>
      </c>
      <c r="Q850" s="13">
        <v>70413</v>
      </c>
      <c r="R850" s="264" t="s">
        <v>594</v>
      </c>
      <c r="S850" s="14" t="s">
        <v>5243</v>
      </c>
      <c r="T850" s="163">
        <v>941</v>
      </c>
      <c r="U850" s="164" t="str">
        <f>CONCATENATE(LEFT(SP_ACQ_Lib[[#This Row],[Tax Parcel ID]],7),"_",SP_ACQ_Lib[[#This Row],[ACQ Document Type]])</f>
        <v>R026957_CONTACT Negotiator Report</v>
      </c>
      <c r="V850" s="65" t="str">
        <f>INDEX(SP_AcqTract_DB[WCAD Tax Parcel ID],MATCH(SP_ACQ_Lib[[#This Row],[Acquisition Tract No.]],SP_AcqTract_DB[Acquisition Tract No.],0))</f>
        <v>R026957;#235</v>
      </c>
      <c r="W850" s="48" t="str">
        <f>INDEX(SP_TaxPar_DB[Acquisition Tract No.],MATCH(LEFT(SP_ACQ_Lib[[#This Row],[Tax Parcel ID]],7),SP_TaxPar_DB[Tax Parcel ID],0))</f>
        <v>T192</v>
      </c>
      <c r="X850" s="238" t="str">
        <f>IF(OR(SP_ACQ_Lib[[#This Row],[Acquisition Tract No.]]="",SP_ACQ_Lib[[#This Row],[ACQ Document Type]]=""),0,CONCATENATE("COW-FRMP_TR-",SP_ACQ_Lib[[#This Row],[Acquisition Tract No.]]," ",SP_ACQ_Lib[[#This Row],[ACQ Document Type]]))</f>
        <v>COW-FRMP_TR-T192 CONTACT Negotiator Report</v>
      </c>
      <c r="Y850" s="239">
        <f>IF(OR(SP_ACQ_Lib[[#This Row],[File Name Convention]]=0,LEFT(SP_ACQ_Lib[[#This Row],[Name]],LEN(SP_ACQ_Lib[[#This Row],[File Name Convention]]))&lt;&gt;SP_ACQ_Lib[[#This Row],[File Name Convention]],ISERROR(SEARCH(SP_ACQ_Lib[[#This Row],[ACQ Document Type]],SP_ACQ_Lib[[#This Row],[Name]]))),1,0)</f>
        <v>0</v>
      </c>
    </row>
    <row r="851" spans="1:25" ht="15" x14ac:dyDescent="0.2">
      <c r="A851" s="157" t="str">
        <f>CONCATENATE(SP_ACQ_Lib[[#This Row],[Acquisition Tract No.]],"_",SP_ACQ_Lib[[#This Row],[ACQ Document Type]])</f>
        <v>T192_ENVIRONMENTAL Right-of-Entry Package</v>
      </c>
      <c r="B851" s="14" t="s">
        <v>5591</v>
      </c>
      <c r="C851" s="263" t="s">
        <v>5313</v>
      </c>
      <c r="D851" s="12" t="s">
        <v>3253</v>
      </c>
      <c r="E851" s="8" t="s">
        <v>2682</v>
      </c>
      <c r="F851" s="8" t="s">
        <v>2687</v>
      </c>
      <c r="G851" s="8" t="s">
        <v>2686</v>
      </c>
      <c r="H851" s="7" t="s">
        <v>592</v>
      </c>
      <c r="I851" s="16">
        <v>43850</v>
      </c>
      <c r="J851" s="16">
        <v>43853</v>
      </c>
      <c r="K851" s="17"/>
      <c r="L851" s="3"/>
      <c r="M851" s="8" t="s">
        <v>4206</v>
      </c>
      <c r="N851" s="11">
        <v>43983.597997685189</v>
      </c>
      <c r="O851" s="8" t="s">
        <v>4206</v>
      </c>
      <c r="P851" s="11">
        <v>43971.42087962963</v>
      </c>
      <c r="Q851" s="13">
        <v>841370</v>
      </c>
      <c r="R851" s="264" t="s">
        <v>594</v>
      </c>
      <c r="S851" s="14" t="s">
        <v>5180</v>
      </c>
      <c r="T851" s="163">
        <v>942</v>
      </c>
      <c r="U851" s="164" t="str">
        <f>CONCATENATE(LEFT(SP_ACQ_Lib[[#This Row],[Tax Parcel ID]],7),"_",SP_ACQ_Lib[[#This Row],[ACQ Document Type]])</f>
        <v>R026957_ENVIRONMENTAL Right-of-Entry Package</v>
      </c>
      <c r="V851" s="65" t="str">
        <f>INDEX(SP_AcqTract_DB[WCAD Tax Parcel ID],MATCH(SP_ACQ_Lib[[#This Row],[Acquisition Tract No.]],SP_AcqTract_DB[Acquisition Tract No.],0))</f>
        <v>R026957;#235</v>
      </c>
      <c r="W851" s="48" t="str">
        <f>INDEX(SP_TaxPar_DB[Acquisition Tract No.],MATCH(LEFT(SP_ACQ_Lib[[#This Row],[Tax Parcel ID]],7),SP_TaxPar_DB[Tax Parcel ID],0))</f>
        <v>T192</v>
      </c>
      <c r="X851" s="238" t="str">
        <f>IF(OR(SP_ACQ_Lib[[#This Row],[Acquisition Tract No.]]="",SP_ACQ_Lib[[#This Row],[ACQ Document Type]]=""),0,CONCATENATE("COW-FRMP_TR-",SP_ACQ_Lib[[#This Row],[Acquisition Tract No.]]," ",SP_ACQ_Lib[[#This Row],[ACQ Document Type]]))</f>
        <v>COW-FRMP_TR-T192 ENVIRONMENTAL Right-of-Entry Package</v>
      </c>
      <c r="Y851" s="239">
        <f>IF(OR(SP_ACQ_Lib[[#This Row],[File Name Convention]]=0,LEFT(SP_ACQ_Lib[[#This Row],[Name]],LEN(SP_ACQ_Lib[[#This Row],[File Name Convention]]))&lt;&gt;SP_ACQ_Lib[[#This Row],[File Name Convention]],ISERROR(SEARCH(SP_ACQ_Lib[[#This Row],[ACQ Document Type]],SP_ACQ_Lib[[#This Row],[Name]]))),1,0)</f>
        <v>0</v>
      </c>
    </row>
    <row r="852" spans="1:25" ht="15" x14ac:dyDescent="0.2">
      <c r="A852" s="157" t="str">
        <f>CONCATENATE(SP_ACQ_Lib[[#This Row],[Acquisition Tract No.]],"_",SP_ACQ_Lib[[#This Row],[ACQ Document Type]])</f>
        <v>T192_TITLE Tax Card</v>
      </c>
      <c r="B852" s="14" t="s">
        <v>5445</v>
      </c>
      <c r="C852" s="263" t="s">
        <v>5313</v>
      </c>
      <c r="D852" s="12" t="s">
        <v>3253</v>
      </c>
      <c r="E852" s="8" t="s">
        <v>861</v>
      </c>
      <c r="F852" s="8" t="s">
        <v>1150</v>
      </c>
      <c r="G852" s="8" t="s">
        <v>1149</v>
      </c>
      <c r="H852" s="7" t="s">
        <v>592</v>
      </c>
      <c r="I852" s="16"/>
      <c r="J852" s="16"/>
      <c r="K852" s="17"/>
      <c r="L852" s="3"/>
      <c r="M852" s="8" t="s">
        <v>4206</v>
      </c>
      <c r="N852" s="11">
        <v>43979.348796296297</v>
      </c>
      <c r="O852" s="8" t="s">
        <v>4206</v>
      </c>
      <c r="P852" s="11">
        <v>43971.420902777776</v>
      </c>
      <c r="Q852" s="13">
        <v>730559</v>
      </c>
      <c r="R852" s="264" t="s">
        <v>594</v>
      </c>
      <c r="S852" s="14" t="s">
        <v>5181</v>
      </c>
      <c r="T852" s="163">
        <v>943</v>
      </c>
      <c r="U852" s="164" t="str">
        <f>CONCATENATE(LEFT(SP_ACQ_Lib[[#This Row],[Tax Parcel ID]],7),"_",SP_ACQ_Lib[[#This Row],[ACQ Document Type]])</f>
        <v>R026957_TITLE Tax Card</v>
      </c>
      <c r="V852" s="65" t="str">
        <f>INDEX(SP_AcqTract_DB[WCAD Tax Parcel ID],MATCH(SP_ACQ_Lib[[#This Row],[Acquisition Tract No.]],SP_AcqTract_DB[Acquisition Tract No.],0))</f>
        <v>R026957;#235</v>
      </c>
      <c r="W852" s="48" t="str">
        <f>INDEX(SP_TaxPar_DB[Acquisition Tract No.],MATCH(LEFT(SP_ACQ_Lib[[#This Row],[Tax Parcel ID]],7),SP_TaxPar_DB[Tax Parcel ID],0))</f>
        <v>T192</v>
      </c>
      <c r="X852" s="238" t="str">
        <f>IF(OR(SP_ACQ_Lib[[#This Row],[Acquisition Tract No.]]="",SP_ACQ_Lib[[#This Row],[ACQ Document Type]]=""),0,CONCATENATE("COW-FRMP_TR-",SP_ACQ_Lib[[#This Row],[Acquisition Tract No.]]," ",SP_ACQ_Lib[[#This Row],[ACQ Document Type]]))</f>
        <v>COW-FRMP_TR-T192 TITLE Tax Card</v>
      </c>
      <c r="Y852" s="239">
        <f>IF(OR(SP_ACQ_Lib[[#This Row],[File Name Convention]]=0,LEFT(SP_ACQ_Lib[[#This Row],[Name]],LEN(SP_ACQ_Lib[[#This Row],[File Name Convention]]))&lt;&gt;SP_ACQ_Lib[[#This Row],[File Name Convention]],ISERROR(SEARCH(SP_ACQ_Lib[[#This Row],[ACQ Document Type]],SP_ACQ_Lib[[#This Row],[Name]]))),1,0)</f>
        <v>0</v>
      </c>
    </row>
    <row r="853" spans="1:25" ht="15" x14ac:dyDescent="0.2">
      <c r="A853" s="157" t="str">
        <f>CONCATENATE(SP_ACQ_Lib[[#This Row],[Acquisition Tract No.]],"_",SP_ACQ_Lib[[#This Row],[ACQ Document Type]])</f>
        <v>T193_CONTACT Negotiator Report</v>
      </c>
      <c r="B853" s="14" t="s">
        <v>5592</v>
      </c>
      <c r="C853" s="263" t="s">
        <v>5315</v>
      </c>
      <c r="D853" s="12" t="s">
        <v>3254</v>
      </c>
      <c r="E853" s="8" t="s">
        <v>865</v>
      </c>
      <c r="F853" s="8" t="s">
        <v>1068</v>
      </c>
      <c r="G853" s="8" t="s">
        <v>1067</v>
      </c>
      <c r="H853" s="7" t="s">
        <v>592</v>
      </c>
      <c r="I853" s="16">
        <v>43873</v>
      </c>
      <c r="J853" s="16"/>
      <c r="K853" s="17"/>
      <c r="L853" s="3"/>
      <c r="M853" s="8" t="s">
        <v>6483</v>
      </c>
      <c r="N853" s="11">
        <v>44019.662303240744</v>
      </c>
      <c r="O853" s="8" t="s">
        <v>4206</v>
      </c>
      <c r="P853" s="11">
        <v>43971.420925925922</v>
      </c>
      <c r="Q853" s="13">
        <v>180833</v>
      </c>
      <c r="R853" s="264" t="s">
        <v>594</v>
      </c>
      <c r="S853" s="14" t="s">
        <v>5244</v>
      </c>
      <c r="T853" s="163">
        <v>944</v>
      </c>
      <c r="U853" s="164" t="str">
        <f>CONCATENATE(LEFT(SP_ACQ_Lib[[#This Row],[Tax Parcel ID]],7),"_",SP_ACQ_Lib[[#This Row],[ACQ Document Type]])</f>
        <v>R026965_CONTACT Negotiator Report</v>
      </c>
      <c r="V853" s="65" t="str">
        <f>INDEX(SP_AcqTract_DB[WCAD Tax Parcel ID],MATCH(SP_ACQ_Lib[[#This Row],[Acquisition Tract No.]],SP_AcqTract_DB[Acquisition Tract No.],0))</f>
        <v>R026965;#236</v>
      </c>
      <c r="W853" s="48" t="str">
        <f>INDEX(SP_TaxPar_DB[Acquisition Tract No.],MATCH(LEFT(SP_ACQ_Lib[[#This Row],[Tax Parcel ID]],7),SP_TaxPar_DB[Tax Parcel ID],0))</f>
        <v>T193</v>
      </c>
      <c r="X853" s="238" t="str">
        <f>IF(OR(SP_ACQ_Lib[[#This Row],[Acquisition Tract No.]]="",SP_ACQ_Lib[[#This Row],[ACQ Document Type]]=""),0,CONCATENATE("COW-FRMP_TR-",SP_ACQ_Lib[[#This Row],[Acquisition Tract No.]]," ",SP_ACQ_Lib[[#This Row],[ACQ Document Type]]))</f>
        <v>COW-FRMP_TR-T193 CONTACT Negotiator Report</v>
      </c>
      <c r="Y853" s="239">
        <f>IF(OR(SP_ACQ_Lib[[#This Row],[File Name Convention]]=0,LEFT(SP_ACQ_Lib[[#This Row],[Name]],LEN(SP_ACQ_Lib[[#This Row],[File Name Convention]]))&lt;&gt;SP_ACQ_Lib[[#This Row],[File Name Convention]],ISERROR(SEARCH(SP_ACQ_Lib[[#This Row],[ACQ Document Type]],SP_ACQ_Lib[[#This Row],[Name]]))),1,0)</f>
        <v>0</v>
      </c>
    </row>
    <row r="854" spans="1:25" ht="15" x14ac:dyDescent="0.2">
      <c r="A854" s="157" t="str">
        <f>CONCATENATE(SP_ACQ_Lib[[#This Row],[Acquisition Tract No.]],"_",SP_ACQ_Lib[[#This Row],[ACQ Document Type]])</f>
        <v>T193_ROE Right-of-Entry Package</v>
      </c>
      <c r="B854" s="14" t="s">
        <v>5765</v>
      </c>
      <c r="C854" s="263" t="s">
        <v>5315</v>
      </c>
      <c r="D854" s="12" t="s">
        <v>3254</v>
      </c>
      <c r="E854" s="8" t="s">
        <v>1146</v>
      </c>
      <c r="F854" s="8" t="s">
        <v>2687</v>
      </c>
      <c r="G854" s="8" t="s">
        <v>5659</v>
      </c>
      <c r="H854" s="7" t="s">
        <v>592</v>
      </c>
      <c r="I854" s="16">
        <v>43985</v>
      </c>
      <c r="J854" s="16"/>
      <c r="K854" s="17"/>
      <c r="L854" s="3"/>
      <c r="M854" s="8" t="s">
        <v>4206</v>
      </c>
      <c r="N854" s="11">
        <v>43986.575277777774</v>
      </c>
      <c r="O854" s="8" t="s">
        <v>4206</v>
      </c>
      <c r="P854" s="11">
        <v>43986.570127314815</v>
      </c>
      <c r="Q854" s="13">
        <v>1391072</v>
      </c>
      <c r="R854" s="264" t="s">
        <v>594</v>
      </c>
      <c r="S854" s="14" t="s">
        <v>5797</v>
      </c>
      <c r="T854" s="163">
        <v>1132</v>
      </c>
      <c r="U854" s="164" t="str">
        <f>CONCATENATE(LEFT(SP_ACQ_Lib[[#This Row],[Tax Parcel ID]],7),"_",SP_ACQ_Lib[[#This Row],[ACQ Document Type]])</f>
        <v>R026965_ROE Right-of-Entry Package</v>
      </c>
      <c r="V854" s="65" t="str">
        <f>INDEX(SP_AcqTract_DB[WCAD Tax Parcel ID],MATCH(SP_ACQ_Lib[[#This Row],[Acquisition Tract No.]],SP_AcqTract_DB[Acquisition Tract No.],0))</f>
        <v>R026965;#236</v>
      </c>
      <c r="W854" s="48" t="str">
        <f>INDEX(SP_TaxPar_DB[Acquisition Tract No.],MATCH(LEFT(SP_ACQ_Lib[[#This Row],[Tax Parcel ID]],7),SP_TaxPar_DB[Tax Parcel ID],0))</f>
        <v>T193</v>
      </c>
      <c r="X854" s="238" t="str">
        <f>IF(OR(SP_ACQ_Lib[[#This Row],[Acquisition Tract No.]]="",SP_ACQ_Lib[[#This Row],[ACQ Document Type]]=""),0,CONCATENATE("COW-FRMP_TR-",SP_ACQ_Lib[[#This Row],[Acquisition Tract No.]]," ",SP_ACQ_Lib[[#This Row],[ACQ Document Type]]))</f>
        <v>COW-FRMP_TR-T193 ROE Right-of-Entry Package</v>
      </c>
      <c r="Y854" s="239">
        <f>IF(OR(SP_ACQ_Lib[[#This Row],[File Name Convention]]=0,LEFT(SP_ACQ_Lib[[#This Row],[Name]],LEN(SP_ACQ_Lib[[#This Row],[File Name Convention]]))&lt;&gt;SP_ACQ_Lib[[#This Row],[File Name Convention]],ISERROR(SEARCH(SP_ACQ_Lib[[#This Row],[ACQ Document Type]],SP_ACQ_Lib[[#This Row],[Name]]))),1,0)</f>
        <v>0</v>
      </c>
    </row>
    <row r="855" spans="1:25" ht="15" x14ac:dyDescent="0.2">
      <c r="A855" s="157" t="str">
        <f>CONCATENATE(SP_ACQ_Lib[[#This Row],[Acquisition Tract No.]],"_",SP_ACQ_Lib[[#This Row],[ACQ Document Type]])</f>
        <v>T193_TITLE Tax Card</v>
      </c>
      <c r="B855" s="14" t="s">
        <v>5446</v>
      </c>
      <c r="C855" s="263" t="s">
        <v>5315</v>
      </c>
      <c r="D855" s="12" t="s">
        <v>3254</v>
      </c>
      <c r="E855" s="8" t="s">
        <v>861</v>
      </c>
      <c r="F855" s="8" t="s">
        <v>1150</v>
      </c>
      <c r="G855" s="8" t="s">
        <v>1149</v>
      </c>
      <c r="H855" s="7" t="s">
        <v>592</v>
      </c>
      <c r="I855" s="16"/>
      <c r="J855" s="16"/>
      <c r="K855" s="17"/>
      <c r="L855" s="3"/>
      <c r="M855" s="8" t="s">
        <v>4206</v>
      </c>
      <c r="N855" s="11">
        <v>43979.348796296297</v>
      </c>
      <c r="O855" s="8" t="s">
        <v>4206</v>
      </c>
      <c r="P855" s="11">
        <v>43971.420937499999</v>
      </c>
      <c r="Q855" s="13">
        <v>704784</v>
      </c>
      <c r="R855" s="264" t="s">
        <v>594</v>
      </c>
      <c r="S855" s="14" t="s">
        <v>5182</v>
      </c>
      <c r="T855" s="163">
        <v>945</v>
      </c>
      <c r="U855" s="164" t="str">
        <f>CONCATENATE(LEFT(SP_ACQ_Lib[[#This Row],[Tax Parcel ID]],7),"_",SP_ACQ_Lib[[#This Row],[ACQ Document Type]])</f>
        <v>R026965_TITLE Tax Card</v>
      </c>
      <c r="V855" s="65" t="str">
        <f>INDEX(SP_AcqTract_DB[WCAD Tax Parcel ID],MATCH(SP_ACQ_Lib[[#This Row],[Acquisition Tract No.]],SP_AcqTract_DB[Acquisition Tract No.],0))</f>
        <v>R026965;#236</v>
      </c>
      <c r="W855" s="48" t="str">
        <f>INDEX(SP_TaxPar_DB[Acquisition Tract No.],MATCH(LEFT(SP_ACQ_Lib[[#This Row],[Tax Parcel ID]],7),SP_TaxPar_DB[Tax Parcel ID],0))</f>
        <v>T193</v>
      </c>
      <c r="X855" s="238" t="str">
        <f>IF(OR(SP_ACQ_Lib[[#This Row],[Acquisition Tract No.]]="",SP_ACQ_Lib[[#This Row],[ACQ Document Type]]=""),0,CONCATENATE("COW-FRMP_TR-",SP_ACQ_Lib[[#This Row],[Acquisition Tract No.]]," ",SP_ACQ_Lib[[#This Row],[ACQ Document Type]]))</f>
        <v>COW-FRMP_TR-T193 TITLE Tax Card</v>
      </c>
      <c r="Y855" s="239">
        <f>IF(OR(SP_ACQ_Lib[[#This Row],[File Name Convention]]=0,LEFT(SP_ACQ_Lib[[#This Row],[Name]],LEN(SP_ACQ_Lib[[#This Row],[File Name Convention]]))&lt;&gt;SP_ACQ_Lib[[#This Row],[File Name Convention]],ISERROR(SEARCH(SP_ACQ_Lib[[#This Row],[ACQ Document Type]],SP_ACQ_Lib[[#This Row],[Name]]))),1,0)</f>
        <v>0</v>
      </c>
    </row>
    <row r="856" spans="1:25" ht="15" x14ac:dyDescent="0.2">
      <c r="A856" s="157" t="str">
        <f>CONCATENATE(SP_ACQ_Lib[[#This Row],[Acquisition Tract No.]],"_",SP_ACQ_Lib[[#This Row],[ACQ Document Type]])</f>
        <v>T194_CONTACT Negotiator Report</v>
      </c>
      <c r="B856" s="14" t="s">
        <v>6540</v>
      </c>
      <c r="C856" s="263" t="s">
        <v>6484</v>
      </c>
      <c r="D856" s="12" t="s">
        <v>3256</v>
      </c>
      <c r="E856" s="8" t="s">
        <v>865</v>
      </c>
      <c r="F856" s="8" t="s">
        <v>1068</v>
      </c>
      <c r="G856" s="8" t="s">
        <v>1067</v>
      </c>
      <c r="H856" s="7" t="s">
        <v>592</v>
      </c>
      <c r="I856" s="16">
        <v>43873</v>
      </c>
      <c r="J856" s="16"/>
      <c r="K856" s="17"/>
      <c r="L856" s="3"/>
      <c r="M856" s="8" t="s">
        <v>4206</v>
      </c>
      <c r="N856" s="11">
        <v>44020.501354166663</v>
      </c>
      <c r="O856" s="8" t="s">
        <v>4206</v>
      </c>
      <c r="P856" s="11">
        <v>44020.498726851853</v>
      </c>
      <c r="Q856" s="13">
        <v>70693</v>
      </c>
      <c r="R856" s="264" t="s">
        <v>594</v>
      </c>
      <c r="S856" s="14" t="s">
        <v>6604</v>
      </c>
      <c r="T856" s="163">
        <v>1362</v>
      </c>
      <c r="U856" s="164" t="str">
        <f>CONCATENATE(LEFT(SP_ACQ_Lib[[#This Row],[Tax Parcel ID]],7),"_",SP_ACQ_Lib[[#This Row],[ACQ Document Type]])</f>
        <v>R026968_CONTACT Negotiator Report</v>
      </c>
      <c r="V856" s="65" t="str">
        <f>INDEX(SP_AcqTract_DB[WCAD Tax Parcel ID],MATCH(SP_ACQ_Lib[[#This Row],[Acquisition Tract No.]],SP_AcqTract_DB[Acquisition Tract No.],0))</f>
        <v>R026968;#237</v>
      </c>
      <c r="W856" s="48" t="str">
        <f>INDEX(SP_TaxPar_DB[Acquisition Tract No.],MATCH(LEFT(SP_ACQ_Lib[[#This Row],[Tax Parcel ID]],7),SP_TaxPar_DB[Tax Parcel ID],0))</f>
        <v>T194</v>
      </c>
      <c r="X856" s="238" t="str">
        <f>IF(OR(SP_ACQ_Lib[[#This Row],[Acquisition Tract No.]]="",SP_ACQ_Lib[[#This Row],[ACQ Document Type]]=""),0,CONCATENATE("COW-FRMP_TR-",SP_ACQ_Lib[[#This Row],[Acquisition Tract No.]]," ",SP_ACQ_Lib[[#This Row],[ACQ Document Type]]))</f>
        <v>COW-FRMP_TR-T194 CONTACT Negotiator Report</v>
      </c>
      <c r="Y856" s="239">
        <f>IF(OR(SP_ACQ_Lib[[#This Row],[File Name Convention]]=0,LEFT(SP_ACQ_Lib[[#This Row],[Name]],LEN(SP_ACQ_Lib[[#This Row],[File Name Convention]]))&lt;&gt;SP_ACQ_Lib[[#This Row],[File Name Convention]],ISERROR(SEARCH(SP_ACQ_Lib[[#This Row],[ACQ Document Type]],SP_ACQ_Lib[[#This Row],[Name]]))),1,0)</f>
        <v>0</v>
      </c>
    </row>
    <row r="857" spans="1:25" ht="15" x14ac:dyDescent="0.2">
      <c r="A857" s="157" t="str">
        <f>CONCATENATE(SP_ACQ_Lib[[#This Row],[Acquisition Tract No.]],"_",SP_ACQ_Lib[[#This Row],[ACQ Document Type]])</f>
        <v>T194_ENVIRONMENTAL Right-of-Entry Package</v>
      </c>
      <c r="B857" s="14" t="s">
        <v>6541</v>
      </c>
      <c r="C857" s="263" t="s">
        <v>6484</v>
      </c>
      <c r="D857" s="12" t="s">
        <v>3256</v>
      </c>
      <c r="E857" s="8" t="s">
        <v>2682</v>
      </c>
      <c r="F857" s="8" t="s">
        <v>2687</v>
      </c>
      <c r="G857" s="8" t="s">
        <v>2686</v>
      </c>
      <c r="H857" s="7" t="s">
        <v>592</v>
      </c>
      <c r="I857" s="16">
        <v>43851</v>
      </c>
      <c r="J857" s="16"/>
      <c r="K857" s="17"/>
      <c r="L857" s="3"/>
      <c r="M857" s="8" t="s">
        <v>4206</v>
      </c>
      <c r="N857" s="11">
        <v>44020.500358796293</v>
      </c>
      <c r="O857" s="8" t="s">
        <v>4206</v>
      </c>
      <c r="P857" s="11">
        <v>44020.498738425929</v>
      </c>
      <c r="Q857" s="13">
        <v>856574</v>
      </c>
      <c r="R857" s="264" t="s">
        <v>594</v>
      </c>
      <c r="S857" s="14" t="s">
        <v>6605</v>
      </c>
      <c r="T857" s="163">
        <v>1363</v>
      </c>
      <c r="U857" s="164" t="str">
        <f>CONCATENATE(LEFT(SP_ACQ_Lib[[#This Row],[Tax Parcel ID]],7),"_",SP_ACQ_Lib[[#This Row],[ACQ Document Type]])</f>
        <v>R026968_ENVIRONMENTAL Right-of-Entry Package</v>
      </c>
      <c r="V857" s="65" t="str">
        <f>INDEX(SP_AcqTract_DB[WCAD Tax Parcel ID],MATCH(SP_ACQ_Lib[[#This Row],[Acquisition Tract No.]],SP_AcqTract_DB[Acquisition Tract No.],0))</f>
        <v>R026968;#237</v>
      </c>
      <c r="W857" s="48" t="str">
        <f>INDEX(SP_TaxPar_DB[Acquisition Tract No.],MATCH(LEFT(SP_ACQ_Lib[[#This Row],[Tax Parcel ID]],7),SP_TaxPar_DB[Tax Parcel ID],0))</f>
        <v>T194</v>
      </c>
      <c r="X857" s="238" t="str">
        <f>IF(OR(SP_ACQ_Lib[[#This Row],[Acquisition Tract No.]]="",SP_ACQ_Lib[[#This Row],[ACQ Document Type]]=""),0,CONCATENATE("COW-FRMP_TR-",SP_ACQ_Lib[[#This Row],[Acquisition Tract No.]]," ",SP_ACQ_Lib[[#This Row],[ACQ Document Type]]))</f>
        <v>COW-FRMP_TR-T194 ENVIRONMENTAL Right-of-Entry Package</v>
      </c>
      <c r="Y857" s="239">
        <f>IF(OR(SP_ACQ_Lib[[#This Row],[File Name Convention]]=0,LEFT(SP_ACQ_Lib[[#This Row],[Name]],LEN(SP_ACQ_Lib[[#This Row],[File Name Convention]]))&lt;&gt;SP_ACQ_Lib[[#This Row],[File Name Convention]],ISERROR(SEARCH(SP_ACQ_Lib[[#This Row],[ACQ Document Type]],SP_ACQ_Lib[[#This Row],[Name]]))),1,0)</f>
        <v>0</v>
      </c>
    </row>
    <row r="858" spans="1:25" ht="15" x14ac:dyDescent="0.2">
      <c r="A858" s="157" t="str">
        <f>CONCATENATE(SP_ACQ_Lib[[#This Row],[Acquisition Tract No.]],"_",SP_ACQ_Lib[[#This Row],[ACQ Document Type]])</f>
        <v>T194_TITLE Tax Card</v>
      </c>
      <c r="B858" s="14" t="s">
        <v>6542</v>
      </c>
      <c r="C858" s="263" t="s">
        <v>6484</v>
      </c>
      <c r="D858" s="12" t="s">
        <v>3256</v>
      </c>
      <c r="E858" s="8" t="s">
        <v>861</v>
      </c>
      <c r="F858" s="8" t="s">
        <v>1150</v>
      </c>
      <c r="G858" s="8" t="s">
        <v>1149</v>
      </c>
      <c r="H858" s="7" t="s">
        <v>592</v>
      </c>
      <c r="I858" s="16"/>
      <c r="J858" s="16"/>
      <c r="K858" s="17"/>
      <c r="L858" s="3"/>
      <c r="M858" s="8" t="s">
        <v>4206</v>
      </c>
      <c r="N858" s="11">
        <v>44020.500972222224</v>
      </c>
      <c r="O858" s="8" t="s">
        <v>4206</v>
      </c>
      <c r="P858" s="11">
        <v>44020.498738425929</v>
      </c>
      <c r="Q858" s="13">
        <v>743899</v>
      </c>
      <c r="R858" s="264" t="s">
        <v>594</v>
      </c>
      <c r="S858" s="14" t="s">
        <v>6606</v>
      </c>
      <c r="T858" s="163">
        <v>1364</v>
      </c>
      <c r="U858" s="164" t="str">
        <f>CONCATENATE(LEFT(SP_ACQ_Lib[[#This Row],[Tax Parcel ID]],7),"_",SP_ACQ_Lib[[#This Row],[ACQ Document Type]])</f>
        <v>R026968_TITLE Tax Card</v>
      </c>
      <c r="V858" s="65" t="str">
        <f>INDEX(SP_AcqTract_DB[WCAD Tax Parcel ID],MATCH(SP_ACQ_Lib[[#This Row],[Acquisition Tract No.]],SP_AcqTract_DB[Acquisition Tract No.],0))</f>
        <v>R026968;#237</v>
      </c>
      <c r="W858" s="48" t="str">
        <f>INDEX(SP_TaxPar_DB[Acquisition Tract No.],MATCH(LEFT(SP_ACQ_Lib[[#This Row],[Tax Parcel ID]],7),SP_TaxPar_DB[Tax Parcel ID],0))</f>
        <v>T194</v>
      </c>
      <c r="X858" s="238" t="str">
        <f>IF(OR(SP_ACQ_Lib[[#This Row],[Acquisition Tract No.]]="",SP_ACQ_Lib[[#This Row],[ACQ Document Type]]=""),0,CONCATENATE("COW-FRMP_TR-",SP_ACQ_Lib[[#This Row],[Acquisition Tract No.]]," ",SP_ACQ_Lib[[#This Row],[ACQ Document Type]]))</f>
        <v>COW-FRMP_TR-T194 TITLE Tax Card</v>
      </c>
      <c r="Y858" s="239">
        <f>IF(OR(SP_ACQ_Lib[[#This Row],[File Name Convention]]=0,LEFT(SP_ACQ_Lib[[#This Row],[Name]],LEN(SP_ACQ_Lib[[#This Row],[File Name Convention]]))&lt;&gt;SP_ACQ_Lib[[#This Row],[File Name Convention]],ISERROR(SEARCH(SP_ACQ_Lib[[#This Row],[ACQ Document Type]],SP_ACQ_Lib[[#This Row],[Name]]))),1,0)</f>
        <v>0</v>
      </c>
    </row>
    <row r="859" spans="1:25" ht="15" x14ac:dyDescent="0.2">
      <c r="A859" s="157" t="str">
        <f>CONCATENATE(SP_ACQ_Lib[[#This Row],[Acquisition Tract No.]],"_",SP_ACQ_Lib[[#This Row],[ACQ Document Type]])</f>
        <v>T195_CONTACT Negotiator Report</v>
      </c>
      <c r="B859" s="14" t="s">
        <v>5447</v>
      </c>
      <c r="C859" s="263" t="s">
        <v>5317</v>
      </c>
      <c r="D859" s="12" t="s">
        <v>3260</v>
      </c>
      <c r="E859" s="8" t="s">
        <v>865</v>
      </c>
      <c r="F859" s="8" t="s">
        <v>1068</v>
      </c>
      <c r="G859" s="8" t="s">
        <v>1067</v>
      </c>
      <c r="H859" s="7" t="s">
        <v>592</v>
      </c>
      <c r="I859" s="16">
        <v>43874</v>
      </c>
      <c r="J859" s="16"/>
      <c r="K859" s="17"/>
      <c r="L859" s="3"/>
      <c r="M859" s="8" t="s">
        <v>5648</v>
      </c>
      <c r="N859" s="11">
        <v>43998.675428240742</v>
      </c>
      <c r="O859" s="8" t="s">
        <v>4206</v>
      </c>
      <c r="P859" s="11">
        <v>43979.391840277778</v>
      </c>
      <c r="Q859" s="13">
        <v>472989</v>
      </c>
      <c r="R859" s="264" t="s">
        <v>594</v>
      </c>
      <c r="S859" s="14" t="s">
        <v>5532</v>
      </c>
      <c r="T859" s="163">
        <v>1028</v>
      </c>
      <c r="U859" s="164" t="str">
        <f>CONCATENATE(LEFT(SP_ACQ_Lib[[#This Row],[Tax Parcel ID]],7),"_",SP_ACQ_Lib[[#This Row],[ACQ Document Type]])</f>
        <v>R027013_CONTACT Negotiator Report</v>
      </c>
      <c r="V859" s="65" t="str">
        <f>INDEX(SP_AcqTract_DB[WCAD Tax Parcel ID],MATCH(SP_ACQ_Lib[[#This Row],[Acquisition Tract No.]],SP_AcqTract_DB[Acquisition Tract No.],0))</f>
        <v>R027013;#238</v>
      </c>
      <c r="W859" s="48" t="str">
        <f>INDEX(SP_TaxPar_DB[Acquisition Tract No.],MATCH(LEFT(SP_ACQ_Lib[[#This Row],[Tax Parcel ID]],7),SP_TaxPar_DB[Tax Parcel ID],0))</f>
        <v>T195</v>
      </c>
      <c r="X859" s="238" t="str">
        <f>IF(OR(SP_ACQ_Lib[[#This Row],[Acquisition Tract No.]]="",SP_ACQ_Lib[[#This Row],[ACQ Document Type]]=""),0,CONCATENATE("COW-FRMP_TR-",SP_ACQ_Lib[[#This Row],[Acquisition Tract No.]]," ",SP_ACQ_Lib[[#This Row],[ACQ Document Type]]))</f>
        <v>COW-FRMP_TR-T195 CONTACT Negotiator Report</v>
      </c>
      <c r="Y859" s="239">
        <f>IF(OR(SP_ACQ_Lib[[#This Row],[File Name Convention]]=0,LEFT(SP_ACQ_Lib[[#This Row],[Name]],LEN(SP_ACQ_Lib[[#This Row],[File Name Convention]]))&lt;&gt;SP_ACQ_Lib[[#This Row],[File Name Convention]],ISERROR(SEARCH(SP_ACQ_Lib[[#This Row],[ACQ Document Type]],SP_ACQ_Lib[[#This Row],[Name]]))),1,0)</f>
        <v>0</v>
      </c>
    </row>
    <row r="860" spans="1:25" ht="15" x14ac:dyDescent="0.2">
      <c r="A860" s="157" t="str">
        <f>CONCATENATE(SP_ACQ_Lib[[#This Row],[Acquisition Tract No.]],"_",SP_ACQ_Lib[[#This Row],[ACQ Document Type]])</f>
        <v>T195_ENVIRONMENTAL Right-of-Entry Executed</v>
      </c>
      <c r="B860" s="14" t="s">
        <v>5593</v>
      </c>
      <c r="C860" s="263" t="s">
        <v>5317</v>
      </c>
      <c r="D860" s="12" t="s">
        <v>3260</v>
      </c>
      <c r="E860" s="8" t="s">
        <v>2682</v>
      </c>
      <c r="F860" s="8" t="s">
        <v>2683</v>
      </c>
      <c r="G860" s="8" t="s">
        <v>2681</v>
      </c>
      <c r="H860" s="7" t="s">
        <v>592</v>
      </c>
      <c r="I860" s="16">
        <v>43871</v>
      </c>
      <c r="J860" s="16"/>
      <c r="K860" s="17"/>
      <c r="L860" s="3"/>
      <c r="M860" s="8" t="s">
        <v>4206</v>
      </c>
      <c r="N860" s="11">
        <v>43983.57068287037</v>
      </c>
      <c r="O860" s="8" t="s">
        <v>4206</v>
      </c>
      <c r="P860" s="11">
        <v>43979.391851851855</v>
      </c>
      <c r="Q860" s="13">
        <v>1963973</v>
      </c>
      <c r="R860" s="264" t="s">
        <v>594</v>
      </c>
      <c r="S860" s="14" t="s">
        <v>5520</v>
      </c>
      <c r="T860" s="163">
        <v>1029</v>
      </c>
      <c r="U860" s="164" t="str">
        <f>CONCATENATE(LEFT(SP_ACQ_Lib[[#This Row],[Tax Parcel ID]],7),"_",SP_ACQ_Lib[[#This Row],[ACQ Document Type]])</f>
        <v>R027013_ENVIRONMENTAL Right-of-Entry Executed</v>
      </c>
      <c r="V860" s="65" t="str">
        <f>INDEX(SP_AcqTract_DB[WCAD Tax Parcel ID],MATCH(SP_ACQ_Lib[[#This Row],[Acquisition Tract No.]],SP_AcqTract_DB[Acquisition Tract No.],0))</f>
        <v>R027013;#238</v>
      </c>
      <c r="W860" s="48" t="str">
        <f>INDEX(SP_TaxPar_DB[Acquisition Tract No.],MATCH(LEFT(SP_ACQ_Lib[[#This Row],[Tax Parcel ID]],7),SP_TaxPar_DB[Tax Parcel ID],0))</f>
        <v>T195</v>
      </c>
      <c r="X860" s="238" t="str">
        <f>IF(OR(SP_ACQ_Lib[[#This Row],[Acquisition Tract No.]]="",SP_ACQ_Lib[[#This Row],[ACQ Document Type]]=""),0,CONCATENATE("COW-FRMP_TR-",SP_ACQ_Lib[[#This Row],[Acquisition Tract No.]]," ",SP_ACQ_Lib[[#This Row],[ACQ Document Type]]))</f>
        <v>COW-FRMP_TR-T195 ENVIRONMENTAL Right-of-Entry Executed</v>
      </c>
      <c r="Y860" s="239">
        <f>IF(OR(SP_ACQ_Lib[[#This Row],[File Name Convention]]=0,LEFT(SP_ACQ_Lib[[#This Row],[Name]],LEN(SP_ACQ_Lib[[#This Row],[File Name Convention]]))&lt;&gt;SP_ACQ_Lib[[#This Row],[File Name Convention]],ISERROR(SEARCH(SP_ACQ_Lib[[#This Row],[ACQ Document Type]],SP_ACQ_Lib[[#This Row],[Name]]))),1,0)</f>
        <v>0</v>
      </c>
    </row>
    <row r="861" spans="1:25" ht="15" x14ac:dyDescent="0.2">
      <c r="A861" s="157" t="str">
        <f>CONCATENATE(SP_ACQ_Lib[[#This Row],[Acquisition Tract No.]],"_",SP_ACQ_Lib[[#This Row],[ACQ Document Type]])</f>
        <v>T195_ENVIRONMENTAL Right-of-Entry Package</v>
      </c>
      <c r="B861" s="14" t="s">
        <v>5594</v>
      </c>
      <c r="C861" s="263" t="s">
        <v>5317</v>
      </c>
      <c r="D861" s="12" t="s">
        <v>3260</v>
      </c>
      <c r="E861" s="8" t="s">
        <v>2682</v>
      </c>
      <c r="F861" s="8" t="s">
        <v>2687</v>
      </c>
      <c r="G861" s="8" t="s">
        <v>2686</v>
      </c>
      <c r="H861" s="7" t="s">
        <v>592</v>
      </c>
      <c r="I861" s="16">
        <v>43850</v>
      </c>
      <c r="J861" s="16">
        <v>43853</v>
      </c>
      <c r="K861" s="17"/>
      <c r="L861" s="3"/>
      <c r="M861" s="8" t="s">
        <v>4206</v>
      </c>
      <c r="N861" s="11">
        <v>43983.597997685189</v>
      </c>
      <c r="O861" s="8" t="s">
        <v>4206</v>
      </c>
      <c r="P861" s="11">
        <v>43979.391898148147</v>
      </c>
      <c r="Q861" s="13">
        <v>971266</v>
      </c>
      <c r="R861" s="264" t="s">
        <v>594</v>
      </c>
      <c r="S861" s="14" t="s">
        <v>5521</v>
      </c>
      <c r="T861" s="163">
        <v>1030</v>
      </c>
      <c r="U861" s="164" t="str">
        <f>CONCATENATE(LEFT(SP_ACQ_Lib[[#This Row],[Tax Parcel ID]],7),"_",SP_ACQ_Lib[[#This Row],[ACQ Document Type]])</f>
        <v>R027013_ENVIRONMENTAL Right-of-Entry Package</v>
      </c>
      <c r="V861" s="65" t="str">
        <f>INDEX(SP_AcqTract_DB[WCAD Tax Parcel ID],MATCH(SP_ACQ_Lib[[#This Row],[Acquisition Tract No.]],SP_AcqTract_DB[Acquisition Tract No.],0))</f>
        <v>R027013;#238</v>
      </c>
      <c r="W861" s="48" t="str">
        <f>INDEX(SP_TaxPar_DB[Acquisition Tract No.],MATCH(LEFT(SP_ACQ_Lib[[#This Row],[Tax Parcel ID]],7),SP_TaxPar_DB[Tax Parcel ID],0))</f>
        <v>T195</v>
      </c>
      <c r="X861" s="238" t="str">
        <f>IF(OR(SP_ACQ_Lib[[#This Row],[Acquisition Tract No.]]="",SP_ACQ_Lib[[#This Row],[ACQ Document Type]]=""),0,CONCATENATE("COW-FRMP_TR-",SP_ACQ_Lib[[#This Row],[Acquisition Tract No.]]," ",SP_ACQ_Lib[[#This Row],[ACQ Document Type]]))</f>
        <v>COW-FRMP_TR-T195 ENVIRONMENTAL Right-of-Entry Package</v>
      </c>
      <c r="Y861" s="239">
        <f>IF(OR(SP_ACQ_Lib[[#This Row],[File Name Convention]]=0,LEFT(SP_ACQ_Lib[[#This Row],[Name]],LEN(SP_ACQ_Lib[[#This Row],[File Name Convention]]))&lt;&gt;SP_ACQ_Lib[[#This Row],[File Name Convention]],ISERROR(SEARCH(SP_ACQ_Lib[[#This Row],[ACQ Document Type]],SP_ACQ_Lib[[#This Row],[Name]]))),1,0)</f>
        <v>0</v>
      </c>
    </row>
    <row r="862" spans="1:25" ht="15" x14ac:dyDescent="0.2">
      <c r="A862" s="157" t="str">
        <f>CONCATENATE(SP_ACQ_Lib[[#This Row],[Acquisition Tract No.]],"_",SP_ACQ_Lib[[#This Row],[ACQ Document Type]])</f>
        <v>T195_ROE Right-of-Entry Executed</v>
      </c>
      <c r="B862" s="14" t="s">
        <v>6347</v>
      </c>
      <c r="C862" s="263" t="s">
        <v>5317</v>
      </c>
      <c r="D862" s="12" t="s">
        <v>3260</v>
      </c>
      <c r="E862" s="8" t="s">
        <v>1146</v>
      </c>
      <c r="F862" s="8" t="s">
        <v>2683</v>
      </c>
      <c r="G862" s="8" t="s">
        <v>5660</v>
      </c>
      <c r="H862" s="7" t="s">
        <v>592</v>
      </c>
      <c r="I862" s="16">
        <v>43990</v>
      </c>
      <c r="J862" s="16">
        <v>44173</v>
      </c>
      <c r="K862" s="17"/>
      <c r="L862" s="3"/>
      <c r="M862" s="8" t="s">
        <v>4206</v>
      </c>
      <c r="N862" s="11">
        <v>44004.442048611112</v>
      </c>
      <c r="O862" s="8" t="s">
        <v>4206</v>
      </c>
      <c r="P862" s="11">
        <v>44004.430868055555</v>
      </c>
      <c r="Q862" s="13">
        <v>1868740</v>
      </c>
      <c r="R862" s="264" t="s">
        <v>594</v>
      </c>
      <c r="S862" s="14" t="s">
        <v>6416</v>
      </c>
      <c r="T862" s="163">
        <v>1243</v>
      </c>
      <c r="U862" s="164" t="str">
        <f>CONCATENATE(LEFT(SP_ACQ_Lib[[#This Row],[Tax Parcel ID]],7),"_",SP_ACQ_Lib[[#This Row],[ACQ Document Type]])</f>
        <v>R027013_ROE Right-of-Entry Executed</v>
      </c>
      <c r="V862" s="65" t="str">
        <f>INDEX(SP_AcqTract_DB[WCAD Tax Parcel ID],MATCH(SP_ACQ_Lib[[#This Row],[Acquisition Tract No.]],SP_AcqTract_DB[Acquisition Tract No.],0))</f>
        <v>R027013;#238</v>
      </c>
      <c r="W862" s="48" t="str">
        <f>INDEX(SP_TaxPar_DB[Acquisition Tract No.],MATCH(LEFT(SP_ACQ_Lib[[#This Row],[Tax Parcel ID]],7),SP_TaxPar_DB[Tax Parcel ID],0))</f>
        <v>T195</v>
      </c>
      <c r="X862" s="238" t="str">
        <f>IF(OR(SP_ACQ_Lib[[#This Row],[Acquisition Tract No.]]="",SP_ACQ_Lib[[#This Row],[ACQ Document Type]]=""),0,CONCATENATE("COW-FRMP_TR-",SP_ACQ_Lib[[#This Row],[Acquisition Tract No.]]," ",SP_ACQ_Lib[[#This Row],[ACQ Document Type]]))</f>
        <v>COW-FRMP_TR-T195 ROE Right-of-Entry Executed</v>
      </c>
      <c r="Y862" s="239">
        <f>IF(OR(SP_ACQ_Lib[[#This Row],[File Name Convention]]=0,LEFT(SP_ACQ_Lib[[#This Row],[Name]],LEN(SP_ACQ_Lib[[#This Row],[File Name Convention]]))&lt;&gt;SP_ACQ_Lib[[#This Row],[File Name Convention]],ISERROR(SEARCH(SP_ACQ_Lib[[#This Row],[ACQ Document Type]],SP_ACQ_Lib[[#This Row],[Name]]))),1,0)</f>
        <v>0</v>
      </c>
    </row>
    <row r="863" spans="1:25" ht="15" x14ac:dyDescent="0.2">
      <c r="A863" s="157" t="str">
        <f>CONCATENATE(SP_ACQ_Lib[[#This Row],[Acquisition Tract No.]],"_",SP_ACQ_Lib[[#This Row],[ACQ Document Type]])</f>
        <v>T195_ROE Right-of-Entry Package</v>
      </c>
      <c r="B863" s="14" t="s">
        <v>5766</v>
      </c>
      <c r="C863" s="263" t="s">
        <v>5317</v>
      </c>
      <c r="D863" s="12" t="s">
        <v>3260</v>
      </c>
      <c r="E863" s="8" t="s">
        <v>1146</v>
      </c>
      <c r="F863" s="8" t="s">
        <v>2687</v>
      </c>
      <c r="G863" s="8" t="s">
        <v>5659</v>
      </c>
      <c r="H863" s="7" t="s">
        <v>592</v>
      </c>
      <c r="I863" s="16">
        <v>43985</v>
      </c>
      <c r="J863" s="16"/>
      <c r="K863" s="17"/>
      <c r="L863" s="3"/>
      <c r="M863" s="8" t="s">
        <v>4206</v>
      </c>
      <c r="N863" s="11">
        <v>43986.575613425928</v>
      </c>
      <c r="O863" s="8" t="s">
        <v>4206</v>
      </c>
      <c r="P863" s="11">
        <v>43986.570150462961</v>
      </c>
      <c r="Q863" s="13">
        <v>1211676</v>
      </c>
      <c r="R863" s="264" t="s">
        <v>594</v>
      </c>
      <c r="S863" s="14" t="s">
        <v>5798</v>
      </c>
      <c r="T863" s="163">
        <v>1133</v>
      </c>
      <c r="U863" s="164" t="str">
        <f>CONCATENATE(LEFT(SP_ACQ_Lib[[#This Row],[Tax Parcel ID]],7),"_",SP_ACQ_Lib[[#This Row],[ACQ Document Type]])</f>
        <v>R027013_ROE Right-of-Entry Package</v>
      </c>
      <c r="V863" s="65" t="str">
        <f>INDEX(SP_AcqTract_DB[WCAD Tax Parcel ID],MATCH(SP_ACQ_Lib[[#This Row],[Acquisition Tract No.]],SP_AcqTract_DB[Acquisition Tract No.],0))</f>
        <v>R027013;#238</v>
      </c>
      <c r="W863" s="48" t="str">
        <f>INDEX(SP_TaxPar_DB[Acquisition Tract No.],MATCH(LEFT(SP_ACQ_Lib[[#This Row],[Tax Parcel ID]],7),SP_TaxPar_DB[Tax Parcel ID],0))</f>
        <v>T195</v>
      </c>
      <c r="X863" s="238" t="str">
        <f>IF(OR(SP_ACQ_Lib[[#This Row],[Acquisition Tract No.]]="",SP_ACQ_Lib[[#This Row],[ACQ Document Type]]=""),0,CONCATENATE("COW-FRMP_TR-",SP_ACQ_Lib[[#This Row],[Acquisition Tract No.]]," ",SP_ACQ_Lib[[#This Row],[ACQ Document Type]]))</f>
        <v>COW-FRMP_TR-T195 ROE Right-of-Entry Package</v>
      </c>
      <c r="Y863" s="239">
        <f>IF(OR(SP_ACQ_Lib[[#This Row],[File Name Convention]]=0,LEFT(SP_ACQ_Lib[[#This Row],[Name]],LEN(SP_ACQ_Lib[[#This Row],[File Name Convention]]))&lt;&gt;SP_ACQ_Lib[[#This Row],[File Name Convention]],ISERROR(SEARCH(SP_ACQ_Lib[[#This Row],[ACQ Document Type]],SP_ACQ_Lib[[#This Row],[Name]]))),1,0)</f>
        <v>0</v>
      </c>
    </row>
    <row r="864" spans="1:25" ht="15" x14ac:dyDescent="0.2">
      <c r="A864" s="157" t="str">
        <f>CONCATENATE(SP_ACQ_Lib[[#This Row],[Acquisition Tract No.]],"_",SP_ACQ_Lib[[#This Row],[ACQ Document Type]])</f>
        <v>T195_TITLE Tax Card</v>
      </c>
      <c r="B864" s="14" t="s">
        <v>5448</v>
      </c>
      <c r="C864" s="263" t="s">
        <v>5317</v>
      </c>
      <c r="D864" s="12" t="s">
        <v>3260</v>
      </c>
      <c r="E864" s="8" t="s">
        <v>861</v>
      </c>
      <c r="F864" s="8" t="s">
        <v>1150</v>
      </c>
      <c r="G864" s="8" t="s">
        <v>1149</v>
      </c>
      <c r="H864" s="7" t="s">
        <v>592</v>
      </c>
      <c r="I864" s="16"/>
      <c r="J864" s="16"/>
      <c r="K864" s="17"/>
      <c r="L864" s="3"/>
      <c r="M864" s="8" t="s">
        <v>4206</v>
      </c>
      <c r="N864" s="11">
        <v>43979.416817129626</v>
      </c>
      <c r="O864" s="8" t="s">
        <v>4206</v>
      </c>
      <c r="P864" s="11">
        <v>43979.391921296294</v>
      </c>
      <c r="Q864" s="13">
        <v>859088</v>
      </c>
      <c r="R864" s="264" t="s">
        <v>594</v>
      </c>
      <c r="S864" s="14" t="s">
        <v>5522</v>
      </c>
      <c r="T864" s="163">
        <v>1031</v>
      </c>
      <c r="U864" s="164" t="str">
        <f>CONCATENATE(LEFT(SP_ACQ_Lib[[#This Row],[Tax Parcel ID]],7),"_",SP_ACQ_Lib[[#This Row],[ACQ Document Type]])</f>
        <v>R027013_TITLE Tax Card</v>
      </c>
      <c r="V864" s="65" t="str">
        <f>INDEX(SP_AcqTract_DB[WCAD Tax Parcel ID],MATCH(SP_ACQ_Lib[[#This Row],[Acquisition Tract No.]],SP_AcqTract_DB[Acquisition Tract No.],0))</f>
        <v>R027013;#238</v>
      </c>
      <c r="W864" s="48" t="str">
        <f>INDEX(SP_TaxPar_DB[Acquisition Tract No.],MATCH(LEFT(SP_ACQ_Lib[[#This Row],[Tax Parcel ID]],7),SP_TaxPar_DB[Tax Parcel ID],0))</f>
        <v>T195</v>
      </c>
      <c r="X864" s="238" t="str">
        <f>IF(OR(SP_ACQ_Lib[[#This Row],[Acquisition Tract No.]]="",SP_ACQ_Lib[[#This Row],[ACQ Document Type]]=""),0,CONCATENATE("COW-FRMP_TR-",SP_ACQ_Lib[[#This Row],[Acquisition Tract No.]]," ",SP_ACQ_Lib[[#This Row],[ACQ Document Type]]))</f>
        <v>COW-FRMP_TR-T195 TITLE Tax Card</v>
      </c>
      <c r="Y864" s="239">
        <f>IF(OR(SP_ACQ_Lib[[#This Row],[File Name Convention]]=0,LEFT(SP_ACQ_Lib[[#This Row],[Name]],LEN(SP_ACQ_Lib[[#This Row],[File Name Convention]]))&lt;&gt;SP_ACQ_Lib[[#This Row],[File Name Convention]],ISERROR(SEARCH(SP_ACQ_Lib[[#This Row],[ACQ Document Type]],SP_ACQ_Lib[[#This Row],[Name]]))),1,0)</f>
        <v>0</v>
      </c>
    </row>
    <row r="865" spans="1:25" ht="15" x14ac:dyDescent="0.2">
      <c r="A865" s="157" t="str">
        <f>CONCATENATE(SP_ACQ_Lib[[#This Row],[Acquisition Tract No.]],"_",SP_ACQ_Lib[[#This Row],[ACQ Document Type]])</f>
        <v>T198_CONTACT Negotiator Report</v>
      </c>
      <c r="B865" s="14" t="s">
        <v>5449</v>
      </c>
      <c r="C865" s="263" t="s">
        <v>5255</v>
      </c>
      <c r="D865" s="12" t="s">
        <v>605</v>
      </c>
      <c r="E865" s="8" t="s">
        <v>865</v>
      </c>
      <c r="F865" s="8" t="s">
        <v>1068</v>
      </c>
      <c r="G865" s="8" t="s">
        <v>1067</v>
      </c>
      <c r="H865" s="7" t="s">
        <v>592</v>
      </c>
      <c r="I865" s="16">
        <v>43895</v>
      </c>
      <c r="J865" s="16"/>
      <c r="K865" s="17"/>
      <c r="L865" s="3"/>
      <c r="M865" s="8" t="s">
        <v>4206</v>
      </c>
      <c r="N865" s="11">
        <v>43978.546261574076</v>
      </c>
      <c r="O865" s="8" t="s">
        <v>4206</v>
      </c>
      <c r="P865" s="11">
        <v>43971.420949074076</v>
      </c>
      <c r="Q865" s="13">
        <v>252772</v>
      </c>
      <c r="R865" s="264" t="s">
        <v>594</v>
      </c>
      <c r="S865" s="14" t="s">
        <v>5245</v>
      </c>
      <c r="T865" s="163">
        <v>946</v>
      </c>
      <c r="U865" s="164" t="str">
        <f>CONCATENATE(LEFT(SP_ACQ_Lib[[#This Row],[Tax Parcel ID]],7),"_",SP_ACQ_Lib[[#This Row],[ACQ Document Type]])</f>
        <v>R027668_CONTACT Negotiator Report</v>
      </c>
      <c r="V865" s="65" t="str">
        <f>INDEX(SP_AcqTract_DB[WCAD Tax Parcel ID],MATCH(SP_ACQ_Lib[[#This Row],[Acquisition Tract No.]],SP_AcqTract_DB[Acquisition Tract No.],0))</f>
        <v>R027668;#67</v>
      </c>
      <c r="W865" s="48" t="str">
        <f>INDEX(SP_TaxPar_DB[Acquisition Tract No.],MATCH(LEFT(SP_ACQ_Lib[[#This Row],[Tax Parcel ID]],7),SP_TaxPar_DB[Tax Parcel ID],0))</f>
        <v>T198</v>
      </c>
      <c r="X865" s="238" t="str">
        <f>IF(OR(SP_ACQ_Lib[[#This Row],[Acquisition Tract No.]]="",SP_ACQ_Lib[[#This Row],[ACQ Document Type]]=""),0,CONCATENATE("COW-FRMP_TR-",SP_ACQ_Lib[[#This Row],[Acquisition Tract No.]]," ",SP_ACQ_Lib[[#This Row],[ACQ Document Type]]))</f>
        <v>COW-FRMP_TR-T198 CONTACT Negotiator Report</v>
      </c>
      <c r="Y865" s="239">
        <f>IF(OR(SP_ACQ_Lib[[#This Row],[File Name Convention]]=0,LEFT(SP_ACQ_Lib[[#This Row],[Name]],LEN(SP_ACQ_Lib[[#This Row],[File Name Convention]]))&lt;&gt;SP_ACQ_Lib[[#This Row],[File Name Convention]],ISERROR(SEARCH(SP_ACQ_Lib[[#This Row],[ACQ Document Type]],SP_ACQ_Lib[[#This Row],[Name]]))),1,0)</f>
        <v>0</v>
      </c>
    </row>
    <row r="866" spans="1:25" ht="15" x14ac:dyDescent="0.2">
      <c r="A866" s="157" t="str">
        <f>CONCATENATE(SP_ACQ_Lib[[#This Row],[Acquisition Tract No.]],"_",SP_ACQ_Lib[[#This Row],[ACQ Document Type]])</f>
        <v>T198_ENVIRONMENTAL Right-of-Entry Executed</v>
      </c>
      <c r="B866" s="14" t="s">
        <v>5595</v>
      </c>
      <c r="C866" s="263" t="s">
        <v>5255</v>
      </c>
      <c r="D866" s="12" t="s">
        <v>605</v>
      </c>
      <c r="E866" s="8" t="s">
        <v>2682</v>
      </c>
      <c r="F866" s="8" t="s">
        <v>2683</v>
      </c>
      <c r="G866" s="8" t="s">
        <v>2681</v>
      </c>
      <c r="H866" s="7" t="s">
        <v>592</v>
      </c>
      <c r="I866" s="16">
        <v>43934</v>
      </c>
      <c r="J866" s="16"/>
      <c r="K866" s="17"/>
      <c r="L866" s="3"/>
      <c r="M866" s="8" t="s">
        <v>4206</v>
      </c>
      <c r="N866" s="11">
        <v>43983.570868055554</v>
      </c>
      <c r="O866" s="8" t="s">
        <v>4206</v>
      </c>
      <c r="P866" s="11">
        <v>43971.420972222222</v>
      </c>
      <c r="Q866" s="13">
        <v>3903346</v>
      </c>
      <c r="R866" s="264" t="s">
        <v>594</v>
      </c>
      <c r="S866" s="14" t="s">
        <v>5184</v>
      </c>
      <c r="T866" s="163">
        <v>948</v>
      </c>
      <c r="U866" s="164" t="str">
        <f>CONCATENATE(LEFT(SP_ACQ_Lib[[#This Row],[Tax Parcel ID]],7),"_",SP_ACQ_Lib[[#This Row],[ACQ Document Type]])</f>
        <v>R027668_ENVIRONMENTAL Right-of-Entry Executed</v>
      </c>
      <c r="V866" s="65" t="str">
        <f>INDEX(SP_AcqTract_DB[WCAD Tax Parcel ID],MATCH(SP_ACQ_Lib[[#This Row],[Acquisition Tract No.]],SP_AcqTract_DB[Acquisition Tract No.],0))</f>
        <v>R027668;#67</v>
      </c>
      <c r="W866" s="48" t="str">
        <f>INDEX(SP_TaxPar_DB[Acquisition Tract No.],MATCH(LEFT(SP_ACQ_Lib[[#This Row],[Tax Parcel ID]],7),SP_TaxPar_DB[Tax Parcel ID],0))</f>
        <v>T198</v>
      </c>
      <c r="X866" s="238" t="str">
        <f>IF(OR(SP_ACQ_Lib[[#This Row],[Acquisition Tract No.]]="",SP_ACQ_Lib[[#This Row],[ACQ Document Type]]=""),0,CONCATENATE("COW-FRMP_TR-",SP_ACQ_Lib[[#This Row],[Acquisition Tract No.]]," ",SP_ACQ_Lib[[#This Row],[ACQ Document Type]]))</f>
        <v>COW-FRMP_TR-T198 ENVIRONMENTAL Right-of-Entry Executed</v>
      </c>
      <c r="Y866" s="239">
        <f>IF(OR(SP_ACQ_Lib[[#This Row],[File Name Convention]]=0,LEFT(SP_ACQ_Lib[[#This Row],[Name]],LEN(SP_ACQ_Lib[[#This Row],[File Name Convention]]))&lt;&gt;SP_ACQ_Lib[[#This Row],[File Name Convention]],ISERROR(SEARCH(SP_ACQ_Lib[[#This Row],[ACQ Document Type]],SP_ACQ_Lib[[#This Row],[Name]]))),1,0)</f>
        <v>0</v>
      </c>
    </row>
    <row r="867" spans="1:25" ht="15" x14ac:dyDescent="0.2">
      <c r="A867" s="157" t="str">
        <f>CONCATENATE(SP_ACQ_Lib[[#This Row],[Acquisition Tract No.]],"_",SP_ACQ_Lib[[#This Row],[ACQ Document Type]])</f>
        <v>T198_ENVIRONMENTAL Right-of-Entry Package</v>
      </c>
      <c r="B867" s="14" t="s">
        <v>5596</v>
      </c>
      <c r="C867" s="263" t="s">
        <v>5255</v>
      </c>
      <c r="D867" s="12" t="s">
        <v>605</v>
      </c>
      <c r="E867" s="8" t="s">
        <v>2682</v>
      </c>
      <c r="F867" s="8" t="s">
        <v>2687</v>
      </c>
      <c r="G867" s="8" t="s">
        <v>2686</v>
      </c>
      <c r="H867" s="7" t="s">
        <v>592</v>
      </c>
      <c r="I867" s="16">
        <v>43697</v>
      </c>
      <c r="J867" s="16">
        <v>43701</v>
      </c>
      <c r="K867" s="17"/>
      <c r="L867" s="3" t="s">
        <v>3513</v>
      </c>
      <c r="M867" s="8" t="s">
        <v>4206</v>
      </c>
      <c r="N867" s="11">
        <v>43983.597997685189</v>
      </c>
      <c r="O867" s="8" t="s">
        <v>4325</v>
      </c>
      <c r="P867" s="11">
        <v>43699.472511574073</v>
      </c>
      <c r="Q867" s="13">
        <v>1153860</v>
      </c>
      <c r="R867" s="264" t="s">
        <v>594</v>
      </c>
      <c r="S867" s="14" t="s">
        <v>690</v>
      </c>
      <c r="T867" s="163">
        <v>134</v>
      </c>
      <c r="U867" s="164" t="str">
        <f>CONCATENATE(LEFT(SP_ACQ_Lib[[#This Row],[Tax Parcel ID]],7),"_",SP_ACQ_Lib[[#This Row],[ACQ Document Type]])</f>
        <v>R027668_ENVIRONMENTAL Right-of-Entry Package</v>
      </c>
      <c r="V867" s="65" t="str">
        <f>INDEX(SP_AcqTract_DB[WCAD Tax Parcel ID],MATCH(SP_ACQ_Lib[[#This Row],[Acquisition Tract No.]],SP_AcqTract_DB[Acquisition Tract No.],0))</f>
        <v>R027668;#67</v>
      </c>
      <c r="W867" s="48" t="str">
        <f>INDEX(SP_TaxPar_DB[Acquisition Tract No.],MATCH(LEFT(SP_ACQ_Lib[[#This Row],[Tax Parcel ID]],7),SP_TaxPar_DB[Tax Parcel ID],0))</f>
        <v>T198</v>
      </c>
      <c r="X867" s="238" t="str">
        <f>IF(OR(SP_ACQ_Lib[[#This Row],[Acquisition Tract No.]]="",SP_ACQ_Lib[[#This Row],[ACQ Document Type]]=""),0,CONCATENATE("COW-FRMP_TR-",SP_ACQ_Lib[[#This Row],[Acquisition Tract No.]]," ",SP_ACQ_Lib[[#This Row],[ACQ Document Type]]))</f>
        <v>COW-FRMP_TR-T198 ENVIRONMENTAL Right-of-Entry Package</v>
      </c>
      <c r="Y867" s="239">
        <f>IF(OR(SP_ACQ_Lib[[#This Row],[File Name Convention]]=0,LEFT(SP_ACQ_Lib[[#This Row],[Name]],LEN(SP_ACQ_Lib[[#This Row],[File Name Convention]]))&lt;&gt;SP_ACQ_Lib[[#This Row],[File Name Convention]],ISERROR(SEARCH(SP_ACQ_Lib[[#This Row],[ACQ Document Type]],SP_ACQ_Lib[[#This Row],[Name]]))),1,0)</f>
        <v>0</v>
      </c>
    </row>
    <row r="868" spans="1:25" ht="15" x14ac:dyDescent="0.2">
      <c r="A868" s="157" t="str">
        <f>CONCATENATE(SP_ACQ_Lib[[#This Row],[Acquisition Tract No.]],"_",SP_ACQ_Lib[[#This Row],[ACQ Document Type]])</f>
        <v>T198_NEGOTIATION Owner Representation Letter</v>
      </c>
      <c r="B868" s="14" t="s">
        <v>5450</v>
      </c>
      <c r="C868" s="263" t="s">
        <v>5255</v>
      </c>
      <c r="D868" s="12" t="s">
        <v>605</v>
      </c>
      <c r="E868" s="8" t="s">
        <v>1142</v>
      </c>
      <c r="F868" s="8" t="s">
        <v>1404</v>
      </c>
      <c r="G868" s="8" t="s">
        <v>1403</v>
      </c>
      <c r="H868" s="7" t="s">
        <v>592</v>
      </c>
      <c r="I868" s="16">
        <v>43483</v>
      </c>
      <c r="J868" s="16"/>
      <c r="K868" s="17"/>
      <c r="L868" s="3" t="s">
        <v>3567</v>
      </c>
      <c r="M868" s="8" t="s">
        <v>4206</v>
      </c>
      <c r="N868" s="11">
        <v>43979.362928240742</v>
      </c>
      <c r="O868" s="8" t="s">
        <v>4206</v>
      </c>
      <c r="P868" s="11">
        <v>43971.420960648145</v>
      </c>
      <c r="Q868" s="13">
        <v>118362</v>
      </c>
      <c r="R868" s="264" t="s">
        <v>594</v>
      </c>
      <c r="S868" s="14" t="s">
        <v>5183</v>
      </c>
      <c r="T868" s="163">
        <v>947</v>
      </c>
      <c r="U868" s="164" t="str">
        <f>CONCATENATE(LEFT(SP_ACQ_Lib[[#This Row],[Tax Parcel ID]],7),"_",SP_ACQ_Lib[[#This Row],[ACQ Document Type]])</f>
        <v>R027668_NEGOTIATION Owner Representation Letter</v>
      </c>
      <c r="V868" s="65" t="str">
        <f>INDEX(SP_AcqTract_DB[WCAD Tax Parcel ID],MATCH(SP_ACQ_Lib[[#This Row],[Acquisition Tract No.]],SP_AcqTract_DB[Acquisition Tract No.],0))</f>
        <v>R027668;#67</v>
      </c>
      <c r="W868" s="48" t="str">
        <f>INDEX(SP_TaxPar_DB[Acquisition Tract No.],MATCH(LEFT(SP_ACQ_Lib[[#This Row],[Tax Parcel ID]],7),SP_TaxPar_DB[Tax Parcel ID],0))</f>
        <v>T198</v>
      </c>
      <c r="X868" s="238" t="str">
        <f>IF(OR(SP_ACQ_Lib[[#This Row],[Acquisition Tract No.]]="",SP_ACQ_Lib[[#This Row],[ACQ Document Type]]=""),0,CONCATENATE("COW-FRMP_TR-",SP_ACQ_Lib[[#This Row],[Acquisition Tract No.]]," ",SP_ACQ_Lib[[#This Row],[ACQ Document Type]]))</f>
        <v>COW-FRMP_TR-T198 NEGOTIATION Owner Representation Letter</v>
      </c>
      <c r="Y868" s="239">
        <f>IF(OR(SP_ACQ_Lib[[#This Row],[File Name Convention]]=0,LEFT(SP_ACQ_Lib[[#This Row],[Name]],LEN(SP_ACQ_Lib[[#This Row],[File Name Convention]]))&lt;&gt;SP_ACQ_Lib[[#This Row],[File Name Convention]],ISERROR(SEARCH(SP_ACQ_Lib[[#This Row],[ACQ Document Type]],SP_ACQ_Lib[[#This Row],[Name]]))),1,0)</f>
        <v>0</v>
      </c>
    </row>
    <row r="869" spans="1:25" ht="15" x14ac:dyDescent="0.2">
      <c r="A869" s="157" t="str">
        <f>CONCATENATE(SP_ACQ_Lib[[#This Row],[Acquisition Tract No.]],"_",SP_ACQ_Lib[[#This Row],[ACQ Document Type]])</f>
        <v>T198_TITLE Tax Card</v>
      </c>
      <c r="B869" s="14" t="s">
        <v>5451</v>
      </c>
      <c r="C869" s="263" t="s">
        <v>5255</v>
      </c>
      <c r="D869" s="12" t="s">
        <v>605</v>
      </c>
      <c r="E869" s="8" t="s">
        <v>861</v>
      </c>
      <c r="F869" s="8" t="s">
        <v>1150</v>
      </c>
      <c r="G869" s="8" t="s">
        <v>1149</v>
      </c>
      <c r="H869" s="7" t="s">
        <v>592</v>
      </c>
      <c r="I869" s="16"/>
      <c r="J869" s="16"/>
      <c r="K869" s="17"/>
      <c r="L869" s="3"/>
      <c r="M869" s="8" t="s">
        <v>4206</v>
      </c>
      <c r="N869" s="11">
        <v>43979.348981481482</v>
      </c>
      <c r="O869" s="8" t="s">
        <v>4206</v>
      </c>
      <c r="P869" s="11">
        <v>43971.421064814815</v>
      </c>
      <c r="Q869" s="13">
        <v>861788</v>
      </c>
      <c r="R869" s="264" t="s">
        <v>594</v>
      </c>
      <c r="S869" s="14" t="s">
        <v>5185</v>
      </c>
      <c r="T869" s="163">
        <v>949</v>
      </c>
      <c r="U869" s="164" t="str">
        <f>CONCATENATE(LEFT(SP_ACQ_Lib[[#This Row],[Tax Parcel ID]],7),"_",SP_ACQ_Lib[[#This Row],[ACQ Document Type]])</f>
        <v>R027668_TITLE Tax Card</v>
      </c>
      <c r="V869" s="65" t="str">
        <f>INDEX(SP_AcqTract_DB[WCAD Tax Parcel ID],MATCH(SP_ACQ_Lib[[#This Row],[Acquisition Tract No.]],SP_AcqTract_DB[Acquisition Tract No.],0))</f>
        <v>R027668;#67</v>
      </c>
      <c r="W869" s="48" t="str">
        <f>INDEX(SP_TaxPar_DB[Acquisition Tract No.],MATCH(LEFT(SP_ACQ_Lib[[#This Row],[Tax Parcel ID]],7),SP_TaxPar_DB[Tax Parcel ID],0))</f>
        <v>T198</v>
      </c>
      <c r="X869" s="238" t="str">
        <f>IF(OR(SP_ACQ_Lib[[#This Row],[Acquisition Tract No.]]="",SP_ACQ_Lib[[#This Row],[ACQ Document Type]]=""),0,CONCATENATE("COW-FRMP_TR-",SP_ACQ_Lib[[#This Row],[Acquisition Tract No.]]," ",SP_ACQ_Lib[[#This Row],[ACQ Document Type]]))</f>
        <v>COW-FRMP_TR-T198 TITLE Tax Card</v>
      </c>
      <c r="Y869" s="239">
        <f>IF(OR(SP_ACQ_Lib[[#This Row],[File Name Convention]]=0,LEFT(SP_ACQ_Lib[[#This Row],[Name]],LEN(SP_ACQ_Lib[[#This Row],[File Name Convention]]))&lt;&gt;SP_ACQ_Lib[[#This Row],[File Name Convention]],ISERROR(SEARCH(SP_ACQ_Lib[[#This Row],[ACQ Document Type]],SP_ACQ_Lib[[#This Row],[Name]]))),1,0)</f>
        <v>0</v>
      </c>
    </row>
    <row r="870" spans="1:25" ht="15" x14ac:dyDescent="0.2">
      <c r="A870" s="157" t="str">
        <f>CONCATENATE(SP_ACQ_Lib[[#This Row],[Acquisition Tract No.]],"_",SP_ACQ_Lib[[#This Row],[ACQ Document Type]])</f>
        <v>T200_ENVIRONMENTAL Right-of-Entry Executed</v>
      </c>
      <c r="B870" s="14" t="s">
        <v>5597</v>
      </c>
      <c r="C870" s="263" t="s">
        <v>5320</v>
      </c>
      <c r="D870" s="12" t="s">
        <v>610</v>
      </c>
      <c r="E870" s="8" t="s">
        <v>2682</v>
      </c>
      <c r="F870" s="8" t="s">
        <v>2683</v>
      </c>
      <c r="G870" s="8" t="s">
        <v>2681</v>
      </c>
      <c r="H870" s="7" t="s">
        <v>592</v>
      </c>
      <c r="I870" s="16">
        <v>43886</v>
      </c>
      <c r="J870" s="16">
        <v>44168</v>
      </c>
      <c r="K870" s="17"/>
      <c r="L870" s="3" t="s">
        <v>5910</v>
      </c>
      <c r="M870" s="8" t="s">
        <v>4205</v>
      </c>
      <c r="N870" s="11">
        <v>43992.633958333332</v>
      </c>
      <c r="O870" s="8" t="s">
        <v>4206</v>
      </c>
      <c r="P870" s="11">
        <v>43971.421099537038</v>
      </c>
      <c r="Q870" s="13">
        <v>3174959</v>
      </c>
      <c r="R870" s="264" t="s">
        <v>594</v>
      </c>
      <c r="S870" s="14" t="s">
        <v>5187</v>
      </c>
      <c r="T870" s="163">
        <v>951</v>
      </c>
      <c r="U870" s="164" t="str">
        <f>CONCATENATE(LEFT(SP_ACQ_Lib[[#This Row],[Tax Parcel ID]],7),"_",SP_ACQ_Lib[[#This Row],[ACQ Document Type]])</f>
        <v>R027694_ENVIRONMENTAL Right-of-Entry Executed</v>
      </c>
      <c r="V870" s="65" t="str">
        <f>INDEX(SP_AcqTract_DB[WCAD Tax Parcel ID],MATCH(SP_ACQ_Lib[[#This Row],[Acquisition Tract No.]],SP_AcqTract_DB[Acquisition Tract No.],0))</f>
        <v>R027694;#75</v>
      </c>
      <c r="W870" s="48" t="str">
        <f>INDEX(SP_TaxPar_DB[Acquisition Tract No.],MATCH(LEFT(SP_ACQ_Lib[[#This Row],[Tax Parcel ID]],7),SP_TaxPar_DB[Tax Parcel ID],0))</f>
        <v>T200</v>
      </c>
      <c r="X870" s="238" t="str">
        <f>IF(OR(SP_ACQ_Lib[[#This Row],[Acquisition Tract No.]]="",SP_ACQ_Lib[[#This Row],[ACQ Document Type]]=""),0,CONCATENATE("COW-FRMP_TR-",SP_ACQ_Lib[[#This Row],[Acquisition Tract No.]]," ",SP_ACQ_Lib[[#This Row],[ACQ Document Type]]))</f>
        <v>COW-FRMP_TR-T200 ENVIRONMENTAL Right-of-Entry Executed</v>
      </c>
      <c r="Y870" s="239">
        <f>IF(OR(SP_ACQ_Lib[[#This Row],[File Name Convention]]=0,LEFT(SP_ACQ_Lib[[#This Row],[Name]],LEN(SP_ACQ_Lib[[#This Row],[File Name Convention]]))&lt;&gt;SP_ACQ_Lib[[#This Row],[File Name Convention]],ISERROR(SEARCH(SP_ACQ_Lib[[#This Row],[ACQ Document Type]],SP_ACQ_Lib[[#This Row],[Name]]))),1,0)</f>
        <v>0</v>
      </c>
    </row>
    <row r="871" spans="1:25" ht="15" x14ac:dyDescent="0.2">
      <c r="A871" s="157" t="str">
        <f>CONCATENATE(SP_ACQ_Lib[[#This Row],[Acquisition Tract No.]],"_",SP_ACQ_Lib[[#This Row],[ACQ Document Type]])</f>
        <v>T200_ENVIRONMENTAL Right-of-Entry Package</v>
      </c>
      <c r="B871" s="14" t="s">
        <v>5598</v>
      </c>
      <c r="C871" s="263" t="s">
        <v>5320</v>
      </c>
      <c r="D871" s="12" t="s">
        <v>610</v>
      </c>
      <c r="E871" s="8" t="s">
        <v>2682</v>
      </c>
      <c r="F871" s="8" t="s">
        <v>2687</v>
      </c>
      <c r="G871" s="8" t="s">
        <v>2686</v>
      </c>
      <c r="H871" s="7" t="s">
        <v>592</v>
      </c>
      <c r="I871" s="16">
        <v>43697</v>
      </c>
      <c r="J871" s="16">
        <v>43701</v>
      </c>
      <c r="K871" s="17"/>
      <c r="L871" s="3" t="s">
        <v>4349</v>
      </c>
      <c r="M871" s="8" t="s">
        <v>4206</v>
      </c>
      <c r="N871" s="11">
        <v>43983.598043981481</v>
      </c>
      <c r="O871" s="8" t="s">
        <v>4206</v>
      </c>
      <c r="P871" s="11">
        <v>43971.421087962961</v>
      </c>
      <c r="Q871" s="13">
        <v>615697</v>
      </c>
      <c r="R871" s="264" t="s">
        <v>594</v>
      </c>
      <c r="S871" s="14" t="s">
        <v>5186</v>
      </c>
      <c r="T871" s="163">
        <v>950</v>
      </c>
      <c r="U871" s="164" t="str">
        <f>CONCATENATE(LEFT(SP_ACQ_Lib[[#This Row],[Tax Parcel ID]],7),"_",SP_ACQ_Lib[[#This Row],[ACQ Document Type]])</f>
        <v>R027694_ENVIRONMENTAL Right-of-Entry Package</v>
      </c>
      <c r="V871" s="65" t="str">
        <f>INDEX(SP_AcqTract_DB[WCAD Tax Parcel ID],MATCH(SP_ACQ_Lib[[#This Row],[Acquisition Tract No.]],SP_AcqTract_DB[Acquisition Tract No.],0))</f>
        <v>R027694;#75</v>
      </c>
      <c r="W871" s="48" t="str">
        <f>INDEX(SP_TaxPar_DB[Acquisition Tract No.],MATCH(LEFT(SP_ACQ_Lib[[#This Row],[Tax Parcel ID]],7),SP_TaxPar_DB[Tax Parcel ID],0))</f>
        <v>T200</v>
      </c>
      <c r="X871" s="238" t="str">
        <f>IF(OR(SP_ACQ_Lib[[#This Row],[Acquisition Tract No.]]="",SP_ACQ_Lib[[#This Row],[ACQ Document Type]]=""),0,CONCATENATE("COW-FRMP_TR-",SP_ACQ_Lib[[#This Row],[Acquisition Tract No.]]," ",SP_ACQ_Lib[[#This Row],[ACQ Document Type]]))</f>
        <v>COW-FRMP_TR-T200 ENVIRONMENTAL Right-of-Entry Package</v>
      </c>
      <c r="Y871" s="239">
        <f>IF(OR(SP_ACQ_Lib[[#This Row],[File Name Convention]]=0,LEFT(SP_ACQ_Lib[[#This Row],[Name]],LEN(SP_ACQ_Lib[[#This Row],[File Name Convention]]))&lt;&gt;SP_ACQ_Lib[[#This Row],[File Name Convention]],ISERROR(SEARCH(SP_ACQ_Lib[[#This Row],[ACQ Document Type]],SP_ACQ_Lib[[#This Row],[Name]]))),1,0)</f>
        <v>0</v>
      </c>
    </row>
    <row r="872" spans="1:25" ht="15" x14ac:dyDescent="0.2">
      <c r="A872" s="157" t="str">
        <f>CONCATENATE(SP_ACQ_Lib[[#This Row],[Acquisition Tract No.]],"_",SP_ACQ_Lib[[#This Row],[ACQ Document Type]])</f>
        <v>T200_ROE Right-of-Entry Executed</v>
      </c>
      <c r="B872" s="14" t="s">
        <v>5742</v>
      </c>
      <c r="C872" s="263" t="s">
        <v>5320</v>
      </c>
      <c r="D872" s="12" t="s">
        <v>610</v>
      </c>
      <c r="E872" s="8" t="s">
        <v>1146</v>
      </c>
      <c r="F872" s="8" t="s">
        <v>2683</v>
      </c>
      <c r="G872" s="8" t="s">
        <v>5660</v>
      </c>
      <c r="H872" s="7" t="s">
        <v>592</v>
      </c>
      <c r="I872" s="16">
        <v>43741</v>
      </c>
      <c r="J872" s="16">
        <v>43924</v>
      </c>
      <c r="K872" s="17"/>
      <c r="L872" s="3"/>
      <c r="M872" s="8" t="s">
        <v>4206</v>
      </c>
      <c r="N872" s="11">
        <v>43986.619641203702</v>
      </c>
      <c r="O872" s="8" t="s">
        <v>4206</v>
      </c>
      <c r="P872" s="11">
        <v>43986.386666666665</v>
      </c>
      <c r="Q872" s="13">
        <v>4951755</v>
      </c>
      <c r="R872" s="264" t="s">
        <v>594</v>
      </c>
      <c r="S872" s="14" t="s">
        <v>5749</v>
      </c>
      <c r="T872" s="163">
        <v>1108</v>
      </c>
      <c r="U872" s="164" t="str">
        <f>CONCATENATE(LEFT(SP_ACQ_Lib[[#This Row],[Tax Parcel ID]],7),"_",SP_ACQ_Lib[[#This Row],[ACQ Document Type]])</f>
        <v>R027694_ROE Right-of-Entry Executed</v>
      </c>
      <c r="V872" s="65" t="str">
        <f>INDEX(SP_AcqTract_DB[WCAD Tax Parcel ID],MATCH(SP_ACQ_Lib[[#This Row],[Acquisition Tract No.]],SP_AcqTract_DB[Acquisition Tract No.],0))</f>
        <v>R027694;#75</v>
      </c>
      <c r="W872" s="48" t="str">
        <f>INDEX(SP_TaxPar_DB[Acquisition Tract No.],MATCH(LEFT(SP_ACQ_Lib[[#This Row],[Tax Parcel ID]],7),SP_TaxPar_DB[Tax Parcel ID],0))</f>
        <v>T200</v>
      </c>
      <c r="X872" s="238" t="str">
        <f>IF(OR(SP_ACQ_Lib[[#This Row],[Acquisition Tract No.]]="",SP_ACQ_Lib[[#This Row],[ACQ Document Type]]=""),0,CONCATENATE("COW-FRMP_TR-",SP_ACQ_Lib[[#This Row],[Acquisition Tract No.]]," ",SP_ACQ_Lib[[#This Row],[ACQ Document Type]]))</f>
        <v>COW-FRMP_TR-T200 ROE Right-of-Entry Executed</v>
      </c>
      <c r="Y872" s="239">
        <f>IF(OR(SP_ACQ_Lib[[#This Row],[File Name Convention]]=0,LEFT(SP_ACQ_Lib[[#This Row],[Name]],LEN(SP_ACQ_Lib[[#This Row],[File Name Convention]]))&lt;&gt;SP_ACQ_Lib[[#This Row],[File Name Convention]],ISERROR(SEARCH(SP_ACQ_Lib[[#This Row],[ACQ Document Type]],SP_ACQ_Lib[[#This Row],[Name]]))),1,0)</f>
        <v>0</v>
      </c>
    </row>
    <row r="873" spans="1:25" ht="15" x14ac:dyDescent="0.2">
      <c r="A873" s="157" t="str">
        <f>CONCATENATE(SP_ACQ_Lib[[#This Row],[Acquisition Tract No.]],"_",SP_ACQ_Lib[[#This Row],[ACQ Document Type]])</f>
        <v>T200_TITLE Tax Card</v>
      </c>
      <c r="B873" s="14" t="s">
        <v>5452</v>
      </c>
      <c r="C873" s="263" t="s">
        <v>5320</v>
      </c>
      <c r="D873" s="12" t="s">
        <v>610</v>
      </c>
      <c r="E873" s="8" t="s">
        <v>861</v>
      </c>
      <c r="F873" s="8" t="s">
        <v>1150</v>
      </c>
      <c r="G873" s="8" t="s">
        <v>1149</v>
      </c>
      <c r="H873" s="7" t="s">
        <v>592</v>
      </c>
      <c r="I873" s="16"/>
      <c r="J873" s="16"/>
      <c r="K873" s="17"/>
      <c r="L873" s="3"/>
      <c r="M873" s="8" t="s">
        <v>4206</v>
      </c>
      <c r="N873" s="11">
        <v>43979.349027777775</v>
      </c>
      <c r="O873" s="8" t="s">
        <v>4206</v>
      </c>
      <c r="P873" s="11">
        <v>43971.421168981484</v>
      </c>
      <c r="Q873" s="13">
        <v>726018</v>
      </c>
      <c r="R873" s="264" t="s">
        <v>594</v>
      </c>
      <c r="S873" s="14" t="s">
        <v>5188</v>
      </c>
      <c r="T873" s="163">
        <v>952</v>
      </c>
      <c r="U873" s="164" t="str">
        <f>CONCATENATE(LEFT(SP_ACQ_Lib[[#This Row],[Tax Parcel ID]],7),"_",SP_ACQ_Lib[[#This Row],[ACQ Document Type]])</f>
        <v>R027694_TITLE Tax Card</v>
      </c>
      <c r="V873" s="65" t="str">
        <f>INDEX(SP_AcqTract_DB[WCAD Tax Parcel ID],MATCH(SP_ACQ_Lib[[#This Row],[Acquisition Tract No.]],SP_AcqTract_DB[Acquisition Tract No.],0))</f>
        <v>R027694;#75</v>
      </c>
      <c r="W873" s="48" t="str">
        <f>INDEX(SP_TaxPar_DB[Acquisition Tract No.],MATCH(LEFT(SP_ACQ_Lib[[#This Row],[Tax Parcel ID]],7),SP_TaxPar_DB[Tax Parcel ID],0))</f>
        <v>T200</v>
      </c>
      <c r="X873" s="238" t="str">
        <f>IF(OR(SP_ACQ_Lib[[#This Row],[Acquisition Tract No.]]="",SP_ACQ_Lib[[#This Row],[ACQ Document Type]]=""),0,CONCATENATE("COW-FRMP_TR-",SP_ACQ_Lib[[#This Row],[Acquisition Tract No.]]," ",SP_ACQ_Lib[[#This Row],[ACQ Document Type]]))</f>
        <v>COW-FRMP_TR-T200 TITLE Tax Card</v>
      </c>
      <c r="Y873" s="239">
        <f>IF(OR(SP_ACQ_Lib[[#This Row],[File Name Convention]]=0,LEFT(SP_ACQ_Lib[[#This Row],[Name]],LEN(SP_ACQ_Lib[[#This Row],[File Name Convention]]))&lt;&gt;SP_ACQ_Lib[[#This Row],[File Name Convention]],ISERROR(SEARCH(SP_ACQ_Lib[[#This Row],[ACQ Document Type]],SP_ACQ_Lib[[#This Row],[Name]]))),1,0)</f>
        <v>0</v>
      </c>
    </row>
    <row r="874" spans="1:25" ht="15" x14ac:dyDescent="0.2">
      <c r="A874" s="157" t="str">
        <f>CONCATENATE(SP_ACQ_Lib[[#This Row],[Acquisition Tract No.]],"_",SP_ACQ_Lib[[#This Row],[ACQ Document Type]])</f>
        <v>T205_CONTACT Negotiator Report</v>
      </c>
      <c r="B874" s="14" t="s">
        <v>5453</v>
      </c>
      <c r="C874" s="263" t="s">
        <v>5322</v>
      </c>
      <c r="D874" s="12" t="s">
        <v>3271</v>
      </c>
      <c r="E874" s="8" t="s">
        <v>865</v>
      </c>
      <c r="F874" s="8" t="s">
        <v>1068</v>
      </c>
      <c r="G874" s="8" t="s">
        <v>1067</v>
      </c>
      <c r="H874" s="7" t="s">
        <v>592</v>
      </c>
      <c r="I874" s="16">
        <v>43895</v>
      </c>
      <c r="J874" s="16"/>
      <c r="K874" s="17"/>
      <c r="L874" s="3"/>
      <c r="M874" s="8" t="s">
        <v>1744</v>
      </c>
      <c r="N874" s="11">
        <v>44012.66510416667</v>
      </c>
      <c r="O874" s="8" t="s">
        <v>4206</v>
      </c>
      <c r="P874" s="11">
        <v>43971.421180555553</v>
      </c>
      <c r="Q874" s="13">
        <v>481331</v>
      </c>
      <c r="R874" s="264" t="s">
        <v>594</v>
      </c>
      <c r="S874" s="14" t="s">
        <v>5246</v>
      </c>
      <c r="T874" s="163">
        <v>953</v>
      </c>
      <c r="U874" s="164" t="str">
        <f>CONCATENATE(LEFT(SP_ACQ_Lib[[#This Row],[Tax Parcel ID]],7),"_",SP_ACQ_Lib[[#This Row],[ACQ Document Type]])</f>
        <v>R032037_CONTACT Negotiator Report</v>
      </c>
      <c r="V874" s="65" t="str">
        <f>INDEX(SP_AcqTract_DB[WCAD Tax Parcel ID],MATCH(SP_ACQ_Lib[[#This Row],[Acquisition Tract No.]],SP_AcqTract_DB[Acquisition Tract No.],0))</f>
        <v>R032037;#244</v>
      </c>
      <c r="W874" s="48" t="str">
        <f>INDEX(SP_TaxPar_DB[Acquisition Tract No.],MATCH(LEFT(SP_ACQ_Lib[[#This Row],[Tax Parcel ID]],7),SP_TaxPar_DB[Tax Parcel ID],0))</f>
        <v>T205</v>
      </c>
      <c r="X874" s="238" t="str">
        <f>IF(OR(SP_ACQ_Lib[[#This Row],[Acquisition Tract No.]]="",SP_ACQ_Lib[[#This Row],[ACQ Document Type]]=""),0,CONCATENATE("COW-FRMP_TR-",SP_ACQ_Lib[[#This Row],[Acquisition Tract No.]]," ",SP_ACQ_Lib[[#This Row],[ACQ Document Type]]))</f>
        <v>COW-FRMP_TR-T205 CONTACT Negotiator Report</v>
      </c>
      <c r="Y874" s="239">
        <f>IF(OR(SP_ACQ_Lib[[#This Row],[File Name Convention]]=0,LEFT(SP_ACQ_Lib[[#This Row],[Name]],LEN(SP_ACQ_Lib[[#This Row],[File Name Convention]]))&lt;&gt;SP_ACQ_Lib[[#This Row],[File Name Convention]],ISERROR(SEARCH(SP_ACQ_Lib[[#This Row],[ACQ Document Type]],SP_ACQ_Lib[[#This Row],[Name]]))),1,0)</f>
        <v>0</v>
      </c>
    </row>
    <row r="875" spans="1:25" ht="15" x14ac:dyDescent="0.2">
      <c r="A875" s="157" t="str">
        <f>CONCATENATE(SP_ACQ_Lib[[#This Row],[Acquisition Tract No.]],"_",SP_ACQ_Lib[[#This Row],[ACQ Document Type]])</f>
        <v>T205_ENVIRONMENTAL Right-of-Entry Executed</v>
      </c>
      <c r="B875" s="14" t="s">
        <v>5599</v>
      </c>
      <c r="C875" s="263" t="s">
        <v>5322</v>
      </c>
      <c r="D875" s="12" t="s">
        <v>3271</v>
      </c>
      <c r="E875" s="8" t="s">
        <v>2682</v>
      </c>
      <c r="F875" s="8" t="s">
        <v>2683</v>
      </c>
      <c r="G875" s="8" t="s">
        <v>2681</v>
      </c>
      <c r="H875" s="7" t="s">
        <v>592</v>
      </c>
      <c r="I875" s="16">
        <v>43900</v>
      </c>
      <c r="J875" s="16"/>
      <c r="K875" s="17"/>
      <c r="L875" s="3"/>
      <c r="M875" s="8" t="s">
        <v>4206</v>
      </c>
      <c r="N875" s="11">
        <v>43983.571250000001</v>
      </c>
      <c r="O875" s="8" t="s">
        <v>4206</v>
      </c>
      <c r="P875" s="11">
        <v>43971.421226851853</v>
      </c>
      <c r="Q875" s="13">
        <v>1855451</v>
      </c>
      <c r="R875" s="264" t="s">
        <v>594</v>
      </c>
      <c r="S875" s="14" t="s">
        <v>5190</v>
      </c>
      <c r="T875" s="163">
        <v>955</v>
      </c>
      <c r="U875" s="164" t="str">
        <f>CONCATENATE(LEFT(SP_ACQ_Lib[[#This Row],[Tax Parcel ID]],7),"_",SP_ACQ_Lib[[#This Row],[ACQ Document Type]])</f>
        <v>R032037_ENVIRONMENTAL Right-of-Entry Executed</v>
      </c>
      <c r="V875" s="65" t="str">
        <f>INDEX(SP_AcqTract_DB[WCAD Tax Parcel ID],MATCH(SP_ACQ_Lib[[#This Row],[Acquisition Tract No.]],SP_AcqTract_DB[Acquisition Tract No.],0))</f>
        <v>R032037;#244</v>
      </c>
      <c r="W875" s="48" t="str">
        <f>INDEX(SP_TaxPar_DB[Acquisition Tract No.],MATCH(LEFT(SP_ACQ_Lib[[#This Row],[Tax Parcel ID]],7),SP_TaxPar_DB[Tax Parcel ID],0))</f>
        <v>T205</v>
      </c>
      <c r="X875" s="238" t="str">
        <f>IF(OR(SP_ACQ_Lib[[#This Row],[Acquisition Tract No.]]="",SP_ACQ_Lib[[#This Row],[ACQ Document Type]]=""),0,CONCATENATE("COW-FRMP_TR-",SP_ACQ_Lib[[#This Row],[Acquisition Tract No.]]," ",SP_ACQ_Lib[[#This Row],[ACQ Document Type]]))</f>
        <v>COW-FRMP_TR-T205 ENVIRONMENTAL Right-of-Entry Executed</v>
      </c>
      <c r="Y875" s="239">
        <f>IF(OR(SP_ACQ_Lib[[#This Row],[File Name Convention]]=0,LEFT(SP_ACQ_Lib[[#This Row],[Name]],LEN(SP_ACQ_Lib[[#This Row],[File Name Convention]]))&lt;&gt;SP_ACQ_Lib[[#This Row],[File Name Convention]],ISERROR(SEARCH(SP_ACQ_Lib[[#This Row],[ACQ Document Type]],SP_ACQ_Lib[[#This Row],[Name]]))),1,0)</f>
        <v>0</v>
      </c>
    </row>
    <row r="876" spans="1:25" ht="15" x14ac:dyDescent="0.2">
      <c r="A876" s="157" t="str">
        <f>CONCATENATE(SP_ACQ_Lib[[#This Row],[Acquisition Tract No.]],"_",SP_ACQ_Lib[[#This Row],[ACQ Document Type]])</f>
        <v>T205_ENVIRONMENTAL Right-of-Entry Package</v>
      </c>
      <c r="B876" s="14" t="s">
        <v>5600</v>
      </c>
      <c r="C876" s="263" t="s">
        <v>5322</v>
      </c>
      <c r="D876" s="12" t="s">
        <v>3271</v>
      </c>
      <c r="E876" s="8" t="s">
        <v>2682</v>
      </c>
      <c r="F876" s="8" t="s">
        <v>2687</v>
      </c>
      <c r="G876" s="8" t="s">
        <v>2686</v>
      </c>
      <c r="H876" s="7" t="s">
        <v>592</v>
      </c>
      <c r="I876" s="16">
        <v>43850</v>
      </c>
      <c r="J876" s="16">
        <v>43858</v>
      </c>
      <c r="K876" s="17"/>
      <c r="L876" s="3"/>
      <c r="M876" s="8" t="s">
        <v>4206</v>
      </c>
      <c r="N876" s="11">
        <v>43983.598043981481</v>
      </c>
      <c r="O876" s="8" t="s">
        <v>4206</v>
      </c>
      <c r="P876" s="11">
        <v>43971.421203703707</v>
      </c>
      <c r="Q876" s="13">
        <v>823462</v>
      </c>
      <c r="R876" s="264" t="s">
        <v>594</v>
      </c>
      <c r="S876" s="14" t="s">
        <v>5189</v>
      </c>
      <c r="T876" s="163">
        <v>954</v>
      </c>
      <c r="U876" s="164" t="str">
        <f>CONCATENATE(LEFT(SP_ACQ_Lib[[#This Row],[Tax Parcel ID]],7),"_",SP_ACQ_Lib[[#This Row],[ACQ Document Type]])</f>
        <v>R032037_ENVIRONMENTAL Right-of-Entry Package</v>
      </c>
      <c r="V876" s="65" t="str">
        <f>INDEX(SP_AcqTract_DB[WCAD Tax Parcel ID],MATCH(SP_ACQ_Lib[[#This Row],[Acquisition Tract No.]],SP_AcqTract_DB[Acquisition Tract No.],0))</f>
        <v>R032037;#244</v>
      </c>
      <c r="W876" s="48" t="str">
        <f>INDEX(SP_TaxPar_DB[Acquisition Tract No.],MATCH(LEFT(SP_ACQ_Lib[[#This Row],[Tax Parcel ID]],7),SP_TaxPar_DB[Tax Parcel ID],0))</f>
        <v>T205</v>
      </c>
      <c r="X876" s="238" t="str">
        <f>IF(OR(SP_ACQ_Lib[[#This Row],[Acquisition Tract No.]]="",SP_ACQ_Lib[[#This Row],[ACQ Document Type]]=""),0,CONCATENATE("COW-FRMP_TR-",SP_ACQ_Lib[[#This Row],[Acquisition Tract No.]]," ",SP_ACQ_Lib[[#This Row],[ACQ Document Type]]))</f>
        <v>COW-FRMP_TR-T205 ENVIRONMENTAL Right-of-Entry Package</v>
      </c>
      <c r="Y876" s="239">
        <f>IF(OR(SP_ACQ_Lib[[#This Row],[File Name Convention]]=0,LEFT(SP_ACQ_Lib[[#This Row],[Name]],LEN(SP_ACQ_Lib[[#This Row],[File Name Convention]]))&lt;&gt;SP_ACQ_Lib[[#This Row],[File Name Convention]],ISERROR(SEARCH(SP_ACQ_Lib[[#This Row],[ACQ Document Type]],SP_ACQ_Lib[[#This Row],[Name]]))),1,0)</f>
        <v>0</v>
      </c>
    </row>
    <row r="877" spans="1:25" ht="15" x14ac:dyDescent="0.2">
      <c r="A877" s="157" t="str">
        <f>CONCATENATE(SP_ACQ_Lib[[#This Row],[Acquisition Tract No.]],"_",SP_ACQ_Lib[[#This Row],[ACQ Document Type]])</f>
        <v>T205_ROE Right-of-Entry Package</v>
      </c>
      <c r="B877" s="14" t="s">
        <v>5767</v>
      </c>
      <c r="C877" s="263" t="s">
        <v>5322</v>
      </c>
      <c r="D877" s="12" t="s">
        <v>3271</v>
      </c>
      <c r="E877" s="8" t="s">
        <v>1146</v>
      </c>
      <c r="F877" s="8" t="s">
        <v>2687</v>
      </c>
      <c r="G877" s="8" t="s">
        <v>5659</v>
      </c>
      <c r="H877" s="7" t="s">
        <v>592</v>
      </c>
      <c r="I877" s="16">
        <v>43985</v>
      </c>
      <c r="J877" s="16"/>
      <c r="K877" s="17"/>
      <c r="L877" s="3"/>
      <c r="M877" s="8" t="s">
        <v>4206</v>
      </c>
      <c r="N877" s="11">
        <v>43986.576157407406</v>
      </c>
      <c r="O877" s="8" t="s">
        <v>4206</v>
      </c>
      <c r="P877" s="11">
        <v>43986.570185185185</v>
      </c>
      <c r="Q877" s="13">
        <v>1472238</v>
      </c>
      <c r="R877" s="264" t="s">
        <v>594</v>
      </c>
      <c r="S877" s="14" t="s">
        <v>5799</v>
      </c>
      <c r="T877" s="163">
        <v>1134</v>
      </c>
      <c r="U877" s="164" t="str">
        <f>CONCATENATE(LEFT(SP_ACQ_Lib[[#This Row],[Tax Parcel ID]],7),"_",SP_ACQ_Lib[[#This Row],[ACQ Document Type]])</f>
        <v>R032037_ROE Right-of-Entry Package</v>
      </c>
      <c r="V877" s="65" t="str">
        <f>INDEX(SP_AcqTract_DB[WCAD Tax Parcel ID],MATCH(SP_ACQ_Lib[[#This Row],[Acquisition Tract No.]],SP_AcqTract_DB[Acquisition Tract No.],0))</f>
        <v>R032037;#244</v>
      </c>
      <c r="W877" s="48" t="str">
        <f>INDEX(SP_TaxPar_DB[Acquisition Tract No.],MATCH(LEFT(SP_ACQ_Lib[[#This Row],[Tax Parcel ID]],7),SP_TaxPar_DB[Tax Parcel ID],0))</f>
        <v>T205</v>
      </c>
      <c r="X877" s="238" t="str">
        <f>IF(OR(SP_ACQ_Lib[[#This Row],[Acquisition Tract No.]]="",SP_ACQ_Lib[[#This Row],[ACQ Document Type]]=""),0,CONCATENATE("COW-FRMP_TR-",SP_ACQ_Lib[[#This Row],[Acquisition Tract No.]]," ",SP_ACQ_Lib[[#This Row],[ACQ Document Type]]))</f>
        <v>COW-FRMP_TR-T205 ROE Right-of-Entry Package</v>
      </c>
      <c r="Y877" s="239">
        <f>IF(OR(SP_ACQ_Lib[[#This Row],[File Name Convention]]=0,LEFT(SP_ACQ_Lib[[#This Row],[Name]],LEN(SP_ACQ_Lib[[#This Row],[File Name Convention]]))&lt;&gt;SP_ACQ_Lib[[#This Row],[File Name Convention]],ISERROR(SEARCH(SP_ACQ_Lib[[#This Row],[ACQ Document Type]],SP_ACQ_Lib[[#This Row],[Name]]))),1,0)</f>
        <v>0</v>
      </c>
    </row>
    <row r="878" spans="1:25" ht="15" x14ac:dyDescent="0.2">
      <c r="A878" s="157" t="str">
        <f>CONCATENATE(SP_ACQ_Lib[[#This Row],[Acquisition Tract No.]],"_",SP_ACQ_Lib[[#This Row],[ACQ Document Type]])</f>
        <v>T205_TITLE Tax Card</v>
      </c>
      <c r="B878" s="14" t="s">
        <v>5454</v>
      </c>
      <c r="C878" s="263" t="s">
        <v>5322</v>
      </c>
      <c r="D878" s="12" t="s">
        <v>3271</v>
      </c>
      <c r="E878" s="8" t="s">
        <v>861</v>
      </c>
      <c r="F878" s="8" t="s">
        <v>1150</v>
      </c>
      <c r="G878" s="8" t="s">
        <v>1149</v>
      </c>
      <c r="H878" s="7" t="s">
        <v>592</v>
      </c>
      <c r="I878" s="16"/>
      <c r="J878" s="16"/>
      <c r="K878" s="17"/>
      <c r="L878" s="3"/>
      <c r="M878" s="8" t="s">
        <v>4206</v>
      </c>
      <c r="N878" s="11">
        <v>43979.349027777775</v>
      </c>
      <c r="O878" s="8" t="s">
        <v>4206</v>
      </c>
      <c r="P878" s="11">
        <v>43971.421273148146</v>
      </c>
      <c r="Q878" s="13">
        <v>714184</v>
      </c>
      <c r="R878" s="264" t="s">
        <v>594</v>
      </c>
      <c r="S878" s="14" t="s">
        <v>5191</v>
      </c>
      <c r="T878" s="163">
        <v>956</v>
      </c>
      <c r="U878" s="164" t="str">
        <f>CONCATENATE(LEFT(SP_ACQ_Lib[[#This Row],[Tax Parcel ID]],7),"_",SP_ACQ_Lib[[#This Row],[ACQ Document Type]])</f>
        <v>R032037_TITLE Tax Card</v>
      </c>
      <c r="V878" s="65" t="str">
        <f>INDEX(SP_AcqTract_DB[WCAD Tax Parcel ID],MATCH(SP_ACQ_Lib[[#This Row],[Acquisition Tract No.]],SP_AcqTract_DB[Acquisition Tract No.],0))</f>
        <v>R032037;#244</v>
      </c>
      <c r="W878" s="48" t="str">
        <f>INDEX(SP_TaxPar_DB[Acquisition Tract No.],MATCH(LEFT(SP_ACQ_Lib[[#This Row],[Tax Parcel ID]],7),SP_TaxPar_DB[Tax Parcel ID],0))</f>
        <v>T205</v>
      </c>
      <c r="X878" s="238" t="str">
        <f>IF(OR(SP_ACQ_Lib[[#This Row],[Acquisition Tract No.]]="",SP_ACQ_Lib[[#This Row],[ACQ Document Type]]=""),0,CONCATENATE("COW-FRMP_TR-",SP_ACQ_Lib[[#This Row],[Acquisition Tract No.]]," ",SP_ACQ_Lib[[#This Row],[ACQ Document Type]]))</f>
        <v>COW-FRMP_TR-T205 TITLE Tax Card</v>
      </c>
      <c r="Y878" s="239">
        <f>IF(OR(SP_ACQ_Lib[[#This Row],[File Name Convention]]=0,LEFT(SP_ACQ_Lib[[#This Row],[Name]],LEN(SP_ACQ_Lib[[#This Row],[File Name Convention]]))&lt;&gt;SP_ACQ_Lib[[#This Row],[File Name Convention]],ISERROR(SEARCH(SP_ACQ_Lib[[#This Row],[ACQ Document Type]],SP_ACQ_Lib[[#This Row],[Name]]))),1,0)</f>
        <v>0</v>
      </c>
    </row>
    <row r="879" spans="1:25" ht="15" x14ac:dyDescent="0.2">
      <c r="A879" s="157" t="str">
        <f>CONCATENATE(SP_ACQ_Lib[[#This Row],[Acquisition Tract No.]],"_",SP_ACQ_Lib[[#This Row],[ACQ Document Type]])</f>
        <v>T206_CONTACT Negotiator Report</v>
      </c>
      <c r="B879" s="14" t="s">
        <v>5455</v>
      </c>
      <c r="C879" s="263" t="s">
        <v>5324</v>
      </c>
      <c r="D879" s="12" t="s">
        <v>3272</v>
      </c>
      <c r="E879" s="8" t="s">
        <v>865</v>
      </c>
      <c r="F879" s="8" t="s">
        <v>1068</v>
      </c>
      <c r="G879" s="8" t="s">
        <v>1067</v>
      </c>
      <c r="H879" s="7" t="s">
        <v>592</v>
      </c>
      <c r="I879" s="16">
        <v>43895</v>
      </c>
      <c r="J879" s="16"/>
      <c r="K879" s="17"/>
      <c r="L879" s="3"/>
      <c r="M879" s="8" t="s">
        <v>1744</v>
      </c>
      <c r="N879" s="11">
        <v>44012.670231481483</v>
      </c>
      <c r="O879" s="8" t="s">
        <v>4206</v>
      </c>
      <c r="P879" s="11">
        <v>43971.421284722222</v>
      </c>
      <c r="Q879" s="13">
        <v>81867</v>
      </c>
      <c r="R879" s="264" t="s">
        <v>594</v>
      </c>
      <c r="S879" s="14" t="s">
        <v>5247</v>
      </c>
      <c r="T879" s="163">
        <v>957</v>
      </c>
      <c r="U879" s="164" t="str">
        <f>CONCATENATE(LEFT(SP_ACQ_Lib[[#This Row],[Tax Parcel ID]],7),"_",SP_ACQ_Lib[[#This Row],[ACQ Document Type]])</f>
        <v>R032053_CONTACT Negotiator Report</v>
      </c>
      <c r="V879" s="65" t="str">
        <f>INDEX(SP_AcqTract_DB[WCAD Tax Parcel ID],MATCH(SP_ACQ_Lib[[#This Row],[Acquisition Tract No.]],SP_AcqTract_DB[Acquisition Tract No.],0))</f>
        <v>R032053;#245</v>
      </c>
      <c r="W879" s="48" t="str">
        <f>INDEX(SP_TaxPar_DB[Acquisition Tract No.],MATCH(LEFT(SP_ACQ_Lib[[#This Row],[Tax Parcel ID]],7),SP_TaxPar_DB[Tax Parcel ID],0))</f>
        <v>T206</v>
      </c>
      <c r="X879" s="238" t="str">
        <f>IF(OR(SP_ACQ_Lib[[#This Row],[Acquisition Tract No.]]="",SP_ACQ_Lib[[#This Row],[ACQ Document Type]]=""),0,CONCATENATE("COW-FRMP_TR-",SP_ACQ_Lib[[#This Row],[Acquisition Tract No.]]," ",SP_ACQ_Lib[[#This Row],[ACQ Document Type]]))</f>
        <v>COW-FRMP_TR-T206 CONTACT Negotiator Report</v>
      </c>
      <c r="Y879" s="239">
        <f>IF(OR(SP_ACQ_Lib[[#This Row],[File Name Convention]]=0,LEFT(SP_ACQ_Lib[[#This Row],[Name]],LEN(SP_ACQ_Lib[[#This Row],[File Name Convention]]))&lt;&gt;SP_ACQ_Lib[[#This Row],[File Name Convention]],ISERROR(SEARCH(SP_ACQ_Lib[[#This Row],[ACQ Document Type]],SP_ACQ_Lib[[#This Row],[Name]]))),1,0)</f>
        <v>0</v>
      </c>
    </row>
    <row r="880" spans="1:25" ht="15" x14ac:dyDescent="0.2">
      <c r="A880" s="157" t="str">
        <f>CONCATENATE(SP_ACQ_Lib[[#This Row],[Acquisition Tract No.]],"_",SP_ACQ_Lib[[#This Row],[ACQ Document Type]])</f>
        <v>T206_ENVIRONMENTAL Right-of-Entry Executed</v>
      </c>
      <c r="B880" s="14" t="s">
        <v>5601</v>
      </c>
      <c r="C880" s="263" t="s">
        <v>5324</v>
      </c>
      <c r="D880" s="12" t="s">
        <v>3272</v>
      </c>
      <c r="E880" s="8" t="s">
        <v>2682</v>
      </c>
      <c r="F880" s="8" t="s">
        <v>2683</v>
      </c>
      <c r="G880" s="8" t="s">
        <v>2681</v>
      </c>
      <c r="H880" s="7" t="s">
        <v>592</v>
      </c>
      <c r="I880" s="16">
        <v>43928</v>
      </c>
      <c r="J880" s="16"/>
      <c r="K880" s="17"/>
      <c r="L880" s="3"/>
      <c r="M880" s="8" t="s">
        <v>4206</v>
      </c>
      <c r="N880" s="11">
        <v>43983.571423611109</v>
      </c>
      <c r="O880" s="8" t="s">
        <v>4206</v>
      </c>
      <c r="P880" s="11">
        <v>43971.421319444446</v>
      </c>
      <c r="Q880" s="13">
        <v>1859491</v>
      </c>
      <c r="R880" s="264" t="s">
        <v>594</v>
      </c>
      <c r="S880" s="14" t="s">
        <v>5193</v>
      </c>
      <c r="T880" s="163">
        <v>959</v>
      </c>
      <c r="U880" s="164" t="str">
        <f>CONCATENATE(LEFT(SP_ACQ_Lib[[#This Row],[Tax Parcel ID]],7),"_",SP_ACQ_Lib[[#This Row],[ACQ Document Type]])</f>
        <v>R032053_ENVIRONMENTAL Right-of-Entry Executed</v>
      </c>
      <c r="V880" s="65" t="str">
        <f>INDEX(SP_AcqTract_DB[WCAD Tax Parcel ID],MATCH(SP_ACQ_Lib[[#This Row],[Acquisition Tract No.]],SP_AcqTract_DB[Acquisition Tract No.],0))</f>
        <v>R032053;#245</v>
      </c>
      <c r="W880" s="48" t="str">
        <f>INDEX(SP_TaxPar_DB[Acquisition Tract No.],MATCH(LEFT(SP_ACQ_Lib[[#This Row],[Tax Parcel ID]],7),SP_TaxPar_DB[Tax Parcel ID],0))</f>
        <v>T206</v>
      </c>
      <c r="X880" s="238" t="str">
        <f>IF(OR(SP_ACQ_Lib[[#This Row],[Acquisition Tract No.]]="",SP_ACQ_Lib[[#This Row],[ACQ Document Type]]=""),0,CONCATENATE("COW-FRMP_TR-",SP_ACQ_Lib[[#This Row],[Acquisition Tract No.]]," ",SP_ACQ_Lib[[#This Row],[ACQ Document Type]]))</f>
        <v>COW-FRMP_TR-T206 ENVIRONMENTAL Right-of-Entry Executed</v>
      </c>
      <c r="Y880" s="239">
        <f>IF(OR(SP_ACQ_Lib[[#This Row],[File Name Convention]]=0,LEFT(SP_ACQ_Lib[[#This Row],[Name]],LEN(SP_ACQ_Lib[[#This Row],[File Name Convention]]))&lt;&gt;SP_ACQ_Lib[[#This Row],[File Name Convention]],ISERROR(SEARCH(SP_ACQ_Lib[[#This Row],[ACQ Document Type]],SP_ACQ_Lib[[#This Row],[Name]]))),1,0)</f>
        <v>0</v>
      </c>
    </row>
    <row r="881" spans="1:25" ht="15" x14ac:dyDescent="0.2">
      <c r="A881" s="157" t="str">
        <f>CONCATENATE(SP_ACQ_Lib[[#This Row],[Acquisition Tract No.]],"_",SP_ACQ_Lib[[#This Row],[ACQ Document Type]])</f>
        <v>T206_ENVIRONMENTAL Right-of-Entry Package</v>
      </c>
      <c r="B881" s="14" t="s">
        <v>5602</v>
      </c>
      <c r="C881" s="263" t="s">
        <v>5324</v>
      </c>
      <c r="D881" s="12" t="s">
        <v>3272</v>
      </c>
      <c r="E881" s="8" t="s">
        <v>2682</v>
      </c>
      <c r="F881" s="8" t="s">
        <v>2687</v>
      </c>
      <c r="G881" s="8" t="s">
        <v>2686</v>
      </c>
      <c r="H881" s="7" t="s">
        <v>592</v>
      </c>
      <c r="I881" s="16">
        <v>43851</v>
      </c>
      <c r="J881" s="16">
        <v>43872</v>
      </c>
      <c r="K881" s="17"/>
      <c r="L881" s="3" t="s">
        <v>4346</v>
      </c>
      <c r="M881" s="8" t="s">
        <v>4206</v>
      </c>
      <c r="N881" s="11">
        <v>43983.598043981481</v>
      </c>
      <c r="O881" s="8" t="s">
        <v>4206</v>
      </c>
      <c r="P881" s="11">
        <v>43971.421296296299</v>
      </c>
      <c r="Q881" s="13">
        <v>1084985</v>
      </c>
      <c r="R881" s="264" t="s">
        <v>594</v>
      </c>
      <c r="S881" s="14" t="s">
        <v>5192</v>
      </c>
      <c r="T881" s="163">
        <v>958</v>
      </c>
      <c r="U881" s="164" t="str">
        <f>CONCATENATE(LEFT(SP_ACQ_Lib[[#This Row],[Tax Parcel ID]],7),"_",SP_ACQ_Lib[[#This Row],[ACQ Document Type]])</f>
        <v>R032053_ENVIRONMENTAL Right-of-Entry Package</v>
      </c>
      <c r="V881" s="65" t="str">
        <f>INDEX(SP_AcqTract_DB[WCAD Tax Parcel ID],MATCH(SP_ACQ_Lib[[#This Row],[Acquisition Tract No.]],SP_AcqTract_DB[Acquisition Tract No.],0))</f>
        <v>R032053;#245</v>
      </c>
      <c r="W881" s="48" t="str">
        <f>INDEX(SP_TaxPar_DB[Acquisition Tract No.],MATCH(LEFT(SP_ACQ_Lib[[#This Row],[Tax Parcel ID]],7),SP_TaxPar_DB[Tax Parcel ID],0))</f>
        <v>T206</v>
      </c>
      <c r="X881" s="238" t="str">
        <f>IF(OR(SP_ACQ_Lib[[#This Row],[Acquisition Tract No.]]="",SP_ACQ_Lib[[#This Row],[ACQ Document Type]]=""),0,CONCATENATE("COW-FRMP_TR-",SP_ACQ_Lib[[#This Row],[Acquisition Tract No.]]," ",SP_ACQ_Lib[[#This Row],[ACQ Document Type]]))</f>
        <v>COW-FRMP_TR-T206 ENVIRONMENTAL Right-of-Entry Package</v>
      </c>
      <c r="Y881" s="239">
        <f>IF(OR(SP_ACQ_Lib[[#This Row],[File Name Convention]]=0,LEFT(SP_ACQ_Lib[[#This Row],[Name]],LEN(SP_ACQ_Lib[[#This Row],[File Name Convention]]))&lt;&gt;SP_ACQ_Lib[[#This Row],[File Name Convention]],ISERROR(SEARCH(SP_ACQ_Lib[[#This Row],[ACQ Document Type]],SP_ACQ_Lib[[#This Row],[Name]]))),1,0)</f>
        <v>0</v>
      </c>
    </row>
    <row r="882" spans="1:25" ht="15" x14ac:dyDescent="0.2">
      <c r="A882" s="157" t="str">
        <f>CONCATENATE(SP_ACQ_Lib[[#This Row],[Acquisition Tract No.]],"_",SP_ACQ_Lib[[#This Row],[ACQ Document Type]])</f>
        <v>T206_ROE Right-of-Entry Package</v>
      </c>
      <c r="B882" s="14" t="s">
        <v>5768</v>
      </c>
      <c r="C882" s="263" t="s">
        <v>5324</v>
      </c>
      <c r="D882" s="12" t="s">
        <v>3272</v>
      </c>
      <c r="E882" s="8" t="s">
        <v>1146</v>
      </c>
      <c r="F882" s="8" t="s">
        <v>2687</v>
      </c>
      <c r="G882" s="8" t="s">
        <v>5659</v>
      </c>
      <c r="H882" s="7" t="s">
        <v>592</v>
      </c>
      <c r="I882" s="16">
        <v>43985</v>
      </c>
      <c r="J882" s="16"/>
      <c r="K882" s="17"/>
      <c r="L882" s="3"/>
      <c r="M882" s="8" t="s">
        <v>4206</v>
      </c>
      <c r="N882" s="11">
        <v>43986.576423611114</v>
      </c>
      <c r="O882" s="8" t="s">
        <v>4206</v>
      </c>
      <c r="P882" s="11">
        <v>43986.570219907408</v>
      </c>
      <c r="Q882" s="13">
        <v>1461356</v>
      </c>
      <c r="R882" s="264" t="s">
        <v>594</v>
      </c>
      <c r="S882" s="14" t="s">
        <v>5800</v>
      </c>
      <c r="T882" s="163">
        <v>1135</v>
      </c>
      <c r="U882" s="164" t="str">
        <f>CONCATENATE(LEFT(SP_ACQ_Lib[[#This Row],[Tax Parcel ID]],7),"_",SP_ACQ_Lib[[#This Row],[ACQ Document Type]])</f>
        <v>R032053_ROE Right-of-Entry Package</v>
      </c>
      <c r="V882" s="65" t="str">
        <f>INDEX(SP_AcqTract_DB[WCAD Tax Parcel ID],MATCH(SP_ACQ_Lib[[#This Row],[Acquisition Tract No.]],SP_AcqTract_DB[Acquisition Tract No.],0))</f>
        <v>R032053;#245</v>
      </c>
      <c r="W882" s="48" t="str">
        <f>INDEX(SP_TaxPar_DB[Acquisition Tract No.],MATCH(LEFT(SP_ACQ_Lib[[#This Row],[Tax Parcel ID]],7),SP_TaxPar_DB[Tax Parcel ID],0))</f>
        <v>T206</v>
      </c>
      <c r="X882" s="238" t="str">
        <f>IF(OR(SP_ACQ_Lib[[#This Row],[Acquisition Tract No.]]="",SP_ACQ_Lib[[#This Row],[ACQ Document Type]]=""),0,CONCATENATE("COW-FRMP_TR-",SP_ACQ_Lib[[#This Row],[Acquisition Tract No.]]," ",SP_ACQ_Lib[[#This Row],[ACQ Document Type]]))</f>
        <v>COW-FRMP_TR-T206 ROE Right-of-Entry Package</v>
      </c>
      <c r="Y882" s="239">
        <f>IF(OR(SP_ACQ_Lib[[#This Row],[File Name Convention]]=0,LEFT(SP_ACQ_Lib[[#This Row],[Name]],LEN(SP_ACQ_Lib[[#This Row],[File Name Convention]]))&lt;&gt;SP_ACQ_Lib[[#This Row],[File Name Convention]],ISERROR(SEARCH(SP_ACQ_Lib[[#This Row],[ACQ Document Type]],SP_ACQ_Lib[[#This Row],[Name]]))),1,0)</f>
        <v>0</v>
      </c>
    </row>
    <row r="883" spans="1:25" ht="15" x14ac:dyDescent="0.2">
      <c r="A883" s="157" t="str">
        <f>CONCATENATE(SP_ACQ_Lib[[#This Row],[Acquisition Tract No.]],"_",SP_ACQ_Lib[[#This Row],[ACQ Document Type]])</f>
        <v>T206_TITLE Tax Card</v>
      </c>
      <c r="B883" s="14" t="s">
        <v>5456</v>
      </c>
      <c r="C883" s="263" t="s">
        <v>5324</v>
      </c>
      <c r="D883" s="12" t="s">
        <v>3272</v>
      </c>
      <c r="E883" s="8" t="s">
        <v>861</v>
      </c>
      <c r="F883" s="8" t="s">
        <v>1150</v>
      </c>
      <c r="G883" s="8" t="s">
        <v>1149</v>
      </c>
      <c r="H883" s="7" t="s">
        <v>592</v>
      </c>
      <c r="I883" s="16"/>
      <c r="J883" s="16"/>
      <c r="K883" s="17"/>
      <c r="L883" s="3"/>
      <c r="M883" s="8" t="s">
        <v>4206</v>
      </c>
      <c r="N883" s="11">
        <v>43979.349027777775</v>
      </c>
      <c r="O883" s="8" t="s">
        <v>4206</v>
      </c>
      <c r="P883" s="11">
        <v>43971.421365740738</v>
      </c>
      <c r="Q883" s="13">
        <v>775980</v>
      </c>
      <c r="R883" s="264" t="s">
        <v>594</v>
      </c>
      <c r="S883" s="14" t="s">
        <v>5194</v>
      </c>
      <c r="T883" s="163">
        <v>960</v>
      </c>
      <c r="U883" s="164" t="str">
        <f>CONCATENATE(LEFT(SP_ACQ_Lib[[#This Row],[Tax Parcel ID]],7),"_",SP_ACQ_Lib[[#This Row],[ACQ Document Type]])</f>
        <v>R032053_TITLE Tax Card</v>
      </c>
      <c r="V883" s="65" t="str">
        <f>INDEX(SP_AcqTract_DB[WCAD Tax Parcel ID],MATCH(SP_ACQ_Lib[[#This Row],[Acquisition Tract No.]],SP_AcqTract_DB[Acquisition Tract No.],0))</f>
        <v>R032053;#245</v>
      </c>
      <c r="W883" s="48" t="str">
        <f>INDEX(SP_TaxPar_DB[Acquisition Tract No.],MATCH(LEFT(SP_ACQ_Lib[[#This Row],[Tax Parcel ID]],7),SP_TaxPar_DB[Tax Parcel ID],0))</f>
        <v>T206</v>
      </c>
      <c r="X883" s="238" t="str">
        <f>IF(OR(SP_ACQ_Lib[[#This Row],[Acquisition Tract No.]]="",SP_ACQ_Lib[[#This Row],[ACQ Document Type]]=""),0,CONCATENATE("COW-FRMP_TR-",SP_ACQ_Lib[[#This Row],[Acquisition Tract No.]]," ",SP_ACQ_Lib[[#This Row],[ACQ Document Type]]))</f>
        <v>COW-FRMP_TR-T206 TITLE Tax Card</v>
      </c>
      <c r="Y883" s="239">
        <f>IF(OR(SP_ACQ_Lib[[#This Row],[File Name Convention]]=0,LEFT(SP_ACQ_Lib[[#This Row],[Name]],LEN(SP_ACQ_Lib[[#This Row],[File Name Convention]]))&lt;&gt;SP_ACQ_Lib[[#This Row],[File Name Convention]],ISERROR(SEARCH(SP_ACQ_Lib[[#This Row],[ACQ Document Type]],SP_ACQ_Lib[[#This Row],[Name]]))),1,0)</f>
        <v>0</v>
      </c>
    </row>
    <row r="884" spans="1:25" ht="15" x14ac:dyDescent="0.2">
      <c r="A884" s="157" t="str">
        <f>CONCATENATE(SP_ACQ_Lib[[#This Row],[Acquisition Tract No.]],"_",SP_ACQ_Lib[[#This Row],[ACQ Document Type]])</f>
        <v>T207_CONTACT Negotiator Report</v>
      </c>
      <c r="B884" s="14" t="s">
        <v>5457</v>
      </c>
      <c r="C884" s="263" t="s">
        <v>5326</v>
      </c>
      <c r="D884" s="12" t="s">
        <v>3273</v>
      </c>
      <c r="E884" s="8" t="s">
        <v>865</v>
      </c>
      <c r="F884" s="8" t="s">
        <v>1068</v>
      </c>
      <c r="G884" s="8" t="s">
        <v>1067</v>
      </c>
      <c r="H884" s="7" t="s">
        <v>592</v>
      </c>
      <c r="I884" s="16">
        <v>43840</v>
      </c>
      <c r="J884" s="16"/>
      <c r="K884" s="17"/>
      <c r="L884" s="3"/>
      <c r="M884" s="8" t="s">
        <v>4206</v>
      </c>
      <c r="N884" s="11">
        <v>43978.547256944446</v>
      </c>
      <c r="O884" s="8" t="s">
        <v>4206</v>
      </c>
      <c r="P884" s="11">
        <v>43971.421388888892</v>
      </c>
      <c r="Q884" s="13">
        <v>31297</v>
      </c>
      <c r="R884" s="264" t="s">
        <v>594</v>
      </c>
      <c r="S884" s="14" t="s">
        <v>5248</v>
      </c>
      <c r="T884" s="163">
        <v>961</v>
      </c>
      <c r="U884" s="164" t="str">
        <f>CONCATENATE(LEFT(SP_ACQ_Lib[[#This Row],[Tax Parcel ID]],7),"_",SP_ACQ_Lib[[#This Row],[ACQ Document Type]])</f>
        <v>R032127_CONTACT Negotiator Report</v>
      </c>
      <c r="V884" s="65" t="str">
        <f>INDEX(SP_AcqTract_DB[WCAD Tax Parcel ID],MATCH(SP_ACQ_Lib[[#This Row],[Acquisition Tract No.]],SP_AcqTract_DB[Acquisition Tract No.],0))</f>
        <v>R032127;#246</v>
      </c>
      <c r="W884" s="48" t="str">
        <f>INDEX(SP_TaxPar_DB[Acquisition Tract No.],MATCH(LEFT(SP_ACQ_Lib[[#This Row],[Tax Parcel ID]],7),SP_TaxPar_DB[Tax Parcel ID],0))</f>
        <v>T207</v>
      </c>
      <c r="X884" s="238" t="str">
        <f>IF(OR(SP_ACQ_Lib[[#This Row],[Acquisition Tract No.]]="",SP_ACQ_Lib[[#This Row],[ACQ Document Type]]=""),0,CONCATENATE("COW-FRMP_TR-",SP_ACQ_Lib[[#This Row],[Acquisition Tract No.]]," ",SP_ACQ_Lib[[#This Row],[ACQ Document Type]]))</f>
        <v>COW-FRMP_TR-T207 CONTACT Negotiator Report</v>
      </c>
      <c r="Y884" s="239">
        <f>IF(OR(SP_ACQ_Lib[[#This Row],[File Name Convention]]=0,LEFT(SP_ACQ_Lib[[#This Row],[Name]],LEN(SP_ACQ_Lib[[#This Row],[File Name Convention]]))&lt;&gt;SP_ACQ_Lib[[#This Row],[File Name Convention]],ISERROR(SEARCH(SP_ACQ_Lib[[#This Row],[ACQ Document Type]],SP_ACQ_Lib[[#This Row],[Name]]))),1,0)</f>
        <v>0</v>
      </c>
    </row>
    <row r="885" spans="1:25" ht="15" x14ac:dyDescent="0.2">
      <c r="A885" s="157" t="str">
        <f>CONCATENATE(SP_ACQ_Lib[[#This Row],[Acquisition Tract No.]],"_",SP_ACQ_Lib[[#This Row],[ACQ Document Type]])</f>
        <v>T207_ENVIRONMENTAL Right-of-Entry Package</v>
      </c>
      <c r="B885" s="14" t="s">
        <v>5603</v>
      </c>
      <c r="C885" s="263" t="s">
        <v>5326</v>
      </c>
      <c r="D885" s="12" t="s">
        <v>3273</v>
      </c>
      <c r="E885" s="8" t="s">
        <v>2682</v>
      </c>
      <c r="F885" s="8" t="s">
        <v>2687</v>
      </c>
      <c r="G885" s="8" t="s">
        <v>2686</v>
      </c>
      <c r="H885" s="7" t="s">
        <v>592</v>
      </c>
      <c r="I885" s="16">
        <v>43850</v>
      </c>
      <c r="J885" s="16">
        <v>43860</v>
      </c>
      <c r="K885" s="17"/>
      <c r="L885" s="3"/>
      <c r="M885" s="8" t="s">
        <v>4206</v>
      </c>
      <c r="N885" s="11">
        <v>43983.582638888889</v>
      </c>
      <c r="O885" s="8" t="s">
        <v>4206</v>
      </c>
      <c r="P885" s="11">
        <v>43971.421400462961</v>
      </c>
      <c r="Q885" s="13">
        <v>817803</v>
      </c>
      <c r="R885" s="264" t="s">
        <v>594</v>
      </c>
      <c r="S885" s="14" t="s">
        <v>5195</v>
      </c>
      <c r="T885" s="163">
        <v>962</v>
      </c>
      <c r="U885" s="164" t="str">
        <f>CONCATENATE(LEFT(SP_ACQ_Lib[[#This Row],[Tax Parcel ID]],7),"_",SP_ACQ_Lib[[#This Row],[ACQ Document Type]])</f>
        <v>R032127_ENVIRONMENTAL Right-of-Entry Package</v>
      </c>
      <c r="V885" s="65" t="str">
        <f>INDEX(SP_AcqTract_DB[WCAD Tax Parcel ID],MATCH(SP_ACQ_Lib[[#This Row],[Acquisition Tract No.]],SP_AcqTract_DB[Acquisition Tract No.],0))</f>
        <v>R032127;#246</v>
      </c>
      <c r="W885" s="48" t="str">
        <f>INDEX(SP_TaxPar_DB[Acquisition Tract No.],MATCH(LEFT(SP_ACQ_Lib[[#This Row],[Tax Parcel ID]],7),SP_TaxPar_DB[Tax Parcel ID],0))</f>
        <v>T207</v>
      </c>
      <c r="X885" s="238" t="str">
        <f>IF(OR(SP_ACQ_Lib[[#This Row],[Acquisition Tract No.]]="",SP_ACQ_Lib[[#This Row],[ACQ Document Type]]=""),0,CONCATENATE("COW-FRMP_TR-",SP_ACQ_Lib[[#This Row],[Acquisition Tract No.]]," ",SP_ACQ_Lib[[#This Row],[ACQ Document Type]]))</f>
        <v>COW-FRMP_TR-T207 ENVIRONMENTAL Right-of-Entry Package</v>
      </c>
      <c r="Y885" s="239">
        <f>IF(OR(SP_ACQ_Lib[[#This Row],[File Name Convention]]=0,LEFT(SP_ACQ_Lib[[#This Row],[Name]],LEN(SP_ACQ_Lib[[#This Row],[File Name Convention]]))&lt;&gt;SP_ACQ_Lib[[#This Row],[File Name Convention]],ISERROR(SEARCH(SP_ACQ_Lib[[#This Row],[ACQ Document Type]],SP_ACQ_Lib[[#This Row],[Name]]))),1,0)</f>
        <v>0</v>
      </c>
    </row>
    <row r="886" spans="1:25" ht="15" x14ac:dyDescent="0.2">
      <c r="A886" s="157" t="str">
        <f>CONCATENATE(SP_ACQ_Lib[[#This Row],[Acquisition Tract No.]],"_",SP_ACQ_Lib[[#This Row],[ACQ Document Type]])</f>
        <v>T207_TITLE Tax Card</v>
      </c>
      <c r="B886" s="14" t="s">
        <v>5458</v>
      </c>
      <c r="C886" s="263" t="s">
        <v>5326</v>
      </c>
      <c r="D886" s="12" t="s">
        <v>3273</v>
      </c>
      <c r="E886" s="8" t="s">
        <v>861</v>
      </c>
      <c r="F886" s="8" t="s">
        <v>1150</v>
      </c>
      <c r="G886" s="8" t="s">
        <v>1149</v>
      </c>
      <c r="H886" s="7" t="s">
        <v>592</v>
      </c>
      <c r="I886" s="16"/>
      <c r="J886" s="16"/>
      <c r="K886" s="17"/>
      <c r="L886" s="3"/>
      <c r="M886" s="8" t="s">
        <v>4206</v>
      </c>
      <c r="N886" s="11">
        <v>43979.349027777775</v>
      </c>
      <c r="O886" s="8" t="s">
        <v>4206</v>
      </c>
      <c r="P886" s="11">
        <v>43971.421435185184</v>
      </c>
      <c r="Q886" s="13">
        <v>706979</v>
      </c>
      <c r="R886" s="264" t="s">
        <v>594</v>
      </c>
      <c r="S886" s="14" t="s">
        <v>5196</v>
      </c>
      <c r="T886" s="163">
        <v>963</v>
      </c>
      <c r="U886" s="164" t="str">
        <f>CONCATENATE(LEFT(SP_ACQ_Lib[[#This Row],[Tax Parcel ID]],7),"_",SP_ACQ_Lib[[#This Row],[ACQ Document Type]])</f>
        <v>R032127_TITLE Tax Card</v>
      </c>
      <c r="V886" s="65" t="str">
        <f>INDEX(SP_AcqTract_DB[WCAD Tax Parcel ID],MATCH(SP_ACQ_Lib[[#This Row],[Acquisition Tract No.]],SP_AcqTract_DB[Acquisition Tract No.],0))</f>
        <v>R032127;#246</v>
      </c>
      <c r="W886" s="48" t="str">
        <f>INDEX(SP_TaxPar_DB[Acquisition Tract No.],MATCH(LEFT(SP_ACQ_Lib[[#This Row],[Tax Parcel ID]],7),SP_TaxPar_DB[Tax Parcel ID],0))</f>
        <v>T207</v>
      </c>
      <c r="X886" s="238" t="str">
        <f>IF(OR(SP_ACQ_Lib[[#This Row],[Acquisition Tract No.]]="",SP_ACQ_Lib[[#This Row],[ACQ Document Type]]=""),0,CONCATENATE("COW-FRMP_TR-",SP_ACQ_Lib[[#This Row],[Acquisition Tract No.]]," ",SP_ACQ_Lib[[#This Row],[ACQ Document Type]]))</f>
        <v>COW-FRMP_TR-T207 TITLE Tax Card</v>
      </c>
      <c r="Y886" s="239">
        <f>IF(OR(SP_ACQ_Lib[[#This Row],[File Name Convention]]=0,LEFT(SP_ACQ_Lib[[#This Row],[Name]],LEN(SP_ACQ_Lib[[#This Row],[File Name Convention]]))&lt;&gt;SP_ACQ_Lib[[#This Row],[File Name Convention]],ISERROR(SEARCH(SP_ACQ_Lib[[#This Row],[ACQ Document Type]],SP_ACQ_Lib[[#This Row],[Name]]))),1,0)</f>
        <v>0</v>
      </c>
    </row>
    <row r="887" spans="1:25" ht="15" x14ac:dyDescent="0.2">
      <c r="A887" s="157" t="str">
        <f>CONCATENATE(SP_ACQ_Lib[[#This Row],[Acquisition Tract No.]],"_",SP_ACQ_Lib[[#This Row],[ACQ Document Type]])</f>
        <v>T210_CONTACT Negotiator Report</v>
      </c>
      <c r="B887" s="14" t="s">
        <v>5459</v>
      </c>
      <c r="C887" s="263" t="s">
        <v>5328</v>
      </c>
      <c r="D887" s="12" t="s">
        <v>3274</v>
      </c>
      <c r="E887" s="8" t="s">
        <v>865</v>
      </c>
      <c r="F887" s="8" t="s">
        <v>1068</v>
      </c>
      <c r="G887" s="8" t="s">
        <v>1067</v>
      </c>
      <c r="H887" s="7" t="s">
        <v>592</v>
      </c>
      <c r="I887" s="16">
        <v>43840</v>
      </c>
      <c r="J887" s="16"/>
      <c r="K887" s="17"/>
      <c r="L887" s="3"/>
      <c r="M887" s="8" t="s">
        <v>5648</v>
      </c>
      <c r="N887" s="11">
        <v>44022.726377314815</v>
      </c>
      <c r="O887" s="8" t="s">
        <v>4206</v>
      </c>
      <c r="P887" s="11">
        <v>43971.421446759261</v>
      </c>
      <c r="Q887" s="13">
        <v>35423</v>
      </c>
      <c r="R887" s="264" t="s">
        <v>594</v>
      </c>
      <c r="S887" s="14" t="s">
        <v>5249</v>
      </c>
      <c r="T887" s="163">
        <v>964</v>
      </c>
      <c r="U887" s="164" t="str">
        <f>CONCATENATE(LEFT(SP_ACQ_Lib[[#This Row],[Tax Parcel ID]],7),"_",SP_ACQ_Lib[[#This Row],[ACQ Document Type]])</f>
        <v>R032139_CONTACT Negotiator Report</v>
      </c>
      <c r="V887" s="65" t="str">
        <f>INDEX(SP_AcqTract_DB[WCAD Tax Parcel ID],MATCH(SP_ACQ_Lib[[#This Row],[Acquisition Tract No.]],SP_AcqTract_DB[Acquisition Tract No.],0))</f>
        <v>R032139;#248</v>
      </c>
      <c r="W887" s="48" t="str">
        <f>INDEX(SP_TaxPar_DB[Acquisition Tract No.],MATCH(LEFT(SP_ACQ_Lib[[#This Row],[Tax Parcel ID]],7),SP_TaxPar_DB[Tax Parcel ID],0))</f>
        <v>T210</v>
      </c>
      <c r="X887" s="238" t="str">
        <f>IF(OR(SP_ACQ_Lib[[#This Row],[Acquisition Tract No.]]="",SP_ACQ_Lib[[#This Row],[ACQ Document Type]]=""),0,CONCATENATE("COW-FRMP_TR-",SP_ACQ_Lib[[#This Row],[Acquisition Tract No.]]," ",SP_ACQ_Lib[[#This Row],[ACQ Document Type]]))</f>
        <v>COW-FRMP_TR-T210 CONTACT Negotiator Report</v>
      </c>
      <c r="Y887" s="239">
        <f>IF(OR(SP_ACQ_Lib[[#This Row],[File Name Convention]]=0,LEFT(SP_ACQ_Lib[[#This Row],[Name]],LEN(SP_ACQ_Lib[[#This Row],[File Name Convention]]))&lt;&gt;SP_ACQ_Lib[[#This Row],[File Name Convention]],ISERROR(SEARCH(SP_ACQ_Lib[[#This Row],[ACQ Document Type]],SP_ACQ_Lib[[#This Row],[Name]]))),1,0)</f>
        <v>0</v>
      </c>
    </row>
    <row r="888" spans="1:25" ht="15" x14ac:dyDescent="0.2">
      <c r="A888" s="157" t="str">
        <f>CONCATENATE(SP_ACQ_Lib[[#This Row],[Acquisition Tract No.]],"_",SP_ACQ_Lib[[#This Row],[ACQ Document Type]])</f>
        <v>T210_ENVIRONMENTAL Right-of-Entry Package</v>
      </c>
      <c r="B888" s="14" t="s">
        <v>5604</v>
      </c>
      <c r="C888" s="263" t="s">
        <v>5328</v>
      </c>
      <c r="D888" s="12" t="s">
        <v>3274</v>
      </c>
      <c r="E888" s="8" t="s">
        <v>2682</v>
      </c>
      <c r="F888" s="8" t="s">
        <v>2687</v>
      </c>
      <c r="G888" s="8" t="s">
        <v>2686</v>
      </c>
      <c r="H888" s="7" t="s">
        <v>592</v>
      </c>
      <c r="I888" s="16">
        <v>43851</v>
      </c>
      <c r="J888" s="16">
        <v>43879</v>
      </c>
      <c r="K888" s="17"/>
      <c r="L888" s="3" t="s">
        <v>4346</v>
      </c>
      <c r="M888" s="8" t="s">
        <v>4206</v>
      </c>
      <c r="N888" s="11">
        <v>43983.582673611112</v>
      </c>
      <c r="O888" s="8" t="s">
        <v>4206</v>
      </c>
      <c r="P888" s="11">
        <v>43971.421458333331</v>
      </c>
      <c r="Q888" s="13">
        <v>981795</v>
      </c>
      <c r="R888" s="264" t="s">
        <v>594</v>
      </c>
      <c r="S888" s="14" t="s">
        <v>5197</v>
      </c>
      <c r="T888" s="163">
        <v>965</v>
      </c>
      <c r="U888" s="164" t="str">
        <f>CONCATENATE(LEFT(SP_ACQ_Lib[[#This Row],[Tax Parcel ID]],7),"_",SP_ACQ_Lib[[#This Row],[ACQ Document Type]])</f>
        <v>R032139_ENVIRONMENTAL Right-of-Entry Package</v>
      </c>
      <c r="V888" s="65" t="str">
        <f>INDEX(SP_AcqTract_DB[WCAD Tax Parcel ID],MATCH(SP_ACQ_Lib[[#This Row],[Acquisition Tract No.]],SP_AcqTract_DB[Acquisition Tract No.],0))</f>
        <v>R032139;#248</v>
      </c>
      <c r="W888" s="48" t="str">
        <f>INDEX(SP_TaxPar_DB[Acquisition Tract No.],MATCH(LEFT(SP_ACQ_Lib[[#This Row],[Tax Parcel ID]],7),SP_TaxPar_DB[Tax Parcel ID],0))</f>
        <v>T210</v>
      </c>
      <c r="X888" s="238" t="str">
        <f>IF(OR(SP_ACQ_Lib[[#This Row],[Acquisition Tract No.]]="",SP_ACQ_Lib[[#This Row],[ACQ Document Type]]=""),0,CONCATENATE("COW-FRMP_TR-",SP_ACQ_Lib[[#This Row],[Acquisition Tract No.]]," ",SP_ACQ_Lib[[#This Row],[ACQ Document Type]]))</f>
        <v>COW-FRMP_TR-T210 ENVIRONMENTAL Right-of-Entry Package</v>
      </c>
      <c r="Y888" s="239">
        <f>IF(OR(SP_ACQ_Lib[[#This Row],[File Name Convention]]=0,LEFT(SP_ACQ_Lib[[#This Row],[Name]],LEN(SP_ACQ_Lib[[#This Row],[File Name Convention]]))&lt;&gt;SP_ACQ_Lib[[#This Row],[File Name Convention]],ISERROR(SEARCH(SP_ACQ_Lib[[#This Row],[ACQ Document Type]],SP_ACQ_Lib[[#This Row],[Name]]))),1,0)</f>
        <v>0</v>
      </c>
    </row>
    <row r="889" spans="1:25" ht="15" x14ac:dyDescent="0.2">
      <c r="A889" s="157" t="str">
        <f>CONCATENATE(SP_ACQ_Lib[[#This Row],[Acquisition Tract No.]],"_",SP_ACQ_Lib[[#This Row],[ACQ Document Type]])</f>
        <v>T210_ROE Right-of-Entry Package</v>
      </c>
      <c r="B889" s="14" t="s">
        <v>5769</v>
      </c>
      <c r="C889" s="263" t="s">
        <v>5328</v>
      </c>
      <c r="D889" s="12" t="s">
        <v>3274</v>
      </c>
      <c r="E889" s="8" t="s">
        <v>1146</v>
      </c>
      <c r="F889" s="8" t="s">
        <v>2687</v>
      </c>
      <c r="G889" s="8" t="s">
        <v>5659</v>
      </c>
      <c r="H889" s="7" t="s">
        <v>592</v>
      </c>
      <c r="I889" s="16">
        <v>43985</v>
      </c>
      <c r="J889" s="16"/>
      <c r="K889" s="17"/>
      <c r="L889" s="3"/>
      <c r="M889" s="8" t="s">
        <v>4206</v>
      </c>
      <c r="N889" s="11">
        <v>43986.576886574076</v>
      </c>
      <c r="O889" s="8" t="s">
        <v>4206</v>
      </c>
      <c r="P889" s="11">
        <v>43986.570254629631</v>
      </c>
      <c r="Q889" s="13">
        <v>1352148</v>
      </c>
      <c r="R889" s="264" t="s">
        <v>594</v>
      </c>
      <c r="S889" s="14" t="s">
        <v>5801</v>
      </c>
      <c r="T889" s="163">
        <v>1136</v>
      </c>
      <c r="U889" s="164" t="str">
        <f>CONCATENATE(LEFT(SP_ACQ_Lib[[#This Row],[Tax Parcel ID]],7),"_",SP_ACQ_Lib[[#This Row],[ACQ Document Type]])</f>
        <v>R032139_ROE Right-of-Entry Package</v>
      </c>
      <c r="V889" s="65" t="str">
        <f>INDEX(SP_AcqTract_DB[WCAD Tax Parcel ID],MATCH(SP_ACQ_Lib[[#This Row],[Acquisition Tract No.]],SP_AcqTract_DB[Acquisition Tract No.],0))</f>
        <v>R032139;#248</v>
      </c>
      <c r="W889" s="48" t="str">
        <f>INDEX(SP_TaxPar_DB[Acquisition Tract No.],MATCH(LEFT(SP_ACQ_Lib[[#This Row],[Tax Parcel ID]],7),SP_TaxPar_DB[Tax Parcel ID],0))</f>
        <v>T210</v>
      </c>
      <c r="X889" s="238" t="str">
        <f>IF(OR(SP_ACQ_Lib[[#This Row],[Acquisition Tract No.]]="",SP_ACQ_Lib[[#This Row],[ACQ Document Type]]=""),0,CONCATENATE("COW-FRMP_TR-",SP_ACQ_Lib[[#This Row],[Acquisition Tract No.]]," ",SP_ACQ_Lib[[#This Row],[ACQ Document Type]]))</f>
        <v>COW-FRMP_TR-T210 ROE Right-of-Entry Package</v>
      </c>
      <c r="Y889" s="239">
        <f>IF(OR(SP_ACQ_Lib[[#This Row],[File Name Convention]]=0,LEFT(SP_ACQ_Lib[[#This Row],[Name]],LEN(SP_ACQ_Lib[[#This Row],[File Name Convention]]))&lt;&gt;SP_ACQ_Lib[[#This Row],[File Name Convention]],ISERROR(SEARCH(SP_ACQ_Lib[[#This Row],[ACQ Document Type]],SP_ACQ_Lib[[#This Row],[Name]]))),1,0)</f>
        <v>0</v>
      </c>
    </row>
    <row r="890" spans="1:25" ht="15" x14ac:dyDescent="0.2">
      <c r="A890" s="157" t="str">
        <f>CONCATENATE(SP_ACQ_Lib[[#This Row],[Acquisition Tract No.]],"_",SP_ACQ_Lib[[#This Row],[ACQ Document Type]])</f>
        <v>T210_TITLE Tax Card</v>
      </c>
      <c r="B890" s="14" t="s">
        <v>5460</v>
      </c>
      <c r="C890" s="263" t="s">
        <v>5328</v>
      </c>
      <c r="D890" s="12" t="s">
        <v>3274</v>
      </c>
      <c r="E890" s="8" t="s">
        <v>861</v>
      </c>
      <c r="F890" s="8" t="s">
        <v>1150</v>
      </c>
      <c r="G890" s="8" t="s">
        <v>1149</v>
      </c>
      <c r="H890" s="7" t="s">
        <v>592</v>
      </c>
      <c r="I890" s="16"/>
      <c r="J890" s="16"/>
      <c r="K890" s="17"/>
      <c r="L890" s="3"/>
      <c r="M890" s="8" t="s">
        <v>4206</v>
      </c>
      <c r="N890" s="11">
        <v>43979.349027777775</v>
      </c>
      <c r="O890" s="8" t="s">
        <v>4206</v>
      </c>
      <c r="P890" s="11">
        <v>43971.421481481484</v>
      </c>
      <c r="Q890" s="13">
        <v>810488</v>
      </c>
      <c r="R890" s="264" t="s">
        <v>594</v>
      </c>
      <c r="S890" s="14" t="s">
        <v>5198</v>
      </c>
      <c r="T890" s="163">
        <v>966</v>
      </c>
      <c r="U890" s="164" t="str">
        <f>CONCATENATE(LEFT(SP_ACQ_Lib[[#This Row],[Tax Parcel ID]],7),"_",SP_ACQ_Lib[[#This Row],[ACQ Document Type]])</f>
        <v>R032139_TITLE Tax Card</v>
      </c>
      <c r="V890" s="65" t="str">
        <f>INDEX(SP_AcqTract_DB[WCAD Tax Parcel ID],MATCH(SP_ACQ_Lib[[#This Row],[Acquisition Tract No.]],SP_AcqTract_DB[Acquisition Tract No.],0))</f>
        <v>R032139;#248</v>
      </c>
      <c r="W890" s="48" t="str">
        <f>INDEX(SP_TaxPar_DB[Acquisition Tract No.],MATCH(LEFT(SP_ACQ_Lib[[#This Row],[Tax Parcel ID]],7),SP_TaxPar_DB[Tax Parcel ID],0))</f>
        <v>T210</v>
      </c>
      <c r="X890" s="238" t="str">
        <f>IF(OR(SP_ACQ_Lib[[#This Row],[Acquisition Tract No.]]="",SP_ACQ_Lib[[#This Row],[ACQ Document Type]]=""),0,CONCATENATE("COW-FRMP_TR-",SP_ACQ_Lib[[#This Row],[Acquisition Tract No.]]," ",SP_ACQ_Lib[[#This Row],[ACQ Document Type]]))</f>
        <v>COW-FRMP_TR-T210 TITLE Tax Card</v>
      </c>
      <c r="Y890" s="239">
        <f>IF(OR(SP_ACQ_Lib[[#This Row],[File Name Convention]]=0,LEFT(SP_ACQ_Lib[[#This Row],[Name]],LEN(SP_ACQ_Lib[[#This Row],[File Name Convention]]))&lt;&gt;SP_ACQ_Lib[[#This Row],[File Name Convention]],ISERROR(SEARCH(SP_ACQ_Lib[[#This Row],[ACQ Document Type]],SP_ACQ_Lib[[#This Row],[Name]]))),1,0)</f>
        <v>0</v>
      </c>
    </row>
    <row r="891" spans="1:25" ht="15" x14ac:dyDescent="0.2">
      <c r="A891" s="157" t="str">
        <f>CONCATENATE(SP_ACQ_Lib[[#This Row],[Acquisition Tract No.]],"_",SP_ACQ_Lib[[#This Row],[ACQ Document Type]])</f>
        <v>T211_CONTACT Negotiator Report</v>
      </c>
      <c r="B891" s="14" t="s">
        <v>5827</v>
      </c>
      <c r="C891" s="263" t="s">
        <v>5330</v>
      </c>
      <c r="D891" s="12" t="s">
        <v>3275</v>
      </c>
      <c r="E891" s="8" t="s">
        <v>865</v>
      </c>
      <c r="F891" s="8" t="s">
        <v>1068</v>
      </c>
      <c r="G891" s="8" t="s">
        <v>1067</v>
      </c>
      <c r="H891" s="7" t="s">
        <v>592</v>
      </c>
      <c r="I891" s="16"/>
      <c r="J891" s="16"/>
      <c r="K891" s="17"/>
      <c r="L891" s="3"/>
      <c r="M891" s="8" t="s">
        <v>5648</v>
      </c>
      <c r="N891" s="11">
        <v>44022.726770833331</v>
      </c>
      <c r="O891" s="8" t="s">
        <v>5648</v>
      </c>
      <c r="P891" s="11">
        <v>43990.326018518521</v>
      </c>
      <c r="Q891" s="13">
        <v>35619</v>
      </c>
      <c r="R891" s="264" t="s">
        <v>594</v>
      </c>
      <c r="S891" s="14" t="s">
        <v>5836</v>
      </c>
      <c r="T891" s="163">
        <v>1147</v>
      </c>
      <c r="U891" s="164" t="str">
        <f>CONCATENATE(LEFT(SP_ACQ_Lib[[#This Row],[Tax Parcel ID]],7),"_",SP_ACQ_Lib[[#This Row],[ACQ Document Type]])</f>
        <v>R032141_CONTACT Negotiator Report</v>
      </c>
      <c r="V891" s="65" t="str">
        <f>INDEX(SP_AcqTract_DB[WCAD Tax Parcel ID],MATCH(SP_ACQ_Lib[[#This Row],[Acquisition Tract No.]],SP_AcqTract_DB[Acquisition Tract No.],0))</f>
        <v>R032141;#249</v>
      </c>
      <c r="W891" s="48" t="str">
        <f>INDEX(SP_TaxPar_DB[Acquisition Tract No.],MATCH(LEFT(SP_ACQ_Lib[[#This Row],[Tax Parcel ID]],7),SP_TaxPar_DB[Tax Parcel ID],0))</f>
        <v>T211</v>
      </c>
      <c r="X891" s="238" t="str">
        <f>IF(OR(SP_ACQ_Lib[[#This Row],[Acquisition Tract No.]]="",SP_ACQ_Lib[[#This Row],[ACQ Document Type]]=""),0,CONCATENATE("COW-FRMP_TR-",SP_ACQ_Lib[[#This Row],[Acquisition Tract No.]]," ",SP_ACQ_Lib[[#This Row],[ACQ Document Type]]))</f>
        <v>COW-FRMP_TR-T211 CONTACT Negotiator Report</v>
      </c>
      <c r="Y891" s="239">
        <f>IF(OR(SP_ACQ_Lib[[#This Row],[File Name Convention]]=0,LEFT(SP_ACQ_Lib[[#This Row],[Name]],LEN(SP_ACQ_Lib[[#This Row],[File Name Convention]]))&lt;&gt;SP_ACQ_Lib[[#This Row],[File Name Convention]],ISERROR(SEARCH(SP_ACQ_Lib[[#This Row],[ACQ Document Type]],SP_ACQ_Lib[[#This Row],[Name]]))),1,0)</f>
        <v>0</v>
      </c>
    </row>
    <row r="892" spans="1:25" ht="15" x14ac:dyDescent="0.2">
      <c r="A892" s="157" t="str">
        <f>CONCATENATE(SP_ACQ_Lib[[#This Row],[Acquisition Tract No.]],"_",SP_ACQ_Lib[[#This Row],[ACQ Document Type]])</f>
        <v>T211_ENVIRONMENTAL Right-of-Entry Package</v>
      </c>
      <c r="B892" s="14" t="s">
        <v>5605</v>
      </c>
      <c r="C892" s="263" t="s">
        <v>5330</v>
      </c>
      <c r="D892" s="12" t="s">
        <v>3275</v>
      </c>
      <c r="E892" s="8" t="s">
        <v>2682</v>
      </c>
      <c r="F892" s="8" t="s">
        <v>2687</v>
      </c>
      <c r="G892" s="8" t="s">
        <v>2686</v>
      </c>
      <c r="H892" s="7" t="s">
        <v>592</v>
      </c>
      <c r="I892" s="16">
        <v>43851</v>
      </c>
      <c r="J892" s="16">
        <v>43879</v>
      </c>
      <c r="K892" s="17"/>
      <c r="L892" s="3" t="s">
        <v>4346</v>
      </c>
      <c r="M892" s="8" t="s">
        <v>4206</v>
      </c>
      <c r="N892" s="11">
        <v>43983.582685185182</v>
      </c>
      <c r="O892" s="8" t="s">
        <v>4206</v>
      </c>
      <c r="P892" s="11">
        <v>43971.42150462963</v>
      </c>
      <c r="Q892" s="13">
        <v>975651</v>
      </c>
      <c r="R892" s="264" t="s">
        <v>594</v>
      </c>
      <c r="S892" s="14" t="s">
        <v>5199</v>
      </c>
      <c r="T892" s="163">
        <v>967</v>
      </c>
      <c r="U892" s="164" t="str">
        <f>CONCATENATE(LEFT(SP_ACQ_Lib[[#This Row],[Tax Parcel ID]],7),"_",SP_ACQ_Lib[[#This Row],[ACQ Document Type]])</f>
        <v>R032141_ENVIRONMENTAL Right-of-Entry Package</v>
      </c>
      <c r="V892" s="65" t="str">
        <f>INDEX(SP_AcqTract_DB[WCAD Tax Parcel ID],MATCH(SP_ACQ_Lib[[#This Row],[Acquisition Tract No.]],SP_AcqTract_DB[Acquisition Tract No.],0))</f>
        <v>R032141;#249</v>
      </c>
      <c r="W892" s="48" t="str">
        <f>INDEX(SP_TaxPar_DB[Acquisition Tract No.],MATCH(LEFT(SP_ACQ_Lib[[#This Row],[Tax Parcel ID]],7),SP_TaxPar_DB[Tax Parcel ID],0))</f>
        <v>T211</v>
      </c>
      <c r="X892" s="238" t="str">
        <f>IF(OR(SP_ACQ_Lib[[#This Row],[Acquisition Tract No.]]="",SP_ACQ_Lib[[#This Row],[ACQ Document Type]]=""),0,CONCATENATE("COW-FRMP_TR-",SP_ACQ_Lib[[#This Row],[Acquisition Tract No.]]," ",SP_ACQ_Lib[[#This Row],[ACQ Document Type]]))</f>
        <v>COW-FRMP_TR-T211 ENVIRONMENTAL Right-of-Entry Package</v>
      </c>
      <c r="Y892" s="239">
        <f>IF(OR(SP_ACQ_Lib[[#This Row],[File Name Convention]]=0,LEFT(SP_ACQ_Lib[[#This Row],[Name]],LEN(SP_ACQ_Lib[[#This Row],[File Name Convention]]))&lt;&gt;SP_ACQ_Lib[[#This Row],[File Name Convention]],ISERROR(SEARCH(SP_ACQ_Lib[[#This Row],[ACQ Document Type]],SP_ACQ_Lib[[#This Row],[Name]]))),1,0)</f>
        <v>0</v>
      </c>
    </row>
    <row r="893" spans="1:25" ht="15" x14ac:dyDescent="0.2">
      <c r="A893" s="157" t="str">
        <f>CONCATENATE(SP_ACQ_Lib[[#This Row],[Acquisition Tract No.]],"_",SP_ACQ_Lib[[#This Row],[ACQ Document Type]])</f>
        <v>T211_ROE Right-of-Entry Package</v>
      </c>
      <c r="B893" s="14" t="s">
        <v>5770</v>
      </c>
      <c r="C893" s="263" t="s">
        <v>5330</v>
      </c>
      <c r="D893" s="12" t="s">
        <v>3275</v>
      </c>
      <c r="E893" s="8" t="s">
        <v>1146</v>
      </c>
      <c r="F893" s="8" t="s">
        <v>2687</v>
      </c>
      <c r="G893" s="8" t="s">
        <v>5659</v>
      </c>
      <c r="H893" s="7" t="s">
        <v>592</v>
      </c>
      <c r="I893" s="16">
        <v>43985</v>
      </c>
      <c r="J893" s="16"/>
      <c r="K893" s="17"/>
      <c r="L893" s="3"/>
      <c r="M893" s="8" t="s">
        <v>4206</v>
      </c>
      <c r="N893" s="11">
        <v>43986.577731481484</v>
      </c>
      <c r="O893" s="8" t="s">
        <v>4206</v>
      </c>
      <c r="P893" s="11">
        <v>43986.570277777777</v>
      </c>
      <c r="Q893" s="13">
        <v>1349434</v>
      </c>
      <c r="R893" s="264" t="s">
        <v>594</v>
      </c>
      <c r="S893" s="14" t="s">
        <v>5802</v>
      </c>
      <c r="T893" s="163">
        <v>1137</v>
      </c>
      <c r="U893" s="164" t="str">
        <f>CONCATENATE(LEFT(SP_ACQ_Lib[[#This Row],[Tax Parcel ID]],7),"_",SP_ACQ_Lib[[#This Row],[ACQ Document Type]])</f>
        <v>R032141_ROE Right-of-Entry Package</v>
      </c>
      <c r="V893" s="65" t="str">
        <f>INDEX(SP_AcqTract_DB[WCAD Tax Parcel ID],MATCH(SP_ACQ_Lib[[#This Row],[Acquisition Tract No.]],SP_AcqTract_DB[Acquisition Tract No.],0))</f>
        <v>R032141;#249</v>
      </c>
      <c r="W893" s="48" t="str">
        <f>INDEX(SP_TaxPar_DB[Acquisition Tract No.],MATCH(LEFT(SP_ACQ_Lib[[#This Row],[Tax Parcel ID]],7),SP_TaxPar_DB[Tax Parcel ID],0))</f>
        <v>T211</v>
      </c>
      <c r="X893" s="238" t="str">
        <f>IF(OR(SP_ACQ_Lib[[#This Row],[Acquisition Tract No.]]="",SP_ACQ_Lib[[#This Row],[ACQ Document Type]]=""),0,CONCATENATE("COW-FRMP_TR-",SP_ACQ_Lib[[#This Row],[Acquisition Tract No.]]," ",SP_ACQ_Lib[[#This Row],[ACQ Document Type]]))</f>
        <v>COW-FRMP_TR-T211 ROE Right-of-Entry Package</v>
      </c>
      <c r="Y893" s="239">
        <f>IF(OR(SP_ACQ_Lib[[#This Row],[File Name Convention]]=0,LEFT(SP_ACQ_Lib[[#This Row],[Name]],LEN(SP_ACQ_Lib[[#This Row],[File Name Convention]]))&lt;&gt;SP_ACQ_Lib[[#This Row],[File Name Convention]],ISERROR(SEARCH(SP_ACQ_Lib[[#This Row],[ACQ Document Type]],SP_ACQ_Lib[[#This Row],[Name]]))),1,0)</f>
        <v>0</v>
      </c>
    </row>
    <row r="894" spans="1:25" ht="15" x14ac:dyDescent="0.2">
      <c r="A894" s="157" t="str">
        <f>CONCATENATE(SP_ACQ_Lib[[#This Row],[Acquisition Tract No.]],"_",SP_ACQ_Lib[[#This Row],[ACQ Document Type]])</f>
        <v>T211_TITLE Tax Card</v>
      </c>
      <c r="B894" s="14" t="s">
        <v>5461</v>
      </c>
      <c r="C894" s="263" t="s">
        <v>5330</v>
      </c>
      <c r="D894" s="12" t="s">
        <v>3275</v>
      </c>
      <c r="E894" s="8" t="s">
        <v>861</v>
      </c>
      <c r="F894" s="8" t="s">
        <v>1150</v>
      </c>
      <c r="G894" s="8" t="s">
        <v>1149</v>
      </c>
      <c r="H894" s="7" t="s">
        <v>592</v>
      </c>
      <c r="I894" s="16"/>
      <c r="J894" s="16"/>
      <c r="K894" s="17"/>
      <c r="L894" s="3"/>
      <c r="M894" s="8" t="s">
        <v>4206</v>
      </c>
      <c r="N894" s="11">
        <v>43979.349027777775</v>
      </c>
      <c r="O894" s="8" t="s">
        <v>4206</v>
      </c>
      <c r="P894" s="11">
        <v>43971.421539351853</v>
      </c>
      <c r="Q894" s="13">
        <v>807324</v>
      </c>
      <c r="R894" s="264" t="s">
        <v>594</v>
      </c>
      <c r="S894" s="14" t="s">
        <v>5200</v>
      </c>
      <c r="T894" s="163">
        <v>968</v>
      </c>
      <c r="U894" s="164" t="str">
        <f>CONCATENATE(LEFT(SP_ACQ_Lib[[#This Row],[Tax Parcel ID]],7),"_",SP_ACQ_Lib[[#This Row],[ACQ Document Type]])</f>
        <v>R032141_TITLE Tax Card</v>
      </c>
      <c r="V894" s="65" t="str">
        <f>INDEX(SP_AcqTract_DB[WCAD Tax Parcel ID],MATCH(SP_ACQ_Lib[[#This Row],[Acquisition Tract No.]],SP_AcqTract_DB[Acquisition Tract No.],0))</f>
        <v>R032141;#249</v>
      </c>
      <c r="W894" s="48" t="str">
        <f>INDEX(SP_TaxPar_DB[Acquisition Tract No.],MATCH(LEFT(SP_ACQ_Lib[[#This Row],[Tax Parcel ID]],7),SP_TaxPar_DB[Tax Parcel ID],0))</f>
        <v>T211</v>
      </c>
      <c r="X894" s="238" t="str">
        <f>IF(OR(SP_ACQ_Lib[[#This Row],[Acquisition Tract No.]]="",SP_ACQ_Lib[[#This Row],[ACQ Document Type]]=""),0,CONCATENATE("COW-FRMP_TR-",SP_ACQ_Lib[[#This Row],[Acquisition Tract No.]]," ",SP_ACQ_Lib[[#This Row],[ACQ Document Type]]))</f>
        <v>COW-FRMP_TR-T211 TITLE Tax Card</v>
      </c>
      <c r="Y894" s="239">
        <f>IF(OR(SP_ACQ_Lib[[#This Row],[File Name Convention]]=0,LEFT(SP_ACQ_Lib[[#This Row],[Name]],LEN(SP_ACQ_Lib[[#This Row],[File Name Convention]]))&lt;&gt;SP_ACQ_Lib[[#This Row],[File Name Convention]],ISERROR(SEARCH(SP_ACQ_Lib[[#This Row],[ACQ Document Type]],SP_ACQ_Lib[[#This Row],[Name]]))),1,0)</f>
        <v>0</v>
      </c>
    </row>
    <row r="895" spans="1:25" ht="15" x14ac:dyDescent="0.2">
      <c r="A895" s="157" t="str">
        <f>CONCATENATE(SP_ACQ_Lib[[#This Row],[Acquisition Tract No.]],"_",SP_ACQ_Lib[[#This Row],[ACQ Document Type]])</f>
        <v>T212_CONTACT Negotiator Report</v>
      </c>
      <c r="B895" s="14" t="s">
        <v>5462</v>
      </c>
      <c r="C895" s="263" t="s">
        <v>5332</v>
      </c>
      <c r="D895" s="12" t="s">
        <v>3276</v>
      </c>
      <c r="E895" s="8" t="s">
        <v>865</v>
      </c>
      <c r="F895" s="8" t="s">
        <v>1068</v>
      </c>
      <c r="G895" s="8" t="s">
        <v>1067</v>
      </c>
      <c r="H895" s="7" t="s">
        <v>592</v>
      </c>
      <c r="I895" s="16">
        <v>43895</v>
      </c>
      <c r="J895" s="16"/>
      <c r="K895" s="17"/>
      <c r="L895" s="3"/>
      <c r="M895" s="8" t="s">
        <v>5648</v>
      </c>
      <c r="N895" s="11">
        <v>44022.588136574072</v>
      </c>
      <c r="O895" s="8" t="s">
        <v>4206</v>
      </c>
      <c r="P895" s="11">
        <v>43971.421574074076</v>
      </c>
      <c r="Q895" s="13">
        <v>465799</v>
      </c>
      <c r="R895" s="264" t="s">
        <v>594</v>
      </c>
      <c r="S895" s="14" t="s">
        <v>5532</v>
      </c>
      <c r="T895" s="163">
        <v>969</v>
      </c>
      <c r="U895" s="164" t="str">
        <f>CONCATENATE(LEFT(SP_ACQ_Lib[[#This Row],[Tax Parcel ID]],7),"_",SP_ACQ_Lib[[#This Row],[ACQ Document Type]])</f>
        <v>R032142_CONTACT Negotiator Report</v>
      </c>
      <c r="V895" s="65" t="str">
        <f>INDEX(SP_AcqTract_DB[WCAD Tax Parcel ID],MATCH(SP_ACQ_Lib[[#This Row],[Acquisition Tract No.]],SP_AcqTract_DB[Acquisition Tract No.],0))</f>
        <v>R032142;#250</v>
      </c>
      <c r="W895" s="48" t="str">
        <f>INDEX(SP_TaxPar_DB[Acquisition Tract No.],MATCH(LEFT(SP_ACQ_Lib[[#This Row],[Tax Parcel ID]],7),SP_TaxPar_DB[Tax Parcel ID],0))</f>
        <v>T212</v>
      </c>
      <c r="X895" s="238" t="str">
        <f>IF(OR(SP_ACQ_Lib[[#This Row],[Acquisition Tract No.]]="",SP_ACQ_Lib[[#This Row],[ACQ Document Type]]=""),0,CONCATENATE("COW-FRMP_TR-",SP_ACQ_Lib[[#This Row],[Acquisition Tract No.]]," ",SP_ACQ_Lib[[#This Row],[ACQ Document Type]]))</f>
        <v>COW-FRMP_TR-T212 CONTACT Negotiator Report</v>
      </c>
      <c r="Y895" s="239">
        <f>IF(OR(SP_ACQ_Lib[[#This Row],[File Name Convention]]=0,LEFT(SP_ACQ_Lib[[#This Row],[Name]],LEN(SP_ACQ_Lib[[#This Row],[File Name Convention]]))&lt;&gt;SP_ACQ_Lib[[#This Row],[File Name Convention]],ISERROR(SEARCH(SP_ACQ_Lib[[#This Row],[ACQ Document Type]],SP_ACQ_Lib[[#This Row],[Name]]))),1,0)</f>
        <v>0</v>
      </c>
    </row>
    <row r="896" spans="1:25" ht="15" x14ac:dyDescent="0.2">
      <c r="A896" s="157" t="str">
        <f>CONCATENATE(SP_ACQ_Lib[[#This Row],[Acquisition Tract No.]],"_",SP_ACQ_Lib[[#This Row],[ACQ Document Type]])</f>
        <v>T212_ENVIRONMENTAL Right-of-Entry Executed</v>
      </c>
      <c r="B896" s="14" t="s">
        <v>5606</v>
      </c>
      <c r="C896" s="263" t="s">
        <v>5332</v>
      </c>
      <c r="D896" s="12" t="s">
        <v>3276</v>
      </c>
      <c r="E896" s="8" t="s">
        <v>2682</v>
      </c>
      <c r="F896" s="8" t="s">
        <v>2683</v>
      </c>
      <c r="G896" s="8" t="s">
        <v>2681</v>
      </c>
      <c r="H896" s="7" t="s">
        <v>592</v>
      </c>
      <c r="I896" s="16">
        <v>43859</v>
      </c>
      <c r="J896" s="16"/>
      <c r="K896" s="17"/>
      <c r="L896" s="3"/>
      <c r="M896" s="8" t="s">
        <v>4206</v>
      </c>
      <c r="N896" s="11">
        <v>43983.571620370371</v>
      </c>
      <c r="O896" s="8" t="s">
        <v>4206</v>
      </c>
      <c r="P896" s="11">
        <v>43971.421631944446</v>
      </c>
      <c r="Q896" s="13">
        <v>557938</v>
      </c>
      <c r="R896" s="264" t="s">
        <v>594</v>
      </c>
      <c r="S896" s="14" t="s">
        <v>5202</v>
      </c>
      <c r="T896" s="163">
        <v>971</v>
      </c>
      <c r="U896" s="164" t="str">
        <f>CONCATENATE(LEFT(SP_ACQ_Lib[[#This Row],[Tax Parcel ID]],7),"_",SP_ACQ_Lib[[#This Row],[ACQ Document Type]])</f>
        <v>R032142_ENVIRONMENTAL Right-of-Entry Executed</v>
      </c>
      <c r="V896" s="65" t="str">
        <f>INDEX(SP_AcqTract_DB[WCAD Tax Parcel ID],MATCH(SP_ACQ_Lib[[#This Row],[Acquisition Tract No.]],SP_AcqTract_DB[Acquisition Tract No.],0))</f>
        <v>R032142;#250</v>
      </c>
      <c r="W896" s="48" t="str">
        <f>INDEX(SP_TaxPar_DB[Acquisition Tract No.],MATCH(LEFT(SP_ACQ_Lib[[#This Row],[Tax Parcel ID]],7),SP_TaxPar_DB[Tax Parcel ID],0))</f>
        <v>T212</v>
      </c>
      <c r="X896" s="238" t="str">
        <f>IF(OR(SP_ACQ_Lib[[#This Row],[Acquisition Tract No.]]="",SP_ACQ_Lib[[#This Row],[ACQ Document Type]]=""),0,CONCATENATE("COW-FRMP_TR-",SP_ACQ_Lib[[#This Row],[Acquisition Tract No.]]," ",SP_ACQ_Lib[[#This Row],[ACQ Document Type]]))</f>
        <v>COW-FRMP_TR-T212 ENVIRONMENTAL Right-of-Entry Executed</v>
      </c>
      <c r="Y896" s="239">
        <f>IF(OR(SP_ACQ_Lib[[#This Row],[File Name Convention]]=0,LEFT(SP_ACQ_Lib[[#This Row],[Name]],LEN(SP_ACQ_Lib[[#This Row],[File Name Convention]]))&lt;&gt;SP_ACQ_Lib[[#This Row],[File Name Convention]],ISERROR(SEARCH(SP_ACQ_Lib[[#This Row],[ACQ Document Type]],SP_ACQ_Lib[[#This Row],[Name]]))),1,0)</f>
        <v>0</v>
      </c>
    </row>
    <row r="897" spans="1:25" ht="15" x14ac:dyDescent="0.2">
      <c r="A897" s="157" t="str">
        <f>CONCATENATE(SP_ACQ_Lib[[#This Row],[Acquisition Tract No.]],"_",SP_ACQ_Lib[[#This Row],[ACQ Document Type]])</f>
        <v>T212_ENVIRONMENTAL Right-of-Entry Package</v>
      </c>
      <c r="B897" s="14" t="s">
        <v>5607</v>
      </c>
      <c r="C897" s="263" t="s">
        <v>5332</v>
      </c>
      <c r="D897" s="12" t="s">
        <v>3276</v>
      </c>
      <c r="E897" s="8" t="s">
        <v>2682</v>
      </c>
      <c r="F897" s="8" t="s">
        <v>2687</v>
      </c>
      <c r="G897" s="8" t="s">
        <v>2686</v>
      </c>
      <c r="H897" s="7" t="s">
        <v>592</v>
      </c>
      <c r="I897" s="16">
        <v>43850</v>
      </c>
      <c r="J897" s="16">
        <v>43853</v>
      </c>
      <c r="K897" s="17"/>
      <c r="L897" s="3"/>
      <c r="M897" s="8" t="s">
        <v>4206</v>
      </c>
      <c r="N897" s="11">
        <v>43983.582685185182</v>
      </c>
      <c r="O897" s="8" t="s">
        <v>4206</v>
      </c>
      <c r="P897" s="11">
        <v>43971.421597222223</v>
      </c>
      <c r="Q897" s="13">
        <v>910236</v>
      </c>
      <c r="R897" s="264" t="s">
        <v>594</v>
      </c>
      <c r="S897" s="14" t="s">
        <v>5201</v>
      </c>
      <c r="T897" s="163">
        <v>970</v>
      </c>
      <c r="U897" s="164" t="str">
        <f>CONCATENATE(LEFT(SP_ACQ_Lib[[#This Row],[Tax Parcel ID]],7),"_",SP_ACQ_Lib[[#This Row],[ACQ Document Type]])</f>
        <v>R032142_ENVIRONMENTAL Right-of-Entry Package</v>
      </c>
      <c r="V897" s="65" t="str">
        <f>INDEX(SP_AcqTract_DB[WCAD Tax Parcel ID],MATCH(SP_ACQ_Lib[[#This Row],[Acquisition Tract No.]],SP_AcqTract_DB[Acquisition Tract No.],0))</f>
        <v>R032142;#250</v>
      </c>
      <c r="W897" s="48" t="str">
        <f>INDEX(SP_TaxPar_DB[Acquisition Tract No.],MATCH(LEFT(SP_ACQ_Lib[[#This Row],[Tax Parcel ID]],7),SP_TaxPar_DB[Tax Parcel ID],0))</f>
        <v>T212</v>
      </c>
      <c r="X897" s="238" t="str">
        <f>IF(OR(SP_ACQ_Lib[[#This Row],[Acquisition Tract No.]]="",SP_ACQ_Lib[[#This Row],[ACQ Document Type]]=""),0,CONCATENATE("COW-FRMP_TR-",SP_ACQ_Lib[[#This Row],[Acquisition Tract No.]]," ",SP_ACQ_Lib[[#This Row],[ACQ Document Type]]))</f>
        <v>COW-FRMP_TR-T212 ENVIRONMENTAL Right-of-Entry Package</v>
      </c>
      <c r="Y897" s="239">
        <f>IF(OR(SP_ACQ_Lib[[#This Row],[File Name Convention]]=0,LEFT(SP_ACQ_Lib[[#This Row],[Name]],LEN(SP_ACQ_Lib[[#This Row],[File Name Convention]]))&lt;&gt;SP_ACQ_Lib[[#This Row],[File Name Convention]],ISERROR(SEARCH(SP_ACQ_Lib[[#This Row],[ACQ Document Type]],SP_ACQ_Lib[[#This Row],[Name]]))),1,0)</f>
        <v>0</v>
      </c>
    </row>
    <row r="898" spans="1:25" ht="15" x14ac:dyDescent="0.2">
      <c r="A898" s="157" t="str">
        <f>CONCATENATE(SP_ACQ_Lib[[#This Row],[Acquisition Tract No.]],"_",SP_ACQ_Lib[[#This Row],[ACQ Document Type]])</f>
        <v>T212_ROE Right-of-Entry Executed</v>
      </c>
      <c r="B898" s="14" t="s">
        <v>6543</v>
      </c>
      <c r="C898" s="263" t="s">
        <v>5332</v>
      </c>
      <c r="D898" s="12" t="s">
        <v>3276</v>
      </c>
      <c r="E898" s="8" t="s">
        <v>1146</v>
      </c>
      <c r="F898" s="8" t="s">
        <v>2683</v>
      </c>
      <c r="G898" s="8" t="s">
        <v>5660</v>
      </c>
      <c r="H898" s="7" t="s">
        <v>592</v>
      </c>
      <c r="I898" s="16">
        <v>44014</v>
      </c>
      <c r="J898" s="16">
        <v>44198</v>
      </c>
      <c r="K898" s="17"/>
      <c r="L898" s="3"/>
      <c r="M898" s="8" t="s">
        <v>4206</v>
      </c>
      <c r="N898" s="11">
        <v>44018.430625000001</v>
      </c>
      <c r="O898" s="8" t="s">
        <v>4206</v>
      </c>
      <c r="P898" s="11">
        <v>44018.426782407405</v>
      </c>
      <c r="Q898" s="13">
        <v>2029156</v>
      </c>
      <c r="R898" s="264" t="s">
        <v>594</v>
      </c>
      <c r="S898" s="14" t="s">
        <v>6607</v>
      </c>
      <c r="T898" s="163">
        <v>1333</v>
      </c>
      <c r="U898" s="164" t="str">
        <f>CONCATENATE(LEFT(SP_ACQ_Lib[[#This Row],[Tax Parcel ID]],7),"_",SP_ACQ_Lib[[#This Row],[ACQ Document Type]])</f>
        <v>R032142_ROE Right-of-Entry Executed</v>
      </c>
      <c r="V898" s="65" t="str">
        <f>INDEX(SP_AcqTract_DB[WCAD Tax Parcel ID],MATCH(SP_ACQ_Lib[[#This Row],[Acquisition Tract No.]],SP_AcqTract_DB[Acquisition Tract No.],0))</f>
        <v>R032142;#250</v>
      </c>
      <c r="W898" s="48" t="str">
        <f>INDEX(SP_TaxPar_DB[Acquisition Tract No.],MATCH(LEFT(SP_ACQ_Lib[[#This Row],[Tax Parcel ID]],7),SP_TaxPar_DB[Tax Parcel ID],0))</f>
        <v>T212</v>
      </c>
      <c r="X898" s="238" t="str">
        <f>IF(OR(SP_ACQ_Lib[[#This Row],[Acquisition Tract No.]]="",SP_ACQ_Lib[[#This Row],[ACQ Document Type]]=""),0,CONCATENATE("COW-FRMP_TR-",SP_ACQ_Lib[[#This Row],[Acquisition Tract No.]]," ",SP_ACQ_Lib[[#This Row],[ACQ Document Type]]))</f>
        <v>COW-FRMP_TR-T212 ROE Right-of-Entry Executed</v>
      </c>
      <c r="Y898" s="239">
        <f>IF(OR(SP_ACQ_Lib[[#This Row],[File Name Convention]]=0,LEFT(SP_ACQ_Lib[[#This Row],[Name]],LEN(SP_ACQ_Lib[[#This Row],[File Name Convention]]))&lt;&gt;SP_ACQ_Lib[[#This Row],[File Name Convention]],ISERROR(SEARCH(SP_ACQ_Lib[[#This Row],[ACQ Document Type]],SP_ACQ_Lib[[#This Row],[Name]]))),1,0)</f>
        <v>0</v>
      </c>
    </row>
    <row r="899" spans="1:25" ht="15" x14ac:dyDescent="0.2">
      <c r="A899" s="157" t="str">
        <f>CONCATENATE(SP_ACQ_Lib[[#This Row],[Acquisition Tract No.]],"_",SP_ACQ_Lib[[#This Row],[ACQ Document Type]])</f>
        <v>T212_ROE Right-of-Entry Package</v>
      </c>
      <c r="B899" s="14" t="s">
        <v>5771</v>
      </c>
      <c r="C899" s="263" t="s">
        <v>5332</v>
      </c>
      <c r="D899" s="12" t="s">
        <v>3276</v>
      </c>
      <c r="E899" s="8" t="s">
        <v>1146</v>
      </c>
      <c r="F899" s="8" t="s">
        <v>2687</v>
      </c>
      <c r="G899" s="8" t="s">
        <v>5659</v>
      </c>
      <c r="H899" s="7" t="s">
        <v>592</v>
      </c>
      <c r="I899" s="16">
        <v>43985</v>
      </c>
      <c r="J899" s="16"/>
      <c r="K899" s="17"/>
      <c r="L899" s="3"/>
      <c r="M899" s="8" t="s">
        <v>4206</v>
      </c>
      <c r="N899" s="11">
        <v>43986.578009259261</v>
      </c>
      <c r="O899" s="8" t="s">
        <v>4206</v>
      </c>
      <c r="P899" s="11">
        <v>43986.5703125</v>
      </c>
      <c r="Q899" s="13">
        <v>1381412</v>
      </c>
      <c r="R899" s="264" t="s">
        <v>594</v>
      </c>
      <c r="S899" s="14" t="s">
        <v>5803</v>
      </c>
      <c r="T899" s="163">
        <v>1138</v>
      </c>
      <c r="U899" s="164" t="str">
        <f>CONCATENATE(LEFT(SP_ACQ_Lib[[#This Row],[Tax Parcel ID]],7),"_",SP_ACQ_Lib[[#This Row],[ACQ Document Type]])</f>
        <v>R032142_ROE Right-of-Entry Package</v>
      </c>
      <c r="V899" s="65" t="str">
        <f>INDEX(SP_AcqTract_DB[WCAD Tax Parcel ID],MATCH(SP_ACQ_Lib[[#This Row],[Acquisition Tract No.]],SP_AcqTract_DB[Acquisition Tract No.],0))</f>
        <v>R032142;#250</v>
      </c>
      <c r="W899" s="48" t="str">
        <f>INDEX(SP_TaxPar_DB[Acquisition Tract No.],MATCH(LEFT(SP_ACQ_Lib[[#This Row],[Tax Parcel ID]],7),SP_TaxPar_DB[Tax Parcel ID],0))</f>
        <v>T212</v>
      </c>
      <c r="X899" s="238" t="str">
        <f>IF(OR(SP_ACQ_Lib[[#This Row],[Acquisition Tract No.]]="",SP_ACQ_Lib[[#This Row],[ACQ Document Type]]=""),0,CONCATENATE("COW-FRMP_TR-",SP_ACQ_Lib[[#This Row],[Acquisition Tract No.]]," ",SP_ACQ_Lib[[#This Row],[ACQ Document Type]]))</f>
        <v>COW-FRMP_TR-T212 ROE Right-of-Entry Package</v>
      </c>
      <c r="Y899" s="239">
        <f>IF(OR(SP_ACQ_Lib[[#This Row],[File Name Convention]]=0,LEFT(SP_ACQ_Lib[[#This Row],[Name]],LEN(SP_ACQ_Lib[[#This Row],[File Name Convention]]))&lt;&gt;SP_ACQ_Lib[[#This Row],[File Name Convention]],ISERROR(SEARCH(SP_ACQ_Lib[[#This Row],[ACQ Document Type]],SP_ACQ_Lib[[#This Row],[Name]]))),1,0)</f>
        <v>0</v>
      </c>
    </row>
    <row r="900" spans="1:25" ht="15" x14ac:dyDescent="0.2">
      <c r="A900" s="157" t="str">
        <f>CONCATENATE(SP_ACQ_Lib[[#This Row],[Acquisition Tract No.]],"_",SP_ACQ_Lib[[#This Row],[ACQ Document Type]])</f>
        <v>T212_TITLE Tax Card</v>
      </c>
      <c r="B900" s="14" t="s">
        <v>5463</v>
      </c>
      <c r="C900" s="263" t="s">
        <v>5332</v>
      </c>
      <c r="D900" s="12" t="s">
        <v>3276</v>
      </c>
      <c r="E900" s="8" t="s">
        <v>861</v>
      </c>
      <c r="F900" s="8" t="s">
        <v>1150</v>
      </c>
      <c r="G900" s="8" t="s">
        <v>1149</v>
      </c>
      <c r="H900" s="7" t="s">
        <v>592</v>
      </c>
      <c r="I900" s="16"/>
      <c r="J900" s="16"/>
      <c r="K900" s="17"/>
      <c r="L900" s="3"/>
      <c r="M900" s="8" t="s">
        <v>4206</v>
      </c>
      <c r="N900" s="11">
        <v>43979.349027777775</v>
      </c>
      <c r="O900" s="8" t="s">
        <v>4206</v>
      </c>
      <c r="P900" s="11">
        <v>43971.421643518515</v>
      </c>
      <c r="Q900" s="13">
        <v>797641</v>
      </c>
      <c r="R900" s="264" t="s">
        <v>594</v>
      </c>
      <c r="S900" s="14" t="s">
        <v>5203</v>
      </c>
      <c r="T900" s="163">
        <v>972</v>
      </c>
      <c r="U900" s="164" t="str">
        <f>CONCATENATE(LEFT(SP_ACQ_Lib[[#This Row],[Tax Parcel ID]],7),"_",SP_ACQ_Lib[[#This Row],[ACQ Document Type]])</f>
        <v>R032142_TITLE Tax Card</v>
      </c>
      <c r="V900" s="65" t="str">
        <f>INDEX(SP_AcqTract_DB[WCAD Tax Parcel ID],MATCH(SP_ACQ_Lib[[#This Row],[Acquisition Tract No.]],SP_AcqTract_DB[Acquisition Tract No.],0))</f>
        <v>R032142;#250</v>
      </c>
      <c r="W900" s="48" t="str">
        <f>INDEX(SP_TaxPar_DB[Acquisition Tract No.],MATCH(LEFT(SP_ACQ_Lib[[#This Row],[Tax Parcel ID]],7),SP_TaxPar_DB[Tax Parcel ID],0))</f>
        <v>T212</v>
      </c>
      <c r="X900" s="238" t="str">
        <f>IF(OR(SP_ACQ_Lib[[#This Row],[Acquisition Tract No.]]="",SP_ACQ_Lib[[#This Row],[ACQ Document Type]]=""),0,CONCATENATE("COW-FRMP_TR-",SP_ACQ_Lib[[#This Row],[Acquisition Tract No.]]," ",SP_ACQ_Lib[[#This Row],[ACQ Document Type]]))</f>
        <v>COW-FRMP_TR-T212 TITLE Tax Card</v>
      </c>
      <c r="Y900" s="239">
        <f>IF(OR(SP_ACQ_Lib[[#This Row],[File Name Convention]]=0,LEFT(SP_ACQ_Lib[[#This Row],[Name]],LEN(SP_ACQ_Lib[[#This Row],[File Name Convention]]))&lt;&gt;SP_ACQ_Lib[[#This Row],[File Name Convention]],ISERROR(SEARCH(SP_ACQ_Lib[[#This Row],[ACQ Document Type]],SP_ACQ_Lib[[#This Row],[Name]]))),1,0)</f>
        <v>0</v>
      </c>
    </row>
    <row r="901" spans="1:25" ht="15" x14ac:dyDescent="0.2">
      <c r="A901" s="157" t="str">
        <f>CONCATENATE(SP_ACQ_Lib[[#This Row],[Acquisition Tract No.]],"_",SP_ACQ_Lib[[#This Row],[ACQ Document Type]])</f>
        <v>T213_CONTACT Negotiator Report</v>
      </c>
      <c r="B901" s="14" t="s">
        <v>5464</v>
      </c>
      <c r="C901" s="263" t="s">
        <v>5334</v>
      </c>
      <c r="D901" s="12" t="s">
        <v>3277</v>
      </c>
      <c r="E901" s="8" t="s">
        <v>865</v>
      </c>
      <c r="F901" s="8" t="s">
        <v>1068</v>
      </c>
      <c r="G901" s="8" t="s">
        <v>1067</v>
      </c>
      <c r="H901" s="7" t="s">
        <v>592</v>
      </c>
      <c r="I901" s="16">
        <v>43896</v>
      </c>
      <c r="J901" s="16"/>
      <c r="K901" s="17"/>
      <c r="L901" s="3"/>
      <c r="M901" s="8" t="s">
        <v>5648</v>
      </c>
      <c r="N901" s="11">
        <v>44007.870833333334</v>
      </c>
      <c r="O901" s="8" t="s">
        <v>4206</v>
      </c>
      <c r="P901" s="11">
        <v>43971.421666666669</v>
      </c>
      <c r="Q901" s="13">
        <v>445383</v>
      </c>
      <c r="R901" s="264" t="s">
        <v>594</v>
      </c>
      <c r="S901" s="14" t="s">
        <v>5532</v>
      </c>
      <c r="T901" s="163">
        <v>973</v>
      </c>
      <c r="U901" s="164" t="str">
        <f>CONCATENATE(LEFT(SP_ACQ_Lib[[#This Row],[Tax Parcel ID]],7),"_",SP_ACQ_Lib[[#This Row],[ACQ Document Type]])</f>
        <v>R032145_CONTACT Negotiator Report</v>
      </c>
      <c r="V901" s="65" t="str">
        <f>INDEX(SP_AcqTract_DB[WCAD Tax Parcel ID],MATCH(SP_ACQ_Lib[[#This Row],[Acquisition Tract No.]],SP_AcqTract_DB[Acquisition Tract No.],0))</f>
        <v>R032145;#251</v>
      </c>
      <c r="W901" s="48" t="str">
        <f>INDEX(SP_TaxPar_DB[Acquisition Tract No.],MATCH(LEFT(SP_ACQ_Lib[[#This Row],[Tax Parcel ID]],7),SP_TaxPar_DB[Tax Parcel ID],0))</f>
        <v>T213</v>
      </c>
      <c r="X901" s="238" t="str">
        <f>IF(OR(SP_ACQ_Lib[[#This Row],[Acquisition Tract No.]]="",SP_ACQ_Lib[[#This Row],[ACQ Document Type]]=""),0,CONCATENATE("COW-FRMP_TR-",SP_ACQ_Lib[[#This Row],[Acquisition Tract No.]]," ",SP_ACQ_Lib[[#This Row],[ACQ Document Type]]))</f>
        <v>COW-FRMP_TR-T213 CONTACT Negotiator Report</v>
      </c>
      <c r="Y901" s="239">
        <f>IF(OR(SP_ACQ_Lib[[#This Row],[File Name Convention]]=0,LEFT(SP_ACQ_Lib[[#This Row],[Name]],LEN(SP_ACQ_Lib[[#This Row],[File Name Convention]]))&lt;&gt;SP_ACQ_Lib[[#This Row],[File Name Convention]],ISERROR(SEARCH(SP_ACQ_Lib[[#This Row],[ACQ Document Type]],SP_ACQ_Lib[[#This Row],[Name]]))),1,0)</f>
        <v>0</v>
      </c>
    </row>
    <row r="902" spans="1:25" ht="15" x14ac:dyDescent="0.2">
      <c r="A902" s="157" t="str">
        <f>CONCATENATE(SP_ACQ_Lib[[#This Row],[Acquisition Tract No.]],"_",SP_ACQ_Lib[[#This Row],[ACQ Document Type]])</f>
        <v>T213_ENVIRONMENTAL Right-of-Entry Executed</v>
      </c>
      <c r="B902" s="14" t="s">
        <v>5608</v>
      </c>
      <c r="C902" s="263" t="s">
        <v>5334</v>
      </c>
      <c r="D902" s="12" t="s">
        <v>3277</v>
      </c>
      <c r="E902" s="8" t="s">
        <v>2682</v>
      </c>
      <c r="F902" s="8" t="s">
        <v>2683</v>
      </c>
      <c r="G902" s="8" t="s">
        <v>2681</v>
      </c>
      <c r="H902" s="7" t="s">
        <v>592</v>
      </c>
      <c r="I902" s="16">
        <v>43864</v>
      </c>
      <c r="J902" s="16"/>
      <c r="K902" s="17"/>
      <c r="L902" s="3"/>
      <c r="M902" s="8" t="s">
        <v>4206</v>
      </c>
      <c r="N902" s="11">
        <v>43983.571817129632</v>
      </c>
      <c r="O902" s="8" t="s">
        <v>4206</v>
      </c>
      <c r="P902" s="11">
        <v>43971.421701388892</v>
      </c>
      <c r="Q902" s="13">
        <v>1856708</v>
      </c>
      <c r="R902" s="264" t="s">
        <v>594</v>
      </c>
      <c r="S902" s="14" t="s">
        <v>5205</v>
      </c>
      <c r="T902" s="163">
        <v>975</v>
      </c>
      <c r="U902" s="164" t="str">
        <f>CONCATENATE(LEFT(SP_ACQ_Lib[[#This Row],[Tax Parcel ID]],7),"_",SP_ACQ_Lib[[#This Row],[ACQ Document Type]])</f>
        <v>R032145_ENVIRONMENTAL Right-of-Entry Executed</v>
      </c>
      <c r="V902" s="65" t="str">
        <f>INDEX(SP_AcqTract_DB[WCAD Tax Parcel ID],MATCH(SP_ACQ_Lib[[#This Row],[Acquisition Tract No.]],SP_AcqTract_DB[Acquisition Tract No.],0))</f>
        <v>R032145;#251</v>
      </c>
      <c r="W902" s="48" t="str">
        <f>INDEX(SP_TaxPar_DB[Acquisition Tract No.],MATCH(LEFT(SP_ACQ_Lib[[#This Row],[Tax Parcel ID]],7),SP_TaxPar_DB[Tax Parcel ID],0))</f>
        <v>T213</v>
      </c>
      <c r="X902" s="238" t="str">
        <f>IF(OR(SP_ACQ_Lib[[#This Row],[Acquisition Tract No.]]="",SP_ACQ_Lib[[#This Row],[ACQ Document Type]]=""),0,CONCATENATE("COW-FRMP_TR-",SP_ACQ_Lib[[#This Row],[Acquisition Tract No.]]," ",SP_ACQ_Lib[[#This Row],[ACQ Document Type]]))</f>
        <v>COW-FRMP_TR-T213 ENVIRONMENTAL Right-of-Entry Executed</v>
      </c>
      <c r="Y902" s="239">
        <f>IF(OR(SP_ACQ_Lib[[#This Row],[File Name Convention]]=0,LEFT(SP_ACQ_Lib[[#This Row],[Name]],LEN(SP_ACQ_Lib[[#This Row],[File Name Convention]]))&lt;&gt;SP_ACQ_Lib[[#This Row],[File Name Convention]],ISERROR(SEARCH(SP_ACQ_Lib[[#This Row],[ACQ Document Type]],SP_ACQ_Lib[[#This Row],[Name]]))),1,0)</f>
        <v>0</v>
      </c>
    </row>
    <row r="903" spans="1:25" ht="15" x14ac:dyDescent="0.2">
      <c r="A903" s="157" t="str">
        <f>CONCATENATE(SP_ACQ_Lib[[#This Row],[Acquisition Tract No.]],"_",SP_ACQ_Lib[[#This Row],[ACQ Document Type]])</f>
        <v>T213_ENVIRONMENTAL Right-of-Entry Package</v>
      </c>
      <c r="B903" s="14" t="s">
        <v>5609</v>
      </c>
      <c r="C903" s="263" t="s">
        <v>5334</v>
      </c>
      <c r="D903" s="12" t="s">
        <v>3277</v>
      </c>
      <c r="E903" s="8" t="s">
        <v>2682</v>
      </c>
      <c r="F903" s="8" t="s">
        <v>2687</v>
      </c>
      <c r="G903" s="8" t="s">
        <v>2686</v>
      </c>
      <c r="H903" s="7" t="s">
        <v>592</v>
      </c>
      <c r="I903" s="16">
        <v>43850</v>
      </c>
      <c r="J903" s="16">
        <v>43860</v>
      </c>
      <c r="K903" s="17"/>
      <c r="L903" s="3"/>
      <c r="M903" s="8" t="s">
        <v>4206</v>
      </c>
      <c r="N903" s="11">
        <v>43983.582685185182</v>
      </c>
      <c r="O903" s="8" t="s">
        <v>4206</v>
      </c>
      <c r="P903" s="11">
        <v>43971.421678240738</v>
      </c>
      <c r="Q903" s="13">
        <v>916378</v>
      </c>
      <c r="R903" s="264" t="s">
        <v>594</v>
      </c>
      <c r="S903" s="14" t="s">
        <v>5204</v>
      </c>
      <c r="T903" s="163">
        <v>974</v>
      </c>
      <c r="U903" s="164" t="str">
        <f>CONCATENATE(LEFT(SP_ACQ_Lib[[#This Row],[Tax Parcel ID]],7),"_",SP_ACQ_Lib[[#This Row],[ACQ Document Type]])</f>
        <v>R032145_ENVIRONMENTAL Right-of-Entry Package</v>
      </c>
      <c r="V903" s="65" t="str">
        <f>INDEX(SP_AcqTract_DB[WCAD Tax Parcel ID],MATCH(SP_ACQ_Lib[[#This Row],[Acquisition Tract No.]],SP_AcqTract_DB[Acquisition Tract No.],0))</f>
        <v>R032145;#251</v>
      </c>
      <c r="W903" s="48" t="str">
        <f>INDEX(SP_TaxPar_DB[Acquisition Tract No.],MATCH(LEFT(SP_ACQ_Lib[[#This Row],[Tax Parcel ID]],7),SP_TaxPar_DB[Tax Parcel ID],0))</f>
        <v>T213</v>
      </c>
      <c r="X903" s="238" t="str">
        <f>IF(OR(SP_ACQ_Lib[[#This Row],[Acquisition Tract No.]]="",SP_ACQ_Lib[[#This Row],[ACQ Document Type]]=""),0,CONCATENATE("COW-FRMP_TR-",SP_ACQ_Lib[[#This Row],[Acquisition Tract No.]]," ",SP_ACQ_Lib[[#This Row],[ACQ Document Type]]))</f>
        <v>COW-FRMP_TR-T213 ENVIRONMENTAL Right-of-Entry Package</v>
      </c>
      <c r="Y903" s="239">
        <f>IF(OR(SP_ACQ_Lib[[#This Row],[File Name Convention]]=0,LEFT(SP_ACQ_Lib[[#This Row],[Name]],LEN(SP_ACQ_Lib[[#This Row],[File Name Convention]]))&lt;&gt;SP_ACQ_Lib[[#This Row],[File Name Convention]],ISERROR(SEARCH(SP_ACQ_Lib[[#This Row],[ACQ Document Type]],SP_ACQ_Lib[[#This Row],[Name]]))),1,0)</f>
        <v>0</v>
      </c>
    </row>
    <row r="904" spans="1:25" ht="15" x14ac:dyDescent="0.2">
      <c r="A904" s="157" t="str">
        <f>CONCATENATE(SP_ACQ_Lib[[#This Row],[Acquisition Tract No.]],"_",SP_ACQ_Lib[[#This Row],[ACQ Document Type]])</f>
        <v>T213_ROE Right-of-Entry Executed</v>
      </c>
      <c r="B904" s="14" t="s">
        <v>6348</v>
      </c>
      <c r="C904" s="263" t="s">
        <v>5334</v>
      </c>
      <c r="D904" s="12" t="s">
        <v>3277</v>
      </c>
      <c r="E904" s="8" t="s">
        <v>1146</v>
      </c>
      <c r="F904" s="8" t="s">
        <v>2683</v>
      </c>
      <c r="G904" s="8" t="s">
        <v>5660</v>
      </c>
      <c r="H904" s="7" t="s">
        <v>592</v>
      </c>
      <c r="I904" s="16">
        <v>44004</v>
      </c>
      <c r="J904" s="16">
        <v>44187</v>
      </c>
      <c r="K904" s="17"/>
      <c r="L904" s="3"/>
      <c r="M904" s="8" t="s">
        <v>4206</v>
      </c>
      <c r="N904" s="11">
        <v>44005.616747685184</v>
      </c>
      <c r="O904" s="8" t="s">
        <v>4206</v>
      </c>
      <c r="P904" s="11">
        <v>44005.61346064815</v>
      </c>
      <c r="Q904" s="13">
        <v>1561197</v>
      </c>
      <c r="R904" s="264" t="s">
        <v>594</v>
      </c>
      <c r="S904" s="14" t="s">
        <v>6417</v>
      </c>
      <c r="T904" s="163">
        <v>1279</v>
      </c>
      <c r="U904" s="164" t="str">
        <f>CONCATENATE(LEFT(SP_ACQ_Lib[[#This Row],[Tax Parcel ID]],7),"_",SP_ACQ_Lib[[#This Row],[ACQ Document Type]])</f>
        <v>R032145_ROE Right-of-Entry Executed</v>
      </c>
      <c r="V904" s="65" t="str">
        <f>INDEX(SP_AcqTract_DB[WCAD Tax Parcel ID],MATCH(SP_ACQ_Lib[[#This Row],[Acquisition Tract No.]],SP_AcqTract_DB[Acquisition Tract No.],0))</f>
        <v>R032145;#251</v>
      </c>
      <c r="W904" s="48" t="str">
        <f>INDEX(SP_TaxPar_DB[Acquisition Tract No.],MATCH(LEFT(SP_ACQ_Lib[[#This Row],[Tax Parcel ID]],7),SP_TaxPar_DB[Tax Parcel ID],0))</f>
        <v>T213</v>
      </c>
      <c r="X904" s="238" t="str">
        <f>IF(OR(SP_ACQ_Lib[[#This Row],[Acquisition Tract No.]]="",SP_ACQ_Lib[[#This Row],[ACQ Document Type]]=""),0,CONCATENATE("COW-FRMP_TR-",SP_ACQ_Lib[[#This Row],[Acquisition Tract No.]]," ",SP_ACQ_Lib[[#This Row],[ACQ Document Type]]))</f>
        <v>COW-FRMP_TR-T213 ROE Right-of-Entry Executed</v>
      </c>
      <c r="Y904" s="239">
        <f>IF(OR(SP_ACQ_Lib[[#This Row],[File Name Convention]]=0,LEFT(SP_ACQ_Lib[[#This Row],[Name]],LEN(SP_ACQ_Lib[[#This Row],[File Name Convention]]))&lt;&gt;SP_ACQ_Lib[[#This Row],[File Name Convention]],ISERROR(SEARCH(SP_ACQ_Lib[[#This Row],[ACQ Document Type]],SP_ACQ_Lib[[#This Row],[Name]]))),1,0)</f>
        <v>0</v>
      </c>
    </row>
    <row r="905" spans="1:25" ht="15" x14ac:dyDescent="0.2">
      <c r="A905" s="157" t="str">
        <f>CONCATENATE(SP_ACQ_Lib[[#This Row],[Acquisition Tract No.]],"_",SP_ACQ_Lib[[#This Row],[ACQ Document Type]])</f>
        <v>T213_ROE Right-of-Entry Package</v>
      </c>
      <c r="B905" s="14" t="s">
        <v>5772</v>
      </c>
      <c r="C905" s="263" t="s">
        <v>5334</v>
      </c>
      <c r="D905" s="12" t="s">
        <v>3277</v>
      </c>
      <c r="E905" s="8" t="s">
        <v>1146</v>
      </c>
      <c r="F905" s="8" t="s">
        <v>2687</v>
      </c>
      <c r="G905" s="8" t="s">
        <v>5659</v>
      </c>
      <c r="H905" s="7" t="s">
        <v>592</v>
      </c>
      <c r="I905" s="16">
        <v>43985</v>
      </c>
      <c r="J905" s="16"/>
      <c r="K905" s="17"/>
      <c r="L905" s="3"/>
      <c r="M905" s="8" t="s">
        <v>4206</v>
      </c>
      <c r="N905" s="11">
        <v>43986.578344907408</v>
      </c>
      <c r="O905" s="8" t="s">
        <v>4206</v>
      </c>
      <c r="P905" s="11">
        <v>43986.570335648146</v>
      </c>
      <c r="Q905" s="13">
        <v>1356226</v>
      </c>
      <c r="R905" s="264" t="s">
        <v>594</v>
      </c>
      <c r="S905" s="14" t="s">
        <v>5804</v>
      </c>
      <c r="T905" s="163">
        <v>1139</v>
      </c>
      <c r="U905" s="164" t="str">
        <f>CONCATENATE(LEFT(SP_ACQ_Lib[[#This Row],[Tax Parcel ID]],7),"_",SP_ACQ_Lib[[#This Row],[ACQ Document Type]])</f>
        <v>R032145_ROE Right-of-Entry Package</v>
      </c>
      <c r="V905" s="65" t="str">
        <f>INDEX(SP_AcqTract_DB[WCAD Tax Parcel ID],MATCH(SP_ACQ_Lib[[#This Row],[Acquisition Tract No.]],SP_AcqTract_DB[Acquisition Tract No.],0))</f>
        <v>R032145;#251</v>
      </c>
      <c r="W905" s="48" t="str">
        <f>INDEX(SP_TaxPar_DB[Acquisition Tract No.],MATCH(LEFT(SP_ACQ_Lib[[#This Row],[Tax Parcel ID]],7),SP_TaxPar_DB[Tax Parcel ID],0))</f>
        <v>T213</v>
      </c>
      <c r="X905" s="238" t="str">
        <f>IF(OR(SP_ACQ_Lib[[#This Row],[Acquisition Tract No.]]="",SP_ACQ_Lib[[#This Row],[ACQ Document Type]]=""),0,CONCATENATE("COW-FRMP_TR-",SP_ACQ_Lib[[#This Row],[Acquisition Tract No.]]," ",SP_ACQ_Lib[[#This Row],[ACQ Document Type]]))</f>
        <v>COW-FRMP_TR-T213 ROE Right-of-Entry Package</v>
      </c>
      <c r="Y905" s="239">
        <f>IF(OR(SP_ACQ_Lib[[#This Row],[File Name Convention]]=0,LEFT(SP_ACQ_Lib[[#This Row],[Name]],LEN(SP_ACQ_Lib[[#This Row],[File Name Convention]]))&lt;&gt;SP_ACQ_Lib[[#This Row],[File Name Convention]],ISERROR(SEARCH(SP_ACQ_Lib[[#This Row],[ACQ Document Type]],SP_ACQ_Lib[[#This Row],[Name]]))),1,0)</f>
        <v>0</v>
      </c>
    </row>
    <row r="906" spans="1:25" ht="15" x14ac:dyDescent="0.2">
      <c r="A906" s="157" t="str">
        <f>CONCATENATE(SP_ACQ_Lib[[#This Row],[Acquisition Tract No.]],"_",SP_ACQ_Lib[[#This Row],[ACQ Document Type]])</f>
        <v>T213_TITLE Tax Card</v>
      </c>
      <c r="B906" s="14" t="s">
        <v>5465</v>
      </c>
      <c r="C906" s="263" t="s">
        <v>5334</v>
      </c>
      <c r="D906" s="12" t="s">
        <v>3277</v>
      </c>
      <c r="E906" s="8" t="s">
        <v>861</v>
      </c>
      <c r="F906" s="8" t="s">
        <v>1150</v>
      </c>
      <c r="G906" s="8" t="s">
        <v>1149</v>
      </c>
      <c r="H906" s="7" t="s">
        <v>592</v>
      </c>
      <c r="I906" s="16"/>
      <c r="J906" s="16"/>
      <c r="K906" s="17"/>
      <c r="L906" s="3"/>
      <c r="M906" s="8" t="s">
        <v>4206</v>
      </c>
      <c r="N906" s="11">
        <v>43979.349027777775</v>
      </c>
      <c r="O906" s="8" t="s">
        <v>4206</v>
      </c>
      <c r="P906" s="11">
        <v>43971.421747685185</v>
      </c>
      <c r="Q906" s="13">
        <v>801323</v>
      </c>
      <c r="R906" s="264" t="s">
        <v>594</v>
      </c>
      <c r="S906" s="14" t="s">
        <v>5206</v>
      </c>
      <c r="T906" s="163">
        <v>976</v>
      </c>
      <c r="U906" s="164" t="str">
        <f>CONCATENATE(LEFT(SP_ACQ_Lib[[#This Row],[Tax Parcel ID]],7),"_",SP_ACQ_Lib[[#This Row],[ACQ Document Type]])</f>
        <v>R032145_TITLE Tax Card</v>
      </c>
      <c r="V906" s="65" t="str">
        <f>INDEX(SP_AcqTract_DB[WCAD Tax Parcel ID],MATCH(SP_ACQ_Lib[[#This Row],[Acquisition Tract No.]],SP_AcqTract_DB[Acquisition Tract No.],0))</f>
        <v>R032145;#251</v>
      </c>
      <c r="W906" s="48" t="str">
        <f>INDEX(SP_TaxPar_DB[Acquisition Tract No.],MATCH(LEFT(SP_ACQ_Lib[[#This Row],[Tax Parcel ID]],7),SP_TaxPar_DB[Tax Parcel ID],0))</f>
        <v>T213</v>
      </c>
      <c r="X906" s="238" t="str">
        <f>IF(OR(SP_ACQ_Lib[[#This Row],[Acquisition Tract No.]]="",SP_ACQ_Lib[[#This Row],[ACQ Document Type]]=""),0,CONCATENATE("COW-FRMP_TR-",SP_ACQ_Lib[[#This Row],[Acquisition Tract No.]]," ",SP_ACQ_Lib[[#This Row],[ACQ Document Type]]))</f>
        <v>COW-FRMP_TR-T213 TITLE Tax Card</v>
      </c>
      <c r="Y906" s="239">
        <f>IF(OR(SP_ACQ_Lib[[#This Row],[File Name Convention]]=0,LEFT(SP_ACQ_Lib[[#This Row],[Name]],LEN(SP_ACQ_Lib[[#This Row],[File Name Convention]]))&lt;&gt;SP_ACQ_Lib[[#This Row],[File Name Convention]],ISERROR(SEARCH(SP_ACQ_Lib[[#This Row],[ACQ Document Type]],SP_ACQ_Lib[[#This Row],[Name]]))),1,0)</f>
        <v>0</v>
      </c>
    </row>
    <row r="907" spans="1:25" ht="15" x14ac:dyDescent="0.2">
      <c r="A907" s="157" t="str">
        <f>CONCATENATE(SP_ACQ_Lib[[#This Row],[Acquisition Tract No.]],"_",SP_ACQ_Lib[[#This Row],[ACQ Document Type]])</f>
        <v>T215_CONTACT Negotiator Report</v>
      </c>
      <c r="B907" s="14" t="s">
        <v>5466</v>
      </c>
      <c r="C907" s="263" t="s">
        <v>5336</v>
      </c>
      <c r="D907" s="12" t="s">
        <v>3281</v>
      </c>
      <c r="E907" s="8" t="s">
        <v>865</v>
      </c>
      <c r="F907" s="8" t="s">
        <v>1068</v>
      </c>
      <c r="G907" s="8" t="s">
        <v>1067</v>
      </c>
      <c r="H907" s="7" t="s">
        <v>592</v>
      </c>
      <c r="I907" s="16">
        <v>43896</v>
      </c>
      <c r="J907" s="16"/>
      <c r="K907" s="17"/>
      <c r="L907" s="3"/>
      <c r="M907" s="8" t="s">
        <v>1744</v>
      </c>
      <c r="N907" s="11">
        <v>44012.324965277781</v>
      </c>
      <c r="O907" s="8" t="s">
        <v>4206</v>
      </c>
      <c r="P907" s="11">
        <v>43971.421759259261</v>
      </c>
      <c r="Q907" s="13">
        <v>424341</v>
      </c>
      <c r="R907" s="264" t="s">
        <v>594</v>
      </c>
      <c r="S907" s="14" t="s">
        <v>5250</v>
      </c>
      <c r="T907" s="163">
        <v>977</v>
      </c>
      <c r="U907" s="164" t="str">
        <f>CONCATENATE(LEFT(SP_ACQ_Lib[[#This Row],[Tax Parcel ID]],7),"_",SP_ACQ_Lib[[#This Row],[ACQ Document Type]])</f>
        <v>R050108_CONTACT Negotiator Report</v>
      </c>
      <c r="V907" s="65" t="str">
        <f>INDEX(SP_AcqTract_DB[WCAD Tax Parcel ID],MATCH(SP_ACQ_Lib[[#This Row],[Acquisition Tract No.]],SP_AcqTract_DB[Acquisition Tract No.],0))</f>
        <v>R050108;#253</v>
      </c>
      <c r="W907" s="48" t="str">
        <f>INDEX(SP_TaxPar_DB[Acquisition Tract No.],MATCH(LEFT(SP_ACQ_Lib[[#This Row],[Tax Parcel ID]],7),SP_TaxPar_DB[Tax Parcel ID],0))</f>
        <v>T215</v>
      </c>
      <c r="X907" s="238" t="str">
        <f>IF(OR(SP_ACQ_Lib[[#This Row],[Acquisition Tract No.]]="",SP_ACQ_Lib[[#This Row],[ACQ Document Type]]=""),0,CONCATENATE("COW-FRMP_TR-",SP_ACQ_Lib[[#This Row],[Acquisition Tract No.]]," ",SP_ACQ_Lib[[#This Row],[ACQ Document Type]]))</f>
        <v>COW-FRMP_TR-T215 CONTACT Negotiator Report</v>
      </c>
      <c r="Y907" s="239">
        <f>IF(OR(SP_ACQ_Lib[[#This Row],[File Name Convention]]=0,LEFT(SP_ACQ_Lib[[#This Row],[Name]],LEN(SP_ACQ_Lib[[#This Row],[File Name Convention]]))&lt;&gt;SP_ACQ_Lib[[#This Row],[File Name Convention]],ISERROR(SEARCH(SP_ACQ_Lib[[#This Row],[ACQ Document Type]],SP_ACQ_Lib[[#This Row],[Name]]))),1,0)</f>
        <v>0</v>
      </c>
    </row>
    <row r="908" spans="1:25" ht="15" x14ac:dyDescent="0.2">
      <c r="A908" s="157" t="str">
        <f>CONCATENATE(SP_ACQ_Lib[[#This Row],[Acquisition Tract No.]],"_",SP_ACQ_Lib[[#This Row],[ACQ Document Type]])</f>
        <v>T215_ENVIRONMENTAL Right-of-Entry Package</v>
      </c>
      <c r="B908" s="14" t="s">
        <v>5610</v>
      </c>
      <c r="C908" s="263" t="s">
        <v>5336</v>
      </c>
      <c r="D908" s="12" t="s">
        <v>3281</v>
      </c>
      <c r="E908" s="8" t="s">
        <v>2682</v>
      </c>
      <c r="F908" s="8" t="s">
        <v>2687</v>
      </c>
      <c r="G908" s="8" t="s">
        <v>2686</v>
      </c>
      <c r="H908" s="7" t="s">
        <v>592</v>
      </c>
      <c r="I908" s="16">
        <v>43851</v>
      </c>
      <c r="J908" s="16">
        <v>43872</v>
      </c>
      <c r="K908" s="17"/>
      <c r="L908" s="3" t="s">
        <v>4346</v>
      </c>
      <c r="M908" s="8" t="s">
        <v>4206</v>
      </c>
      <c r="N908" s="11">
        <v>43983.582685185182</v>
      </c>
      <c r="O908" s="8" t="s">
        <v>4206</v>
      </c>
      <c r="P908" s="11">
        <v>43971.421782407408</v>
      </c>
      <c r="Q908" s="13">
        <v>878705</v>
      </c>
      <c r="R908" s="264" t="s">
        <v>594</v>
      </c>
      <c r="S908" s="14" t="s">
        <v>5207</v>
      </c>
      <c r="T908" s="163">
        <v>978</v>
      </c>
      <c r="U908" s="164" t="str">
        <f>CONCATENATE(LEFT(SP_ACQ_Lib[[#This Row],[Tax Parcel ID]],7),"_",SP_ACQ_Lib[[#This Row],[ACQ Document Type]])</f>
        <v>R050108_ENVIRONMENTAL Right-of-Entry Package</v>
      </c>
      <c r="V908" s="65" t="str">
        <f>INDEX(SP_AcqTract_DB[WCAD Tax Parcel ID],MATCH(SP_ACQ_Lib[[#This Row],[Acquisition Tract No.]],SP_AcqTract_DB[Acquisition Tract No.],0))</f>
        <v>R050108;#253</v>
      </c>
      <c r="W908" s="48" t="str">
        <f>INDEX(SP_TaxPar_DB[Acquisition Tract No.],MATCH(LEFT(SP_ACQ_Lib[[#This Row],[Tax Parcel ID]],7),SP_TaxPar_DB[Tax Parcel ID],0))</f>
        <v>T215</v>
      </c>
      <c r="X908" s="238" t="str">
        <f>IF(OR(SP_ACQ_Lib[[#This Row],[Acquisition Tract No.]]="",SP_ACQ_Lib[[#This Row],[ACQ Document Type]]=""),0,CONCATENATE("COW-FRMP_TR-",SP_ACQ_Lib[[#This Row],[Acquisition Tract No.]]," ",SP_ACQ_Lib[[#This Row],[ACQ Document Type]]))</f>
        <v>COW-FRMP_TR-T215 ENVIRONMENTAL Right-of-Entry Package</v>
      </c>
      <c r="Y908" s="239">
        <f>IF(OR(SP_ACQ_Lib[[#This Row],[File Name Convention]]=0,LEFT(SP_ACQ_Lib[[#This Row],[Name]],LEN(SP_ACQ_Lib[[#This Row],[File Name Convention]]))&lt;&gt;SP_ACQ_Lib[[#This Row],[File Name Convention]],ISERROR(SEARCH(SP_ACQ_Lib[[#This Row],[ACQ Document Type]],SP_ACQ_Lib[[#This Row],[Name]]))),1,0)</f>
        <v>0</v>
      </c>
    </row>
    <row r="909" spans="1:25" ht="15" x14ac:dyDescent="0.2">
      <c r="A909" s="157" t="str">
        <f>CONCATENATE(SP_ACQ_Lib[[#This Row],[Acquisition Tract No.]],"_",SP_ACQ_Lib[[#This Row],[ACQ Document Type]])</f>
        <v>T215_ROE Right-of-Entry Executed</v>
      </c>
      <c r="B909" s="14" t="s">
        <v>6544</v>
      </c>
      <c r="C909" s="263" t="s">
        <v>5336</v>
      </c>
      <c r="D909" s="12" t="s">
        <v>3281</v>
      </c>
      <c r="E909" s="8" t="s">
        <v>1146</v>
      </c>
      <c r="F909" s="8" t="s">
        <v>2683</v>
      </c>
      <c r="G909" s="8" t="s">
        <v>5660</v>
      </c>
      <c r="H909" s="7" t="s">
        <v>592</v>
      </c>
      <c r="I909" s="16">
        <v>44001</v>
      </c>
      <c r="J909" s="16">
        <v>44184</v>
      </c>
      <c r="K909" s="17"/>
      <c r="L909" s="3"/>
      <c r="M909" s="8" t="s">
        <v>4206</v>
      </c>
      <c r="N909" s="11">
        <v>44019.399502314816</v>
      </c>
      <c r="O909" s="8" t="s">
        <v>4206</v>
      </c>
      <c r="P909" s="11">
        <v>44018.450648148151</v>
      </c>
      <c r="Q909" s="13">
        <v>2262093</v>
      </c>
      <c r="R909" s="264" t="s">
        <v>594</v>
      </c>
      <c r="S909" s="14" t="s">
        <v>6608</v>
      </c>
      <c r="T909" s="163">
        <v>1336</v>
      </c>
      <c r="U909" s="164" t="str">
        <f>CONCATENATE(LEFT(SP_ACQ_Lib[[#This Row],[Tax Parcel ID]],7),"_",SP_ACQ_Lib[[#This Row],[ACQ Document Type]])</f>
        <v>R050108_ROE Right-of-Entry Executed</v>
      </c>
      <c r="V909" s="65" t="str">
        <f>INDEX(SP_AcqTract_DB[WCAD Tax Parcel ID],MATCH(SP_ACQ_Lib[[#This Row],[Acquisition Tract No.]],SP_AcqTract_DB[Acquisition Tract No.],0))</f>
        <v>R050108;#253</v>
      </c>
      <c r="W909" s="48" t="str">
        <f>INDEX(SP_TaxPar_DB[Acquisition Tract No.],MATCH(LEFT(SP_ACQ_Lib[[#This Row],[Tax Parcel ID]],7),SP_TaxPar_DB[Tax Parcel ID],0))</f>
        <v>T215</v>
      </c>
      <c r="X909" s="238" t="str">
        <f>IF(OR(SP_ACQ_Lib[[#This Row],[Acquisition Tract No.]]="",SP_ACQ_Lib[[#This Row],[ACQ Document Type]]=""),0,CONCATENATE("COW-FRMP_TR-",SP_ACQ_Lib[[#This Row],[Acquisition Tract No.]]," ",SP_ACQ_Lib[[#This Row],[ACQ Document Type]]))</f>
        <v>COW-FRMP_TR-T215 ROE Right-of-Entry Executed</v>
      </c>
      <c r="Y909" s="239">
        <f>IF(OR(SP_ACQ_Lib[[#This Row],[File Name Convention]]=0,LEFT(SP_ACQ_Lib[[#This Row],[Name]],LEN(SP_ACQ_Lib[[#This Row],[File Name Convention]]))&lt;&gt;SP_ACQ_Lib[[#This Row],[File Name Convention]],ISERROR(SEARCH(SP_ACQ_Lib[[#This Row],[ACQ Document Type]],SP_ACQ_Lib[[#This Row],[Name]]))),1,0)</f>
        <v>0</v>
      </c>
    </row>
    <row r="910" spans="1:25" ht="15" x14ac:dyDescent="0.2">
      <c r="A910" s="157" t="str">
        <f>CONCATENATE(SP_ACQ_Lib[[#This Row],[Acquisition Tract No.]],"_",SP_ACQ_Lib[[#This Row],[ACQ Document Type]])</f>
        <v>T215_ROE Right-of-Entry Package</v>
      </c>
      <c r="B910" s="14" t="s">
        <v>5773</v>
      </c>
      <c r="C910" s="263" t="s">
        <v>5336</v>
      </c>
      <c r="D910" s="12" t="s">
        <v>3281</v>
      </c>
      <c r="E910" s="8" t="s">
        <v>1146</v>
      </c>
      <c r="F910" s="8" t="s">
        <v>2687</v>
      </c>
      <c r="G910" s="8" t="s">
        <v>5659</v>
      </c>
      <c r="H910" s="7" t="s">
        <v>592</v>
      </c>
      <c r="I910" s="16">
        <v>43985</v>
      </c>
      <c r="J910" s="16"/>
      <c r="K910" s="17"/>
      <c r="L910" s="3"/>
      <c r="M910" s="8" t="s">
        <v>4206</v>
      </c>
      <c r="N910" s="11">
        <v>43986.578738425924</v>
      </c>
      <c r="O910" s="8" t="s">
        <v>4206</v>
      </c>
      <c r="P910" s="11">
        <v>43986.569837962961</v>
      </c>
      <c r="Q910" s="13">
        <v>1272238</v>
      </c>
      <c r="R910" s="264" t="s">
        <v>594</v>
      </c>
      <c r="S910" s="14" t="s">
        <v>5805</v>
      </c>
      <c r="T910" s="163">
        <v>1122</v>
      </c>
      <c r="U910" s="164" t="str">
        <f>CONCATENATE(LEFT(SP_ACQ_Lib[[#This Row],[Tax Parcel ID]],7),"_",SP_ACQ_Lib[[#This Row],[ACQ Document Type]])</f>
        <v>R050108_ROE Right-of-Entry Package</v>
      </c>
      <c r="V910" s="65" t="str">
        <f>INDEX(SP_AcqTract_DB[WCAD Tax Parcel ID],MATCH(SP_ACQ_Lib[[#This Row],[Acquisition Tract No.]],SP_AcqTract_DB[Acquisition Tract No.],0))</f>
        <v>R050108;#253</v>
      </c>
      <c r="W910" s="48" t="str">
        <f>INDEX(SP_TaxPar_DB[Acquisition Tract No.],MATCH(LEFT(SP_ACQ_Lib[[#This Row],[Tax Parcel ID]],7),SP_TaxPar_DB[Tax Parcel ID],0))</f>
        <v>T215</v>
      </c>
      <c r="X910" s="238" t="str">
        <f>IF(OR(SP_ACQ_Lib[[#This Row],[Acquisition Tract No.]]="",SP_ACQ_Lib[[#This Row],[ACQ Document Type]]=""),0,CONCATENATE("COW-FRMP_TR-",SP_ACQ_Lib[[#This Row],[Acquisition Tract No.]]," ",SP_ACQ_Lib[[#This Row],[ACQ Document Type]]))</f>
        <v>COW-FRMP_TR-T215 ROE Right-of-Entry Package</v>
      </c>
      <c r="Y910" s="239">
        <f>IF(OR(SP_ACQ_Lib[[#This Row],[File Name Convention]]=0,LEFT(SP_ACQ_Lib[[#This Row],[Name]],LEN(SP_ACQ_Lib[[#This Row],[File Name Convention]]))&lt;&gt;SP_ACQ_Lib[[#This Row],[File Name Convention]],ISERROR(SEARCH(SP_ACQ_Lib[[#This Row],[ACQ Document Type]],SP_ACQ_Lib[[#This Row],[Name]]))),1,0)</f>
        <v>0</v>
      </c>
    </row>
    <row r="911" spans="1:25" ht="15" x14ac:dyDescent="0.2">
      <c r="A911" s="157" t="str">
        <f>CONCATENATE(SP_ACQ_Lib[[#This Row],[Acquisition Tract No.]],"_",SP_ACQ_Lib[[#This Row],[ACQ Document Type]])</f>
        <v>T215_TITLE Tax Card</v>
      </c>
      <c r="B911" s="14" t="s">
        <v>5467</v>
      </c>
      <c r="C911" s="263" t="s">
        <v>5336</v>
      </c>
      <c r="D911" s="12" t="s">
        <v>3281</v>
      </c>
      <c r="E911" s="8" t="s">
        <v>861</v>
      </c>
      <c r="F911" s="8" t="s">
        <v>1150</v>
      </c>
      <c r="G911" s="8" t="s">
        <v>1149</v>
      </c>
      <c r="H911" s="7" t="s">
        <v>592</v>
      </c>
      <c r="I911" s="16"/>
      <c r="J911" s="16"/>
      <c r="K911" s="17"/>
      <c r="L911" s="3"/>
      <c r="M911" s="8" t="s">
        <v>4206</v>
      </c>
      <c r="N911" s="11">
        <v>43979.349027777775</v>
      </c>
      <c r="O911" s="8" t="s">
        <v>4206</v>
      </c>
      <c r="P911" s="11">
        <v>43971.421793981484</v>
      </c>
      <c r="Q911" s="13">
        <v>705198</v>
      </c>
      <c r="R911" s="264" t="s">
        <v>594</v>
      </c>
      <c r="S911" s="14" t="s">
        <v>5208</v>
      </c>
      <c r="T911" s="163">
        <v>979</v>
      </c>
      <c r="U911" s="164" t="str">
        <f>CONCATENATE(LEFT(SP_ACQ_Lib[[#This Row],[Tax Parcel ID]],7),"_",SP_ACQ_Lib[[#This Row],[ACQ Document Type]])</f>
        <v>R050108_TITLE Tax Card</v>
      </c>
      <c r="V911" s="65" t="str">
        <f>INDEX(SP_AcqTract_DB[WCAD Tax Parcel ID],MATCH(SP_ACQ_Lib[[#This Row],[Acquisition Tract No.]],SP_AcqTract_DB[Acquisition Tract No.],0))</f>
        <v>R050108;#253</v>
      </c>
      <c r="W911" s="48" t="str">
        <f>INDEX(SP_TaxPar_DB[Acquisition Tract No.],MATCH(LEFT(SP_ACQ_Lib[[#This Row],[Tax Parcel ID]],7),SP_TaxPar_DB[Tax Parcel ID],0))</f>
        <v>T215</v>
      </c>
      <c r="X911" s="238" t="str">
        <f>IF(OR(SP_ACQ_Lib[[#This Row],[Acquisition Tract No.]]="",SP_ACQ_Lib[[#This Row],[ACQ Document Type]]=""),0,CONCATENATE("COW-FRMP_TR-",SP_ACQ_Lib[[#This Row],[Acquisition Tract No.]]," ",SP_ACQ_Lib[[#This Row],[ACQ Document Type]]))</f>
        <v>COW-FRMP_TR-T215 TITLE Tax Card</v>
      </c>
      <c r="Y911" s="239">
        <f>IF(OR(SP_ACQ_Lib[[#This Row],[File Name Convention]]=0,LEFT(SP_ACQ_Lib[[#This Row],[Name]],LEN(SP_ACQ_Lib[[#This Row],[File Name Convention]]))&lt;&gt;SP_ACQ_Lib[[#This Row],[File Name Convention]],ISERROR(SEARCH(SP_ACQ_Lib[[#This Row],[ACQ Document Type]],SP_ACQ_Lib[[#This Row],[Name]]))),1,0)</f>
        <v>0</v>
      </c>
    </row>
    <row r="912" spans="1:25" ht="15" x14ac:dyDescent="0.2">
      <c r="A912" s="157" t="str">
        <f>CONCATENATE(SP_ACQ_Lib[[#This Row],[Acquisition Tract No.]],"_",SP_ACQ_Lib[[#This Row],[ACQ Document Type]])</f>
        <v>T227_CONTACT Negotiator Report</v>
      </c>
      <c r="B912" s="14" t="s">
        <v>6028</v>
      </c>
      <c r="C912" s="263" t="s">
        <v>5338</v>
      </c>
      <c r="D912" s="12" t="s">
        <v>3300</v>
      </c>
      <c r="E912" s="8" t="s">
        <v>865</v>
      </c>
      <c r="F912" s="8" t="s">
        <v>1068</v>
      </c>
      <c r="G912" s="8" t="s">
        <v>1067</v>
      </c>
      <c r="H912" s="7" t="s">
        <v>592</v>
      </c>
      <c r="I912" s="16"/>
      <c r="J912" s="16"/>
      <c r="K912" s="17"/>
      <c r="L912" s="3"/>
      <c r="M912" s="8" t="s">
        <v>1744</v>
      </c>
      <c r="N912" s="11">
        <v>44011.959085648145</v>
      </c>
      <c r="O912" s="8" t="s">
        <v>1744</v>
      </c>
      <c r="P912" s="11">
        <v>43993.657430555555</v>
      </c>
      <c r="Q912" s="13">
        <v>1502336</v>
      </c>
      <c r="R912" s="264" t="s">
        <v>594</v>
      </c>
      <c r="S912" s="14" t="s">
        <v>6049</v>
      </c>
      <c r="T912" s="163">
        <v>1180</v>
      </c>
      <c r="U912" s="164" t="str">
        <f>CONCATENATE(LEFT(SP_ACQ_Lib[[#This Row],[Tax Parcel ID]],7),"_",SP_ACQ_Lib[[#This Row],[ACQ Document Type]])</f>
        <v>R053788_CONTACT Negotiator Report</v>
      </c>
      <c r="V912" s="65" t="str">
        <f>INDEX(SP_AcqTract_DB[WCAD Tax Parcel ID],MATCH(SP_ACQ_Lib[[#This Row],[Acquisition Tract No.]],SP_AcqTract_DB[Acquisition Tract No.],0))</f>
        <v>R053788;#259</v>
      </c>
      <c r="W912" s="48" t="str">
        <f>INDEX(SP_TaxPar_DB[Acquisition Tract No.],MATCH(LEFT(SP_ACQ_Lib[[#This Row],[Tax Parcel ID]],7),SP_TaxPar_DB[Tax Parcel ID],0))</f>
        <v>T227</v>
      </c>
      <c r="X912" s="238" t="str">
        <f>IF(OR(SP_ACQ_Lib[[#This Row],[Acquisition Tract No.]]="",SP_ACQ_Lib[[#This Row],[ACQ Document Type]]=""),0,CONCATENATE("COW-FRMP_TR-",SP_ACQ_Lib[[#This Row],[Acquisition Tract No.]]," ",SP_ACQ_Lib[[#This Row],[ACQ Document Type]]))</f>
        <v>COW-FRMP_TR-T227 CONTACT Negotiator Report</v>
      </c>
      <c r="Y912" s="239">
        <f>IF(OR(SP_ACQ_Lib[[#This Row],[File Name Convention]]=0,LEFT(SP_ACQ_Lib[[#This Row],[Name]],LEN(SP_ACQ_Lib[[#This Row],[File Name Convention]]))&lt;&gt;SP_ACQ_Lib[[#This Row],[File Name Convention]],ISERROR(SEARCH(SP_ACQ_Lib[[#This Row],[ACQ Document Type]],SP_ACQ_Lib[[#This Row],[Name]]))),1,0)</f>
        <v>0</v>
      </c>
    </row>
    <row r="913" spans="1:25" ht="15" x14ac:dyDescent="0.2">
      <c r="A913" s="157" t="str">
        <f>CONCATENATE(SP_ACQ_Lib[[#This Row],[Acquisition Tract No.]],"_",SP_ACQ_Lib[[#This Row],[ACQ Document Type]])</f>
        <v>T227_ENVIRONMENTAL Right-of-Entry Executed</v>
      </c>
      <c r="B913" s="14" t="s">
        <v>5611</v>
      </c>
      <c r="C913" s="263" t="s">
        <v>5338</v>
      </c>
      <c r="D913" s="12" t="s">
        <v>3300</v>
      </c>
      <c r="E913" s="8" t="s">
        <v>2682</v>
      </c>
      <c r="F913" s="8" t="s">
        <v>2683</v>
      </c>
      <c r="G913" s="8" t="s">
        <v>2681</v>
      </c>
      <c r="H913" s="7" t="s">
        <v>592</v>
      </c>
      <c r="I913" s="16">
        <v>43887</v>
      </c>
      <c r="J913" s="16"/>
      <c r="K913" s="17"/>
      <c r="L913" s="3"/>
      <c r="M913" s="8" t="s">
        <v>4206</v>
      </c>
      <c r="N913" s="11">
        <v>43983.572256944448</v>
      </c>
      <c r="O913" s="8" t="s">
        <v>4206</v>
      </c>
      <c r="P913" s="11">
        <v>43971.421909722223</v>
      </c>
      <c r="Q913" s="13">
        <v>1712134</v>
      </c>
      <c r="R913" s="264" t="s">
        <v>594</v>
      </c>
      <c r="S913" s="14" t="s">
        <v>5212</v>
      </c>
      <c r="T913" s="163">
        <v>983</v>
      </c>
      <c r="U913" s="164" t="str">
        <f>CONCATENATE(LEFT(SP_ACQ_Lib[[#This Row],[Tax Parcel ID]],7),"_",SP_ACQ_Lib[[#This Row],[ACQ Document Type]])</f>
        <v>R053788_ENVIRONMENTAL Right-of-Entry Executed</v>
      </c>
      <c r="V913" s="65" t="str">
        <f>INDEX(SP_AcqTract_DB[WCAD Tax Parcel ID],MATCH(SP_ACQ_Lib[[#This Row],[Acquisition Tract No.]],SP_AcqTract_DB[Acquisition Tract No.],0))</f>
        <v>R053788;#259</v>
      </c>
      <c r="W913" s="48" t="str">
        <f>INDEX(SP_TaxPar_DB[Acquisition Tract No.],MATCH(LEFT(SP_ACQ_Lib[[#This Row],[Tax Parcel ID]],7),SP_TaxPar_DB[Tax Parcel ID],0))</f>
        <v>T227</v>
      </c>
      <c r="X913" s="238" t="str">
        <f>IF(OR(SP_ACQ_Lib[[#This Row],[Acquisition Tract No.]]="",SP_ACQ_Lib[[#This Row],[ACQ Document Type]]=""),0,CONCATENATE("COW-FRMP_TR-",SP_ACQ_Lib[[#This Row],[Acquisition Tract No.]]," ",SP_ACQ_Lib[[#This Row],[ACQ Document Type]]))</f>
        <v>COW-FRMP_TR-T227 ENVIRONMENTAL Right-of-Entry Executed</v>
      </c>
      <c r="Y913" s="239">
        <f>IF(OR(SP_ACQ_Lib[[#This Row],[File Name Convention]]=0,LEFT(SP_ACQ_Lib[[#This Row],[Name]],LEN(SP_ACQ_Lib[[#This Row],[File Name Convention]]))&lt;&gt;SP_ACQ_Lib[[#This Row],[File Name Convention]],ISERROR(SEARCH(SP_ACQ_Lib[[#This Row],[ACQ Document Type]],SP_ACQ_Lib[[#This Row],[Name]]))),1,0)</f>
        <v>0</v>
      </c>
    </row>
    <row r="914" spans="1:25" ht="15" x14ac:dyDescent="0.2">
      <c r="A914" s="157" t="str">
        <f>CONCATENATE(SP_ACQ_Lib[[#This Row],[Acquisition Tract No.]],"_",SP_ACQ_Lib[[#This Row],[ACQ Document Type]])</f>
        <v>T227_ENVIRONMENTAL Right-of-Entry Package</v>
      </c>
      <c r="B914" s="14" t="s">
        <v>5612</v>
      </c>
      <c r="C914" s="263" t="s">
        <v>5338</v>
      </c>
      <c r="D914" s="12" t="s">
        <v>3300</v>
      </c>
      <c r="E914" s="8" t="s">
        <v>2682</v>
      </c>
      <c r="F914" s="8" t="s">
        <v>2687</v>
      </c>
      <c r="G914" s="8" t="s">
        <v>2686</v>
      </c>
      <c r="H914" s="7" t="s">
        <v>592</v>
      </c>
      <c r="I914" s="16">
        <v>43850</v>
      </c>
      <c r="J914" s="16">
        <v>43854</v>
      </c>
      <c r="K914" s="17"/>
      <c r="L914" s="3"/>
      <c r="M914" s="8" t="s">
        <v>4206</v>
      </c>
      <c r="N914" s="11">
        <v>43983.582743055558</v>
      </c>
      <c r="O914" s="8" t="s">
        <v>4206</v>
      </c>
      <c r="P914" s="11">
        <v>43971.421875</v>
      </c>
      <c r="Q914" s="13">
        <v>844633</v>
      </c>
      <c r="R914" s="264" t="s">
        <v>594</v>
      </c>
      <c r="S914" s="14" t="s">
        <v>5211</v>
      </c>
      <c r="T914" s="163">
        <v>982</v>
      </c>
      <c r="U914" s="164" t="str">
        <f>CONCATENATE(LEFT(SP_ACQ_Lib[[#This Row],[Tax Parcel ID]],7),"_",SP_ACQ_Lib[[#This Row],[ACQ Document Type]])</f>
        <v>R053788_ENVIRONMENTAL Right-of-Entry Package</v>
      </c>
      <c r="V914" s="65" t="str">
        <f>INDEX(SP_AcqTract_DB[WCAD Tax Parcel ID],MATCH(SP_ACQ_Lib[[#This Row],[Acquisition Tract No.]],SP_AcqTract_DB[Acquisition Tract No.],0))</f>
        <v>R053788;#259</v>
      </c>
      <c r="W914" s="48" t="str">
        <f>INDEX(SP_TaxPar_DB[Acquisition Tract No.],MATCH(LEFT(SP_ACQ_Lib[[#This Row],[Tax Parcel ID]],7),SP_TaxPar_DB[Tax Parcel ID],0))</f>
        <v>T227</v>
      </c>
      <c r="X914" s="238" t="str">
        <f>IF(OR(SP_ACQ_Lib[[#This Row],[Acquisition Tract No.]]="",SP_ACQ_Lib[[#This Row],[ACQ Document Type]]=""),0,CONCATENATE("COW-FRMP_TR-",SP_ACQ_Lib[[#This Row],[Acquisition Tract No.]]," ",SP_ACQ_Lib[[#This Row],[ACQ Document Type]]))</f>
        <v>COW-FRMP_TR-T227 ENVIRONMENTAL Right-of-Entry Package</v>
      </c>
      <c r="Y914" s="239">
        <f>IF(OR(SP_ACQ_Lib[[#This Row],[File Name Convention]]=0,LEFT(SP_ACQ_Lib[[#This Row],[Name]],LEN(SP_ACQ_Lib[[#This Row],[File Name Convention]]))&lt;&gt;SP_ACQ_Lib[[#This Row],[File Name Convention]],ISERROR(SEARCH(SP_ACQ_Lib[[#This Row],[ACQ Document Type]],SP_ACQ_Lib[[#This Row],[Name]]))),1,0)</f>
        <v>0</v>
      </c>
    </row>
    <row r="915" spans="1:25" ht="15" x14ac:dyDescent="0.2">
      <c r="A915" s="157" t="str">
        <f>CONCATENATE(SP_ACQ_Lib[[#This Row],[Acquisition Tract No.]],"_",SP_ACQ_Lib[[#This Row],[ACQ Document Type]])</f>
        <v>T227_ROE Right-of-Entry Executed</v>
      </c>
      <c r="B915" s="14" t="s">
        <v>6349</v>
      </c>
      <c r="C915" s="263" t="s">
        <v>5338</v>
      </c>
      <c r="D915" s="12" t="s">
        <v>3300</v>
      </c>
      <c r="E915" s="8" t="s">
        <v>1146</v>
      </c>
      <c r="F915" s="8" t="s">
        <v>2683</v>
      </c>
      <c r="G915" s="8" t="s">
        <v>5660</v>
      </c>
      <c r="H915" s="7" t="s">
        <v>592</v>
      </c>
      <c r="I915" s="16">
        <v>44004</v>
      </c>
      <c r="J915" s="16">
        <v>44187</v>
      </c>
      <c r="K915" s="17"/>
      <c r="L915" s="3"/>
      <c r="M915" s="8" t="s">
        <v>4206</v>
      </c>
      <c r="N915" s="11">
        <v>44005.617291666669</v>
      </c>
      <c r="O915" s="8" t="s">
        <v>4206</v>
      </c>
      <c r="P915" s="11">
        <v>44005.613483796296</v>
      </c>
      <c r="Q915" s="13">
        <v>2002742</v>
      </c>
      <c r="R915" s="264" t="s">
        <v>594</v>
      </c>
      <c r="S915" s="14" t="s">
        <v>6418</v>
      </c>
      <c r="T915" s="163">
        <v>1280</v>
      </c>
      <c r="U915" s="164" t="str">
        <f>CONCATENATE(LEFT(SP_ACQ_Lib[[#This Row],[Tax Parcel ID]],7),"_",SP_ACQ_Lib[[#This Row],[ACQ Document Type]])</f>
        <v>R053788_ROE Right-of-Entry Executed</v>
      </c>
      <c r="V915" s="65" t="str">
        <f>INDEX(SP_AcqTract_DB[WCAD Tax Parcel ID],MATCH(SP_ACQ_Lib[[#This Row],[Acquisition Tract No.]],SP_AcqTract_DB[Acquisition Tract No.],0))</f>
        <v>R053788;#259</v>
      </c>
      <c r="W915" s="48" t="str">
        <f>INDEX(SP_TaxPar_DB[Acquisition Tract No.],MATCH(LEFT(SP_ACQ_Lib[[#This Row],[Tax Parcel ID]],7),SP_TaxPar_DB[Tax Parcel ID],0))</f>
        <v>T227</v>
      </c>
      <c r="X915" s="238" t="str">
        <f>IF(OR(SP_ACQ_Lib[[#This Row],[Acquisition Tract No.]]="",SP_ACQ_Lib[[#This Row],[ACQ Document Type]]=""),0,CONCATENATE("COW-FRMP_TR-",SP_ACQ_Lib[[#This Row],[Acquisition Tract No.]]," ",SP_ACQ_Lib[[#This Row],[ACQ Document Type]]))</f>
        <v>COW-FRMP_TR-T227 ROE Right-of-Entry Executed</v>
      </c>
      <c r="Y915" s="239">
        <f>IF(OR(SP_ACQ_Lib[[#This Row],[File Name Convention]]=0,LEFT(SP_ACQ_Lib[[#This Row],[Name]],LEN(SP_ACQ_Lib[[#This Row],[File Name Convention]]))&lt;&gt;SP_ACQ_Lib[[#This Row],[File Name Convention]],ISERROR(SEARCH(SP_ACQ_Lib[[#This Row],[ACQ Document Type]],SP_ACQ_Lib[[#This Row],[Name]]))),1,0)</f>
        <v>0</v>
      </c>
    </row>
    <row r="916" spans="1:25" ht="15" x14ac:dyDescent="0.2">
      <c r="A916" s="157" t="str">
        <f>CONCATENATE(SP_ACQ_Lib[[#This Row],[Acquisition Tract No.]],"_",SP_ACQ_Lib[[#This Row],[ACQ Document Type]])</f>
        <v>T227_ROE Right-of-Entry Package</v>
      </c>
      <c r="B916" s="14" t="s">
        <v>5774</v>
      </c>
      <c r="C916" s="263" t="s">
        <v>5338</v>
      </c>
      <c r="D916" s="12" t="s">
        <v>3300</v>
      </c>
      <c r="E916" s="8" t="s">
        <v>1146</v>
      </c>
      <c r="F916" s="8" t="s">
        <v>2687</v>
      </c>
      <c r="G916" s="8" t="s">
        <v>5659</v>
      </c>
      <c r="H916" s="7" t="s">
        <v>592</v>
      </c>
      <c r="I916" s="16">
        <v>43985</v>
      </c>
      <c r="J916" s="16"/>
      <c r="K916" s="17"/>
      <c r="L916" s="3"/>
      <c r="M916" s="8" t="s">
        <v>4206</v>
      </c>
      <c r="N916" s="11">
        <v>43986.579074074078</v>
      </c>
      <c r="O916" s="8" t="s">
        <v>4206</v>
      </c>
      <c r="P916" s="11">
        <v>43986.569861111115</v>
      </c>
      <c r="Q916" s="13">
        <v>1261461</v>
      </c>
      <c r="R916" s="264" t="s">
        <v>594</v>
      </c>
      <c r="S916" s="14" t="s">
        <v>5806</v>
      </c>
      <c r="T916" s="163">
        <v>1123</v>
      </c>
      <c r="U916" s="164" t="str">
        <f>CONCATENATE(LEFT(SP_ACQ_Lib[[#This Row],[Tax Parcel ID]],7),"_",SP_ACQ_Lib[[#This Row],[ACQ Document Type]])</f>
        <v>R053788_ROE Right-of-Entry Package</v>
      </c>
      <c r="V916" s="65" t="str">
        <f>INDEX(SP_AcqTract_DB[WCAD Tax Parcel ID],MATCH(SP_ACQ_Lib[[#This Row],[Acquisition Tract No.]],SP_AcqTract_DB[Acquisition Tract No.],0))</f>
        <v>R053788;#259</v>
      </c>
      <c r="W916" s="48" t="str">
        <f>INDEX(SP_TaxPar_DB[Acquisition Tract No.],MATCH(LEFT(SP_ACQ_Lib[[#This Row],[Tax Parcel ID]],7),SP_TaxPar_DB[Tax Parcel ID],0))</f>
        <v>T227</v>
      </c>
      <c r="X916" s="238" t="str">
        <f>IF(OR(SP_ACQ_Lib[[#This Row],[Acquisition Tract No.]]="",SP_ACQ_Lib[[#This Row],[ACQ Document Type]]=""),0,CONCATENATE("COW-FRMP_TR-",SP_ACQ_Lib[[#This Row],[Acquisition Tract No.]]," ",SP_ACQ_Lib[[#This Row],[ACQ Document Type]]))</f>
        <v>COW-FRMP_TR-T227 ROE Right-of-Entry Package</v>
      </c>
      <c r="Y916" s="239">
        <f>IF(OR(SP_ACQ_Lib[[#This Row],[File Name Convention]]=0,LEFT(SP_ACQ_Lib[[#This Row],[Name]],LEN(SP_ACQ_Lib[[#This Row],[File Name Convention]]))&lt;&gt;SP_ACQ_Lib[[#This Row],[File Name Convention]],ISERROR(SEARCH(SP_ACQ_Lib[[#This Row],[ACQ Document Type]],SP_ACQ_Lib[[#This Row],[Name]]))),1,0)</f>
        <v>0</v>
      </c>
    </row>
    <row r="917" spans="1:25" ht="15" x14ac:dyDescent="0.2">
      <c r="A917" s="157" t="str">
        <f>CONCATENATE(SP_ACQ_Lib[[#This Row],[Acquisition Tract No.]],"_",SP_ACQ_Lib[[#This Row],[ACQ Document Type]])</f>
        <v>T227_TITLE Tax Card</v>
      </c>
      <c r="B917" s="14" t="s">
        <v>5468</v>
      </c>
      <c r="C917" s="263" t="s">
        <v>5338</v>
      </c>
      <c r="D917" s="12" t="s">
        <v>3300</v>
      </c>
      <c r="E917" s="8" t="s">
        <v>861</v>
      </c>
      <c r="F917" s="8" t="s">
        <v>1150</v>
      </c>
      <c r="G917" s="8" t="s">
        <v>1149</v>
      </c>
      <c r="H917" s="7" t="s">
        <v>592</v>
      </c>
      <c r="I917" s="16"/>
      <c r="J917" s="16"/>
      <c r="K917" s="17"/>
      <c r="L917" s="3"/>
      <c r="M917" s="8" t="s">
        <v>4206</v>
      </c>
      <c r="N917" s="11">
        <v>43999.412314814814</v>
      </c>
      <c r="O917" s="8" t="s">
        <v>4206</v>
      </c>
      <c r="P917" s="11">
        <v>43971.421956018516</v>
      </c>
      <c r="Q917" s="13">
        <v>921144</v>
      </c>
      <c r="R917" s="264" t="s">
        <v>594</v>
      </c>
      <c r="S917" s="14" t="s">
        <v>5213</v>
      </c>
      <c r="T917" s="163">
        <v>984</v>
      </c>
      <c r="U917" s="164" t="str">
        <f>CONCATENATE(LEFT(SP_ACQ_Lib[[#This Row],[Tax Parcel ID]],7),"_",SP_ACQ_Lib[[#This Row],[ACQ Document Type]])</f>
        <v>R053788_TITLE Tax Card</v>
      </c>
      <c r="V917" s="65" t="str">
        <f>INDEX(SP_AcqTract_DB[WCAD Tax Parcel ID],MATCH(SP_ACQ_Lib[[#This Row],[Acquisition Tract No.]],SP_AcqTract_DB[Acquisition Tract No.],0))</f>
        <v>R053788;#259</v>
      </c>
      <c r="W917" s="48" t="str">
        <f>INDEX(SP_TaxPar_DB[Acquisition Tract No.],MATCH(LEFT(SP_ACQ_Lib[[#This Row],[Tax Parcel ID]],7),SP_TaxPar_DB[Tax Parcel ID],0))</f>
        <v>T227</v>
      </c>
      <c r="X917" s="238" t="str">
        <f>IF(OR(SP_ACQ_Lib[[#This Row],[Acquisition Tract No.]]="",SP_ACQ_Lib[[#This Row],[ACQ Document Type]]=""),0,CONCATENATE("COW-FRMP_TR-",SP_ACQ_Lib[[#This Row],[Acquisition Tract No.]]," ",SP_ACQ_Lib[[#This Row],[ACQ Document Type]]))</f>
        <v>COW-FRMP_TR-T227 TITLE Tax Card</v>
      </c>
      <c r="Y917" s="239">
        <f>IF(OR(SP_ACQ_Lib[[#This Row],[File Name Convention]]=0,LEFT(SP_ACQ_Lib[[#This Row],[Name]],LEN(SP_ACQ_Lib[[#This Row],[File Name Convention]]))&lt;&gt;SP_ACQ_Lib[[#This Row],[File Name Convention]],ISERROR(SEARCH(SP_ACQ_Lib[[#This Row],[ACQ Document Type]],SP_ACQ_Lib[[#This Row],[Name]]))),1,0)</f>
        <v>0</v>
      </c>
    </row>
    <row r="918" spans="1:25" ht="15" x14ac:dyDescent="0.2">
      <c r="A918" s="157" t="str">
        <f>CONCATENATE(SP_ACQ_Lib[[#This Row],[Acquisition Tract No.]],"_",SP_ACQ_Lib[[#This Row],[ACQ Document Type]])</f>
        <v>T228_CONTACT Negotiator Report</v>
      </c>
      <c r="B918" s="14" t="s">
        <v>5469</v>
      </c>
      <c r="C918" s="263" t="s">
        <v>5340</v>
      </c>
      <c r="D918" s="12" t="s">
        <v>3303</v>
      </c>
      <c r="E918" s="8" t="s">
        <v>865</v>
      </c>
      <c r="F918" s="8" t="s">
        <v>1068</v>
      </c>
      <c r="G918" s="8" t="s">
        <v>1067</v>
      </c>
      <c r="H918" s="7" t="s">
        <v>592</v>
      </c>
      <c r="I918" s="16"/>
      <c r="J918" s="16"/>
      <c r="K918" s="17"/>
      <c r="L918" s="3"/>
      <c r="M918" s="8" t="s">
        <v>1744</v>
      </c>
      <c r="N918" s="11">
        <v>43998.705277777779</v>
      </c>
      <c r="O918" s="8" t="s">
        <v>4206</v>
      </c>
      <c r="P918" s="11">
        <v>43971.421979166669</v>
      </c>
      <c r="Q918" s="13">
        <v>1642289</v>
      </c>
      <c r="R918" s="264" t="s">
        <v>594</v>
      </c>
      <c r="S918" s="14" t="s">
        <v>5251</v>
      </c>
      <c r="T918" s="163">
        <v>985</v>
      </c>
      <c r="U918" s="164" t="str">
        <f>CONCATENATE(LEFT(SP_ACQ_Lib[[#This Row],[Tax Parcel ID]],7),"_",SP_ACQ_Lib[[#This Row],[ACQ Document Type]])</f>
        <v>R053789_CONTACT Negotiator Report</v>
      </c>
      <c r="V918" s="65" t="str">
        <f>INDEX(SP_AcqTract_DB[WCAD Tax Parcel ID],MATCH(SP_ACQ_Lib[[#This Row],[Acquisition Tract No.]],SP_AcqTract_DB[Acquisition Tract No.],0))</f>
        <v>R053789;#260</v>
      </c>
      <c r="W918" s="48" t="str">
        <f>INDEX(SP_TaxPar_DB[Acquisition Tract No.],MATCH(LEFT(SP_ACQ_Lib[[#This Row],[Tax Parcel ID]],7),SP_TaxPar_DB[Tax Parcel ID],0))</f>
        <v>T228</v>
      </c>
      <c r="X918" s="238" t="str">
        <f>IF(OR(SP_ACQ_Lib[[#This Row],[Acquisition Tract No.]]="",SP_ACQ_Lib[[#This Row],[ACQ Document Type]]=""),0,CONCATENATE("COW-FRMP_TR-",SP_ACQ_Lib[[#This Row],[Acquisition Tract No.]]," ",SP_ACQ_Lib[[#This Row],[ACQ Document Type]]))</f>
        <v>COW-FRMP_TR-T228 CONTACT Negotiator Report</v>
      </c>
      <c r="Y918" s="239">
        <f>IF(OR(SP_ACQ_Lib[[#This Row],[File Name Convention]]=0,LEFT(SP_ACQ_Lib[[#This Row],[Name]],LEN(SP_ACQ_Lib[[#This Row],[File Name Convention]]))&lt;&gt;SP_ACQ_Lib[[#This Row],[File Name Convention]],ISERROR(SEARCH(SP_ACQ_Lib[[#This Row],[ACQ Document Type]],SP_ACQ_Lib[[#This Row],[Name]]))),1,0)</f>
        <v>0</v>
      </c>
    </row>
    <row r="919" spans="1:25" ht="15" x14ac:dyDescent="0.2">
      <c r="A919" s="157" t="str">
        <f>CONCATENATE(SP_ACQ_Lib[[#This Row],[Acquisition Tract No.]],"_",SP_ACQ_Lib[[#This Row],[ACQ Document Type]])</f>
        <v>T228_ENVIRONMENTAL Right-of-Entry Executed</v>
      </c>
      <c r="B919" s="14" t="s">
        <v>5613</v>
      </c>
      <c r="C919" s="263" t="s">
        <v>5340</v>
      </c>
      <c r="D919" s="12" t="s">
        <v>3303</v>
      </c>
      <c r="E919" s="8" t="s">
        <v>2682</v>
      </c>
      <c r="F919" s="8" t="s">
        <v>2683</v>
      </c>
      <c r="G919" s="8" t="s">
        <v>2681</v>
      </c>
      <c r="H919" s="7" t="s">
        <v>592</v>
      </c>
      <c r="I919" s="16">
        <v>43928</v>
      </c>
      <c r="J919" s="16"/>
      <c r="K919" s="17"/>
      <c r="L919" s="3"/>
      <c r="M919" s="8" t="s">
        <v>4206</v>
      </c>
      <c r="N919" s="11">
        <v>43983.572488425925</v>
      </c>
      <c r="O919" s="8" t="s">
        <v>4206</v>
      </c>
      <c r="P919" s="11">
        <v>43971.422002314815</v>
      </c>
      <c r="Q919" s="13">
        <v>1767885</v>
      </c>
      <c r="R919" s="264" t="s">
        <v>594</v>
      </c>
      <c r="S919" s="14" t="s">
        <v>5215</v>
      </c>
      <c r="T919" s="163">
        <v>987</v>
      </c>
      <c r="U919" s="164" t="str">
        <f>CONCATENATE(LEFT(SP_ACQ_Lib[[#This Row],[Tax Parcel ID]],7),"_",SP_ACQ_Lib[[#This Row],[ACQ Document Type]])</f>
        <v>R053789_ENVIRONMENTAL Right-of-Entry Executed</v>
      </c>
      <c r="V919" s="65" t="str">
        <f>INDEX(SP_AcqTract_DB[WCAD Tax Parcel ID],MATCH(SP_ACQ_Lib[[#This Row],[Acquisition Tract No.]],SP_AcqTract_DB[Acquisition Tract No.],0))</f>
        <v>R053789;#260</v>
      </c>
      <c r="W919" s="48" t="str">
        <f>INDEX(SP_TaxPar_DB[Acquisition Tract No.],MATCH(LEFT(SP_ACQ_Lib[[#This Row],[Tax Parcel ID]],7),SP_TaxPar_DB[Tax Parcel ID],0))</f>
        <v>T228</v>
      </c>
      <c r="X919" s="238" t="str">
        <f>IF(OR(SP_ACQ_Lib[[#This Row],[Acquisition Tract No.]]="",SP_ACQ_Lib[[#This Row],[ACQ Document Type]]=""),0,CONCATENATE("COW-FRMP_TR-",SP_ACQ_Lib[[#This Row],[Acquisition Tract No.]]," ",SP_ACQ_Lib[[#This Row],[ACQ Document Type]]))</f>
        <v>COW-FRMP_TR-T228 ENVIRONMENTAL Right-of-Entry Executed</v>
      </c>
      <c r="Y919" s="239">
        <f>IF(OR(SP_ACQ_Lib[[#This Row],[File Name Convention]]=0,LEFT(SP_ACQ_Lib[[#This Row],[Name]],LEN(SP_ACQ_Lib[[#This Row],[File Name Convention]]))&lt;&gt;SP_ACQ_Lib[[#This Row],[File Name Convention]],ISERROR(SEARCH(SP_ACQ_Lib[[#This Row],[ACQ Document Type]],SP_ACQ_Lib[[#This Row],[Name]]))),1,0)</f>
        <v>0</v>
      </c>
    </row>
    <row r="920" spans="1:25" ht="15" x14ac:dyDescent="0.2">
      <c r="A920" s="157" t="str">
        <f>CONCATENATE(SP_ACQ_Lib[[#This Row],[Acquisition Tract No.]],"_",SP_ACQ_Lib[[#This Row],[ACQ Document Type]])</f>
        <v>T228_ENVIRONMENTAL Right-of-Entry Package</v>
      </c>
      <c r="B920" s="14" t="s">
        <v>5614</v>
      </c>
      <c r="C920" s="263" t="s">
        <v>5340</v>
      </c>
      <c r="D920" s="12" t="s">
        <v>3303</v>
      </c>
      <c r="E920" s="8" t="s">
        <v>2682</v>
      </c>
      <c r="F920" s="8" t="s">
        <v>2687</v>
      </c>
      <c r="G920" s="8" t="s">
        <v>2686</v>
      </c>
      <c r="H920" s="7" t="s">
        <v>592</v>
      </c>
      <c r="I920" s="16">
        <v>43850</v>
      </c>
      <c r="J920" s="16">
        <v>43854</v>
      </c>
      <c r="K920" s="17"/>
      <c r="L920" s="3"/>
      <c r="M920" s="8" t="s">
        <v>4206</v>
      </c>
      <c r="N920" s="11">
        <v>43983.582731481481</v>
      </c>
      <c r="O920" s="8" t="s">
        <v>4206</v>
      </c>
      <c r="P920" s="11">
        <v>43971.421990740739</v>
      </c>
      <c r="Q920" s="13">
        <v>841104</v>
      </c>
      <c r="R920" s="264" t="s">
        <v>594</v>
      </c>
      <c r="S920" s="14" t="s">
        <v>5214</v>
      </c>
      <c r="T920" s="163">
        <v>986</v>
      </c>
      <c r="U920" s="164" t="str">
        <f>CONCATENATE(LEFT(SP_ACQ_Lib[[#This Row],[Tax Parcel ID]],7),"_",SP_ACQ_Lib[[#This Row],[ACQ Document Type]])</f>
        <v>R053789_ENVIRONMENTAL Right-of-Entry Package</v>
      </c>
      <c r="V920" s="65" t="str">
        <f>INDEX(SP_AcqTract_DB[WCAD Tax Parcel ID],MATCH(SP_ACQ_Lib[[#This Row],[Acquisition Tract No.]],SP_AcqTract_DB[Acquisition Tract No.],0))</f>
        <v>R053789;#260</v>
      </c>
      <c r="W920" s="48" t="str">
        <f>INDEX(SP_TaxPar_DB[Acquisition Tract No.],MATCH(LEFT(SP_ACQ_Lib[[#This Row],[Tax Parcel ID]],7),SP_TaxPar_DB[Tax Parcel ID],0))</f>
        <v>T228</v>
      </c>
      <c r="X920" s="238" t="str">
        <f>IF(OR(SP_ACQ_Lib[[#This Row],[Acquisition Tract No.]]="",SP_ACQ_Lib[[#This Row],[ACQ Document Type]]=""),0,CONCATENATE("COW-FRMP_TR-",SP_ACQ_Lib[[#This Row],[Acquisition Tract No.]]," ",SP_ACQ_Lib[[#This Row],[ACQ Document Type]]))</f>
        <v>COW-FRMP_TR-T228 ENVIRONMENTAL Right-of-Entry Package</v>
      </c>
      <c r="Y920" s="239">
        <f>IF(OR(SP_ACQ_Lib[[#This Row],[File Name Convention]]=0,LEFT(SP_ACQ_Lib[[#This Row],[Name]],LEN(SP_ACQ_Lib[[#This Row],[File Name Convention]]))&lt;&gt;SP_ACQ_Lib[[#This Row],[File Name Convention]],ISERROR(SEARCH(SP_ACQ_Lib[[#This Row],[ACQ Document Type]],SP_ACQ_Lib[[#This Row],[Name]]))),1,0)</f>
        <v>0</v>
      </c>
    </row>
    <row r="921" spans="1:25" ht="15" x14ac:dyDescent="0.2">
      <c r="A921" s="157" t="str">
        <f>CONCATENATE(SP_ACQ_Lib[[#This Row],[Acquisition Tract No.]],"_",SP_ACQ_Lib[[#This Row],[ACQ Document Type]])</f>
        <v>T228_ROE Right-of-Entry Executed</v>
      </c>
      <c r="B921" s="14" t="s">
        <v>6350</v>
      </c>
      <c r="C921" s="263" t="s">
        <v>5340</v>
      </c>
      <c r="D921" s="12" t="s">
        <v>3303</v>
      </c>
      <c r="E921" s="8" t="s">
        <v>1146</v>
      </c>
      <c r="F921" s="8" t="s">
        <v>2683</v>
      </c>
      <c r="G921" s="8" t="s">
        <v>5660</v>
      </c>
      <c r="H921" s="7" t="s">
        <v>592</v>
      </c>
      <c r="I921" s="16">
        <v>44004</v>
      </c>
      <c r="J921" s="16">
        <v>44187</v>
      </c>
      <c r="K921" s="17"/>
      <c r="L921" s="3"/>
      <c r="M921" s="8" t="s">
        <v>4206</v>
      </c>
      <c r="N921" s="11">
        <v>44005.617812500001</v>
      </c>
      <c r="O921" s="8" t="s">
        <v>4206</v>
      </c>
      <c r="P921" s="11">
        <v>44005.613483796296</v>
      </c>
      <c r="Q921" s="13">
        <v>1985306</v>
      </c>
      <c r="R921" s="264" t="s">
        <v>594</v>
      </c>
      <c r="S921" s="14" t="s">
        <v>6419</v>
      </c>
      <c r="T921" s="163">
        <v>1281</v>
      </c>
      <c r="U921" s="164" t="str">
        <f>CONCATENATE(LEFT(SP_ACQ_Lib[[#This Row],[Tax Parcel ID]],7),"_",SP_ACQ_Lib[[#This Row],[ACQ Document Type]])</f>
        <v>R053789_ROE Right-of-Entry Executed</v>
      </c>
      <c r="V921" s="65" t="str">
        <f>INDEX(SP_AcqTract_DB[WCAD Tax Parcel ID],MATCH(SP_ACQ_Lib[[#This Row],[Acquisition Tract No.]],SP_AcqTract_DB[Acquisition Tract No.],0))</f>
        <v>R053789;#260</v>
      </c>
      <c r="W921" s="48" t="str">
        <f>INDEX(SP_TaxPar_DB[Acquisition Tract No.],MATCH(LEFT(SP_ACQ_Lib[[#This Row],[Tax Parcel ID]],7),SP_TaxPar_DB[Tax Parcel ID],0))</f>
        <v>T228</v>
      </c>
      <c r="X921" s="238" t="str">
        <f>IF(OR(SP_ACQ_Lib[[#This Row],[Acquisition Tract No.]]="",SP_ACQ_Lib[[#This Row],[ACQ Document Type]]=""),0,CONCATENATE("COW-FRMP_TR-",SP_ACQ_Lib[[#This Row],[Acquisition Tract No.]]," ",SP_ACQ_Lib[[#This Row],[ACQ Document Type]]))</f>
        <v>COW-FRMP_TR-T228 ROE Right-of-Entry Executed</v>
      </c>
      <c r="Y921" s="239">
        <f>IF(OR(SP_ACQ_Lib[[#This Row],[File Name Convention]]=0,LEFT(SP_ACQ_Lib[[#This Row],[Name]],LEN(SP_ACQ_Lib[[#This Row],[File Name Convention]]))&lt;&gt;SP_ACQ_Lib[[#This Row],[File Name Convention]],ISERROR(SEARCH(SP_ACQ_Lib[[#This Row],[ACQ Document Type]],SP_ACQ_Lib[[#This Row],[Name]]))),1,0)</f>
        <v>0</v>
      </c>
    </row>
    <row r="922" spans="1:25" ht="15" x14ac:dyDescent="0.2">
      <c r="A922" s="157" t="str">
        <f>CONCATENATE(SP_ACQ_Lib[[#This Row],[Acquisition Tract No.]],"_",SP_ACQ_Lib[[#This Row],[ACQ Document Type]])</f>
        <v>T228_ROE Right-of-Entry Package</v>
      </c>
      <c r="B922" s="14" t="s">
        <v>5775</v>
      </c>
      <c r="C922" s="263" t="s">
        <v>5340</v>
      </c>
      <c r="D922" s="12" t="s">
        <v>3303</v>
      </c>
      <c r="E922" s="8" t="s">
        <v>1146</v>
      </c>
      <c r="F922" s="8" t="s">
        <v>2687</v>
      </c>
      <c r="G922" s="8" t="s">
        <v>5659</v>
      </c>
      <c r="H922" s="7" t="s">
        <v>592</v>
      </c>
      <c r="I922" s="16">
        <v>43985</v>
      </c>
      <c r="J922" s="16"/>
      <c r="K922" s="17"/>
      <c r="L922" s="3"/>
      <c r="M922" s="8" t="s">
        <v>4206</v>
      </c>
      <c r="N922" s="11">
        <v>43986.579351851855</v>
      </c>
      <c r="O922" s="8" t="s">
        <v>4206</v>
      </c>
      <c r="P922" s="11">
        <v>43986.569895833331</v>
      </c>
      <c r="Q922" s="13">
        <v>1256490</v>
      </c>
      <c r="R922" s="264" t="s">
        <v>594</v>
      </c>
      <c r="S922" s="14" t="s">
        <v>5807</v>
      </c>
      <c r="T922" s="163">
        <v>1124</v>
      </c>
      <c r="U922" s="164" t="str">
        <f>CONCATENATE(LEFT(SP_ACQ_Lib[[#This Row],[Tax Parcel ID]],7),"_",SP_ACQ_Lib[[#This Row],[ACQ Document Type]])</f>
        <v>R053789_ROE Right-of-Entry Package</v>
      </c>
      <c r="V922" s="65" t="str">
        <f>INDEX(SP_AcqTract_DB[WCAD Tax Parcel ID],MATCH(SP_ACQ_Lib[[#This Row],[Acquisition Tract No.]],SP_AcqTract_DB[Acquisition Tract No.],0))</f>
        <v>R053789;#260</v>
      </c>
      <c r="W922" s="48" t="str">
        <f>INDEX(SP_TaxPar_DB[Acquisition Tract No.],MATCH(LEFT(SP_ACQ_Lib[[#This Row],[Tax Parcel ID]],7),SP_TaxPar_DB[Tax Parcel ID],0))</f>
        <v>T228</v>
      </c>
      <c r="X922" s="238" t="str">
        <f>IF(OR(SP_ACQ_Lib[[#This Row],[Acquisition Tract No.]]="",SP_ACQ_Lib[[#This Row],[ACQ Document Type]]=""),0,CONCATENATE("COW-FRMP_TR-",SP_ACQ_Lib[[#This Row],[Acquisition Tract No.]]," ",SP_ACQ_Lib[[#This Row],[ACQ Document Type]]))</f>
        <v>COW-FRMP_TR-T228 ROE Right-of-Entry Package</v>
      </c>
      <c r="Y922" s="239">
        <f>IF(OR(SP_ACQ_Lib[[#This Row],[File Name Convention]]=0,LEFT(SP_ACQ_Lib[[#This Row],[Name]],LEN(SP_ACQ_Lib[[#This Row],[File Name Convention]]))&lt;&gt;SP_ACQ_Lib[[#This Row],[File Name Convention]],ISERROR(SEARCH(SP_ACQ_Lib[[#This Row],[ACQ Document Type]],SP_ACQ_Lib[[#This Row],[Name]]))),1,0)</f>
        <v>0</v>
      </c>
    </row>
    <row r="923" spans="1:25" ht="15" x14ac:dyDescent="0.2">
      <c r="A923" s="157" t="str">
        <f>CONCATENATE(SP_ACQ_Lib[[#This Row],[Acquisition Tract No.]],"_",SP_ACQ_Lib[[#This Row],[ACQ Document Type]])</f>
        <v>T228_TITLE Tax Card</v>
      </c>
      <c r="B923" s="14" t="s">
        <v>5470</v>
      </c>
      <c r="C923" s="263" t="s">
        <v>5340</v>
      </c>
      <c r="D923" s="12" t="s">
        <v>3303</v>
      </c>
      <c r="E923" s="8" t="s">
        <v>861</v>
      </c>
      <c r="F923" s="8" t="s">
        <v>1150</v>
      </c>
      <c r="G923" s="8" t="s">
        <v>1149</v>
      </c>
      <c r="H923" s="7" t="s">
        <v>592</v>
      </c>
      <c r="I923" s="16"/>
      <c r="J923" s="16"/>
      <c r="K923" s="17"/>
      <c r="L923" s="3"/>
      <c r="M923" s="8" t="s">
        <v>4206</v>
      </c>
      <c r="N923" s="11">
        <v>43999.412314814814</v>
      </c>
      <c r="O923" s="8" t="s">
        <v>4206</v>
      </c>
      <c r="P923" s="11">
        <v>43971.422048611108</v>
      </c>
      <c r="Q923" s="13">
        <v>913248</v>
      </c>
      <c r="R923" s="264" t="s">
        <v>594</v>
      </c>
      <c r="S923" s="14" t="s">
        <v>5216</v>
      </c>
      <c r="T923" s="163">
        <v>988</v>
      </c>
      <c r="U923" s="164" t="str">
        <f>CONCATENATE(LEFT(SP_ACQ_Lib[[#This Row],[Tax Parcel ID]],7),"_",SP_ACQ_Lib[[#This Row],[ACQ Document Type]])</f>
        <v>R053789_TITLE Tax Card</v>
      </c>
      <c r="V923" s="65" t="str">
        <f>INDEX(SP_AcqTract_DB[WCAD Tax Parcel ID],MATCH(SP_ACQ_Lib[[#This Row],[Acquisition Tract No.]],SP_AcqTract_DB[Acquisition Tract No.],0))</f>
        <v>R053789;#260</v>
      </c>
      <c r="W923" s="48" t="str">
        <f>INDEX(SP_TaxPar_DB[Acquisition Tract No.],MATCH(LEFT(SP_ACQ_Lib[[#This Row],[Tax Parcel ID]],7),SP_TaxPar_DB[Tax Parcel ID],0))</f>
        <v>T228</v>
      </c>
      <c r="X923" s="238" t="str">
        <f>IF(OR(SP_ACQ_Lib[[#This Row],[Acquisition Tract No.]]="",SP_ACQ_Lib[[#This Row],[ACQ Document Type]]=""),0,CONCATENATE("COW-FRMP_TR-",SP_ACQ_Lib[[#This Row],[Acquisition Tract No.]]," ",SP_ACQ_Lib[[#This Row],[ACQ Document Type]]))</f>
        <v>COW-FRMP_TR-T228 TITLE Tax Card</v>
      </c>
      <c r="Y923" s="239">
        <f>IF(OR(SP_ACQ_Lib[[#This Row],[File Name Convention]]=0,LEFT(SP_ACQ_Lib[[#This Row],[Name]],LEN(SP_ACQ_Lib[[#This Row],[File Name Convention]]))&lt;&gt;SP_ACQ_Lib[[#This Row],[File Name Convention]],ISERROR(SEARCH(SP_ACQ_Lib[[#This Row],[ACQ Document Type]],SP_ACQ_Lib[[#This Row],[Name]]))),1,0)</f>
        <v>0</v>
      </c>
    </row>
    <row r="924" spans="1:25" ht="15" x14ac:dyDescent="0.2">
      <c r="A924" s="157" t="str">
        <f>CONCATENATE(SP_ACQ_Lib[[#This Row],[Acquisition Tract No.]],"_",SP_ACQ_Lib[[#This Row],[ACQ Document Type]])</f>
        <v>T234_CONTACT Negotiator Report</v>
      </c>
      <c r="B924" s="14" t="s">
        <v>5828</v>
      </c>
      <c r="C924" s="263" t="s">
        <v>5342</v>
      </c>
      <c r="D924" s="12" t="s">
        <v>3330</v>
      </c>
      <c r="E924" s="8" t="s">
        <v>865</v>
      </c>
      <c r="F924" s="8" t="s">
        <v>1068</v>
      </c>
      <c r="G924" s="8" t="s">
        <v>1067</v>
      </c>
      <c r="H924" s="7" t="s">
        <v>592</v>
      </c>
      <c r="I924" s="16"/>
      <c r="J924" s="16"/>
      <c r="K924" s="17"/>
      <c r="L924" s="3"/>
      <c r="M924" s="8" t="s">
        <v>5648</v>
      </c>
      <c r="N924" s="11">
        <v>44022.590486111112</v>
      </c>
      <c r="O924" s="8" t="s">
        <v>5648</v>
      </c>
      <c r="P924" s="11">
        <v>43990.326041666667</v>
      </c>
      <c r="Q924" s="13">
        <v>40441</v>
      </c>
      <c r="R924" s="264" t="s">
        <v>594</v>
      </c>
      <c r="S924" s="14" t="s">
        <v>5837</v>
      </c>
      <c r="T924" s="163">
        <v>1148</v>
      </c>
      <c r="U924" s="164" t="str">
        <f>CONCATENATE(LEFT(SP_ACQ_Lib[[#This Row],[Tax Parcel ID]],7),"_",SP_ACQ_Lib[[#This Row],[ACQ Document Type]])</f>
        <v>R055173_CONTACT Negotiator Report</v>
      </c>
      <c r="V924" s="65" t="str">
        <f>INDEX(SP_AcqTract_DB[WCAD Tax Parcel ID],MATCH(SP_ACQ_Lib[[#This Row],[Acquisition Tract No.]],SP_AcqTract_DB[Acquisition Tract No.],0))</f>
        <v>R055173;#266</v>
      </c>
      <c r="W924" s="48" t="str">
        <f>INDEX(SP_TaxPar_DB[Acquisition Tract No.],MATCH(LEFT(SP_ACQ_Lib[[#This Row],[Tax Parcel ID]],7),SP_TaxPar_DB[Tax Parcel ID],0))</f>
        <v>T234</v>
      </c>
      <c r="X924" s="238" t="str">
        <f>IF(OR(SP_ACQ_Lib[[#This Row],[Acquisition Tract No.]]="",SP_ACQ_Lib[[#This Row],[ACQ Document Type]]=""),0,CONCATENATE("COW-FRMP_TR-",SP_ACQ_Lib[[#This Row],[Acquisition Tract No.]]," ",SP_ACQ_Lib[[#This Row],[ACQ Document Type]]))</f>
        <v>COW-FRMP_TR-T234 CONTACT Negotiator Report</v>
      </c>
      <c r="Y924" s="239">
        <f>IF(OR(SP_ACQ_Lib[[#This Row],[File Name Convention]]=0,LEFT(SP_ACQ_Lib[[#This Row],[Name]],LEN(SP_ACQ_Lib[[#This Row],[File Name Convention]]))&lt;&gt;SP_ACQ_Lib[[#This Row],[File Name Convention]],ISERROR(SEARCH(SP_ACQ_Lib[[#This Row],[ACQ Document Type]],SP_ACQ_Lib[[#This Row],[Name]]))),1,0)</f>
        <v>0</v>
      </c>
    </row>
    <row r="925" spans="1:25" ht="15" x14ac:dyDescent="0.2">
      <c r="A925" s="157" t="str">
        <f>CONCATENATE(SP_ACQ_Lib[[#This Row],[Acquisition Tract No.]],"_",SP_ACQ_Lib[[#This Row],[ACQ Document Type]])</f>
        <v>T234_ENVIRONMENTAL Right-of-Entry Executed</v>
      </c>
      <c r="B925" s="14" t="s">
        <v>5615</v>
      </c>
      <c r="C925" s="263" t="s">
        <v>5342</v>
      </c>
      <c r="D925" s="12" t="s">
        <v>3330</v>
      </c>
      <c r="E925" s="8" t="s">
        <v>2682</v>
      </c>
      <c r="F925" s="8" t="s">
        <v>2683</v>
      </c>
      <c r="G925" s="8" t="s">
        <v>2681</v>
      </c>
      <c r="H925" s="7" t="s">
        <v>592</v>
      </c>
      <c r="I925" s="16">
        <v>43864</v>
      </c>
      <c r="J925" s="16"/>
      <c r="K925" s="17"/>
      <c r="L925" s="3"/>
      <c r="M925" s="8" t="s">
        <v>4206</v>
      </c>
      <c r="N925" s="11">
        <v>43983.572708333333</v>
      </c>
      <c r="O925" s="8" t="s">
        <v>4206</v>
      </c>
      <c r="P925" s="11">
        <v>43971.422094907408</v>
      </c>
      <c r="Q925" s="13">
        <v>1426996</v>
      </c>
      <c r="R925" s="264" t="s">
        <v>594</v>
      </c>
      <c r="S925" s="14" t="s">
        <v>5218</v>
      </c>
      <c r="T925" s="163">
        <v>990</v>
      </c>
      <c r="U925" s="164" t="str">
        <f>CONCATENATE(LEFT(SP_ACQ_Lib[[#This Row],[Tax Parcel ID]],7),"_",SP_ACQ_Lib[[#This Row],[ACQ Document Type]])</f>
        <v>R055173_ENVIRONMENTAL Right-of-Entry Executed</v>
      </c>
      <c r="V925" s="65" t="str">
        <f>INDEX(SP_AcqTract_DB[WCAD Tax Parcel ID],MATCH(SP_ACQ_Lib[[#This Row],[Acquisition Tract No.]],SP_AcqTract_DB[Acquisition Tract No.],0))</f>
        <v>R055173;#266</v>
      </c>
      <c r="W925" s="48" t="str">
        <f>INDEX(SP_TaxPar_DB[Acquisition Tract No.],MATCH(LEFT(SP_ACQ_Lib[[#This Row],[Tax Parcel ID]],7),SP_TaxPar_DB[Tax Parcel ID],0))</f>
        <v>T234</v>
      </c>
      <c r="X925" s="238" t="str">
        <f>IF(OR(SP_ACQ_Lib[[#This Row],[Acquisition Tract No.]]="",SP_ACQ_Lib[[#This Row],[ACQ Document Type]]=""),0,CONCATENATE("COW-FRMP_TR-",SP_ACQ_Lib[[#This Row],[Acquisition Tract No.]]," ",SP_ACQ_Lib[[#This Row],[ACQ Document Type]]))</f>
        <v>COW-FRMP_TR-T234 ENVIRONMENTAL Right-of-Entry Executed</v>
      </c>
      <c r="Y925" s="239">
        <f>IF(OR(SP_ACQ_Lib[[#This Row],[File Name Convention]]=0,LEFT(SP_ACQ_Lib[[#This Row],[Name]],LEN(SP_ACQ_Lib[[#This Row],[File Name Convention]]))&lt;&gt;SP_ACQ_Lib[[#This Row],[File Name Convention]],ISERROR(SEARCH(SP_ACQ_Lib[[#This Row],[ACQ Document Type]],SP_ACQ_Lib[[#This Row],[Name]]))),1,0)</f>
        <v>0</v>
      </c>
    </row>
    <row r="926" spans="1:25" ht="15" x14ac:dyDescent="0.2">
      <c r="A926" s="157" t="str">
        <f>CONCATENATE(SP_ACQ_Lib[[#This Row],[Acquisition Tract No.]],"_",SP_ACQ_Lib[[#This Row],[ACQ Document Type]])</f>
        <v>T234_ENVIRONMENTAL Right-of-Entry Package</v>
      </c>
      <c r="B926" s="14" t="s">
        <v>5616</v>
      </c>
      <c r="C926" s="263" t="s">
        <v>5342</v>
      </c>
      <c r="D926" s="12" t="s">
        <v>3330</v>
      </c>
      <c r="E926" s="8" t="s">
        <v>2682</v>
      </c>
      <c r="F926" s="8" t="s">
        <v>2687</v>
      </c>
      <c r="G926" s="8" t="s">
        <v>2686</v>
      </c>
      <c r="H926" s="7" t="s">
        <v>592</v>
      </c>
      <c r="I926" s="16">
        <v>43850</v>
      </c>
      <c r="J926" s="16">
        <v>43854</v>
      </c>
      <c r="K926" s="17"/>
      <c r="L926" s="3"/>
      <c r="M926" s="8" t="s">
        <v>4206</v>
      </c>
      <c r="N926" s="11">
        <v>43983.582731481481</v>
      </c>
      <c r="O926" s="8" t="s">
        <v>4206</v>
      </c>
      <c r="P926" s="11">
        <v>43971.422071759262</v>
      </c>
      <c r="Q926" s="13">
        <v>1037600</v>
      </c>
      <c r="R926" s="264" t="s">
        <v>594</v>
      </c>
      <c r="S926" s="14" t="s">
        <v>5217</v>
      </c>
      <c r="T926" s="163">
        <v>989</v>
      </c>
      <c r="U926" s="164" t="str">
        <f>CONCATENATE(LEFT(SP_ACQ_Lib[[#This Row],[Tax Parcel ID]],7),"_",SP_ACQ_Lib[[#This Row],[ACQ Document Type]])</f>
        <v>R055173_ENVIRONMENTAL Right-of-Entry Package</v>
      </c>
      <c r="V926" s="65" t="str">
        <f>INDEX(SP_AcqTract_DB[WCAD Tax Parcel ID],MATCH(SP_ACQ_Lib[[#This Row],[Acquisition Tract No.]],SP_AcqTract_DB[Acquisition Tract No.],0))</f>
        <v>R055173;#266</v>
      </c>
      <c r="W926" s="48" t="str">
        <f>INDEX(SP_TaxPar_DB[Acquisition Tract No.],MATCH(LEFT(SP_ACQ_Lib[[#This Row],[Tax Parcel ID]],7),SP_TaxPar_DB[Tax Parcel ID],0))</f>
        <v>T234</v>
      </c>
      <c r="X926" s="238" t="str">
        <f>IF(OR(SP_ACQ_Lib[[#This Row],[Acquisition Tract No.]]="",SP_ACQ_Lib[[#This Row],[ACQ Document Type]]=""),0,CONCATENATE("COW-FRMP_TR-",SP_ACQ_Lib[[#This Row],[Acquisition Tract No.]]," ",SP_ACQ_Lib[[#This Row],[ACQ Document Type]]))</f>
        <v>COW-FRMP_TR-T234 ENVIRONMENTAL Right-of-Entry Package</v>
      </c>
      <c r="Y926" s="239">
        <f>IF(OR(SP_ACQ_Lib[[#This Row],[File Name Convention]]=0,LEFT(SP_ACQ_Lib[[#This Row],[Name]],LEN(SP_ACQ_Lib[[#This Row],[File Name Convention]]))&lt;&gt;SP_ACQ_Lib[[#This Row],[File Name Convention]],ISERROR(SEARCH(SP_ACQ_Lib[[#This Row],[ACQ Document Type]],SP_ACQ_Lib[[#This Row],[Name]]))),1,0)</f>
        <v>0</v>
      </c>
    </row>
    <row r="927" spans="1:25" ht="15" x14ac:dyDescent="0.2">
      <c r="A927" s="157" t="str">
        <f>CONCATENATE(SP_ACQ_Lib[[#This Row],[Acquisition Tract No.]],"_",SP_ACQ_Lib[[#This Row],[ACQ Document Type]])</f>
        <v>T234_ROE Right-of-Entry Package</v>
      </c>
      <c r="B927" s="14" t="s">
        <v>5776</v>
      </c>
      <c r="C927" s="263" t="s">
        <v>5342</v>
      </c>
      <c r="D927" s="12" t="s">
        <v>3330</v>
      </c>
      <c r="E927" s="8" t="s">
        <v>1146</v>
      </c>
      <c r="F927" s="8" t="s">
        <v>2687</v>
      </c>
      <c r="G927" s="8" t="s">
        <v>5659</v>
      </c>
      <c r="H927" s="7" t="s">
        <v>592</v>
      </c>
      <c r="I927" s="16">
        <v>43985</v>
      </c>
      <c r="J927" s="16"/>
      <c r="K927" s="17"/>
      <c r="L927" s="3"/>
      <c r="M927" s="8" t="s">
        <v>4206</v>
      </c>
      <c r="N927" s="11">
        <v>43986.579780092594</v>
      </c>
      <c r="O927" s="8" t="s">
        <v>4206</v>
      </c>
      <c r="P927" s="11">
        <v>43986.569918981484</v>
      </c>
      <c r="Q927" s="13">
        <v>1661248</v>
      </c>
      <c r="R927" s="264" t="s">
        <v>594</v>
      </c>
      <c r="S927" s="14" t="s">
        <v>5808</v>
      </c>
      <c r="T927" s="163">
        <v>1125</v>
      </c>
      <c r="U927" s="164" t="str">
        <f>CONCATENATE(LEFT(SP_ACQ_Lib[[#This Row],[Tax Parcel ID]],7),"_",SP_ACQ_Lib[[#This Row],[ACQ Document Type]])</f>
        <v>R055173_ROE Right-of-Entry Package</v>
      </c>
      <c r="V927" s="65" t="str">
        <f>INDEX(SP_AcqTract_DB[WCAD Tax Parcel ID],MATCH(SP_ACQ_Lib[[#This Row],[Acquisition Tract No.]],SP_AcqTract_DB[Acquisition Tract No.],0))</f>
        <v>R055173;#266</v>
      </c>
      <c r="W927" s="48" t="str">
        <f>INDEX(SP_TaxPar_DB[Acquisition Tract No.],MATCH(LEFT(SP_ACQ_Lib[[#This Row],[Tax Parcel ID]],7),SP_TaxPar_DB[Tax Parcel ID],0))</f>
        <v>T234</v>
      </c>
      <c r="X927" s="238" t="str">
        <f>IF(OR(SP_ACQ_Lib[[#This Row],[Acquisition Tract No.]]="",SP_ACQ_Lib[[#This Row],[ACQ Document Type]]=""),0,CONCATENATE("COW-FRMP_TR-",SP_ACQ_Lib[[#This Row],[Acquisition Tract No.]]," ",SP_ACQ_Lib[[#This Row],[ACQ Document Type]]))</f>
        <v>COW-FRMP_TR-T234 ROE Right-of-Entry Package</v>
      </c>
      <c r="Y927" s="239">
        <f>IF(OR(SP_ACQ_Lib[[#This Row],[File Name Convention]]=0,LEFT(SP_ACQ_Lib[[#This Row],[Name]],LEN(SP_ACQ_Lib[[#This Row],[File Name Convention]]))&lt;&gt;SP_ACQ_Lib[[#This Row],[File Name Convention]],ISERROR(SEARCH(SP_ACQ_Lib[[#This Row],[ACQ Document Type]],SP_ACQ_Lib[[#This Row],[Name]]))),1,0)</f>
        <v>0</v>
      </c>
    </row>
    <row r="928" spans="1:25" ht="15" x14ac:dyDescent="0.2">
      <c r="A928" s="157" t="str">
        <f>CONCATENATE(SP_ACQ_Lib[[#This Row],[Acquisition Tract No.]],"_",SP_ACQ_Lib[[#This Row],[ACQ Document Type]])</f>
        <v>T234_TITLE Tax Card</v>
      </c>
      <c r="B928" s="14" t="s">
        <v>5471</v>
      </c>
      <c r="C928" s="263" t="s">
        <v>5342</v>
      </c>
      <c r="D928" s="12" t="s">
        <v>3330</v>
      </c>
      <c r="E928" s="8" t="s">
        <v>861</v>
      </c>
      <c r="F928" s="8" t="s">
        <v>1150</v>
      </c>
      <c r="G928" s="8" t="s">
        <v>1149</v>
      </c>
      <c r="H928" s="7" t="s">
        <v>592</v>
      </c>
      <c r="I928" s="16"/>
      <c r="J928" s="16"/>
      <c r="K928" s="17"/>
      <c r="L928" s="3"/>
      <c r="M928" s="8" t="s">
        <v>4206</v>
      </c>
      <c r="N928" s="11">
        <v>43979.349120370367</v>
      </c>
      <c r="O928" s="8" t="s">
        <v>4206</v>
      </c>
      <c r="P928" s="11">
        <v>43971.422118055554</v>
      </c>
      <c r="Q928" s="13">
        <v>876703</v>
      </c>
      <c r="R928" s="264" t="s">
        <v>594</v>
      </c>
      <c r="S928" s="14" t="s">
        <v>5219</v>
      </c>
      <c r="T928" s="163">
        <v>991</v>
      </c>
      <c r="U928" s="164" t="str">
        <f>CONCATENATE(LEFT(SP_ACQ_Lib[[#This Row],[Tax Parcel ID]],7),"_",SP_ACQ_Lib[[#This Row],[ACQ Document Type]])</f>
        <v>R055173_TITLE Tax Card</v>
      </c>
      <c r="V928" s="65" t="str">
        <f>INDEX(SP_AcqTract_DB[WCAD Tax Parcel ID],MATCH(SP_ACQ_Lib[[#This Row],[Acquisition Tract No.]],SP_AcqTract_DB[Acquisition Tract No.],0))</f>
        <v>R055173;#266</v>
      </c>
      <c r="W928" s="48" t="str">
        <f>INDEX(SP_TaxPar_DB[Acquisition Tract No.],MATCH(LEFT(SP_ACQ_Lib[[#This Row],[Tax Parcel ID]],7),SP_TaxPar_DB[Tax Parcel ID],0))</f>
        <v>T234</v>
      </c>
      <c r="X928" s="238" t="str">
        <f>IF(OR(SP_ACQ_Lib[[#This Row],[Acquisition Tract No.]]="",SP_ACQ_Lib[[#This Row],[ACQ Document Type]]=""),0,CONCATENATE("COW-FRMP_TR-",SP_ACQ_Lib[[#This Row],[Acquisition Tract No.]]," ",SP_ACQ_Lib[[#This Row],[ACQ Document Type]]))</f>
        <v>COW-FRMP_TR-T234 TITLE Tax Card</v>
      </c>
      <c r="Y928" s="239">
        <f>IF(OR(SP_ACQ_Lib[[#This Row],[File Name Convention]]=0,LEFT(SP_ACQ_Lib[[#This Row],[Name]],LEN(SP_ACQ_Lib[[#This Row],[File Name Convention]]))&lt;&gt;SP_ACQ_Lib[[#This Row],[File Name Convention]],ISERROR(SEARCH(SP_ACQ_Lib[[#This Row],[ACQ Document Type]],SP_ACQ_Lib[[#This Row],[Name]]))),1,0)</f>
        <v>0</v>
      </c>
    </row>
    <row r="929" spans="1:25" ht="15" x14ac:dyDescent="0.2">
      <c r="A929" s="157" t="str">
        <f>CONCATENATE(SP_ACQ_Lib[[#This Row],[Acquisition Tract No.]],"_",SP_ACQ_Lib[[#This Row],[ACQ Document Type]])</f>
        <v>T236_ENVIRONMENTAL Right-of-Entry Executed</v>
      </c>
      <c r="B929" s="14" t="s">
        <v>5617</v>
      </c>
      <c r="C929" s="263" t="s">
        <v>5344</v>
      </c>
      <c r="D929" s="12" t="s">
        <v>3331</v>
      </c>
      <c r="E929" s="8" t="s">
        <v>2682</v>
      </c>
      <c r="F929" s="8" t="s">
        <v>2683</v>
      </c>
      <c r="G929" s="8" t="s">
        <v>2681</v>
      </c>
      <c r="H929" s="7" t="s">
        <v>592</v>
      </c>
      <c r="I929" s="16">
        <v>43902</v>
      </c>
      <c r="J929" s="16">
        <v>44168</v>
      </c>
      <c r="K929" s="17"/>
      <c r="L929" s="3" t="s">
        <v>5911</v>
      </c>
      <c r="M929" s="8" t="s">
        <v>4205</v>
      </c>
      <c r="N929" s="11">
        <v>43992.633622685185</v>
      </c>
      <c r="O929" s="8" t="s">
        <v>4206</v>
      </c>
      <c r="P929" s="11">
        <v>43979.391944444447</v>
      </c>
      <c r="Q929" s="13">
        <v>4951969</v>
      </c>
      <c r="R929" s="264" t="s">
        <v>594</v>
      </c>
      <c r="S929" s="14" t="s">
        <v>5523</v>
      </c>
      <c r="T929" s="163">
        <v>1032</v>
      </c>
      <c r="U929" s="164" t="str">
        <f>CONCATENATE(LEFT(SP_ACQ_Lib[[#This Row],[Tax Parcel ID]],7),"_",SP_ACQ_Lib[[#This Row],[ACQ Document Type]])</f>
        <v>R056464_ENVIRONMENTAL Right-of-Entry Executed</v>
      </c>
      <c r="V929" s="65" t="str">
        <f>INDEX(SP_AcqTract_DB[WCAD Tax Parcel ID],MATCH(SP_ACQ_Lib[[#This Row],[Acquisition Tract No.]],SP_AcqTract_DB[Acquisition Tract No.],0))</f>
        <v>R056464;#267</v>
      </c>
      <c r="W929" s="48" t="str">
        <f>INDEX(SP_TaxPar_DB[Acquisition Tract No.],MATCH(LEFT(SP_ACQ_Lib[[#This Row],[Tax Parcel ID]],7),SP_TaxPar_DB[Tax Parcel ID],0))</f>
        <v>T236</v>
      </c>
      <c r="X929" s="238" t="str">
        <f>IF(OR(SP_ACQ_Lib[[#This Row],[Acquisition Tract No.]]="",SP_ACQ_Lib[[#This Row],[ACQ Document Type]]=""),0,CONCATENATE("COW-FRMP_TR-",SP_ACQ_Lib[[#This Row],[Acquisition Tract No.]]," ",SP_ACQ_Lib[[#This Row],[ACQ Document Type]]))</f>
        <v>COW-FRMP_TR-T236 ENVIRONMENTAL Right-of-Entry Executed</v>
      </c>
      <c r="Y929" s="239">
        <f>IF(OR(SP_ACQ_Lib[[#This Row],[File Name Convention]]=0,LEFT(SP_ACQ_Lib[[#This Row],[Name]],LEN(SP_ACQ_Lib[[#This Row],[File Name Convention]]))&lt;&gt;SP_ACQ_Lib[[#This Row],[File Name Convention]],ISERROR(SEARCH(SP_ACQ_Lib[[#This Row],[ACQ Document Type]],SP_ACQ_Lib[[#This Row],[Name]]))),1,0)</f>
        <v>0</v>
      </c>
    </row>
    <row r="930" spans="1:25" ht="15" x14ac:dyDescent="0.2">
      <c r="A930" s="157" t="str">
        <f>CONCATENATE(SP_ACQ_Lib[[#This Row],[Acquisition Tract No.]],"_",SP_ACQ_Lib[[#This Row],[ACQ Document Type]])</f>
        <v>T236_ENVIRONMENTAL Right-of-Entry Package</v>
      </c>
      <c r="B930" s="14" t="s">
        <v>5618</v>
      </c>
      <c r="C930" s="263" t="s">
        <v>5344</v>
      </c>
      <c r="D930" s="12" t="s">
        <v>3331</v>
      </c>
      <c r="E930" s="8" t="s">
        <v>2682</v>
      </c>
      <c r="F930" s="8" t="s">
        <v>2687</v>
      </c>
      <c r="G930" s="8" t="s">
        <v>2686</v>
      </c>
      <c r="H930" s="7" t="s">
        <v>592</v>
      </c>
      <c r="I930" s="16">
        <v>43851</v>
      </c>
      <c r="J930" s="16">
        <v>43854</v>
      </c>
      <c r="K930" s="17"/>
      <c r="L930" s="3" t="s">
        <v>4346</v>
      </c>
      <c r="M930" s="8" t="s">
        <v>4206</v>
      </c>
      <c r="N930" s="11">
        <v>43983.582731481481</v>
      </c>
      <c r="O930" s="8" t="s">
        <v>4206</v>
      </c>
      <c r="P930" s="11">
        <v>43979.39203703704</v>
      </c>
      <c r="Q930" s="13">
        <v>915869</v>
      </c>
      <c r="R930" s="264" t="s">
        <v>594</v>
      </c>
      <c r="S930" s="14" t="s">
        <v>5524</v>
      </c>
      <c r="T930" s="163">
        <v>1033</v>
      </c>
      <c r="U930" s="164" t="str">
        <f>CONCATENATE(LEFT(SP_ACQ_Lib[[#This Row],[Tax Parcel ID]],7),"_",SP_ACQ_Lib[[#This Row],[ACQ Document Type]])</f>
        <v>R056464_ENVIRONMENTAL Right-of-Entry Package</v>
      </c>
      <c r="V930" s="65" t="str">
        <f>INDEX(SP_AcqTract_DB[WCAD Tax Parcel ID],MATCH(SP_ACQ_Lib[[#This Row],[Acquisition Tract No.]],SP_AcqTract_DB[Acquisition Tract No.],0))</f>
        <v>R056464;#267</v>
      </c>
      <c r="W930" s="48" t="str">
        <f>INDEX(SP_TaxPar_DB[Acquisition Tract No.],MATCH(LEFT(SP_ACQ_Lib[[#This Row],[Tax Parcel ID]],7),SP_TaxPar_DB[Tax Parcel ID],0))</f>
        <v>T236</v>
      </c>
      <c r="X930" s="238" t="str">
        <f>IF(OR(SP_ACQ_Lib[[#This Row],[Acquisition Tract No.]]="",SP_ACQ_Lib[[#This Row],[ACQ Document Type]]=""),0,CONCATENATE("COW-FRMP_TR-",SP_ACQ_Lib[[#This Row],[Acquisition Tract No.]]," ",SP_ACQ_Lib[[#This Row],[ACQ Document Type]]))</f>
        <v>COW-FRMP_TR-T236 ENVIRONMENTAL Right-of-Entry Package</v>
      </c>
      <c r="Y930" s="239">
        <f>IF(OR(SP_ACQ_Lib[[#This Row],[File Name Convention]]=0,LEFT(SP_ACQ_Lib[[#This Row],[Name]],LEN(SP_ACQ_Lib[[#This Row],[File Name Convention]]))&lt;&gt;SP_ACQ_Lib[[#This Row],[File Name Convention]],ISERROR(SEARCH(SP_ACQ_Lib[[#This Row],[ACQ Document Type]],SP_ACQ_Lib[[#This Row],[Name]]))),1,0)</f>
        <v>0</v>
      </c>
    </row>
    <row r="931" spans="1:25" ht="15" x14ac:dyDescent="0.2">
      <c r="A931" s="157" t="str">
        <f>CONCATENATE(SP_ACQ_Lib[[#This Row],[Acquisition Tract No.]],"_",SP_ACQ_Lib[[#This Row],[ACQ Document Type]])</f>
        <v>T236_ROE Right-of-Entry Executed</v>
      </c>
      <c r="B931" s="14" t="s">
        <v>5743</v>
      </c>
      <c r="C931" s="263" t="s">
        <v>5344</v>
      </c>
      <c r="D931" s="12" t="s">
        <v>3331</v>
      </c>
      <c r="E931" s="8" t="s">
        <v>1146</v>
      </c>
      <c r="F931" s="8" t="s">
        <v>2683</v>
      </c>
      <c r="G931" s="8" t="s">
        <v>5660</v>
      </c>
      <c r="H931" s="7" t="s">
        <v>592</v>
      </c>
      <c r="I931" s="16">
        <v>43741</v>
      </c>
      <c r="J931" s="16">
        <v>43924</v>
      </c>
      <c r="K931" s="17"/>
      <c r="L931" s="3"/>
      <c r="M931" s="8" t="s">
        <v>4206</v>
      </c>
      <c r="N931" s="11">
        <v>43986.619710648149</v>
      </c>
      <c r="O931" s="8" t="s">
        <v>4206</v>
      </c>
      <c r="P931" s="11">
        <v>43986.386770833335</v>
      </c>
      <c r="Q931" s="13">
        <v>4951755</v>
      </c>
      <c r="R931" s="264" t="s">
        <v>594</v>
      </c>
      <c r="S931" s="14" t="s">
        <v>5750</v>
      </c>
      <c r="T931" s="163">
        <v>1109</v>
      </c>
      <c r="U931" s="164" t="str">
        <f>CONCATENATE(LEFT(SP_ACQ_Lib[[#This Row],[Tax Parcel ID]],7),"_",SP_ACQ_Lib[[#This Row],[ACQ Document Type]])</f>
        <v>R056464_ROE Right-of-Entry Executed</v>
      </c>
      <c r="V931" s="65" t="str">
        <f>INDEX(SP_AcqTract_DB[WCAD Tax Parcel ID],MATCH(SP_ACQ_Lib[[#This Row],[Acquisition Tract No.]],SP_AcqTract_DB[Acquisition Tract No.],0))</f>
        <v>R056464;#267</v>
      </c>
      <c r="W931" s="48" t="str">
        <f>INDEX(SP_TaxPar_DB[Acquisition Tract No.],MATCH(LEFT(SP_ACQ_Lib[[#This Row],[Tax Parcel ID]],7),SP_TaxPar_DB[Tax Parcel ID],0))</f>
        <v>T236</v>
      </c>
      <c r="X931" s="238" t="str">
        <f>IF(OR(SP_ACQ_Lib[[#This Row],[Acquisition Tract No.]]="",SP_ACQ_Lib[[#This Row],[ACQ Document Type]]=""),0,CONCATENATE("COW-FRMP_TR-",SP_ACQ_Lib[[#This Row],[Acquisition Tract No.]]," ",SP_ACQ_Lib[[#This Row],[ACQ Document Type]]))</f>
        <v>COW-FRMP_TR-T236 ROE Right-of-Entry Executed</v>
      </c>
      <c r="Y931" s="239">
        <f>IF(OR(SP_ACQ_Lib[[#This Row],[File Name Convention]]=0,LEFT(SP_ACQ_Lib[[#This Row],[Name]],LEN(SP_ACQ_Lib[[#This Row],[File Name Convention]]))&lt;&gt;SP_ACQ_Lib[[#This Row],[File Name Convention]],ISERROR(SEARCH(SP_ACQ_Lib[[#This Row],[ACQ Document Type]],SP_ACQ_Lib[[#This Row],[Name]]))),1,0)</f>
        <v>0</v>
      </c>
    </row>
    <row r="932" spans="1:25" ht="15" x14ac:dyDescent="0.2">
      <c r="A932" s="157" t="str">
        <f>CONCATENATE(SP_ACQ_Lib[[#This Row],[Acquisition Tract No.]],"_",SP_ACQ_Lib[[#This Row],[ACQ Document Type]])</f>
        <v>T236_TITLE Tax Card</v>
      </c>
      <c r="B932" s="14" t="s">
        <v>5472</v>
      </c>
      <c r="C932" s="263" t="s">
        <v>5344</v>
      </c>
      <c r="D932" s="12" t="s">
        <v>3331</v>
      </c>
      <c r="E932" s="8" t="s">
        <v>861</v>
      </c>
      <c r="F932" s="8" t="s">
        <v>1150</v>
      </c>
      <c r="G932" s="8" t="s">
        <v>1149</v>
      </c>
      <c r="H932" s="7" t="s">
        <v>592</v>
      </c>
      <c r="I932" s="16"/>
      <c r="J932" s="16"/>
      <c r="K932" s="17"/>
      <c r="L932" s="3"/>
      <c r="M932" s="8" t="s">
        <v>4206</v>
      </c>
      <c r="N932" s="11">
        <v>43979.417326388888</v>
      </c>
      <c r="O932" s="8" t="s">
        <v>4206</v>
      </c>
      <c r="P932" s="11">
        <v>43979.392060185186</v>
      </c>
      <c r="Q932" s="13">
        <v>738012</v>
      </c>
      <c r="R932" s="264" t="s">
        <v>594</v>
      </c>
      <c r="S932" s="14" t="s">
        <v>5525</v>
      </c>
      <c r="T932" s="163">
        <v>1034</v>
      </c>
      <c r="U932" s="164" t="str">
        <f>CONCATENATE(LEFT(SP_ACQ_Lib[[#This Row],[Tax Parcel ID]],7),"_",SP_ACQ_Lib[[#This Row],[ACQ Document Type]])</f>
        <v>R056464_TITLE Tax Card</v>
      </c>
      <c r="V932" s="65" t="str">
        <f>INDEX(SP_AcqTract_DB[WCAD Tax Parcel ID],MATCH(SP_ACQ_Lib[[#This Row],[Acquisition Tract No.]],SP_AcqTract_DB[Acquisition Tract No.],0))</f>
        <v>R056464;#267</v>
      </c>
      <c r="W932" s="48" t="str">
        <f>INDEX(SP_TaxPar_DB[Acquisition Tract No.],MATCH(LEFT(SP_ACQ_Lib[[#This Row],[Tax Parcel ID]],7),SP_TaxPar_DB[Tax Parcel ID],0))</f>
        <v>T236</v>
      </c>
      <c r="X932" s="238" t="str">
        <f>IF(OR(SP_ACQ_Lib[[#This Row],[Acquisition Tract No.]]="",SP_ACQ_Lib[[#This Row],[ACQ Document Type]]=""),0,CONCATENATE("COW-FRMP_TR-",SP_ACQ_Lib[[#This Row],[Acquisition Tract No.]]," ",SP_ACQ_Lib[[#This Row],[ACQ Document Type]]))</f>
        <v>COW-FRMP_TR-T236 TITLE Tax Card</v>
      </c>
      <c r="Y932" s="239">
        <f>IF(OR(SP_ACQ_Lib[[#This Row],[File Name Convention]]=0,LEFT(SP_ACQ_Lib[[#This Row],[Name]],LEN(SP_ACQ_Lib[[#This Row],[File Name Convention]]))&lt;&gt;SP_ACQ_Lib[[#This Row],[File Name Convention]],ISERROR(SEARCH(SP_ACQ_Lib[[#This Row],[ACQ Document Type]],SP_ACQ_Lib[[#This Row],[Name]]))),1,0)</f>
        <v>0</v>
      </c>
    </row>
    <row r="933" spans="1:25" ht="15" x14ac:dyDescent="0.2">
      <c r="A933" s="157" t="str">
        <f>CONCATENATE(SP_ACQ_Lib[[#This Row],[Acquisition Tract No.]],"_",SP_ACQ_Lib[[#This Row],[ACQ Document Type]])</f>
        <v>T237_CONTACT Negotiator Report</v>
      </c>
      <c r="B933" s="14" t="s">
        <v>5829</v>
      </c>
      <c r="C933" s="263" t="s">
        <v>5346</v>
      </c>
      <c r="D933" s="12" t="s">
        <v>3332</v>
      </c>
      <c r="E933" s="8" t="s">
        <v>865</v>
      </c>
      <c r="F933" s="8" t="s">
        <v>1068</v>
      </c>
      <c r="G933" s="8" t="s">
        <v>1067</v>
      </c>
      <c r="H933" s="7" t="s">
        <v>592</v>
      </c>
      <c r="I933" s="16"/>
      <c r="J933" s="16"/>
      <c r="K933" s="17"/>
      <c r="L933" s="3"/>
      <c r="M933" s="8" t="s">
        <v>5648</v>
      </c>
      <c r="N933" s="11">
        <v>44008.535798611112</v>
      </c>
      <c r="O933" s="8" t="s">
        <v>5648</v>
      </c>
      <c r="P933" s="11">
        <v>43990.326041666667</v>
      </c>
      <c r="Q933" s="13">
        <v>40104</v>
      </c>
      <c r="R933" s="264" t="s">
        <v>594</v>
      </c>
      <c r="S933" s="14" t="s">
        <v>5838</v>
      </c>
      <c r="T933" s="163">
        <v>1149</v>
      </c>
      <c r="U933" s="164" t="str">
        <f>CONCATENATE(LEFT(SP_ACQ_Lib[[#This Row],[Tax Parcel ID]],7),"_",SP_ACQ_Lib[[#This Row],[ACQ Document Type]])</f>
        <v>R056478_CONTACT Negotiator Report</v>
      </c>
      <c r="V933" s="65" t="str">
        <f>INDEX(SP_AcqTract_DB[WCAD Tax Parcel ID],MATCH(SP_ACQ_Lib[[#This Row],[Acquisition Tract No.]],SP_AcqTract_DB[Acquisition Tract No.],0))</f>
        <v>R056478;#268</v>
      </c>
      <c r="W933" s="48" t="str">
        <f>INDEX(SP_TaxPar_DB[Acquisition Tract No.],MATCH(LEFT(SP_ACQ_Lib[[#This Row],[Tax Parcel ID]],7),SP_TaxPar_DB[Tax Parcel ID],0))</f>
        <v>T237</v>
      </c>
      <c r="X933" s="238" t="str">
        <f>IF(OR(SP_ACQ_Lib[[#This Row],[Acquisition Tract No.]]="",SP_ACQ_Lib[[#This Row],[ACQ Document Type]]=""),0,CONCATENATE("COW-FRMP_TR-",SP_ACQ_Lib[[#This Row],[Acquisition Tract No.]]," ",SP_ACQ_Lib[[#This Row],[ACQ Document Type]]))</f>
        <v>COW-FRMP_TR-T237 CONTACT Negotiator Report</v>
      </c>
      <c r="Y933" s="239">
        <f>IF(OR(SP_ACQ_Lib[[#This Row],[File Name Convention]]=0,LEFT(SP_ACQ_Lib[[#This Row],[Name]],LEN(SP_ACQ_Lib[[#This Row],[File Name Convention]]))&lt;&gt;SP_ACQ_Lib[[#This Row],[File Name Convention]],ISERROR(SEARCH(SP_ACQ_Lib[[#This Row],[ACQ Document Type]],SP_ACQ_Lib[[#This Row],[Name]]))),1,0)</f>
        <v>0</v>
      </c>
    </row>
    <row r="934" spans="1:25" ht="15" x14ac:dyDescent="0.2">
      <c r="A934" s="157" t="str">
        <f>CONCATENATE(SP_ACQ_Lib[[#This Row],[Acquisition Tract No.]],"_",SP_ACQ_Lib[[#This Row],[ACQ Document Type]])</f>
        <v>T237_ENVIRONMENTAL Right-of-Entry Executed</v>
      </c>
      <c r="B934" s="14" t="s">
        <v>5619</v>
      </c>
      <c r="C934" s="263" t="s">
        <v>5346</v>
      </c>
      <c r="D934" s="12" t="s">
        <v>3332</v>
      </c>
      <c r="E934" s="8" t="s">
        <v>2682</v>
      </c>
      <c r="F934" s="8" t="s">
        <v>2683</v>
      </c>
      <c r="G934" s="8" t="s">
        <v>2681</v>
      </c>
      <c r="H934" s="7" t="s">
        <v>592</v>
      </c>
      <c r="I934" s="16">
        <v>43871</v>
      </c>
      <c r="J934" s="16"/>
      <c r="K934" s="17"/>
      <c r="L934" s="3"/>
      <c r="M934" s="8" t="s">
        <v>4206</v>
      </c>
      <c r="N934" s="11">
        <v>43983.57309027778</v>
      </c>
      <c r="O934" s="8" t="s">
        <v>4206</v>
      </c>
      <c r="P934" s="11">
        <v>43971.422164351854</v>
      </c>
      <c r="Q934" s="13">
        <v>1859902</v>
      </c>
      <c r="R934" s="264" t="s">
        <v>594</v>
      </c>
      <c r="S934" s="14" t="s">
        <v>5221</v>
      </c>
      <c r="T934" s="163">
        <v>993</v>
      </c>
      <c r="U934" s="164" t="str">
        <f>CONCATENATE(LEFT(SP_ACQ_Lib[[#This Row],[Tax Parcel ID]],7),"_",SP_ACQ_Lib[[#This Row],[ACQ Document Type]])</f>
        <v>R056478_ENVIRONMENTAL Right-of-Entry Executed</v>
      </c>
      <c r="V934" s="65" t="str">
        <f>INDEX(SP_AcqTract_DB[WCAD Tax Parcel ID],MATCH(SP_ACQ_Lib[[#This Row],[Acquisition Tract No.]],SP_AcqTract_DB[Acquisition Tract No.],0))</f>
        <v>R056478;#268</v>
      </c>
      <c r="W934" s="48" t="str">
        <f>INDEX(SP_TaxPar_DB[Acquisition Tract No.],MATCH(LEFT(SP_ACQ_Lib[[#This Row],[Tax Parcel ID]],7),SP_TaxPar_DB[Tax Parcel ID],0))</f>
        <v>T237</v>
      </c>
      <c r="X934" s="238" t="str">
        <f>IF(OR(SP_ACQ_Lib[[#This Row],[Acquisition Tract No.]]="",SP_ACQ_Lib[[#This Row],[ACQ Document Type]]=""),0,CONCATENATE("COW-FRMP_TR-",SP_ACQ_Lib[[#This Row],[Acquisition Tract No.]]," ",SP_ACQ_Lib[[#This Row],[ACQ Document Type]]))</f>
        <v>COW-FRMP_TR-T237 ENVIRONMENTAL Right-of-Entry Executed</v>
      </c>
      <c r="Y934" s="239">
        <f>IF(OR(SP_ACQ_Lib[[#This Row],[File Name Convention]]=0,LEFT(SP_ACQ_Lib[[#This Row],[Name]],LEN(SP_ACQ_Lib[[#This Row],[File Name Convention]]))&lt;&gt;SP_ACQ_Lib[[#This Row],[File Name Convention]],ISERROR(SEARCH(SP_ACQ_Lib[[#This Row],[ACQ Document Type]],SP_ACQ_Lib[[#This Row],[Name]]))),1,0)</f>
        <v>0</v>
      </c>
    </row>
    <row r="935" spans="1:25" ht="15" x14ac:dyDescent="0.2">
      <c r="A935" s="157" t="str">
        <f>CONCATENATE(SP_ACQ_Lib[[#This Row],[Acquisition Tract No.]],"_",SP_ACQ_Lib[[#This Row],[ACQ Document Type]])</f>
        <v>T237_ENVIRONMENTAL Right-of-Entry Package</v>
      </c>
      <c r="B935" s="14" t="s">
        <v>5620</v>
      </c>
      <c r="C935" s="263" t="s">
        <v>5346</v>
      </c>
      <c r="D935" s="12" t="s">
        <v>3332</v>
      </c>
      <c r="E935" s="8" t="s">
        <v>2682</v>
      </c>
      <c r="F935" s="8" t="s">
        <v>2687</v>
      </c>
      <c r="G935" s="8" t="s">
        <v>2686</v>
      </c>
      <c r="H935" s="7" t="s">
        <v>592</v>
      </c>
      <c r="I935" s="16">
        <v>43850</v>
      </c>
      <c r="J935" s="16">
        <v>43855</v>
      </c>
      <c r="K935" s="17"/>
      <c r="L935" s="3"/>
      <c r="M935" s="8" t="s">
        <v>4206</v>
      </c>
      <c r="N935" s="11">
        <v>43983.582731481481</v>
      </c>
      <c r="O935" s="8" t="s">
        <v>4206</v>
      </c>
      <c r="P935" s="11">
        <v>43971.4221412037</v>
      </c>
      <c r="Q935" s="13">
        <v>819715</v>
      </c>
      <c r="R935" s="264" t="s">
        <v>594</v>
      </c>
      <c r="S935" s="14" t="s">
        <v>5220</v>
      </c>
      <c r="T935" s="163">
        <v>992</v>
      </c>
      <c r="U935" s="164" t="str">
        <f>CONCATENATE(LEFT(SP_ACQ_Lib[[#This Row],[Tax Parcel ID]],7),"_",SP_ACQ_Lib[[#This Row],[ACQ Document Type]])</f>
        <v>R056478_ENVIRONMENTAL Right-of-Entry Package</v>
      </c>
      <c r="V935" s="65" t="str">
        <f>INDEX(SP_AcqTract_DB[WCAD Tax Parcel ID],MATCH(SP_ACQ_Lib[[#This Row],[Acquisition Tract No.]],SP_AcqTract_DB[Acquisition Tract No.],0))</f>
        <v>R056478;#268</v>
      </c>
      <c r="W935" s="48" t="str">
        <f>INDEX(SP_TaxPar_DB[Acquisition Tract No.],MATCH(LEFT(SP_ACQ_Lib[[#This Row],[Tax Parcel ID]],7),SP_TaxPar_DB[Tax Parcel ID],0))</f>
        <v>T237</v>
      </c>
      <c r="X935" s="238" t="str">
        <f>IF(OR(SP_ACQ_Lib[[#This Row],[Acquisition Tract No.]]="",SP_ACQ_Lib[[#This Row],[ACQ Document Type]]=""),0,CONCATENATE("COW-FRMP_TR-",SP_ACQ_Lib[[#This Row],[Acquisition Tract No.]]," ",SP_ACQ_Lib[[#This Row],[ACQ Document Type]]))</f>
        <v>COW-FRMP_TR-T237 ENVIRONMENTAL Right-of-Entry Package</v>
      </c>
      <c r="Y935" s="239">
        <f>IF(OR(SP_ACQ_Lib[[#This Row],[File Name Convention]]=0,LEFT(SP_ACQ_Lib[[#This Row],[Name]],LEN(SP_ACQ_Lib[[#This Row],[File Name Convention]]))&lt;&gt;SP_ACQ_Lib[[#This Row],[File Name Convention]],ISERROR(SEARCH(SP_ACQ_Lib[[#This Row],[ACQ Document Type]],SP_ACQ_Lib[[#This Row],[Name]]))),1,0)</f>
        <v>0</v>
      </c>
    </row>
    <row r="936" spans="1:25" ht="15" x14ac:dyDescent="0.2">
      <c r="A936" s="157" t="str">
        <f>CONCATENATE(SP_ACQ_Lib[[#This Row],[Acquisition Tract No.]],"_",SP_ACQ_Lib[[#This Row],[ACQ Document Type]])</f>
        <v>T237_ROE Right-of-Entry Package</v>
      </c>
      <c r="B936" s="14" t="s">
        <v>5777</v>
      </c>
      <c r="C936" s="263" t="s">
        <v>5346</v>
      </c>
      <c r="D936" s="12" t="s">
        <v>3332</v>
      </c>
      <c r="E936" s="8" t="s">
        <v>1146</v>
      </c>
      <c r="F936" s="8" t="s">
        <v>2687</v>
      </c>
      <c r="G936" s="8" t="s">
        <v>5659</v>
      </c>
      <c r="H936" s="7" t="s">
        <v>592</v>
      </c>
      <c r="I936" s="16">
        <v>43985</v>
      </c>
      <c r="J936" s="16"/>
      <c r="K936" s="17"/>
      <c r="L936" s="3"/>
      <c r="M936" s="8" t="s">
        <v>4206</v>
      </c>
      <c r="N936" s="11">
        <v>43990.488206018519</v>
      </c>
      <c r="O936" s="8" t="s">
        <v>4206</v>
      </c>
      <c r="P936" s="11">
        <v>43986.569953703707</v>
      </c>
      <c r="Q936" s="13">
        <v>1382193</v>
      </c>
      <c r="R936" s="264" t="s">
        <v>594</v>
      </c>
      <c r="S936" s="14" t="s">
        <v>5809</v>
      </c>
      <c r="T936" s="163">
        <v>1126</v>
      </c>
      <c r="U936" s="164" t="str">
        <f>CONCATENATE(LEFT(SP_ACQ_Lib[[#This Row],[Tax Parcel ID]],7),"_",SP_ACQ_Lib[[#This Row],[ACQ Document Type]])</f>
        <v>R056478_ROE Right-of-Entry Package</v>
      </c>
      <c r="V936" s="65" t="str">
        <f>INDEX(SP_AcqTract_DB[WCAD Tax Parcel ID],MATCH(SP_ACQ_Lib[[#This Row],[Acquisition Tract No.]],SP_AcqTract_DB[Acquisition Tract No.],0))</f>
        <v>R056478;#268</v>
      </c>
      <c r="W936" s="48" t="str">
        <f>INDEX(SP_TaxPar_DB[Acquisition Tract No.],MATCH(LEFT(SP_ACQ_Lib[[#This Row],[Tax Parcel ID]],7),SP_TaxPar_DB[Tax Parcel ID],0))</f>
        <v>T237</v>
      </c>
      <c r="X936" s="238" t="str">
        <f>IF(OR(SP_ACQ_Lib[[#This Row],[Acquisition Tract No.]]="",SP_ACQ_Lib[[#This Row],[ACQ Document Type]]=""),0,CONCATENATE("COW-FRMP_TR-",SP_ACQ_Lib[[#This Row],[Acquisition Tract No.]]," ",SP_ACQ_Lib[[#This Row],[ACQ Document Type]]))</f>
        <v>COW-FRMP_TR-T237 ROE Right-of-Entry Package</v>
      </c>
      <c r="Y936" s="239">
        <f>IF(OR(SP_ACQ_Lib[[#This Row],[File Name Convention]]=0,LEFT(SP_ACQ_Lib[[#This Row],[Name]],LEN(SP_ACQ_Lib[[#This Row],[File Name Convention]]))&lt;&gt;SP_ACQ_Lib[[#This Row],[File Name Convention]],ISERROR(SEARCH(SP_ACQ_Lib[[#This Row],[ACQ Document Type]],SP_ACQ_Lib[[#This Row],[Name]]))),1,0)</f>
        <v>0</v>
      </c>
    </row>
    <row r="937" spans="1:25" ht="15" x14ac:dyDescent="0.2">
      <c r="A937" s="157" t="str">
        <f>CONCATENATE(SP_ACQ_Lib[[#This Row],[Acquisition Tract No.]],"_",SP_ACQ_Lib[[#This Row],[ACQ Document Type]])</f>
        <v>T237_TITLE Tax Card</v>
      </c>
      <c r="B937" s="14" t="s">
        <v>5473</v>
      </c>
      <c r="C937" s="263" t="s">
        <v>5346</v>
      </c>
      <c r="D937" s="12" t="s">
        <v>3332</v>
      </c>
      <c r="E937" s="8" t="s">
        <v>861</v>
      </c>
      <c r="F937" s="8" t="s">
        <v>1150</v>
      </c>
      <c r="G937" s="8" t="s">
        <v>1149</v>
      </c>
      <c r="H937" s="7" t="s">
        <v>592</v>
      </c>
      <c r="I937" s="16"/>
      <c r="J937" s="16"/>
      <c r="K937" s="17"/>
      <c r="L937" s="3"/>
      <c r="M937" s="8" t="s">
        <v>4206</v>
      </c>
      <c r="N937" s="11">
        <v>43979.349120370367</v>
      </c>
      <c r="O937" s="8" t="s">
        <v>4206</v>
      </c>
      <c r="P937" s="11">
        <v>43971.422199074077</v>
      </c>
      <c r="Q937" s="13">
        <v>708379</v>
      </c>
      <c r="R937" s="264" t="s">
        <v>594</v>
      </c>
      <c r="S937" s="14" t="s">
        <v>5222</v>
      </c>
      <c r="T937" s="163">
        <v>994</v>
      </c>
      <c r="U937" s="164" t="str">
        <f>CONCATENATE(LEFT(SP_ACQ_Lib[[#This Row],[Tax Parcel ID]],7),"_",SP_ACQ_Lib[[#This Row],[ACQ Document Type]])</f>
        <v>R056478_TITLE Tax Card</v>
      </c>
      <c r="V937" s="65" t="str">
        <f>INDEX(SP_AcqTract_DB[WCAD Tax Parcel ID],MATCH(SP_ACQ_Lib[[#This Row],[Acquisition Tract No.]],SP_AcqTract_DB[Acquisition Tract No.],0))</f>
        <v>R056478;#268</v>
      </c>
      <c r="W937" s="48" t="str">
        <f>INDEX(SP_TaxPar_DB[Acquisition Tract No.],MATCH(LEFT(SP_ACQ_Lib[[#This Row],[Tax Parcel ID]],7),SP_TaxPar_DB[Tax Parcel ID],0))</f>
        <v>T237</v>
      </c>
      <c r="X937" s="238" t="str">
        <f>IF(OR(SP_ACQ_Lib[[#This Row],[Acquisition Tract No.]]="",SP_ACQ_Lib[[#This Row],[ACQ Document Type]]=""),0,CONCATENATE("COW-FRMP_TR-",SP_ACQ_Lib[[#This Row],[Acquisition Tract No.]]," ",SP_ACQ_Lib[[#This Row],[ACQ Document Type]]))</f>
        <v>COW-FRMP_TR-T237 TITLE Tax Card</v>
      </c>
      <c r="Y937" s="239">
        <f>IF(OR(SP_ACQ_Lib[[#This Row],[File Name Convention]]=0,LEFT(SP_ACQ_Lib[[#This Row],[Name]],LEN(SP_ACQ_Lib[[#This Row],[File Name Convention]]))&lt;&gt;SP_ACQ_Lib[[#This Row],[File Name Convention]],ISERROR(SEARCH(SP_ACQ_Lib[[#This Row],[ACQ Document Type]],SP_ACQ_Lib[[#This Row],[Name]]))),1,0)</f>
        <v>0</v>
      </c>
    </row>
    <row r="938" spans="1:25" ht="15" x14ac:dyDescent="0.2">
      <c r="A938" s="157" t="str">
        <f>CONCATENATE(SP_ACQ_Lib[[#This Row],[Acquisition Tract No.]],"_",SP_ACQ_Lib[[#This Row],[ACQ Document Type]])</f>
        <v>T238_CONTACT Negotiator Report</v>
      </c>
      <c r="B938" s="14" t="s">
        <v>5830</v>
      </c>
      <c r="C938" s="263" t="s">
        <v>5348</v>
      </c>
      <c r="D938" s="12" t="s">
        <v>3333</v>
      </c>
      <c r="E938" s="8" t="s">
        <v>865</v>
      </c>
      <c r="F938" s="8" t="s">
        <v>1068</v>
      </c>
      <c r="G938" s="8" t="s">
        <v>1067</v>
      </c>
      <c r="H938" s="7" t="s">
        <v>592</v>
      </c>
      <c r="I938" s="16"/>
      <c r="J938" s="16"/>
      <c r="K938" s="17"/>
      <c r="L938" s="3"/>
      <c r="M938" s="8" t="s">
        <v>5648</v>
      </c>
      <c r="N938" s="11">
        <v>44022.617025462961</v>
      </c>
      <c r="O938" s="8" t="s">
        <v>5648</v>
      </c>
      <c r="P938" s="11">
        <v>43990.326041666667</v>
      </c>
      <c r="Q938" s="13">
        <v>39696</v>
      </c>
      <c r="R938" s="264" t="s">
        <v>594</v>
      </c>
      <c r="S938" s="14" t="s">
        <v>5839</v>
      </c>
      <c r="T938" s="163">
        <v>1150</v>
      </c>
      <c r="U938" s="164" t="str">
        <f>CONCATENATE(LEFT(SP_ACQ_Lib[[#This Row],[Tax Parcel ID]],7),"_",SP_ACQ_Lib[[#This Row],[ACQ Document Type]])</f>
        <v>R056480_CONTACT Negotiator Report</v>
      </c>
      <c r="V938" s="65" t="str">
        <f>INDEX(SP_AcqTract_DB[WCAD Tax Parcel ID],MATCH(SP_ACQ_Lib[[#This Row],[Acquisition Tract No.]],SP_AcqTract_DB[Acquisition Tract No.],0))</f>
        <v>R056480;#269</v>
      </c>
      <c r="W938" s="48" t="str">
        <f>INDEX(SP_TaxPar_DB[Acquisition Tract No.],MATCH(LEFT(SP_ACQ_Lib[[#This Row],[Tax Parcel ID]],7),SP_TaxPar_DB[Tax Parcel ID],0))</f>
        <v>T238</v>
      </c>
      <c r="X938" s="238" t="str">
        <f>IF(OR(SP_ACQ_Lib[[#This Row],[Acquisition Tract No.]]="",SP_ACQ_Lib[[#This Row],[ACQ Document Type]]=""),0,CONCATENATE("COW-FRMP_TR-",SP_ACQ_Lib[[#This Row],[Acquisition Tract No.]]," ",SP_ACQ_Lib[[#This Row],[ACQ Document Type]]))</f>
        <v>COW-FRMP_TR-T238 CONTACT Negotiator Report</v>
      </c>
      <c r="Y938" s="239">
        <f>IF(OR(SP_ACQ_Lib[[#This Row],[File Name Convention]]=0,LEFT(SP_ACQ_Lib[[#This Row],[Name]],LEN(SP_ACQ_Lib[[#This Row],[File Name Convention]]))&lt;&gt;SP_ACQ_Lib[[#This Row],[File Name Convention]],ISERROR(SEARCH(SP_ACQ_Lib[[#This Row],[ACQ Document Type]],SP_ACQ_Lib[[#This Row],[Name]]))),1,0)</f>
        <v>0</v>
      </c>
    </row>
    <row r="939" spans="1:25" ht="15" x14ac:dyDescent="0.2">
      <c r="A939" s="157" t="str">
        <f>CONCATENATE(SP_ACQ_Lib[[#This Row],[Acquisition Tract No.]],"_",SP_ACQ_Lib[[#This Row],[ACQ Document Type]])</f>
        <v>T238_ENVIRONMENTAL Right-of-Entry Executed</v>
      </c>
      <c r="B939" s="14" t="s">
        <v>5621</v>
      </c>
      <c r="C939" s="263" t="s">
        <v>5348</v>
      </c>
      <c r="D939" s="12" t="s">
        <v>3333</v>
      </c>
      <c r="E939" s="8" t="s">
        <v>2682</v>
      </c>
      <c r="F939" s="8" t="s">
        <v>2683</v>
      </c>
      <c r="G939" s="8" t="s">
        <v>2681</v>
      </c>
      <c r="H939" s="7" t="s">
        <v>592</v>
      </c>
      <c r="I939" s="16">
        <v>43871</v>
      </c>
      <c r="J939" s="16"/>
      <c r="K939" s="17"/>
      <c r="L939" s="3"/>
      <c r="M939" s="8" t="s">
        <v>4206</v>
      </c>
      <c r="N939" s="11">
        <v>43983.573275462964</v>
      </c>
      <c r="O939" s="8" t="s">
        <v>4206</v>
      </c>
      <c r="P939" s="11">
        <v>43971.42224537037</v>
      </c>
      <c r="Q939" s="13">
        <v>1770480</v>
      </c>
      <c r="R939" s="264" t="s">
        <v>594</v>
      </c>
      <c r="S939" s="14" t="s">
        <v>5224</v>
      </c>
      <c r="T939" s="163">
        <v>996</v>
      </c>
      <c r="U939" s="164" t="str">
        <f>CONCATENATE(LEFT(SP_ACQ_Lib[[#This Row],[Tax Parcel ID]],7),"_",SP_ACQ_Lib[[#This Row],[ACQ Document Type]])</f>
        <v>R056480_ENVIRONMENTAL Right-of-Entry Executed</v>
      </c>
      <c r="V939" s="65" t="str">
        <f>INDEX(SP_AcqTract_DB[WCAD Tax Parcel ID],MATCH(SP_ACQ_Lib[[#This Row],[Acquisition Tract No.]],SP_AcqTract_DB[Acquisition Tract No.],0))</f>
        <v>R056480;#269</v>
      </c>
      <c r="W939" s="48" t="str">
        <f>INDEX(SP_TaxPar_DB[Acquisition Tract No.],MATCH(LEFT(SP_ACQ_Lib[[#This Row],[Tax Parcel ID]],7),SP_TaxPar_DB[Tax Parcel ID],0))</f>
        <v>T238</v>
      </c>
      <c r="X939" s="238" t="str">
        <f>IF(OR(SP_ACQ_Lib[[#This Row],[Acquisition Tract No.]]="",SP_ACQ_Lib[[#This Row],[ACQ Document Type]]=""),0,CONCATENATE("COW-FRMP_TR-",SP_ACQ_Lib[[#This Row],[Acquisition Tract No.]]," ",SP_ACQ_Lib[[#This Row],[ACQ Document Type]]))</f>
        <v>COW-FRMP_TR-T238 ENVIRONMENTAL Right-of-Entry Executed</v>
      </c>
      <c r="Y939" s="239">
        <f>IF(OR(SP_ACQ_Lib[[#This Row],[File Name Convention]]=0,LEFT(SP_ACQ_Lib[[#This Row],[Name]],LEN(SP_ACQ_Lib[[#This Row],[File Name Convention]]))&lt;&gt;SP_ACQ_Lib[[#This Row],[File Name Convention]],ISERROR(SEARCH(SP_ACQ_Lib[[#This Row],[ACQ Document Type]],SP_ACQ_Lib[[#This Row],[Name]]))),1,0)</f>
        <v>0</v>
      </c>
    </row>
    <row r="940" spans="1:25" ht="15" x14ac:dyDescent="0.2">
      <c r="A940" s="157" t="str">
        <f>CONCATENATE(SP_ACQ_Lib[[#This Row],[Acquisition Tract No.]],"_",SP_ACQ_Lib[[#This Row],[ACQ Document Type]])</f>
        <v>T238_ENVIRONMENTAL Right-of-Entry Package</v>
      </c>
      <c r="B940" s="14" t="s">
        <v>5622</v>
      </c>
      <c r="C940" s="263" t="s">
        <v>5348</v>
      </c>
      <c r="D940" s="12" t="s">
        <v>3333</v>
      </c>
      <c r="E940" s="8" t="s">
        <v>2682</v>
      </c>
      <c r="F940" s="8" t="s">
        <v>2687</v>
      </c>
      <c r="G940" s="8" t="s">
        <v>2686</v>
      </c>
      <c r="H940" s="7" t="s">
        <v>592</v>
      </c>
      <c r="I940" s="16">
        <v>43850</v>
      </c>
      <c r="J940" s="16">
        <v>43858</v>
      </c>
      <c r="K940" s="17"/>
      <c r="L940" s="3"/>
      <c r="M940" s="8" t="s">
        <v>4206</v>
      </c>
      <c r="N940" s="11">
        <v>43983.582731481481</v>
      </c>
      <c r="O940" s="8" t="s">
        <v>4206</v>
      </c>
      <c r="P940" s="11">
        <v>43971.422222222223</v>
      </c>
      <c r="Q940" s="13">
        <v>812849</v>
      </c>
      <c r="R940" s="264" t="s">
        <v>594</v>
      </c>
      <c r="S940" s="14" t="s">
        <v>5223</v>
      </c>
      <c r="T940" s="163">
        <v>995</v>
      </c>
      <c r="U940" s="164" t="str">
        <f>CONCATENATE(LEFT(SP_ACQ_Lib[[#This Row],[Tax Parcel ID]],7),"_",SP_ACQ_Lib[[#This Row],[ACQ Document Type]])</f>
        <v>R056480_ENVIRONMENTAL Right-of-Entry Package</v>
      </c>
      <c r="V940" s="65" t="str">
        <f>INDEX(SP_AcqTract_DB[WCAD Tax Parcel ID],MATCH(SP_ACQ_Lib[[#This Row],[Acquisition Tract No.]],SP_AcqTract_DB[Acquisition Tract No.],0))</f>
        <v>R056480;#269</v>
      </c>
      <c r="W940" s="48" t="str">
        <f>INDEX(SP_TaxPar_DB[Acquisition Tract No.],MATCH(LEFT(SP_ACQ_Lib[[#This Row],[Tax Parcel ID]],7),SP_TaxPar_DB[Tax Parcel ID],0))</f>
        <v>T238</v>
      </c>
      <c r="X940" s="238" t="str">
        <f>IF(OR(SP_ACQ_Lib[[#This Row],[Acquisition Tract No.]]="",SP_ACQ_Lib[[#This Row],[ACQ Document Type]]=""),0,CONCATENATE("COW-FRMP_TR-",SP_ACQ_Lib[[#This Row],[Acquisition Tract No.]]," ",SP_ACQ_Lib[[#This Row],[ACQ Document Type]]))</f>
        <v>COW-FRMP_TR-T238 ENVIRONMENTAL Right-of-Entry Package</v>
      </c>
      <c r="Y940" s="239">
        <f>IF(OR(SP_ACQ_Lib[[#This Row],[File Name Convention]]=0,LEFT(SP_ACQ_Lib[[#This Row],[Name]],LEN(SP_ACQ_Lib[[#This Row],[File Name Convention]]))&lt;&gt;SP_ACQ_Lib[[#This Row],[File Name Convention]],ISERROR(SEARCH(SP_ACQ_Lib[[#This Row],[ACQ Document Type]],SP_ACQ_Lib[[#This Row],[Name]]))),1,0)</f>
        <v>0</v>
      </c>
    </row>
    <row r="941" spans="1:25" ht="15" x14ac:dyDescent="0.2">
      <c r="A941" s="157" t="str">
        <f>CONCATENATE(SP_ACQ_Lib[[#This Row],[Acquisition Tract No.]],"_",SP_ACQ_Lib[[#This Row],[ACQ Document Type]])</f>
        <v>T238_ROE Right-of-Entry Executed</v>
      </c>
      <c r="B941" s="14" t="s">
        <v>6723</v>
      </c>
      <c r="C941" s="263" t="s">
        <v>5348</v>
      </c>
      <c r="D941" s="12" t="s">
        <v>3333</v>
      </c>
      <c r="E941" s="8" t="s">
        <v>1146</v>
      </c>
      <c r="F941" s="8" t="s">
        <v>2683</v>
      </c>
      <c r="G941" s="8" t="s">
        <v>5660</v>
      </c>
      <c r="H941" s="7" t="s">
        <v>592</v>
      </c>
      <c r="I941" s="16">
        <v>44020</v>
      </c>
      <c r="J941" s="16"/>
      <c r="K941" s="17"/>
      <c r="L941" s="3"/>
      <c r="M941" s="8" t="s">
        <v>4206</v>
      </c>
      <c r="N941" s="11">
        <v>44025.429108796299</v>
      </c>
      <c r="O941" s="8" t="s">
        <v>4206</v>
      </c>
      <c r="P941" s="11">
        <v>44025.426006944443</v>
      </c>
      <c r="Q941" s="13">
        <v>1931160</v>
      </c>
      <c r="R941" s="264" t="s">
        <v>594</v>
      </c>
      <c r="S941" s="14" t="s">
        <v>6726</v>
      </c>
      <c r="T941" s="163">
        <v>1384</v>
      </c>
      <c r="U941" s="164" t="str">
        <f>CONCATENATE(LEFT(SP_ACQ_Lib[[#This Row],[Tax Parcel ID]],7),"_",SP_ACQ_Lib[[#This Row],[ACQ Document Type]])</f>
        <v>R056480_ROE Right-of-Entry Executed</v>
      </c>
      <c r="V941" s="65" t="str">
        <f>INDEX(SP_AcqTract_DB[WCAD Tax Parcel ID],MATCH(SP_ACQ_Lib[[#This Row],[Acquisition Tract No.]],SP_AcqTract_DB[Acquisition Tract No.],0))</f>
        <v>R056480;#269</v>
      </c>
      <c r="W941" s="48" t="str">
        <f>INDEX(SP_TaxPar_DB[Acquisition Tract No.],MATCH(LEFT(SP_ACQ_Lib[[#This Row],[Tax Parcel ID]],7),SP_TaxPar_DB[Tax Parcel ID],0))</f>
        <v>T238</v>
      </c>
      <c r="X941" s="238" t="str">
        <f>IF(OR(SP_ACQ_Lib[[#This Row],[Acquisition Tract No.]]="",SP_ACQ_Lib[[#This Row],[ACQ Document Type]]=""),0,CONCATENATE("COW-FRMP_TR-",SP_ACQ_Lib[[#This Row],[Acquisition Tract No.]]," ",SP_ACQ_Lib[[#This Row],[ACQ Document Type]]))</f>
        <v>COW-FRMP_TR-T238 ROE Right-of-Entry Executed</v>
      </c>
      <c r="Y941" s="239">
        <f>IF(OR(SP_ACQ_Lib[[#This Row],[File Name Convention]]=0,LEFT(SP_ACQ_Lib[[#This Row],[Name]],LEN(SP_ACQ_Lib[[#This Row],[File Name Convention]]))&lt;&gt;SP_ACQ_Lib[[#This Row],[File Name Convention]],ISERROR(SEARCH(SP_ACQ_Lib[[#This Row],[ACQ Document Type]],SP_ACQ_Lib[[#This Row],[Name]]))),1,0)</f>
        <v>0</v>
      </c>
    </row>
    <row r="942" spans="1:25" ht="15" x14ac:dyDescent="0.2">
      <c r="A942" s="157" t="str">
        <f>CONCATENATE(SP_ACQ_Lib[[#This Row],[Acquisition Tract No.]],"_",SP_ACQ_Lib[[#This Row],[ACQ Document Type]])</f>
        <v>T238_ROE Right-of-Entry Package</v>
      </c>
      <c r="B942" s="14" t="s">
        <v>5778</v>
      </c>
      <c r="C942" s="263" t="s">
        <v>5348</v>
      </c>
      <c r="D942" s="12" t="s">
        <v>3333</v>
      </c>
      <c r="E942" s="8" t="s">
        <v>1146</v>
      </c>
      <c r="F942" s="8" t="s">
        <v>2687</v>
      </c>
      <c r="G942" s="8" t="s">
        <v>5659</v>
      </c>
      <c r="H942" s="7" t="s">
        <v>592</v>
      </c>
      <c r="I942" s="16">
        <v>43985</v>
      </c>
      <c r="J942" s="16"/>
      <c r="K942" s="17"/>
      <c r="L942" s="3"/>
      <c r="M942" s="8" t="s">
        <v>4206</v>
      </c>
      <c r="N942" s="11">
        <v>43986.580462962964</v>
      </c>
      <c r="O942" s="8" t="s">
        <v>4206</v>
      </c>
      <c r="P942" s="11">
        <v>43986.570370370369</v>
      </c>
      <c r="Q942" s="13">
        <v>1461293</v>
      </c>
      <c r="R942" s="264" t="s">
        <v>594</v>
      </c>
      <c r="S942" s="14" t="s">
        <v>5810</v>
      </c>
      <c r="T942" s="163">
        <v>1140</v>
      </c>
      <c r="U942" s="164" t="str">
        <f>CONCATENATE(LEFT(SP_ACQ_Lib[[#This Row],[Tax Parcel ID]],7),"_",SP_ACQ_Lib[[#This Row],[ACQ Document Type]])</f>
        <v>R056480_ROE Right-of-Entry Package</v>
      </c>
      <c r="V942" s="65" t="str">
        <f>INDEX(SP_AcqTract_DB[WCAD Tax Parcel ID],MATCH(SP_ACQ_Lib[[#This Row],[Acquisition Tract No.]],SP_AcqTract_DB[Acquisition Tract No.],0))</f>
        <v>R056480;#269</v>
      </c>
      <c r="W942" s="48" t="str">
        <f>INDEX(SP_TaxPar_DB[Acquisition Tract No.],MATCH(LEFT(SP_ACQ_Lib[[#This Row],[Tax Parcel ID]],7),SP_TaxPar_DB[Tax Parcel ID],0))</f>
        <v>T238</v>
      </c>
      <c r="X942" s="238" t="str">
        <f>IF(OR(SP_ACQ_Lib[[#This Row],[Acquisition Tract No.]]="",SP_ACQ_Lib[[#This Row],[ACQ Document Type]]=""),0,CONCATENATE("COW-FRMP_TR-",SP_ACQ_Lib[[#This Row],[Acquisition Tract No.]]," ",SP_ACQ_Lib[[#This Row],[ACQ Document Type]]))</f>
        <v>COW-FRMP_TR-T238 ROE Right-of-Entry Package</v>
      </c>
      <c r="Y942" s="239">
        <f>IF(OR(SP_ACQ_Lib[[#This Row],[File Name Convention]]=0,LEFT(SP_ACQ_Lib[[#This Row],[Name]],LEN(SP_ACQ_Lib[[#This Row],[File Name Convention]]))&lt;&gt;SP_ACQ_Lib[[#This Row],[File Name Convention]],ISERROR(SEARCH(SP_ACQ_Lib[[#This Row],[ACQ Document Type]],SP_ACQ_Lib[[#This Row],[Name]]))),1,0)</f>
        <v>0</v>
      </c>
    </row>
    <row r="943" spans="1:25" ht="15" x14ac:dyDescent="0.2">
      <c r="A943" s="157" t="str">
        <f>CONCATENATE(SP_ACQ_Lib[[#This Row],[Acquisition Tract No.]],"_",SP_ACQ_Lib[[#This Row],[ACQ Document Type]])</f>
        <v>T238_TITLE Tax Card</v>
      </c>
      <c r="B943" s="14" t="s">
        <v>5474</v>
      </c>
      <c r="C943" s="263" t="s">
        <v>5348</v>
      </c>
      <c r="D943" s="12" t="s">
        <v>3333</v>
      </c>
      <c r="E943" s="8" t="s">
        <v>861</v>
      </c>
      <c r="F943" s="8" t="s">
        <v>1150</v>
      </c>
      <c r="G943" s="8" t="s">
        <v>1149</v>
      </c>
      <c r="H943" s="7" t="s">
        <v>592</v>
      </c>
      <c r="I943" s="16"/>
      <c r="J943" s="16"/>
      <c r="K943" s="17"/>
      <c r="L943" s="3"/>
      <c r="M943" s="8" t="s">
        <v>4206</v>
      </c>
      <c r="N943" s="11">
        <v>43979.349120370367</v>
      </c>
      <c r="O943" s="8" t="s">
        <v>4206</v>
      </c>
      <c r="P943" s="11">
        <v>43971.422291666669</v>
      </c>
      <c r="Q943" s="13">
        <v>703033</v>
      </c>
      <c r="R943" s="264" t="s">
        <v>594</v>
      </c>
      <c r="S943" s="14" t="s">
        <v>5225</v>
      </c>
      <c r="T943" s="163">
        <v>997</v>
      </c>
      <c r="U943" s="164" t="str">
        <f>CONCATENATE(LEFT(SP_ACQ_Lib[[#This Row],[Tax Parcel ID]],7),"_",SP_ACQ_Lib[[#This Row],[ACQ Document Type]])</f>
        <v>R056480_TITLE Tax Card</v>
      </c>
      <c r="V943" s="65" t="str">
        <f>INDEX(SP_AcqTract_DB[WCAD Tax Parcel ID],MATCH(SP_ACQ_Lib[[#This Row],[Acquisition Tract No.]],SP_AcqTract_DB[Acquisition Tract No.],0))</f>
        <v>R056480;#269</v>
      </c>
      <c r="W943" s="48" t="str">
        <f>INDEX(SP_TaxPar_DB[Acquisition Tract No.],MATCH(LEFT(SP_ACQ_Lib[[#This Row],[Tax Parcel ID]],7),SP_TaxPar_DB[Tax Parcel ID],0))</f>
        <v>T238</v>
      </c>
      <c r="X943" s="238" t="str">
        <f>IF(OR(SP_ACQ_Lib[[#This Row],[Acquisition Tract No.]]="",SP_ACQ_Lib[[#This Row],[ACQ Document Type]]=""),0,CONCATENATE("COW-FRMP_TR-",SP_ACQ_Lib[[#This Row],[Acquisition Tract No.]]," ",SP_ACQ_Lib[[#This Row],[ACQ Document Type]]))</f>
        <v>COW-FRMP_TR-T238 TITLE Tax Card</v>
      </c>
      <c r="Y943" s="239">
        <f>IF(OR(SP_ACQ_Lib[[#This Row],[File Name Convention]]=0,LEFT(SP_ACQ_Lib[[#This Row],[Name]],LEN(SP_ACQ_Lib[[#This Row],[File Name Convention]]))&lt;&gt;SP_ACQ_Lib[[#This Row],[File Name Convention]],ISERROR(SEARCH(SP_ACQ_Lib[[#This Row],[ACQ Document Type]],SP_ACQ_Lib[[#This Row],[Name]]))),1,0)</f>
        <v>0</v>
      </c>
    </row>
    <row r="944" spans="1:25" ht="15" x14ac:dyDescent="0.2">
      <c r="A944" s="157" t="str">
        <f>CONCATENATE(SP_ACQ_Lib[[#This Row],[Acquisition Tract No.]],"_",SP_ACQ_Lib[[#This Row],[ACQ Document Type]])</f>
        <v>T241_CONTACT Negotiator Report</v>
      </c>
      <c r="B944" s="14" t="s">
        <v>5831</v>
      </c>
      <c r="C944" s="263" t="s">
        <v>5350</v>
      </c>
      <c r="D944" s="12" t="s">
        <v>3334</v>
      </c>
      <c r="E944" s="8" t="s">
        <v>865</v>
      </c>
      <c r="F944" s="8" t="s">
        <v>1068</v>
      </c>
      <c r="G944" s="8" t="s">
        <v>1067</v>
      </c>
      <c r="H944" s="7" t="s">
        <v>592</v>
      </c>
      <c r="I944" s="16">
        <v>43987</v>
      </c>
      <c r="J944" s="16"/>
      <c r="K944" s="17"/>
      <c r="L944" s="3"/>
      <c r="M944" s="8" t="s">
        <v>5648</v>
      </c>
      <c r="N944" s="11">
        <v>44022.728761574072</v>
      </c>
      <c r="O944" s="8" t="s">
        <v>5648</v>
      </c>
      <c r="P944" s="11">
        <v>43987.620729166665</v>
      </c>
      <c r="Q944" s="13">
        <v>42178</v>
      </c>
      <c r="R944" s="264" t="s">
        <v>594</v>
      </c>
      <c r="S944" s="14" t="s">
        <v>5840</v>
      </c>
      <c r="T944" s="163">
        <v>1145</v>
      </c>
      <c r="U944" s="164" t="str">
        <f>CONCATENATE(LEFT(SP_ACQ_Lib[[#This Row],[Tax Parcel ID]],7),"_",SP_ACQ_Lib[[#This Row],[ACQ Document Type]])</f>
        <v>R059308_CONTACT Negotiator Report</v>
      </c>
      <c r="V944" s="65" t="str">
        <f>INDEX(SP_AcqTract_DB[WCAD Tax Parcel ID],MATCH(SP_ACQ_Lib[[#This Row],[Acquisition Tract No.]],SP_AcqTract_DB[Acquisition Tract No.],0))</f>
        <v>R059308;#270</v>
      </c>
      <c r="W944" s="48" t="str">
        <f>INDEX(SP_TaxPar_DB[Acquisition Tract No.],MATCH(LEFT(SP_ACQ_Lib[[#This Row],[Tax Parcel ID]],7),SP_TaxPar_DB[Tax Parcel ID],0))</f>
        <v>T241</v>
      </c>
      <c r="X944" s="238" t="str">
        <f>IF(OR(SP_ACQ_Lib[[#This Row],[Acquisition Tract No.]]="",SP_ACQ_Lib[[#This Row],[ACQ Document Type]]=""),0,CONCATENATE("COW-FRMP_TR-",SP_ACQ_Lib[[#This Row],[Acquisition Tract No.]]," ",SP_ACQ_Lib[[#This Row],[ACQ Document Type]]))</f>
        <v>COW-FRMP_TR-T241 CONTACT Negotiator Report</v>
      </c>
      <c r="Y944" s="239">
        <f>IF(OR(SP_ACQ_Lib[[#This Row],[File Name Convention]]=0,LEFT(SP_ACQ_Lib[[#This Row],[Name]],LEN(SP_ACQ_Lib[[#This Row],[File Name Convention]]))&lt;&gt;SP_ACQ_Lib[[#This Row],[File Name Convention]],ISERROR(SEARCH(SP_ACQ_Lib[[#This Row],[ACQ Document Type]],SP_ACQ_Lib[[#This Row],[Name]]))),1,0)</f>
        <v>0</v>
      </c>
    </row>
    <row r="945" spans="1:25" ht="15" x14ac:dyDescent="0.2">
      <c r="A945" s="157" t="str">
        <f>CONCATENATE(SP_ACQ_Lib[[#This Row],[Acquisition Tract No.]],"_",SP_ACQ_Lib[[#This Row],[ACQ Document Type]])</f>
        <v>T241_ENVIRONMENTAL Right-of-Entry Executed</v>
      </c>
      <c r="B945" s="14" t="s">
        <v>5623</v>
      </c>
      <c r="C945" s="263" t="s">
        <v>5350</v>
      </c>
      <c r="D945" s="12" t="s">
        <v>3334</v>
      </c>
      <c r="E945" s="8" t="s">
        <v>2682</v>
      </c>
      <c r="F945" s="8" t="s">
        <v>2683</v>
      </c>
      <c r="G945" s="8" t="s">
        <v>2681</v>
      </c>
      <c r="H945" s="7" t="s">
        <v>592</v>
      </c>
      <c r="I945" s="16">
        <v>43920</v>
      </c>
      <c r="J945" s="16"/>
      <c r="K945" s="17"/>
      <c r="L945" s="3"/>
      <c r="M945" s="8" t="s">
        <v>4206</v>
      </c>
      <c r="N945" s="11">
        <v>43983.573460648149</v>
      </c>
      <c r="O945" s="8" t="s">
        <v>4206</v>
      </c>
      <c r="P945" s="11">
        <v>43971.422337962962</v>
      </c>
      <c r="Q945" s="13">
        <v>571426</v>
      </c>
      <c r="R945" s="264" t="s">
        <v>594</v>
      </c>
      <c r="S945" s="14" t="s">
        <v>5227</v>
      </c>
      <c r="T945" s="163">
        <v>999</v>
      </c>
      <c r="U945" s="164" t="str">
        <f>CONCATENATE(LEFT(SP_ACQ_Lib[[#This Row],[Tax Parcel ID]],7),"_",SP_ACQ_Lib[[#This Row],[ACQ Document Type]])</f>
        <v>R059308_ENVIRONMENTAL Right-of-Entry Executed</v>
      </c>
      <c r="V945" s="65" t="str">
        <f>INDEX(SP_AcqTract_DB[WCAD Tax Parcel ID],MATCH(SP_ACQ_Lib[[#This Row],[Acquisition Tract No.]],SP_AcqTract_DB[Acquisition Tract No.],0))</f>
        <v>R059308;#270</v>
      </c>
      <c r="W945" s="48" t="str">
        <f>INDEX(SP_TaxPar_DB[Acquisition Tract No.],MATCH(LEFT(SP_ACQ_Lib[[#This Row],[Tax Parcel ID]],7),SP_TaxPar_DB[Tax Parcel ID],0))</f>
        <v>T241</v>
      </c>
      <c r="X945" s="238" t="str">
        <f>IF(OR(SP_ACQ_Lib[[#This Row],[Acquisition Tract No.]]="",SP_ACQ_Lib[[#This Row],[ACQ Document Type]]=""),0,CONCATENATE("COW-FRMP_TR-",SP_ACQ_Lib[[#This Row],[Acquisition Tract No.]]," ",SP_ACQ_Lib[[#This Row],[ACQ Document Type]]))</f>
        <v>COW-FRMP_TR-T241 ENVIRONMENTAL Right-of-Entry Executed</v>
      </c>
      <c r="Y945" s="239">
        <f>IF(OR(SP_ACQ_Lib[[#This Row],[File Name Convention]]=0,LEFT(SP_ACQ_Lib[[#This Row],[Name]],LEN(SP_ACQ_Lib[[#This Row],[File Name Convention]]))&lt;&gt;SP_ACQ_Lib[[#This Row],[File Name Convention]],ISERROR(SEARCH(SP_ACQ_Lib[[#This Row],[ACQ Document Type]],SP_ACQ_Lib[[#This Row],[Name]]))),1,0)</f>
        <v>0</v>
      </c>
    </row>
    <row r="946" spans="1:25" ht="15" x14ac:dyDescent="0.2">
      <c r="A946" s="157" t="str">
        <f>CONCATENATE(SP_ACQ_Lib[[#This Row],[Acquisition Tract No.]],"_",SP_ACQ_Lib[[#This Row],[ACQ Document Type]])</f>
        <v>T241_ENVIRONMENTAL Right-of-Entry Package</v>
      </c>
      <c r="B946" s="14" t="s">
        <v>5624</v>
      </c>
      <c r="C946" s="263" t="s">
        <v>5350</v>
      </c>
      <c r="D946" s="12" t="s">
        <v>3334</v>
      </c>
      <c r="E946" s="8" t="s">
        <v>2682</v>
      </c>
      <c r="F946" s="8" t="s">
        <v>2687</v>
      </c>
      <c r="G946" s="8" t="s">
        <v>2686</v>
      </c>
      <c r="H946" s="7" t="s">
        <v>592</v>
      </c>
      <c r="I946" s="16">
        <v>43850</v>
      </c>
      <c r="J946" s="16">
        <v>43853</v>
      </c>
      <c r="K946" s="17"/>
      <c r="L946" s="3"/>
      <c r="M946" s="8" t="s">
        <v>4206</v>
      </c>
      <c r="N946" s="11">
        <v>43983.582731481481</v>
      </c>
      <c r="O946" s="8" t="s">
        <v>4206</v>
      </c>
      <c r="P946" s="11">
        <v>43971.422314814816</v>
      </c>
      <c r="Q946" s="13">
        <v>857715</v>
      </c>
      <c r="R946" s="264" t="s">
        <v>594</v>
      </c>
      <c r="S946" s="14" t="s">
        <v>5226</v>
      </c>
      <c r="T946" s="163">
        <v>998</v>
      </c>
      <c r="U946" s="164" t="str">
        <f>CONCATENATE(LEFT(SP_ACQ_Lib[[#This Row],[Tax Parcel ID]],7),"_",SP_ACQ_Lib[[#This Row],[ACQ Document Type]])</f>
        <v>R059308_ENVIRONMENTAL Right-of-Entry Package</v>
      </c>
      <c r="V946" s="65" t="str">
        <f>INDEX(SP_AcqTract_DB[WCAD Tax Parcel ID],MATCH(SP_ACQ_Lib[[#This Row],[Acquisition Tract No.]],SP_AcqTract_DB[Acquisition Tract No.],0))</f>
        <v>R059308;#270</v>
      </c>
      <c r="W946" s="48" t="str">
        <f>INDEX(SP_TaxPar_DB[Acquisition Tract No.],MATCH(LEFT(SP_ACQ_Lib[[#This Row],[Tax Parcel ID]],7),SP_TaxPar_DB[Tax Parcel ID],0))</f>
        <v>T241</v>
      </c>
      <c r="X946" s="238" t="str">
        <f>IF(OR(SP_ACQ_Lib[[#This Row],[Acquisition Tract No.]]="",SP_ACQ_Lib[[#This Row],[ACQ Document Type]]=""),0,CONCATENATE("COW-FRMP_TR-",SP_ACQ_Lib[[#This Row],[Acquisition Tract No.]]," ",SP_ACQ_Lib[[#This Row],[ACQ Document Type]]))</f>
        <v>COW-FRMP_TR-T241 ENVIRONMENTAL Right-of-Entry Package</v>
      </c>
      <c r="Y946" s="239">
        <f>IF(OR(SP_ACQ_Lib[[#This Row],[File Name Convention]]=0,LEFT(SP_ACQ_Lib[[#This Row],[Name]],LEN(SP_ACQ_Lib[[#This Row],[File Name Convention]]))&lt;&gt;SP_ACQ_Lib[[#This Row],[File Name Convention]],ISERROR(SEARCH(SP_ACQ_Lib[[#This Row],[ACQ Document Type]],SP_ACQ_Lib[[#This Row],[Name]]))),1,0)</f>
        <v>0</v>
      </c>
    </row>
    <row r="947" spans="1:25" ht="15" x14ac:dyDescent="0.2">
      <c r="A947" s="157" t="str">
        <f>CONCATENATE(SP_ACQ_Lib[[#This Row],[Acquisition Tract No.]],"_",SP_ACQ_Lib[[#This Row],[ACQ Document Type]])</f>
        <v>T241_ROE Right-of-Entry Package</v>
      </c>
      <c r="B947" s="14" t="s">
        <v>5779</v>
      </c>
      <c r="C947" s="263" t="s">
        <v>5350</v>
      </c>
      <c r="D947" s="12" t="s">
        <v>3334</v>
      </c>
      <c r="E947" s="8" t="s">
        <v>1146</v>
      </c>
      <c r="F947" s="8" t="s">
        <v>2687</v>
      </c>
      <c r="G947" s="8" t="s">
        <v>5659</v>
      </c>
      <c r="H947" s="7" t="s">
        <v>592</v>
      </c>
      <c r="I947" s="16">
        <v>43985</v>
      </c>
      <c r="J947" s="16"/>
      <c r="K947" s="17"/>
      <c r="L947" s="3"/>
      <c r="M947" s="8" t="s">
        <v>4206</v>
      </c>
      <c r="N947" s="11">
        <v>43986.580810185187</v>
      </c>
      <c r="O947" s="8" t="s">
        <v>4206</v>
      </c>
      <c r="P947" s="11">
        <v>43986.570405092592</v>
      </c>
      <c r="Q947" s="13">
        <v>1580065</v>
      </c>
      <c r="R947" s="264" t="s">
        <v>594</v>
      </c>
      <c r="S947" s="14" t="s">
        <v>5811</v>
      </c>
      <c r="T947" s="163">
        <v>1141</v>
      </c>
      <c r="U947" s="164" t="str">
        <f>CONCATENATE(LEFT(SP_ACQ_Lib[[#This Row],[Tax Parcel ID]],7),"_",SP_ACQ_Lib[[#This Row],[ACQ Document Type]])</f>
        <v>R059308_ROE Right-of-Entry Package</v>
      </c>
      <c r="V947" s="65" t="str">
        <f>INDEX(SP_AcqTract_DB[WCAD Tax Parcel ID],MATCH(SP_ACQ_Lib[[#This Row],[Acquisition Tract No.]],SP_AcqTract_DB[Acquisition Tract No.],0))</f>
        <v>R059308;#270</v>
      </c>
      <c r="W947" s="48" t="str">
        <f>INDEX(SP_TaxPar_DB[Acquisition Tract No.],MATCH(LEFT(SP_ACQ_Lib[[#This Row],[Tax Parcel ID]],7),SP_TaxPar_DB[Tax Parcel ID],0))</f>
        <v>T241</v>
      </c>
      <c r="X947" s="238" t="str">
        <f>IF(OR(SP_ACQ_Lib[[#This Row],[Acquisition Tract No.]]="",SP_ACQ_Lib[[#This Row],[ACQ Document Type]]=""),0,CONCATENATE("COW-FRMP_TR-",SP_ACQ_Lib[[#This Row],[Acquisition Tract No.]]," ",SP_ACQ_Lib[[#This Row],[ACQ Document Type]]))</f>
        <v>COW-FRMP_TR-T241 ROE Right-of-Entry Package</v>
      </c>
      <c r="Y947" s="239">
        <f>IF(OR(SP_ACQ_Lib[[#This Row],[File Name Convention]]=0,LEFT(SP_ACQ_Lib[[#This Row],[Name]],LEN(SP_ACQ_Lib[[#This Row],[File Name Convention]]))&lt;&gt;SP_ACQ_Lib[[#This Row],[File Name Convention]],ISERROR(SEARCH(SP_ACQ_Lib[[#This Row],[ACQ Document Type]],SP_ACQ_Lib[[#This Row],[Name]]))),1,0)</f>
        <v>0</v>
      </c>
    </row>
    <row r="948" spans="1:25" ht="15" x14ac:dyDescent="0.2">
      <c r="A948" s="157" t="str">
        <f>CONCATENATE(SP_ACQ_Lib[[#This Row],[Acquisition Tract No.]],"_",SP_ACQ_Lib[[#This Row],[ACQ Document Type]])</f>
        <v>T241_TITLE Tax Card</v>
      </c>
      <c r="B948" s="14" t="s">
        <v>5475</v>
      </c>
      <c r="C948" s="263" t="s">
        <v>5350</v>
      </c>
      <c r="D948" s="12" t="s">
        <v>3334</v>
      </c>
      <c r="E948" s="8" t="s">
        <v>861</v>
      </c>
      <c r="F948" s="8" t="s">
        <v>1150</v>
      </c>
      <c r="G948" s="8" t="s">
        <v>1149</v>
      </c>
      <c r="H948" s="7" t="s">
        <v>592</v>
      </c>
      <c r="I948" s="16"/>
      <c r="J948" s="16"/>
      <c r="K948" s="17"/>
      <c r="L948" s="3"/>
      <c r="M948" s="8" t="s">
        <v>4206</v>
      </c>
      <c r="N948" s="11">
        <v>43979.349120370367</v>
      </c>
      <c r="O948" s="8" t="s">
        <v>4206</v>
      </c>
      <c r="P948" s="11">
        <v>43971.422349537039</v>
      </c>
      <c r="Q948" s="13">
        <v>750885</v>
      </c>
      <c r="R948" s="264" t="s">
        <v>594</v>
      </c>
      <c r="S948" s="14" t="s">
        <v>5228</v>
      </c>
      <c r="T948" s="163">
        <v>1000</v>
      </c>
      <c r="U948" s="164" t="str">
        <f>CONCATENATE(LEFT(SP_ACQ_Lib[[#This Row],[Tax Parcel ID]],7),"_",SP_ACQ_Lib[[#This Row],[ACQ Document Type]])</f>
        <v>R059308_TITLE Tax Card</v>
      </c>
      <c r="V948" s="65" t="str">
        <f>INDEX(SP_AcqTract_DB[WCAD Tax Parcel ID],MATCH(SP_ACQ_Lib[[#This Row],[Acquisition Tract No.]],SP_AcqTract_DB[Acquisition Tract No.],0))</f>
        <v>R059308;#270</v>
      </c>
      <c r="W948" s="48" t="str">
        <f>INDEX(SP_TaxPar_DB[Acquisition Tract No.],MATCH(LEFT(SP_ACQ_Lib[[#This Row],[Tax Parcel ID]],7),SP_TaxPar_DB[Tax Parcel ID],0))</f>
        <v>T241</v>
      </c>
      <c r="X948" s="238" t="str">
        <f>IF(OR(SP_ACQ_Lib[[#This Row],[Acquisition Tract No.]]="",SP_ACQ_Lib[[#This Row],[ACQ Document Type]]=""),0,CONCATENATE("COW-FRMP_TR-",SP_ACQ_Lib[[#This Row],[Acquisition Tract No.]]," ",SP_ACQ_Lib[[#This Row],[ACQ Document Type]]))</f>
        <v>COW-FRMP_TR-T241 TITLE Tax Card</v>
      </c>
      <c r="Y948" s="239">
        <f>IF(OR(SP_ACQ_Lib[[#This Row],[File Name Convention]]=0,LEFT(SP_ACQ_Lib[[#This Row],[Name]],LEN(SP_ACQ_Lib[[#This Row],[File Name Convention]]))&lt;&gt;SP_ACQ_Lib[[#This Row],[File Name Convention]],ISERROR(SEARCH(SP_ACQ_Lib[[#This Row],[ACQ Document Type]],SP_ACQ_Lib[[#This Row],[Name]]))),1,0)</f>
        <v>0</v>
      </c>
    </row>
    <row r="949" spans="1:25" ht="15" x14ac:dyDescent="0.2">
      <c r="A949" s="157" t="str">
        <f>CONCATENATE(SP_ACQ_Lib[[#This Row],[Acquisition Tract No.]],"_",SP_ACQ_Lib[[#This Row],[ACQ Document Type]])</f>
        <v>T242_CONTACT Negotiator Report</v>
      </c>
      <c r="B949" s="14" t="s">
        <v>5832</v>
      </c>
      <c r="C949" s="263" t="s">
        <v>5352</v>
      </c>
      <c r="D949" s="12" t="s">
        <v>3335</v>
      </c>
      <c r="E949" s="8" t="s">
        <v>865</v>
      </c>
      <c r="F949" s="8" t="s">
        <v>1068</v>
      </c>
      <c r="G949" s="8" t="s">
        <v>1067</v>
      </c>
      <c r="H949" s="7" t="s">
        <v>592</v>
      </c>
      <c r="I949" s="16"/>
      <c r="J949" s="16"/>
      <c r="K949" s="17"/>
      <c r="L949" s="3"/>
      <c r="M949" s="8" t="s">
        <v>5648</v>
      </c>
      <c r="N949" s="11">
        <v>44007.881539351853</v>
      </c>
      <c r="O949" s="8" t="s">
        <v>5648</v>
      </c>
      <c r="P949" s="11">
        <v>43990.326053240744</v>
      </c>
      <c r="Q949" s="13">
        <v>39834</v>
      </c>
      <c r="R949" s="264" t="s">
        <v>594</v>
      </c>
      <c r="S949" s="14" t="s">
        <v>5841</v>
      </c>
      <c r="T949" s="163">
        <v>1151</v>
      </c>
      <c r="U949" s="164" t="str">
        <f>CONCATENATE(LEFT(SP_ACQ_Lib[[#This Row],[Tax Parcel ID]],7),"_",SP_ACQ_Lib[[#This Row],[ACQ Document Type]])</f>
        <v>R059447_CONTACT Negotiator Report</v>
      </c>
      <c r="V949" s="65" t="str">
        <f>INDEX(SP_AcqTract_DB[WCAD Tax Parcel ID],MATCH(SP_ACQ_Lib[[#This Row],[Acquisition Tract No.]],SP_AcqTract_DB[Acquisition Tract No.],0))</f>
        <v>R059447;#271</v>
      </c>
      <c r="W949" s="48" t="str">
        <f>INDEX(SP_TaxPar_DB[Acquisition Tract No.],MATCH(LEFT(SP_ACQ_Lib[[#This Row],[Tax Parcel ID]],7),SP_TaxPar_DB[Tax Parcel ID],0))</f>
        <v>T242</v>
      </c>
      <c r="X949" s="238" t="str">
        <f>IF(OR(SP_ACQ_Lib[[#This Row],[Acquisition Tract No.]]="",SP_ACQ_Lib[[#This Row],[ACQ Document Type]]=""),0,CONCATENATE("COW-FRMP_TR-",SP_ACQ_Lib[[#This Row],[Acquisition Tract No.]]," ",SP_ACQ_Lib[[#This Row],[ACQ Document Type]]))</f>
        <v>COW-FRMP_TR-T242 CONTACT Negotiator Report</v>
      </c>
      <c r="Y949" s="239">
        <f>IF(OR(SP_ACQ_Lib[[#This Row],[File Name Convention]]=0,LEFT(SP_ACQ_Lib[[#This Row],[Name]],LEN(SP_ACQ_Lib[[#This Row],[File Name Convention]]))&lt;&gt;SP_ACQ_Lib[[#This Row],[File Name Convention]],ISERROR(SEARCH(SP_ACQ_Lib[[#This Row],[ACQ Document Type]],SP_ACQ_Lib[[#This Row],[Name]]))),1,0)</f>
        <v>0</v>
      </c>
    </row>
    <row r="950" spans="1:25" ht="15" x14ac:dyDescent="0.2">
      <c r="A950" s="157" t="str">
        <f>CONCATENATE(SP_ACQ_Lib[[#This Row],[Acquisition Tract No.]],"_",SP_ACQ_Lib[[#This Row],[ACQ Document Type]])</f>
        <v>T242_ENVIRONMENTAL Right-of-Entry Executed</v>
      </c>
      <c r="B950" s="14" t="s">
        <v>5625</v>
      </c>
      <c r="C950" s="263" t="s">
        <v>5352</v>
      </c>
      <c r="D950" s="12" t="s">
        <v>3335</v>
      </c>
      <c r="E950" s="8" t="s">
        <v>2682</v>
      </c>
      <c r="F950" s="8" t="s">
        <v>2683</v>
      </c>
      <c r="G950" s="8" t="s">
        <v>2681</v>
      </c>
      <c r="H950" s="7" t="s">
        <v>592</v>
      </c>
      <c r="I950" s="16">
        <v>43871</v>
      </c>
      <c r="J950" s="16"/>
      <c r="K950" s="17"/>
      <c r="L950" s="3"/>
      <c r="M950" s="8" t="s">
        <v>4206</v>
      </c>
      <c r="N950" s="11">
        <v>43983.573634259257</v>
      </c>
      <c r="O950" s="8" t="s">
        <v>4206</v>
      </c>
      <c r="P950" s="11">
        <v>43971.422395833331</v>
      </c>
      <c r="Q950" s="13">
        <v>1804455</v>
      </c>
      <c r="R950" s="264" t="s">
        <v>594</v>
      </c>
      <c r="S950" s="14" t="s">
        <v>5230</v>
      </c>
      <c r="T950" s="163">
        <v>1002</v>
      </c>
      <c r="U950" s="164" t="str">
        <f>CONCATENATE(LEFT(SP_ACQ_Lib[[#This Row],[Tax Parcel ID]],7),"_",SP_ACQ_Lib[[#This Row],[ACQ Document Type]])</f>
        <v>R059447_ENVIRONMENTAL Right-of-Entry Executed</v>
      </c>
      <c r="V950" s="65" t="str">
        <f>INDEX(SP_AcqTract_DB[WCAD Tax Parcel ID],MATCH(SP_ACQ_Lib[[#This Row],[Acquisition Tract No.]],SP_AcqTract_DB[Acquisition Tract No.],0))</f>
        <v>R059447;#271</v>
      </c>
      <c r="W950" s="48" t="str">
        <f>INDEX(SP_TaxPar_DB[Acquisition Tract No.],MATCH(LEFT(SP_ACQ_Lib[[#This Row],[Tax Parcel ID]],7),SP_TaxPar_DB[Tax Parcel ID],0))</f>
        <v>T242</v>
      </c>
      <c r="X950" s="238" t="str">
        <f>IF(OR(SP_ACQ_Lib[[#This Row],[Acquisition Tract No.]]="",SP_ACQ_Lib[[#This Row],[ACQ Document Type]]=""),0,CONCATENATE("COW-FRMP_TR-",SP_ACQ_Lib[[#This Row],[Acquisition Tract No.]]," ",SP_ACQ_Lib[[#This Row],[ACQ Document Type]]))</f>
        <v>COW-FRMP_TR-T242 ENVIRONMENTAL Right-of-Entry Executed</v>
      </c>
      <c r="Y950" s="239">
        <f>IF(OR(SP_ACQ_Lib[[#This Row],[File Name Convention]]=0,LEFT(SP_ACQ_Lib[[#This Row],[Name]],LEN(SP_ACQ_Lib[[#This Row],[File Name Convention]]))&lt;&gt;SP_ACQ_Lib[[#This Row],[File Name Convention]],ISERROR(SEARCH(SP_ACQ_Lib[[#This Row],[ACQ Document Type]],SP_ACQ_Lib[[#This Row],[Name]]))),1,0)</f>
        <v>0</v>
      </c>
    </row>
    <row r="951" spans="1:25" ht="15" x14ac:dyDescent="0.2">
      <c r="A951" s="157" t="str">
        <f>CONCATENATE(SP_ACQ_Lib[[#This Row],[Acquisition Tract No.]],"_",SP_ACQ_Lib[[#This Row],[ACQ Document Type]])</f>
        <v>T242_ENVIRONMENTAL Right-of-Entry Package</v>
      </c>
      <c r="B951" s="14" t="s">
        <v>5626</v>
      </c>
      <c r="C951" s="263" t="s">
        <v>5352</v>
      </c>
      <c r="D951" s="12" t="s">
        <v>3335</v>
      </c>
      <c r="E951" s="8" t="s">
        <v>2682</v>
      </c>
      <c r="F951" s="8" t="s">
        <v>2687</v>
      </c>
      <c r="G951" s="8" t="s">
        <v>2686</v>
      </c>
      <c r="H951" s="7" t="s">
        <v>592</v>
      </c>
      <c r="I951" s="16">
        <v>43850</v>
      </c>
      <c r="J951" s="16">
        <v>43854</v>
      </c>
      <c r="K951" s="17"/>
      <c r="L951" s="3"/>
      <c r="M951" s="8" t="s">
        <v>4206</v>
      </c>
      <c r="N951" s="11">
        <v>43983.582731481481</v>
      </c>
      <c r="O951" s="8" t="s">
        <v>4206</v>
      </c>
      <c r="P951" s="11">
        <v>43971.422372685185</v>
      </c>
      <c r="Q951" s="13">
        <v>788203</v>
      </c>
      <c r="R951" s="264" t="s">
        <v>594</v>
      </c>
      <c r="S951" s="14" t="s">
        <v>5229</v>
      </c>
      <c r="T951" s="163">
        <v>1001</v>
      </c>
      <c r="U951" s="164" t="str">
        <f>CONCATENATE(LEFT(SP_ACQ_Lib[[#This Row],[Tax Parcel ID]],7),"_",SP_ACQ_Lib[[#This Row],[ACQ Document Type]])</f>
        <v>R059447_ENVIRONMENTAL Right-of-Entry Package</v>
      </c>
      <c r="V951" s="65" t="str">
        <f>INDEX(SP_AcqTract_DB[WCAD Tax Parcel ID],MATCH(SP_ACQ_Lib[[#This Row],[Acquisition Tract No.]],SP_AcqTract_DB[Acquisition Tract No.],0))</f>
        <v>R059447;#271</v>
      </c>
      <c r="W951" s="48" t="str">
        <f>INDEX(SP_TaxPar_DB[Acquisition Tract No.],MATCH(LEFT(SP_ACQ_Lib[[#This Row],[Tax Parcel ID]],7),SP_TaxPar_DB[Tax Parcel ID],0))</f>
        <v>T242</v>
      </c>
      <c r="X951" s="238" t="str">
        <f>IF(OR(SP_ACQ_Lib[[#This Row],[Acquisition Tract No.]]="",SP_ACQ_Lib[[#This Row],[ACQ Document Type]]=""),0,CONCATENATE("COW-FRMP_TR-",SP_ACQ_Lib[[#This Row],[Acquisition Tract No.]]," ",SP_ACQ_Lib[[#This Row],[ACQ Document Type]]))</f>
        <v>COW-FRMP_TR-T242 ENVIRONMENTAL Right-of-Entry Package</v>
      </c>
      <c r="Y951" s="239">
        <f>IF(OR(SP_ACQ_Lib[[#This Row],[File Name Convention]]=0,LEFT(SP_ACQ_Lib[[#This Row],[Name]],LEN(SP_ACQ_Lib[[#This Row],[File Name Convention]]))&lt;&gt;SP_ACQ_Lib[[#This Row],[File Name Convention]],ISERROR(SEARCH(SP_ACQ_Lib[[#This Row],[ACQ Document Type]],SP_ACQ_Lib[[#This Row],[Name]]))),1,0)</f>
        <v>0</v>
      </c>
    </row>
    <row r="952" spans="1:25" ht="15" x14ac:dyDescent="0.2">
      <c r="A952" s="157" t="str">
        <f>CONCATENATE(SP_ACQ_Lib[[#This Row],[Acquisition Tract No.]],"_",SP_ACQ_Lib[[#This Row],[ACQ Document Type]])</f>
        <v>T242_ROE Right-of-Entry Executed</v>
      </c>
      <c r="B952" s="14" t="s">
        <v>6351</v>
      </c>
      <c r="C952" s="263" t="s">
        <v>5352</v>
      </c>
      <c r="D952" s="12" t="s">
        <v>3335</v>
      </c>
      <c r="E952" s="8" t="s">
        <v>1146</v>
      </c>
      <c r="F952" s="8" t="s">
        <v>2683</v>
      </c>
      <c r="G952" s="8" t="s">
        <v>5660</v>
      </c>
      <c r="H952" s="7" t="s">
        <v>592</v>
      </c>
      <c r="I952" s="16">
        <v>44004</v>
      </c>
      <c r="J952" s="16">
        <v>44187</v>
      </c>
      <c r="K952" s="17"/>
      <c r="L952" s="3"/>
      <c r="M952" s="8" t="s">
        <v>4206</v>
      </c>
      <c r="N952" s="11">
        <v>44005.618391203701</v>
      </c>
      <c r="O952" s="8" t="s">
        <v>4206</v>
      </c>
      <c r="P952" s="11">
        <v>44005.613483796296</v>
      </c>
      <c r="Q952" s="13">
        <v>1545676</v>
      </c>
      <c r="R952" s="264" t="s">
        <v>594</v>
      </c>
      <c r="S952" s="14" t="s">
        <v>6420</v>
      </c>
      <c r="T952" s="163">
        <v>1282</v>
      </c>
      <c r="U952" s="164" t="str">
        <f>CONCATENATE(LEFT(SP_ACQ_Lib[[#This Row],[Tax Parcel ID]],7),"_",SP_ACQ_Lib[[#This Row],[ACQ Document Type]])</f>
        <v>R059447_ROE Right-of-Entry Executed</v>
      </c>
      <c r="V952" s="65" t="str">
        <f>INDEX(SP_AcqTract_DB[WCAD Tax Parcel ID],MATCH(SP_ACQ_Lib[[#This Row],[Acquisition Tract No.]],SP_AcqTract_DB[Acquisition Tract No.],0))</f>
        <v>R059447;#271</v>
      </c>
      <c r="W952" s="48" t="str">
        <f>INDEX(SP_TaxPar_DB[Acquisition Tract No.],MATCH(LEFT(SP_ACQ_Lib[[#This Row],[Tax Parcel ID]],7),SP_TaxPar_DB[Tax Parcel ID],0))</f>
        <v>T242</v>
      </c>
      <c r="X952" s="238" t="str">
        <f>IF(OR(SP_ACQ_Lib[[#This Row],[Acquisition Tract No.]]="",SP_ACQ_Lib[[#This Row],[ACQ Document Type]]=""),0,CONCATENATE("COW-FRMP_TR-",SP_ACQ_Lib[[#This Row],[Acquisition Tract No.]]," ",SP_ACQ_Lib[[#This Row],[ACQ Document Type]]))</f>
        <v>COW-FRMP_TR-T242 ROE Right-of-Entry Executed</v>
      </c>
      <c r="Y952" s="239">
        <f>IF(OR(SP_ACQ_Lib[[#This Row],[File Name Convention]]=0,LEFT(SP_ACQ_Lib[[#This Row],[Name]],LEN(SP_ACQ_Lib[[#This Row],[File Name Convention]]))&lt;&gt;SP_ACQ_Lib[[#This Row],[File Name Convention]],ISERROR(SEARCH(SP_ACQ_Lib[[#This Row],[ACQ Document Type]],SP_ACQ_Lib[[#This Row],[Name]]))),1,0)</f>
        <v>0</v>
      </c>
    </row>
    <row r="953" spans="1:25" ht="15" x14ac:dyDescent="0.2">
      <c r="A953" s="157" t="str">
        <f>CONCATENATE(SP_ACQ_Lib[[#This Row],[Acquisition Tract No.]],"_",SP_ACQ_Lib[[#This Row],[ACQ Document Type]])</f>
        <v>T242_ROE Right-of-Entry Package</v>
      </c>
      <c r="B953" s="14" t="s">
        <v>5780</v>
      </c>
      <c r="C953" s="263" t="s">
        <v>5352</v>
      </c>
      <c r="D953" s="12" t="s">
        <v>3335</v>
      </c>
      <c r="E953" s="8" t="s">
        <v>1146</v>
      </c>
      <c r="F953" s="8" t="s">
        <v>2687</v>
      </c>
      <c r="G953" s="8" t="s">
        <v>5659</v>
      </c>
      <c r="H953" s="7" t="s">
        <v>592</v>
      </c>
      <c r="I953" s="16">
        <v>43985</v>
      </c>
      <c r="J953" s="16"/>
      <c r="K953" s="17"/>
      <c r="L953" s="3"/>
      <c r="M953" s="8" t="s">
        <v>4206</v>
      </c>
      <c r="N953" s="11">
        <v>43986.581122685187</v>
      </c>
      <c r="O953" s="8" t="s">
        <v>4206</v>
      </c>
      <c r="P953" s="11">
        <v>43986.570439814815</v>
      </c>
      <c r="Q953" s="13">
        <v>1395626</v>
      </c>
      <c r="R953" s="264" t="s">
        <v>594</v>
      </c>
      <c r="S953" s="14" t="s">
        <v>5812</v>
      </c>
      <c r="T953" s="163">
        <v>1142</v>
      </c>
      <c r="U953" s="164" t="str">
        <f>CONCATENATE(LEFT(SP_ACQ_Lib[[#This Row],[Tax Parcel ID]],7),"_",SP_ACQ_Lib[[#This Row],[ACQ Document Type]])</f>
        <v>R059447_ROE Right-of-Entry Package</v>
      </c>
      <c r="V953" s="65" t="str">
        <f>INDEX(SP_AcqTract_DB[WCAD Tax Parcel ID],MATCH(SP_ACQ_Lib[[#This Row],[Acquisition Tract No.]],SP_AcqTract_DB[Acquisition Tract No.],0))</f>
        <v>R059447;#271</v>
      </c>
      <c r="W953" s="48" t="str">
        <f>INDEX(SP_TaxPar_DB[Acquisition Tract No.],MATCH(LEFT(SP_ACQ_Lib[[#This Row],[Tax Parcel ID]],7),SP_TaxPar_DB[Tax Parcel ID],0))</f>
        <v>T242</v>
      </c>
      <c r="X953" s="238" t="str">
        <f>IF(OR(SP_ACQ_Lib[[#This Row],[Acquisition Tract No.]]="",SP_ACQ_Lib[[#This Row],[ACQ Document Type]]=""),0,CONCATENATE("COW-FRMP_TR-",SP_ACQ_Lib[[#This Row],[Acquisition Tract No.]]," ",SP_ACQ_Lib[[#This Row],[ACQ Document Type]]))</f>
        <v>COW-FRMP_TR-T242 ROE Right-of-Entry Package</v>
      </c>
      <c r="Y953" s="239">
        <f>IF(OR(SP_ACQ_Lib[[#This Row],[File Name Convention]]=0,LEFT(SP_ACQ_Lib[[#This Row],[Name]],LEN(SP_ACQ_Lib[[#This Row],[File Name Convention]]))&lt;&gt;SP_ACQ_Lib[[#This Row],[File Name Convention]],ISERROR(SEARCH(SP_ACQ_Lib[[#This Row],[ACQ Document Type]],SP_ACQ_Lib[[#This Row],[Name]]))),1,0)</f>
        <v>0</v>
      </c>
    </row>
    <row r="954" spans="1:25" ht="15" x14ac:dyDescent="0.2">
      <c r="A954" s="157" t="str">
        <f>CONCATENATE(SP_ACQ_Lib[[#This Row],[Acquisition Tract No.]],"_",SP_ACQ_Lib[[#This Row],[ACQ Document Type]])</f>
        <v>T242_TITLE Tax Card</v>
      </c>
      <c r="B954" s="14" t="s">
        <v>5476</v>
      </c>
      <c r="C954" s="263" t="s">
        <v>5352</v>
      </c>
      <c r="D954" s="12" t="s">
        <v>3335</v>
      </c>
      <c r="E954" s="8" t="s">
        <v>861</v>
      </c>
      <c r="F954" s="8" t="s">
        <v>1150</v>
      </c>
      <c r="G954" s="8" t="s">
        <v>1149</v>
      </c>
      <c r="H954" s="7" t="s">
        <v>592</v>
      </c>
      <c r="I954" s="16"/>
      <c r="J954" s="16"/>
      <c r="K954" s="17"/>
      <c r="L954" s="3"/>
      <c r="M954" s="8" t="s">
        <v>4206</v>
      </c>
      <c r="N954" s="11">
        <v>43979.349120370367</v>
      </c>
      <c r="O954" s="8" t="s">
        <v>4206</v>
      </c>
      <c r="P954" s="11">
        <v>43971.422442129631</v>
      </c>
      <c r="Q954" s="13">
        <v>675611</v>
      </c>
      <c r="R954" s="264" t="s">
        <v>594</v>
      </c>
      <c r="S954" s="14" t="s">
        <v>5231</v>
      </c>
      <c r="T954" s="163">
        <v>1003</v>
      </c>
      <c r="U954" s="164" t="str">
        <f>CONCATENATE(LEFT(SP_ACQ_Lib[[#This Row],[Tax Parcel ID]],7),"_",SP_ACQ_Lib[[#This Row],[ACQ Document Type]])</f>
        <v>R059447_TITLE Tax Card</v>
      </c>
      <c r="V954" s="65" t="str">
        <f>INDEX(SP_AcqTract_DB[WCAD Tax Parcel ID],MATCH(SP_ACQ_Lib[[#This Row],[Acquisition Tract No.]],SP_AcqTract_DB[Acquisition Tract No.],0))</f>
        <v>R059447;#271</v>
      </c>
      <c r="W954" s="48" t="str">
        <f>INDEX(SP_TaxPar_DB[Acquisition Tract No.],MATCH(LEFT(SP_ACQ_Lib[[#This Row],[Tax Parcel ID]],7),SP_TaxPar_DB[Tax Parcel ID],0))</f>
        <v>T242</v>
      </c>
      <c r="X954" s="238" t="str">
        <f>IF(OR(SP_ACQ_Lib[[#This Row],[Acquisition Tract No.]]="",SP_ACQ_Lib[[#This Row],[ACQ Document Type]]=""),0,CONCATENATE("COW-FRMP_TR-",SP_ACQ_Lib[[#This Row],[Acquisition Tract No.]]," ",SP_ACQ_Lib[[#This Row],[ACQ Document Type]]))</f>
        <v>COW-FRMP_TR-T242 TITLE Tax Card</v>
      </c>
      <c r="Y954" s="239">
        <f>IF(OR(SP_ACQ_Lib[[#This Row],[File Name Convention]]=0,LEFT(SP_ACQ_Lib[[#This Row],[Name]],LEN(SP_ACQ_Lib[[#This Row],[File Name Convention]]))&lt;&gt;SP_ACQ_Lib[[#This Row],[File Name Convention]],ISERROR(SEARCH(SP_ACQ_Lib[[#This Row],[ACQ Document Type]],SP_ACQ_Lib[[#This Row],[Name]]))),1,0)</f>
        <v>0</v>
      </c>
    </row>
    <row r="955" spans="1:25" ht="15" x14ac:dyDescent="0.2">
      <c r="A955" s="157" t="str">
        <f>CONCATENATE(SP_ACQ_Lib[[#This Row],[Acquisition Tract No.]],"_",SP_ACQ_Lib[[#This Row],[ACQ Document Type]])</f>
        <v>T243_CONTACT Negotiator Report</v>
      </c>
      <c r="B955" s="14" t="s">
        <v>5833</v>
      </c>
      <c r="C955" s="263" t="s">
        <v>5354</v>
      </c>
      <c r="D955" s="12" t="s">
        <v>3336</v>
      </c>
      <c r="E955" s="8" t="s">
        <v>865</v>
      </c>
      <c r="F955" s="8" t="s">
        <v>1068</v>
      </c>
      <c r="G955" s="8" t="s">
        <v>1067</v>
      </c>
      <c r="H955" s="7" t="s">
        <v>592</v>
      </c>
      <c r="I955" s="16"/>
      <c r="J955" s="16"/>
      <c r="K955" s="17"/>
      <c r="L955" s="3"/>
      <c r="M955" s="8" t="s">
        <v>5648</v>
      </c>
      <c r="N955" s="11">
        <v>44022.625706018516</v>
      </c>
      <c r="O955" s="8" t="s">
        <v>5648</v>
      </c>
      <c r="P955" s="11">
        <v>43990.326053240744</v>
      </c>
      <c r="Q955" s="13">
        <v>40141</v>
      </c>
      <c r="R955" s="264" t="s">
        <v>594</v>
      </c>
      <c r="S955" s="14" t="s">
        <v>5842</v>
      </c>
      <c r="T955" s="163">
        <v>1152</v>
      </c>
      <c r="U955" s="164" t="str">
        <f>CONCATENATE(LEFT(SP_ACQ_Lib[[#This Row],[Tax Parcel ID]],7),"_",SP_ACQ_Lib[[#This Row],[ACQ Document Type]])</f>
        <v>R060210_CONTACT Negotiator Report</v>
      </c>
      <c r="V955" s="65" t="str">
        <f>INDEX(SP_AcqTract_DB[WCAD Tax Parcel ID],MATCH(SP_ACQ_Lib[[#This Row],[Acquisition Tract No.]],SP_AcqTract_DB[Acquisition Tract No.],0))</f>
        <v>R060210;#272</v>
      </c>
      <c r="W955" s="48" t="str">
        <f>INDEX(SP_TaxPar_DB[Acquisition Tract No.],MATCH(LEFT(SP_ACQ_Lib[[#This Row],[Tax Parcel ID]],7),SP_TaxPar_DB[Tax Parcel ID],0))</f>
        <v>T243</v>
      </c>
      <c r="X955" s="238" t="str">
        <f>IF(OR(SP_ACQ_Lib[[#This Row],[Acquisition Tract No.]]="",SP_ACQ_Lib[[#This Row],[ACQ Document Type]]=""),0,CONCATENATE("COW-FRMP_TR-",SP_ACQ_Lib[[#This Row],[Acquisition Tract No.]]," ",SP_ACQ_Lib[[#This Row],[ACQ Document Type]]))</f>
        <v>COW-FRMP_TR-T243 CONTACT Negotiator Report</v>
      </c>
      <c r="Y955" s="239">
        <f>IF(OR(SP_ACQ_Lib[[#This Row],[File Name Convention]]=0,LEFT(SP_ACQ_Lib[[#This Row],[Name]],LEN(SP_ACQ_Lib[[#This Row],[File Name Convention]]))&lt;&gt;SP_ACQ_Lib[[#This Row],[File Name Convention]],ISERROR(SEARCH(SP_ACQ_Lib[[#This Row],[ACQ Document Type]],SP_ACQ_Lib[[#This Row],[Name]]))),1,0)</f>
        <v>0</v>
      </c>
    </row>
    <row r="956" spans="1:25" ht="15" x14ac:dyDescent="0.2">
      <c r="A956" s="157" t="str">
        <f>CONCATENATE(SP_ACQ_Lib[[#This Row],[Acquisition Tract No.]],"_",SP_ACQ_Lib[[#This Row],[ACQ Document Type]])</f>
        <v>T243_ENVIRONMENTAL Right-of-Entry Package</v>
      </c>
      <c r="B956" s="14" t="s">
        <v>5627</v>
      </c>
      <c r="C956" s="263" t="s">
        <v>5354</v>
      </c>
      <c r="D956" s="12" t="s">
        <v>3336</v>
      </c>
      <c r="E956" s="8" t="s">
        <v>2682</v>
      </c>
      <c r="F956" s="8" t="s">
        <v>2687</v>
      </c>
      <c r="G956" s="8" t="s">
        <v>2686</v>
      </c>
      <c r="H956" s="7" t="s">
        <v>592</v>
      </c>
      <c r="I956" s="16">
        <v>43850</v>
      </c>
      <c r="J956" s="16">
        <v>43854</v>
      </c>
      <c r="K956" s="17"/>
      <c r="L956" s="3"/>
      <c r="M956" s="8" t="s">
        <v>4206</v>
      </c>
      <c r="N956" s="11">
        <v>43983.582777777781</v>
      </c>
      <c r="O956" s="8" t="s">
        <v>4206</v>
      </c>
      <c r="P956" s="11">
        <v>43979.392083333332</v>
      </c>
      <c r="Q956" s="13">
        <v>834628</v>
      </c>
      <c r="R956" s="264" t="s">
        <v>594</v>
      </c>
      <c r="S956" s="14" t="s">
        <v>5526</v>
      </c>
      <c r="T956" s="163">
        <v>1035</v>
      </c>
      <c r="U956" s="164" t="str">
        <f>CONCATENATE(LEFT(SP_ACQ_Lib[[#This Row],[Tax Parcel ID]],7),"_",SP_ACQ_Lib[[#This Row],[ACQ Document Type]])</f>
        <v>R060210_ENVIRONMENTAL Right-of-Entry Package</v>
      </c>
      <c r="V956" s="65" t="str">
        <f>INDEX(SP_AcqTract_DB[WCAD Tax Parcel ID],MATCH(SP_ACQ_Lib[[#This Row],[Acquisition Tract No.]],SP_AcqTract_DB[Acquisition Tract No.],0))</f>
        <v>R060210;#272</v>
      </c>
      <c r="W956" s="48" t="str">
        <f>INDEX(SP_TaxPar_DB[Acquisition Tract No.],MATCH(LEFT(SP_ACQ_Lib[[#This Row],[Tax Parcel ID]],7),SP_TaxPar_DB[Tax Parcel ID],0))</f>
        <v>T243</v>
      </c>
      <c r="X956" s="238" t="str">
        <f>IF(OR(SP_ACQ_Lib[[#This Row],[Acquisition Tract No.]]="",SP_ACQ_Lib[[#This Row],[ACQ Document Type]]=""),0,CONCATENATE("COW-FRMP_TR-",SP_ACQ_Lib[[#This Row],[Acquisition Tract No.]]," ",SP_ACQ_Lib[[#This Row],[ACQ Document Type]]))</f>
        <v>COW-FRMP_TR-T243 ENVIRONMENTAL Right-of-Entry Package</v>
      </c>
      <c r="Y956" s="239">
        <f>IF(OR(SP_ACQ_Lib[[#This Row],[File Name Convention]]=0,LEFT(SP_ACQ_Lib[[#This Row],[Name]],LEN(SP_ACQ_Lib[[#This Row],[File Name Convention]]))&lt;&gt;SP_ACQ_Lib[[#This Row],[File Name Convention]],ISERROR(SEARCH(SP_ACQ_Lib[[#This Row],[ACQ Document Type]],SP_ACQ_Lib[[#This Row],[Name]]))),1,0)</f>
        <v>0</v>
      </c>
    </row>
    <row r="957" spans="1:25" ht="15" x14ac:dyDescent="0.2">
      <c r="A957" s="157" t="str">
        <f>CONCATENATE(SP_ACQ_Lib[[#This Row],[Acquisition Tract No.]],"_",SP_ACQ_Lib[[#This Row],[ACQ Document Type]])</f>
        <v>T243_ROE Right-of-Entry Package</v>
      </c>
      <c r="B957" s="14" t="s">
        <v>5781</v>
      </c>
      <c r="C957" s="263" t="s">
        <v>5354</v>
      </c>
      <c r="D957" s="12" t="s">
        <v>3336</v>
      </c>
      <c r="E957" s="8" t="s">
        <v>1146</v>
      </c>
      <c r="F957" s="8" t="s">
        <v>2687</v>
      </c>
      <c r="G957" s="8" t="s">
        <v>5659</v>
      </c>
      <c r="H957" s="7" t="s">
        <v>592</v>
      </c>
      <c r="I957" s="16">
        <v>43985</v>
      </c>
      <c r="J957" s="16"/>
      <c r="K957" s="17"/>
      <c r="L957" s="3"/>
      <c r="M957" s="8" t="s">
        <v>4206</v>
      </c>
      <c r="N957" s="11">
        <v>43986.58148148148</v>
      </c>
      <c r="O957" s="8" t="s">
        <v>4206</v>
      </c>
      <c r="P957" s="11">
        <v>43986.570462962962</v>
      </c>
      <c r="Q957" s="13">
        <v>1488696</v>
      </c>
      <c r="R957" s="264" t="s">
        <v>594</v>
      </c>
      <c r="S957" s="14" t="s">
        <v>5813</v>
      </c>
      <c r="T957" s="163">
        <v>1143</v>
      </c>
      <c r="U957" s="164" t="str">
        <f>CONCATENATE(LEFT(SP_ACQ_Lib[[#This Row],[Tax Parcel ID]],7),"_",SP_ACQ_Lib[[#This Row],[ACQ Document Type]])</f>
        <v>R060210_ROE Right-of-Entry Package</v>
      </c>
      <c r="V957" s="65" t="str">
        <f>INDEX(SP_AcqTract_DB[WCAD Tax Parcel ID],MATCH(SP_ACQ_Lib[[#This Row],[Acquisition Tract No.]],SP_AcqTract_DB[Acquisition Tract No.],0))</f>
        <v>R060210;#272</v>
      </c>
      <c r="W957" s="48" t="str">
        <f>INDEX(SP_TaxPar_DB[Acquisition Tract No.],MATCH(LEFT(SP_ACQ_Lib[[#This Row],[Tax Parcel ID]],7),SP_TaxPar_DB[Tax Parcel ID],0))</f>
        <v>T243</v>
      </c>
      <c r="X957" s="238" t="str">
        <f>IF(OR(SP_ACQ_Lib[[#This Row],[Acquisition Tract No.]]="",SP_ACQ_Lib[[#This Row],[ACQ Document Type]]=""),0,CONCATENATE("COW-FRMP_TR-",SP_ACQ_Lib[[#This Row],[Acquisition Tract No.]]," ",SP_ACQ_Lib[[#This Row],[ACQ Document Type]]))</f>
        <v>COW-FRMP_TR-T243 ROE Right-of-Entry Package</v>
      </c>
      <c r="Y957" s="239">
        <f>IF(OR(SP_ACQ_Lib[[#This Row],[File Name Convention]]=0,LEFT(SP_ACQ_Lib[[#This Row],[Name]],LEN(SP_ACQ_Lib[[#This Row],[File Name Convention]]))&lt;&gt;SP_ACQ_Lib[[#This Row],[File Name Convention]],ISERROR(SEARCH(SP_ACQ_Lib[[#This Row],[ACQ Document Type]],SP_ACQ_Lib[[#This Row],[Name]]))),1,0)</f>
        <v>0</v>
      </c>
    </row>
    <row r="958" spans="1:25" ht="15" x14ac:dyDescent="0.2">
      <c r="A958" s="157" t="str">
        <f>CONCATENATE(SP_ACQ_Lib[[#This Row],[Acquisition Tract No.]],"_",SP_ACQ_Lib[[#This Row],[ACQ Document Type]])</f>
        <v>T243_TITLE Tax Card</v>
      </c>
      <c r="B958" s="14" t="s">
        <v>5477</v>
      </c>
      <c r="C958" s="263" t="s">
        <v>5354</v>
      </c>
      <c r="D958" s="12" t="s">
        <v>3336</v>
      </c>
      <c r="E958" s="8" t="s">
        <v>861</v>
      </c>
      <c r="F958" s="8" t="s">
        <v>1150</v>
      </c>
      <c r="G958" s="8" t="s">
        <v>1149</v>
      </c>
      <c r="H958" s="7" t="s">
        <v>592</v>
      </c>
      <c r="I958" s="16"/>
      <c r="J958" s="16"/>
      <c r="K958" s="17"/>
      <c r="L958" s="3"/>
      <c r="M958" s="8" t="s">
        <v>4206</v>
      </c>
      <c r="N958" s="11">
        <v>43979.417650462965</v>
      </c>
      <c r="O958" s="8" t="s">
        <v>4206</v>
      </c>
      <c r="P958" s="11">
        <v>43979.392106481479</v>
      </c>
      <c r="Q958" s="13">
        <v>722356</v>
      </c>
      <c r="R958" s="264" t="s">
        <v>594</v>
      </c>
      <c r="S958" s="14" t="s">
        <v>5527</v>
      </c>
      <c r="T958" s="163">
        <v>1036</v>
      </c>
      <c r="U958" s="164" t="str">
        <f>CONCATENATE(LEFT(SP_ACQ_Lib[[#This Row],[Tax Parcel ID]],7),"_",SP_ACQ_Lib[[#This Row],[ACQ Document Type]])</f>
        <v>R060210_TITLE Tax Card</v>
      </c>
      <c r="V958" s="65" t="str">
        <f>INDEX(SP_AcqTract_DB[WCAD Tax Parcel ID],MATCH(SP_ACQ_Lib[[#This Row],[Acquisition Tract No.]],SP_AcqTract_DB[Acquisition Tract No.],0))</f>
        <v>R060210;#272</v>
      </c>
      <c r="W958" s="48" t="str">
        <f>INDEX(SP_TaxPar_DB[Acquisition Tract No.],MATCH(LEFT(SP_ACQ_Lib[[#This Row],[Tax Parcel ID]],7),SP_TaxPar_DB[Tax Parcel ID],0))</f>
        <v>T243</v>
      </c>
      <c r="X958" s="238" t="str">
        <f>IF(OR(SP_ACQ_Lib[[#This Row],[Acquisition Tract No.]]="",SP_ACQ_Lib[[#This Row],[ACQ Document Type]]=""),0,CONCATENATE("COW-FRMP_TR-",SP_ACQ_Lib[[#This Row],[Acquisition Tract No.]]," ",SP_ACQ_Lib[[#This Row],[ACQ Document Type]]))</f>
        <v>COW-FRMP_TR-T243 TITLE Tax Card</v>
      </c>
      <c r="Y958" s="239">
        <f>IF(OR(SP_ACQ_Lib[[#This Row],[File Name Convention]]=0,LEFT(SP_ACQ_Lib[[#This Row],[Name]],LEN(SP_ACQ_Lib[[#This Row],[File Name Convention]]))&lt;&gt;SP_ACQ_Lib[[#This Row],[File Name Convention]],ISERROR(SEARCH(SP_ACQ_Lib[[#This Row],[ACQ Document Type]],SP_ACQ_Lib[[#This Row],[Name]]))),1,0)</f>
        <v>0</v>
      </c>
    </row>
    <row r="959" spans="1:25" ht="15" x14ac:dyDescent="0.2">
      <c r="A959" s="157" t="str">
        <f>CONCATENATE(SP_ACQ_Lib[[#This Row],[Acquisition Tract No.]],"_",SP_ACQ_Lib[[#This Row],[ACQ Document Type]])</f>
        <v>T253_ENVIRONMENTAL Right-of-Entry Package</v>
      </c>
      <c r="B959" s="14" t="s">
        <v>5628</v>
      </c>
      <c r="C959" s="263" t="s">
        <v>5356</v>
      </c>
      <c r="D959" s="12" t="s">
        <v>3347</v>
      </c>
      <c r="E959" s="8" t="s">
        <v>2682</v>
      </c>
      <c r="F959" s="8" t="s">
        <v>2687</v>
      </c>
      <c r="G959" s="8" t="s">
        <v>2686</v>
      </c>
      <c r="H959" s="7" t="s">
        <v>592</v>
      </c>
      <c r="I959" s="16">
        <v>43850</v>
      </c>
      <c r="J959" s="16">
        <v>43860</v>
      </c>
      <c r="K959" s="17"/>
      <c r="L959" s="3"/>
      <c r="M959" s="8" t="s">
        <v>4206</v>
      </c>
      <c r="N959" s="11">
        <v>43983.582777777781</v>
      </c>
      <c r="O959" s="8" t="s">
        <v>4206</v>
      </c>
      <c r="P959" s="11">
        <v>43971.419386574074</v>
      </c>
      <c r="Q959" s="13">
        <v>1011736</v>
      </c>
      <c r="R959" s="264" t="s">
        <v>594</v>
      </c>
      <c r="S959" s="14" t="s">
        <v>5134</v>
      </c>
      <c r="T959" s="163">
        <v>881</v>
      </c>
      <c r="U959" s="164" t="str">
        <f>CONCATENATE(LEFT(SP_ACQ_Lib[[#This Row],[Tax Parcel ID]],7),"_",SP_ACQ_Lib[[#This Row],[ACQ Document Type]])</f>
        <v>R068966_ENVIRONMENTAL Right-of-Entry Package</v>
      </c>
      <c r="V959" s="65" t="str">
        <f>INDEX(SP_AcqTract_DB[WCAD Tax Parcel ID],MATCH(SP_ACQ_Lib[[#This Row],[Acquisition Tract No.]],SP_AcqTract_DB[Acquisition Tract No.],0))</f>
        <v>R068966;#275</v>
      </c>
      <c r="W959" s="48" t="str">
        <f>INDEX(SP_TaxPar_DB[Acquisition Tract No.],MATCH(LEFT(SP_ACQ_Lib[[#This Row],[Tax Parcel ID]],7),SP_TaxPar_DB[Tax Parcel ID],0))</f>
        <v>T253</v>
      </c>
      <c r="X959" s="238" t="str">
        <f>IF(OR(SP_ACQ_Lib[[#This Row],[Acquisition Tract No.]]="",SP_ACQ_Lib[[#This Row],[ACQ Document Type]]=""),0,CONCATENATE("COW-FRMP_TR-",SP_ACQ_Lib[[#This Row],[Acquisition Tract No.]]," ",SP_ACQ_Lib[[#This Row],[ACQ Document Type]]))</f>
        <v>COW-FRMP_TR-T253 ENVIRONMENTAL Right-of-Entry Package</v>
      </c>
      <c r="Y959" s="239">
        <f>IF(OR(SP_ACQ_Lib[[#This Row],[File Name Convention]]=0,LEFT(SP_ACQ_Lib[[#This Row],[Name]],LEN(SP_ACQ_Lib[[#This Row],[File Name Convention]]))&lt;&gt;SP_ACQ_Lib[[#This Row],[File Name Convention]],ISERROR(SEARCH(SP_ACQ_Lib[[#This Row],[ACQ Document Type]],SP_ACQ_Lib[[#This Row],[Name]]))),1,0)</f>
        <v>0</v>
      </c>
    </row>
    <row r="960" spans="1:25" ht="15" x14ac:dyDescent="0.2">
      <c r="A960" s="157" t="str">
        <f>CONCATENATE(SP_ACQ_Lib[[#This Row],[Acquisition Tract No.]],"_",SP_ACQ_Lib[[#This Row],[ACQ Document Type]])</f>
        <v>T253_TITLE Tax Card</v>
      </c>
      <c r="B960" s="14" t="s">
        <v>5478</v>
      </c>
      <c r="C960" s="263" t="s">
        <v>5356</v>
      </c>
      <c r="D960" s="12" t="s">
        <v>3347</v>
      </c>
      <c r="E960" s="8" t="s">
        <v>861</v>
      </c>
      <c r="F960" s="8" t="s">
        <v>1150</v>
      </c>
      <c r="G960" s="8" t="s">
        <v>1149</v>
      </c>
      <c r="H960" s="7" t="s">
        <v>592</v>
      </c>
      <c r="I960" s="16"/>
      <c r="J960" s="16"/>
      <c r="K960" s="17"/>
      <c r="L960" s="3"/>
      <c r="M960" s="8" t="s">
        <v>4206</v>
      </c>
      <c r="N960" s="11">
        <v>43979.349120370367</v>
      </c>
      <c r="O960" s="8" t="s">
        <v>4206</v>
      </c>
      <c r="P960" s="11">
        <v>43971.419421296298</v>
      </c>
      <c r="Q960" s="13">
        <v>902015</v>
      </c>
      <c r="R960" s="264" t="s">
        <v>594</v>
      </c>
      <c r="S960" s="14" t="s">
        <v>5135</v>
      </c>
      <c r="T960" s="163">
        <v>882</v>
      </c>
      <c r="U960" s="164" t="str">
        <f>CONCATENATE(LEFT(SP_ACQ_Lib[[#This Row],[Tax Parcel ID]],7),"_",SP_ACQ_Lib[[#This Row],[ACQ Document Type]])</f>
        <v>R068966_TITLE Tax Card</v>
      </c>
      <c r="V960" s="65" t="str">
        <f>INDEX(SP_AcqTract_DB[WCAD Tax Parcel ID],MATCH(SP_ACQ_Lib[[#This Row],[Acquisition Tract No.]],SP_AcqTract_DB[Acquisition Tract No.],0))</f>
        <v>R068966;#275</v>
      </c>
      <c r="W960" s="48" t="str">
        <f>INDEX(SP_TaxPar_DB[Acquisition Tract No.],MATCH(LEFT(SP_ACQ_Lib[[#This Row],[Tax Parcel ID]],7),SP_TaxPar_DB[Tax Parcel ID],0))</f>
        <v>T253</v>
      </c>
      <c r="X960" s="238" t="str">
        <f>IF(OR(SP_ACQ_Lib[[#This Row],[Acquisition Tract No.]]="",SP_ACQ_Lib[[#This Row],[ACQ Document Type]]=""),0,CONCATENATE("COW-FRMP_TR-",SP_ACQ_Lib[[#This Row],[Acquisition Tract No.]]," ",SP_ACQ_Lib[[#This Row],[ACQ Document Type]]))</f>
        <v>COW-FRMP_TR-T253 TITLE Tax Card</v>
      </c>
      <c r="Y960" s="239">
        <f>IF(OR(SP_ACQ_Lib[[#This Row],[File Name Convention]]=0,LEFT(SP_ACQ_Lib[[#This Row],[Name]],LEN(SP_ACQ_Lib[[#This Row],[File Name Convention]]))&lt;&gt;SP_ACQ_Lib[[#This Row],[File Name Convention]],ISERROR(SEARCH(SP_ACQ_Lib[[#This Row],[ACQ Document Type]],SP_ACQ_Lib[[#This Row],[Name]]))),1,0)</f>
        <v>0</v>
      </c>
    </row>
    <row r="961" spans="1:25" ht="15" x14ac:dyDescent="0.2">
      <c r="A961" s="157" t="str">
        <f>CONCATENATE(SP_ACQ_Lib[[#This Row],[Acquisition Tract No.]],"_",SP_ACQ_Lib[[#This Row],[ACQ Document Type]])</f>
        <v>T254_ENVIRONMENTAL Right-of-Entry Executed</v>
      </c>
      <c r="B961" s="14" t="s">
        <v>5629</v>
      </c>
      <c r="C961" s="263" t="s">
        <v>5358</v>
      </c>
      <c r="D961" s="12" t="s">
        <v>603</v>
      </c>
      <c r="E961" s="8" t="s">
        <v>2682</v>
      </c>
      <c r="F961" s="8" t="s">
        <v>2683</v>
      </c>
      <c r="G961" s="8" t="s">
        <v>2681</v>
      </c>
      <c r="H961" s="7" t="s">
        <v>592</v>
      </c>
      <c r="I961" s="16">
        <v>43747</v>
      </c>
      <c r="J961" s="16">
        <v>44167</v>
      </c>
      <c r="K961" s="17"/>
      <c r="L961" s="3" t="s">
        <v>5910</v>
      </c>
      <c r="M961" s="8" t="s">
        <v>4205</v>
      </c>
      <c r="N961" s="11">
        <v>43992.632245370369</v>
      </c>
      <c r="O961" s="8" t="s">
        <v>4206</v>
      </c>
      <c r="P961" s="11">
        <v>43971.419502314813</v>
      </c>
      <c r="Q961" s="13">
        <v>1549050</v>
      </c>
      <c r="R961" s="264" t="s">
        <v>594</v>
      </c>
      <c r="S961" s="14" t="s">
        <v>5137</v>
      </c>
      <c r="T961" s="163">
        <v>884</v>
      </c>
      <c r="U961" s="164" t="str">
        <f>CONCATENATE(LEFT(SP_ACQ_Lib[[#This Row],[Tax Parcel ID]],7),"_",SP_ACQ_Lib[[#This Row],[ACQ Document Type]])</f>
        <v>R070099_ENVIRONMENTAL Right-of-Entry Executed</v>
      </c>
      <c r="V961" s="65" t="str">
        <f>INDEX(SP_AcqTract_DB[WCAD Tax Parcel ID],MATCH(SP_ACQ_Lib[[#This Row],[Acquisition Tract No.]],SP_AcqTract_DB[Acquisition Tract No.],0))</f>
        <v>R070099;#78</v>
      </c>
      <c r="W961" s="48" t="str">
        <f>INDEX(SP_TaxPar_DB[Acquisition Tract No.],MATCH(LEFT(SP_ACQ_Lib[[#This Row],[Tax Parcel ID]],7),SP_TaxPar_DB[Tax Parcel ID],0))</f>
        <v>T254</v>
      </c>
      <c r="X961" s="238" t="str">
        <f>IF(OR(SP_ACQ_Lib[[#This Row],[Acquisition Tract No.]]="",SP_ACQ_Lib[[#This Row],[ACQ Document Type]]=""),0,CONCATENATE("COW-FRMP_TR-",SP_ACQ_Lib[[#This Row],[Acquisition Tract No.]]," ",SP_ACQ_Lib[[#This Row],[ACQ Document Type]]))</f>
        <v>COW-FRMP_TR-T254 ENVIRONMENTAL Right-of-Entry Executed</v>
      </c>
      <c r="Y961" s="239">
        <f>IF(OR(SP_ACQ_Lib[[#This Row],[File Name Convention]]=0,LEFT(SP_ACQ_Lib[[#This Row],[Name]],LEN(SP_ACQ_Lib[[#This Row],[File Name Convention]]))&lt;&gt;SP_ACQ_Lib[[#This Row],[File Name Convention]],ISERROR(SEARCH(SP_ACQ_Lib[[#This Row],[ACQ Document Type]],SP_ACQ_Lib[[#This Row],[Name]]))),1,0)</f>
        <v>0</v>
      </c>
    </row>
    <row r="962" spans="1:25" ht="15" x14ac:dyDescent="0.2">
      <c r="A962" s="157" t="str">
        <f>CONCATENATE(SP_ACQ_Lib[[#This Row],[Acquisition Tract No.]],"_",SP_ACQ_Lib[[#This Row],[ACQ Document Type]])</f>
        <v>T254_ENVIRONMENTAL Right-of-Entry Package</v>
      </c>
      <c r="B962" s="14" t="s">
        <v>5630</v>
      </c>
      <c r="C962" s="263" t="s">
        <v>5358</v>
      </c>
      <c r="D962" s="12" t="s">
        <v>603</v>
      </c>
      <c r="E962" s="8" t="s">
        <v>2682</v>
      </c>
      <c r="F962" s="8" t="s">
        <v>2687</v>
      </c>
      <c r="G962" s="8" t="s">
        <v>2686</v>
      </c>
      <c r="H962" s="7" t="s">
        <v>592</v>
      </c>
      <c r="I962" s="16">
        <v>43697</v>
      </c>
      <c r="J962" s="16">
        <v>43701</v>
      </c>
      <c r="K962" s="17"/>
      <c r="L962" s="3"/>
      <c r="M962" s="8" t="s">
        <v>4206</v>
      </c>
      <c r="N962" s="11">
        <v>43983.582777777781</v>
      </c>
      <c r="O962" s="8" t="s">
        <v>4206</v>
      </c>
      <c r="P962" s="11">
        <v>43971.419490740744</v>
      </c>
      <c r="Q962" s="13">
        <v>184461</v>
      </c>
      <c r="R962" s="264" t="s">
        <v>594</v>
      </c>
      <c r="S962" s="14" t="s">
        <v>5136</v>
      </c>
      <c r="T962" s="163">
        <v>883</v>
      </c>
      <c r="U962" s="164" t="str">
        <f>CONCATENATE(LEFT(SP_ACQ_Lib[[#This Row],[Tax Parcel ID]],7),"_",SP_ACQ_Lib[[#This Row],[ACQ Document Type]])</f>
        <v>R070099_ENVIRONMENTAL Right-of-Entry Package</v>
      </c>
      <c r="V962" s="65" t="str">
        <f>INDEX(SP_AcqTract_DB[WCAD Tax Parcel ID],MATCH(SP_ACQ_Lib[[#This Row],[Acquisition Tract No.]],SP_AcqTract_DB[Acquisition Tract No.],0))</f>
        <v>R070099;#78</v>
      </c>
      <c r="W962" s="48" t="str">
        <f>INDEX(SP_TaxPar_DB[Acquisition Tract No.],MATCH(LEFT(SP_ACQ_Lib[[#This Row],[Tax Parcel ID]],7),SP_TaxPar_DB[Tax Parcel ID],0))</f>
        <v>T254</v>
      </c>
      <c r="X962" s="238" t="str">
        <f>IF(OR(SP_ACQ_Lib[[#This Row],[Acquisition Tract No.]]="",SP_ACQ_Lib[[#This Row],[ACQ Document Type]]=""),0,CONCATENATE("COW-FRMP_TR-",SP_ACQ_Lib[[#This Row],[Acquisition Tract No.]]," ",SP_ACQ_Lib[[#This Row],[ACQ Document Type]]))</f>
        <v>COW-FRMP_TR-T254 ENVIRONMENTAL Right-of-Entry Package</v>
      </c>
      <c r="Y962" s="239">
        <f>IF(OR(SP_ACQ_Lib[[#This Row],[File Name Convention]]=0,LEFT(SP_ACQ_Lib[[#This Row],[Name]],LEN(SP_ACQ_Lib[[#This Row],[File Name Convention]]))&lt;&gt;SP_ACQ_Lib[[#This Row],[File Name Convention]],ISERROR(SEARCH(SP_ACQ_Lib[[#This Row],[ACQ Document Type]],SP_ACQ_Lib[[#This Row],[Name]]))),1,0)</f>
        <v>0</v>
      </c>
    </row>
    <row r="963" spans="1:25" ht="15" x14ac:dyDescent="0.2">
      <c r="A963" s="157" t="str">
        <f>CONCATENATE(SP_ACQ_Lib[[#This Row],[Acquisition Tract No.]],"_",SP_ACQ_Lib[[#This Row],[ACQ Document Type]])</f>
        <v>T254_ROE Right-of-Entry Executed</v>
      </c>
      <c r="B963" s="14" t="s">
        <v>6352</v>
      </c>
      <c r="C963" s="263" t="s">
        <v>5358</v>
      </c>
      <c r="D963" s="12" t="s">
        <v>603</v>
      </c>
      <c r="E963" s="8" t="s">
        <v>1146</v>
      </c>
      <c r="F963" s="8" t="s">
        <v>2683</v>
      </c>
      <c r="G963" s="8" t="s">
        <v>5660</v>
      </c>
      <c r="H963" s="7" t="s">
        <v>592</v>
      </c>
      <c r="I963" s="16">
        <v>43741</v>
      </c>
      <c r="J963" s="16">
        <v>44168</v>
      </c>
      <c r="K963" s="17"/>
      <c r="L963" s="3"/>
      <c r="M963" s="8" t="s">
        <v>4206</v>
      </c>
      <c r="N963" s="11">
        <v>44004.440613425926</v>
      </c>
      <c r="O963" s="8" t="s">
        <v>4206</v>
      </c>
      <c r="P963" s="11">
        <v>44004.430902777778</v>
      </c>
      <c r="Q963" s="13">
        <v>1549645</v>
      </c>
      <c r="R963" s="264" t="s">
        <v>594</v>
      </c>
      <c r="S963" s="14" t="s">
        <v>6421</v>
      </c>
      <c r="T963" s="163">
        <v>1244</v>
      </c>
      <c r="U963" s="164" t="str">
        <f>CONCATENATE(LEFT(SP_ACQ_Lib[[#This Row],[Tax Parcel ID]],7),"_",SP_ACQ_Lib[[#This Row],[ACQ Document Type]])</f>
        <v>R070099_ROE Right-of-Entry Executed</v>
      </c>
      <c r="V963" s="65" t="str">
        <f>INDEX(SP_AcqTract_DB[WCAD Tax Parcel ID],MATCH(SP_ACQ_Lib[[#This Row],[Acquisition Tract No.]],SP_AcqTract_DB[Acquisition Tract No.],0))</f>
        <v>R070099;#78</v>
      </c>
      <c r="W963" s="48" t="str">
        <f>INDEX(SP_TaxPar_DB[Acquisition Tract No.],MATCH(LEFT(SP_ACQ_Lib[[#This Row],[Tax Parcel ID]],7),SP_TaxPar_DB[Tax Parcel ID],0))</f>
        <v>T254</v>
      </c>
      <c r="X963" s="238" t="str">
        <f>IF(OR(SP_ACQ_Lib[[#This Row],[Acquisition Tract No.]]="",SP_ACQ_Lib[[#This Row],[ACQ Document Type]]=""),0,CONCATENATE("COW-FRMP_TR-",SP_ACQ_Lib[[#This Row],[Acquisition Tract No.]]," ",SP_ACQ_Lib[[#This Row],[ACQ Document Type]]))</f>
        <v>COW-FRMP_TR-T254 ROE Right-of-Entry Executed</v>
      </c>
      <c r="Y963" s="239">
        <f>IF(OR(SP_ACQ_Lib[[#This Row],[File Name Convention]]=0,LEFT(SP_ACQ_Lib[[#This Row],[Name]],LEN(SP_ACQ_Lib[[#This Row],[File Name Convention]]))&lt;&gt;SP_ACQ_Lib[[#This Row],[File Name Convention]],ISERROR(SEARCH(SP_ACQ_Lib[[#This Row],[ACQ Document Type]],SP_ACQ_Lib[[#This Row],[Name]]))),1,0)</f>
        <v>0</v>
      </c>
    </row>
    <row r="964" spans="1:25" ht="15" x14ac:dyDescent="0.2">
      <c r="A964" s="157" t="str">
        <f>CONCATENATE(SP_ACQ_Lib[[#This Row],[Acquisition Tract No.]],"_",SP_ACQ_Lib[[#This Row],[ACQ Document Type]])</f>
        <v>T254_TITLE Tax Card</v>
      </c>
      <c r="B964" s="14" t="s">
        <v>5479</v>
      </c>
      <c r="C964" s="263" t="s">
        <v>5358</v>
      </c>
      <c r="D964" s="12" t="s">
        <v>603</v>
      </c>
      <c r="E964" s="8" t="s">
        <v>861</v>
      </c>
      <c r="F964" s="8" t="s">
        <v>1150</v>
      </c>
      <c r="G964" s="8" t="s">
        <v>1149</v>
      </c>
      <c r="H964" s="7" t="s">
        <v>592</v>
      </c>
      <c r="I964" s="16"/>
      <c r="J964" s="16"/>
      <c r="K964" s="17"/>
      <c r="L964" s="3"/>
      <c r="M964" s="8" t="s">
        <v>4206</v>
      </c>
      <c r="N964" s="11">
        <v>43979.349120370367</v>
      </c>
      <c r="O964" s="8" t="s">
        <v>4206</v>
      </c>
      <c r="P964" s="11">
        <v>43971.419571759259</v>
      </c>
      <c r="Q964" s="13">
        <v>746879</v>
      </c>
      <c r="R964" s="264" t="s">
        <v>594</v>
      </c>
      <c r="S964" s="14" t="s">
        <v>5138</v>
      </c>
      <c r="T964" s="163">
        <v>885</v>
      </c>
      <c r="U964" s="164" t="str">
        <f>CONCATENATE(LEFT(SP_ACQ_Lib[[#This Row],[Tax Parcel ID]],7),"_",SP_ACQ_Lib[[#This Row],[ACQ Document Type]])</f>
        <v>R070099_TITLE Tax Card</v>
      </c>
      <c r="V964" s="65" t="str">
        <f>INDEX(SP_AcqTract_DB[WCAD Tax Parcel ID],MATCH(SP_ACQ_Lib[[#This Row],[Acquisition Tract No.]],SP_AcqTract_DB[Acquisition Tract No.],0))</f>
        <v>R070099;#78</v>
      </c>
      <c r="W964" s="48" t="str">
        <f>INDEX(SP_TaxPar_DB[Acquisition Tract No.],MATCH(LEFT(SP_ACQ_Lib[[#This Row],[Tax Parcel ID]],7),SP_TaxPar_DB[Tax Parcel ID],0))</f>
        <v>T254</v>
      </c>
      <c r="X964" s="238" t="str">
        <f>IF(OR(SP_ACQ_Lib[[#This Row],[Acquisition Tract No.]]="",SP_ACQ_Lib[[#This Row],[ACQ Document Type]]=""),0,CONCATENATE("COW-FRMP_TR-",SP_ACQ_Lib[[#This Row],[Acquisition Tract No.]]," ",SP_ACQ_Lib[[#This Row],[ACQ Document Type]]))</f>
        <v>COW-FRMP_TR-T254 TITLE Tax Card</v>
      </c>
      <c r="Y964" s="239">
        <f>IF(OR(SP_ACQ_Lib[[#This Row],[File Name Convention]]=0,LEFT(SP_ACQ_Lib[[#This Row],[Name]],LEN(SP_ACQ_Lib[[#This Row],[File Name Convention]]))&lt;&gt;SP_ACQ_Lib[[#This Row],[File Name Convention]],ISERROR(SEARCH(SP_ACQ_Lib[[#This Row],[ACQ Document Type]],SP_ACQ_Lib[[#This Row],[Name]]))),1,0)</f>
        <v>0</v>
      </c>
    </row>
    <row r="965" spans="1:25" ht="15" x14ac:dyDescent="0.2">
      <c r="A965" s="157" t="str">
        <f>CONCATENATE(SP_ACQ_Lib[[#This Row],[Acquisition Tract No.]],"_",SP_ACQ_Lib[[#This Row],[ACQ Document Type]])</f>
        <v>T256_ENVIRONMENTAL Right-of-Entry Executed</v>
      </c>
      <c r="B965" s="14" t="s">
        <v>5631</v>
      </c>
      <c r="C965" s="263" t="s">
        <v>5256</v>
      </c>
      <c r="D965" s="12" t="s">
        <v>602</v>
      </c>
      <c r="E965" s="8" t="s">
        <v>2682</v>
      </c>
      <c r="F965" s="8" t="s">
        <v>2683</v>
      </c>
      <c r="G965" s="8" t="s">
        <v>2681</v>
      </c>
      <c r="H965" s="7" t="s">
        <v>592</v>
      </c>
      <c r="I965" s="16">
        <v>43886</v>
      </c>
      <c r="J965" s="16"/>
      <c r="K965" s="17"/>
      <c r="L965" s="3"/>
      <c r="M965" s="8" t="s">
        <v>4206</v>
      </c>
      <c r="N965" s="11">
        <v>43983.574016203704</v>
      </c>
      <c r="O965" s="8" t="s">
        <v>4206</v>
      </c>
      <c r="P965" s="11">
        <v>43971.419606481482</v>
      </c>
      <c r="Q965" s="13">
        <v>2803188</v>
      </c>
      <c r="R965" s="264" t="s">
        <v>594</v>
      </c>
      <c r="S965" s="14" t="s">
        <v>5140</v>
      </c>
      <c r="T965" s="163">
        <v>887</v>
      </c>
      <c r="U965" s="164" t="str">
        <f>CONCATENATE(LEFT(SP_ACQ_Lib[[#This Row],[Tax Parcel ID]],7),"_",SP_ACQ_Lib[[#This Row],[ACQ Document Type]])</f>
        <v>R070101_ENVIRONMENTAL Right-of-Entry Executed</v>
      </c>
      <c r="V965" s="65" t="str">
        <f>INDEX(SP_AcqTract_DB[WCAD Tax Parcel ID],MATCH(SP_ACQ_Lib[[#This Row],[Acquisition Tract No.]],SP_AcqTract_DB[Acquisition Tract No.],0))</f>
        <v>R070101;#80</v>
      </c>
      <c r="W965" s="48" t="str">
        <f>INDEX(SP_TaxPar_DB[Acquisition Tract No.],MATCH(LEFT(SP_ACQ_Lib[[#This Row],[Tax Parcel ID]],7),SP_TaxPar_DB[Tax Parcel ID],0))</f>
        <v>T256</v>
      </c>
      <c r="X965" s="238" t="str">
        <f>IF(OR(SP_ACQ_Lib[[#This Row],[Acquisition Tract No.]]="",SP_ACQ_Lib[[#This Row],[ACQ Document Type]]=""),0,CONCATENATE("COW-FRMP_TR-",SP_ACQ_Lib[[#This Row],[Acquisition Tract No.]]," ",SP_ACQ_Lib[[#This Row],[ACQ Document Type]]))</f>
        <v>COW-FRMP_TR-T256 ENVIRONMENTAL Right-of-Entry Executed</v>
      </c>
      <c r="Y965" s="239">
        <f>IF(OR(SP_ACQ_Lib[[#This Row],[File Name Convention]]=0,LEFT(SP_ACQ_Lib[[#This Row],[Name]],LEN(SP_ACQ_Lib[[#This Row],[File Name Convention]]))&lt;&gt;SP_ACQ_Lib[[#This Row],[File Name Convention]],ISERROR(SEARCH(SP_ACQ_Lib[[#This Row],[ACQ Document Type]],SP_ACQ_Lib[[#This Row],[Name]]))),1,0)</f>
        <v>0</v>
      </c>
    </row>
    <row r="966" spans="1:25" ht="15" x14ac:dyDescent="0.2">
      <c r="A966" s="157" t="str">
        <f>CONCATENATE(SP_ACQ_Lib[[#This Row],[Acquisition Tract No.]],"_",SP_ACQ_Lib[[#This Row],[ACQ Document Type]])</f>
        <v>T256_ENVIRONMENTAL Right-of-Entry Package</v>
      </c>
      <c r="B966" s="14" t="s">
        <v>5632</v>
      </c>
      <c r="C966" s="263" t="s">
        <v>5256</v>
      </c>
      <c r="D966" s="12" t="s">
        <v>602</v>
      </c>
      <c r="E966" s="8" t="s">
        <v>2682</v>
      </c>
      <c r="F966" s="8" t="s">
        <v>2687</v>
      </c>
      <c r="G966" s="8" t="s">
        <v>2686</v>
      </c>
      <c r="H966" s="7" t="s">
        <v>592</v>
      </c>
      <c r="I966" s="16"/>
      <c r="J966" s="16"/>
      <c r="K966" s="17"/>
      <c r="L966" s="3" t="s">
        <v>3514</v>
      </c>
      <c r="M966" s="8" t="s">
        <v>4206</v>
      </c>
      <c r="N966" s="11">
        <v>43983.582777777781</v>
      </c>
      <c r="O966" s="8" t="s">
        <v>4325</v>
      </c>
      <c r="P966" s="11">
        <v>43699.461643518516</v>
      </c>
      <c r="Q966" s="13">
        <v>270559</v>
      </c>
      <c r="R966" s="264" t="s">
        <v>594</v>
      </c>
      <c r="S966" s="14" t="s">
        <v>688</v>
      </c>
      <c r="T966" s="163">
        <v>129</v>
      </c>
      <c r="U966" s="164" t="str">
        <f>CONCATENATE(LEFT(SP_ACQ_Lib[[#This Row],[Tax Parcel ID]],7),"_",SP_ACQ_Lib[[#This Row],[ACQ Document Type]])</f>
        <v>R070101_ENVIRONMENTAL Right-of-Entry Package</v>
      </c>
      <c r="V966" s="65" t="str">
        <f>INDEX(SP_AcqTract_DB[WCAD Tax Parcel ID],MATCH(SP_ACQ_Lib[[#This Row],[Acquisition Tract No.]],SP_AcqTract_DB[Acquisition Tract No.],0))</f>
        <v>R070101;#80</v>
      </c>
      <c r="W966" s="48" t="str">
        <f>INDEX(SP_TaxPar_DB[Acquisition Tract No.],MATCH(LEFT(SP_ACQ_Lib[[#This Row],[Tax Parcel ID]],7),SP_TaxPar_DB[Tax Parcel ID],0))</f>
        <v>T256</v>
      </c>
      <c r="X966" s="238" t="str">
        <f>IF(OR(SP_ACQ_Lib[[#This Row],[Acquisition Tract No.]]="",SP_ACQ_Lib[[#This Row],[ACQ Document Type]]=""),0,CONCATENATE("COW-FRMP_TR-",SP_ACQ_Lib[[#This Row],[Acquisition Tract No.]]," ",SP_ACQ_Lib[[#This Row],[ACQ Document Type]]))</f>
        <v>COW-FRMP_TR-T256 ENVIRONMENTAL Right-of-Entry Package</v>
      </c>
      <c r="Y966" s="239">
        <f>IF(OR(SP_ACQ_Lib[[#This Row],[File Name Convention]]=0,LEFT(SP_ACQ_Lib[[#This Row],[Name]],LEN(SP_ACQ_Lib[[#This Row],[File Name Convention]]))&lt;&gt;SP_ACQ_Lib[[#This Row],[File Name Convention]],ISERROR(SEARCH(SP_ACQ_Lib[[#This Row],[ACQ Document Type]],SP_ACQ_Lib[[#This Row],[Name]]))),1,0)</f>
        <v>0</v>
      </c>
    </row>
    <row r="967" spans="1:25" ht="15" x14ac:dyDescent="0.2">
      <c r="A967" s="157" t="str">
        <f>CONCATENATE(SP_ACQ_Lib[[#This Row],[Acquisition Tract No.]],"_",SP_ACQ_Lib[[#This Row],[ACQ Document Type]])</f>
        <v>T256_NEGOTIATION Owner Representation Letter</v>
      </c>
      <c r="B967" s="14" t="s">
        <v>5480</v>
      </c>
      <c r="C967" s="263" t="s">
        <v>5256</v>
      </c>
      <c r="D967" s="12" t="s">
        <v>602</v>
      </c>
      <c r="E967" s="8" t="s">
        <v>1142</v>
      </c>
      <c r="F967" s="8" t="s">
        <v>1404</v>
      </c>
      <c r="G967" s="8" t="s">
        <v>1403</v>
      </c>
      <c r="H967" s="7" t="s">
        <v>592</v>
      </c>
      <c r="I967" s="16">
        <v>43815</v>
      </c>
      <c r="J967" s="16"/>
      <c r="K967" s="17"/>
      <c r="L967" s="3" t="s">
        <v>3567</v>
      </c>
      <c r="M967" s="8" t="s">
        <v>4206</v>
      </c>
      <c r="N967" s="11">
        <v>43979.362928240742</v>
      </c>
      <c r="O967" s="8" t="s">
        <v>4206</v>
      </c>
      <c r="P967" s="11">
        <v>43971.419606481482</v>
      </c>
      <c r="Q967" s="13">
        <v>101614</v>
      </c>
      <c r="R967" s="264" t="s">
        <v>594</v>
      </c>
      <c r="S967" s="14" t="s">
        <v>5139</v>
      </c>
      <c r="T967" s="163">
        <v>886</v>
      </c>
      <c r="U967" s="164" t="str">
        <f>CONCATENATE(LEFT(SP_ACQ_Lib[[#This Row],[Tax Parcel ID]],7),"_",SP_ACQ_Lib[[#This Row],[ACQ Document Type]])</f>
        <v>R070101_NEGOTIATION Owner Representation Letter</v>
      </c>
      <c r="V967" s="65" t="str">
        <f>INDEX(SP_AcqTract_DB[WCAD Tax Parcel ID],MATCH(SP_ACQ_Lib[[#This Row],[Acquisition Tract No.]],SP_AcqTract_DB[Acquisition Tract No.],0))</f>
        <v>R070101;#80</v>
      </c>
      <c r="W967" s="48" t="str">
        <f>INDEX(SP_TaxPar_DB[Acquisition Tract No.],MATCH(LEFT(SP_ACQ_Lib[[#This Row],[Tax Parcel ID]],7),SP_TaxPar_DB[Tax Parcel ID],0))</f>
        <v>T256</v>
      </c>
      <c r="X967" s="238" t="str">
        <f>IF(OR(SP_ACQ_Lib[[#This Row],[Acquisition Tract No.]]="",SP_ACQ_Lib[[#This Row],[ACQ Document Type]]=""),0,CONCATENATE("COW-FRMP_TR-",SP_ACQ_Lib[[#This Row],[Acquisition Tract No.]]," ",SP_ACQ_Lib[[#This Row],[ACQ Document Type]]))</f>
        <v>COW-FRMP_TR-T256 NEGOTIATION Owner Representation Letter</v>
      </c>
      <c r="Y967" s="239">
        <f>IF(OR(SP_ACQ_Lib[[#This Row],[File Name Convention]]=0,LEFT(SP_ACQ_Lib[[#This Row],[Name]],LEN(SP_ACQ_Lib[[#This Row],[File Name Convention]]))&lt;&gt;SP_ACQ_Lib[[#This Row],[File Name Convention]],ISERROR(SEARCH(SP_ACQ_Lib[[#This Row],[ACQ Document Type]],SP_ACQ_Lib[[#This Row],[Name]]))),1,0)</f>
        <v>0</v>
      </c>
    </row>
    <row r="968" spans="1:25" ht="15" x14ac:dyDescent="0.2">
      <c r="A968" s="157" t="str">
        <f>CONCATENATE(SP_ACQ_Lib[[#This Row],[Acquisition Tract No.]],"_",SP_ACQ_Lib[[#This Row],[ACQ Document Type]])</f>
        <v>T256_ROE Right-of-Entry Executed</v>
      </c>
      <c r="B968" s="14" t="s">
        <v>6545</v>
      </c>
      <c r="C968" s="263" t="s">
        <v>5256</v>
      </c>
      <c r="D968" s="12" t="s">
        <v>602</v>
      </c>
      <c r="E968" s="8" t="s">
        <v>1146</v>
      </c>
      <c r="F968" s="8" t="s">
        <v>2683</v>
      </c>
      <c r="G968" s="8" t="s">
        <v>5660</v>
      </c>
      <c r="H968" s="7" t="s">
        <v>592</v>
      </c>
      <c r="I968" s="16">
        <v>43517</v>
      </c>
      <c r="J968" s="16">
        <v>44248</v>
      </c>
      <c r="K968" s="17"/>
      <c r="L968" s="3"/>
      <c r="M968" s="8" t="s">
        <v>4206</v>
      </c>
      <c r="N968" s="11">
        <v>44013.754976851851</v>
      </c>
      <c r="O968" s="8" t="s">
        <v>4206</v>
      </c>
      <c r="P968" s="11">
        <v>44013.752881944441</v>
      </c>
      <c r="Q968" s="13">
        <v>2803188</v>
      </c>
      <c r="R968" s="264" t="s">
        <v>594</v>
      </c>
      <c r="S968" s="14" t="s">
        <v>6609</v>
      </c>
      <c r="T968" s="163">
        <v>1328</v>
      </c>
      <c r="U968" s="164" t="str">
        <f>CONCATENATE(LEFT(SP_ACQ_Lib[[#This Row],[Tax Parcel ID]],7),"_",SP_ACQ_Lib[[#This Row],[ACQ Document Type]])</f>
        <v>R070101_ROE Right-of-Entry Executed</v>
      </c>
      <c r="V968" s="65" t="str">
        <f>INDEX(SP_AcqTract_DB[WCAD Tax Parcel ID],MATCH(SP_ACQ_Lib[[#This Row],[Acquisition Tract No.]],SP_AcqTract_DB[Acquisition Tract No.],0))</f>
        <v>R070101;#80</v>
      </c>
      <c r="W968" s="48" t="str">
        <f>INDEX(SP_TaxPar_DB[Acquisition Tract No.],MATCH(LEFT(SP_ACQ_Lib[[#This Row],[Tax Parcel ID]],7),SP_TaxPar_DB[Tax Parcel ID],0))</f>
        <v>T256</v>
      </c>
      <c r="X968" s="238" t="str">
        <f>IF(OR(SP_ACQ_Lib[[#This Row],[Acquisition Tract No.]]="",SP_ACQ_Lib[[#This Row],[ACQ Document Type]]=""),0,CONCATENATE("COW-FRMP_TR-",SP_ACQ_Lib[[#This Row],[Acquisition Tract No.]]," ",SP_ACQ_Lib[[#This Row],[ACQ Document Type]]))</f>
        <v>COW-FRMP_TR-T256 ROE Right-of-Entry Executed</v>
      </c>
      <c r="Y968" s="239">
        <f>IF(OR(SP_ACQ_Lib[[#This Row],[File Name Convention]]=0,LEFT(SP_ACQ_Lib[[#This Row],[Name]],LEN(SP_ACQ_Lib[[#This Row],[File Name Convention]]))&lt;&gt;SP_ACQ_Lib[[#This Row],[File Name Convention]],ISERROR(SEARCH(SP_ACQ_Lib[[#This Row],[ACQ Document Type]],SP_ACQ_Lib[[#This Row],[Name]]))),1,0)</f>
        <v>0</v>
      </c>
    </row>
    <row r="969" spans="1:25" ht="15" x14ac:dyDescent="0.2">
      <c r="A969" s="157" t="str">
        <f>CONCATENATE(SP_ACQ_Lib[[#This Row],[Acquisition Tract No.]],"_",SP_ACQ_Lib[[#This Row],[ACQ Document Type]])</f>
        <v>T256_TITLE Tax Card</v>
      </c>
      <c r="B969" s="14" t="s">
        <v>5481</v>
      </c>
      <c r="C969" s="263" t="s">
        <v>5256</v>
      </c>
      <c r="D969" s="12" t="s">
        <v>602</v>
      </c>
      <c r="E969" s="8" t="s">
        <v>861</v>
      </c>
      <c r="F969" s="8" t="s">
        <v>1150</v>
      </c>
      <c r="G969" s="8" t="s">
        <v>1149</v>
      </c>
      <c r="H969" s="7" t="s">
        <v>592</v>
      </c>
      <c r="I969" s="16"/>
      <c r="J969" s="16"/>
      <c r="K969" s="17"/>
      <c r="L969" s="3"/>
      <c r="M969" s="8" t="s">
        <v>4206</v>
      </c>
      <c r="N969" s="11">
        <v>43979.349282407406</v>
      </c>
      <c r="O969" s="8" t="s">
        <v>4206</v>
      </c>
      <c r="P969" s="11">
        <v>43971.419687499998</v>
      </c>
      <c r="Q969" s="13">
        <v>629989</v>
      </c>
      <c r="R969" s="264" t="s">
        <v>594</v>
      </c>
      <c r="S969" s="14" t="s">
        <v>5141</v>
      </c>
      <c r="T969" s="163">
        <v>888</v>
      </c>
      <c r="U969" s="164" t="str">
        <f>CONCATENATE(LEFT(SP_ACQ_Lib[[#This Row],[Tax Parcel ID]],7),"_",SP_ACQ_Lib[[#This Row],[ACQ Document Type]])</f>
        <v>R070101_TITLE Tax Card</v>
      </c>
      <c r="V969" s="65" t="str">
        <f>INDEX(SP_AcqTract_DB[WCAD Tax Parcel ID],MATCH(SP_ACQ_Lib[[#This Row],[Acquisition Tract No.]],SP_AcqTract_DB[Acquisition Tract No.],0))</f>
        <v>R070101;#80</v>
      </c>
      <c r="W969" s="48" t="str">
        <f>INDEX(SP_TaxPar_DB[Acquisition Tract No.],MATCH(LEFT(SP_ACQ_Lib[[#This Row],[Tax Parcel ID]],7),SP_TaxPar_DB[Tax Parcel ID],0))</f>
        <v>T256</v>
      </c>
      <c r="X969" s="238" t="str">
        <f>IF(OR(SP_ACQ_Lib[[#This Row],[Acquisition Tract No.]]="",SP_ACQ_Lib[[#This Row],[ACQ Document Type]]=""),0,CONCATENATE("COW-FRMP_TR-",SP_ACQ_Lib[[#This Row],[Acquisition Tract No.]]," ",SP_ACQ_Lib[[#This Row],[ACQ Document Type]]))</f>
        <v>COW-FRMP_TR-T256 TITLE Tax Card</v>
      </c>
      <c r="Y969" s="239">
        <f>IF(OR(SP_ACQ_Lib[[#This Row],[File Name Convention]]=0,LEFT(SP_ACQ_Lib[[#This Row],[Name]],LEN(SP_ACQ_Lib[[#This Row],[File Name Convention]]))&lt;&gt;SP_ACQ_Lib[[#This Row],[File Name Convention]],ISERROR(SEARCH(SP_ACQ_Lib[[#This Row],[ACQ Document Type]],SP_ACQ_Lib[[#This Row],[Name]]))),1,0)</f>
        <v>0</v>
      </c>
    </row>
    <row r="970" spans="1:25" ht="15" x14ac:dyDescent="0.2">
      <c r="A970" s="157" t="str">
        <f>CONCATENATE(SP_ACQ_Lib[[#This Row],[Acquisition Tract No.]],"_",SP_ACQ_Lib[[#This Row],[ACQ Document Type]])</f>
        <v>T259_CONTACT Negotiator Report</v>
      </c>
      <c r="B970" s="14" t="s">
        <v>5834</v>
      </c>
      <c r="C970" s="263" t="s">
        <v>5361</v>
      </c>
      <c r="D970" s="12" t="s">
        <v>3353</v>
      </c>
      <c r="E970" s="8" t="s">
        <v>865</v>
      </c>
      <c r="F970" s="8" t="s">
        <v>1068</v>
      </c>
      <c r="G970" s="8" t="s">
        <v>1067</v>
      </c>
      <c r="H970" s="7" t="s">
        <v>592</v>
      </c>
      <c r="I970" s="16"/>
      <c r="J970" s="16"/>
      <c r="K970" s="17"/>
      <c r="L970" s="3"/>
      <c r="M970" s="8" t="s">
        <v>5648</v>
      </c>
      <c r="N970" s="11">
        <v>44007.880729166667</v>
      </c>
      <c r="O970" s="8" t="s">
        <v>5648</v>
      </c>
      <c r="P970" s="11">
        <v>43990.326053240744</v>
      </c>
      <c r="Q970" s="13">
        <v>39399</v>
      </c>
      <c r="R970" s="264" t="s">
        <v>594</v>
      </c>
      <c r="S970" s="14" t="s">
        <v>5843</v>
      </c>
      <c r="T970" s="163">
        <v>1153</v>
      </c>
      <c r="U970" s="164" t="str">
        <f>CONCATENATE(LEFT(SP_ACQ_Lib[[#This Row],[Tax Parcel ID]],7),"_",SP_ACQ_Lib[[#This Row],[ACQ Document Type]])</f>
        <v>R072725_CONTACT Negotiator Report</v>
      </c>
      <c r="V970" s="65" t="str">
        <f>INDEX(SP_AcqTract_DB[WCAD Tax Parcel ID],MATCH(SP_ACQ_Lib[[#This Row],[Acquisition Tract No.]],SP_AcqTract_DB[Acquisition Tract No.],0))</f>
        <v>R072725;#279</v>
      </c>
      <c r="W970" s="48" t="str">
        <f>INDEX(SP_TaxPar_DB[Acquisition Tract No.],MATCH(LEFT(SP_ACQ_Lib[[#This Row],[Tax Parcel ID]],7),SP_TaxPar_DB[Tax Parcel ID],0))</f>
        <v>T259</v>
      </c>
      <c r="X970" s="238" t="str">
        <f>IF(OR(SP_ACQ_Lib[[#This Row],[Acquisition Tract No.]]="",SP_ACQ_Lib[[#This Row],[ACQ Document Type]]=""),0,CONCATENATE("COW-FRMP_TR-",SP_ACQ_Lib[[#This Row],[Acquisition Tract No.]]," ",SP_ACQ_Lib[[#This Row],[ACQ Document Type]]))</f>
        <v>COW-FRMP_TR-T259 CONTACT Negotiator Report</v>
      </c>
      <c r="Y970" s="239">
        <f>IF(OR(SP_ACQ_Lib[[#This Row],[File Name Convention]]=0,LEFT(SP_ACQ_Lib[[#This Row],[Name]],LEN(SP_ACQ_Lib[[#This Row],[File Name Convention]]))&lt;&gt;SP_ACQ_Lib[[#This Row],[File Name Convention]],ISERROR(SEARCH(SP_ACQ_Lib[[#This Row],[ACQ Document Type]],SP_ACQ_Lib[[#This Row],[Name]]))),1,0)</f>
        <v>0</v>
      </c>
    </row>
    <row r="971" spans="1:25" ht="15" x14ac:dyDescent="0.2">
      <c r="A971" s="157" t="str">
        <f>CONCATENATE(SP_ACQ_Lib[[#This Row],[Acquisition Tract No.]],"_",SP_ACQ_Lib[[#This Row],[ACQ Document Type]])</f>
        <v>T259_ENVIRONMENTAL Right-of-Entry Executed</v>
      </c>
      <c r="B971" s="14" t="s">
        <v>5633</v>
      </c>
      <c r="C971" s="263" t="s">
        <v>5361</v>
      </c>
      <c r="D971" s="12" t="s">
        <v>3353</v>
      </c>
      <c r="E971" s="8" t="s">
        <v>2682</v>
      </c>
      <c r="F971" s="8" t="s">
        <v>2683</v>
      </c>
      <c r="G971" s="8" t="s">
        <v>2681</v>
      </c>
      <c r="H971" s="7" t="s">
        <v>592</v>
      </c>
      <c r="I971" s="16">
        <v>43871</v>
      </c>
      <c r="J971" s="16"/>
      <c r="K971" s="17"/>
      <c r="L971" s="3"/>
      <c r="M971" s="8" t="s">
        <v>4206</v>
      </c>
      <c r="N971" s="11">
        <v>43983.574201388888</v>
      </c>
      <c r="O971" s="8" t="s">
        <v>4206</v>
      </c>
      <c r="P971" s="11">
        <v>43971.419733796298</v>
      </c>
      <c r="Q971" s="13">
        <v>1820505</v>
      </c>
      <c r="R971" s="264" t="s">
        <v>594</v>
      </c>
      <c r="S971" s="14" t="s">
        <v>5143</v>
      </c>
      <c r="T971" s="163">
        <v>890</v>
      </c>
      <c r="U971" s="164" t="str">
        <f>CONCATENATE(LEFT(SP_ACQ_Lib[[#This Row],[Tax Parcel ID]],7),"_",SP_ACQ_Lib[[#This Row],[ACQ Document Type]])</f>
        <v>R072725_ENVIRONMENTAL Right-of-Entry Executed</v>
      </c>
      <c r="V971" s="65" t="str">
        <f>INDEX(SP_AcqTract_DB[WCAD Tax Parcel ID],MATCH(SP_ACQ_Lib[[#This Row],[Acquisition Tract No.]],SP_AcqTract_DB[Acquisition Tract No.],0))</f>
        <v>R072725;#279</v>
      </c>
      <c r="W971" s="48" t="str">
        <f>INDEX(SP_TaxPar_DB[Acquisition Tract No.],MATCH(LEFT(SP_ACQ_Lib[[#This Row],[Tax Parcel ID]],7),SP_TaxPar_DB[Tax Parcel ID],0))</f>
        <v>T259</v>
      </c>
      <c r="X971" s="238" t="str">
        <f>IF(OR(SP_ACQ_Lib[[#This Row],[Acquisition Tract No.]]="",SP_ACQ_Lib[[#This Row],[ACQ Document Type]]=""),0,CONCATENATE("COW-FRMP_TR-",SP_ACQ_Lib[[#This Row],[Acquisition Tract No.]]," ",SP_ACQ_Lib[[#This Row],[ACQ Document Type]]))</f>
        <v>COW-FRMP_TR-T259 ENVIRONMENTAL Right-of-Entry Executed</v>
      </c>
      <c r="Y971" s="239">
        <f>IF(OR(SP_ACQ_Lib[[#This Row],[File Name Convention]]=0,LEFT(SP_ACQ_Lib[[#This Row],[Name]],LEN(SP_ACQ_Lib[[#This Row],[File Name Convention]]))&lt;&gt;SP_ACQ_Lib[[#This Row],[File Name Convention]],ISERROR(SEARCH(SP_ACQ_Lib[[#This Row],[ACQ Document Type]],SP_ACQ_Lib[[#This Row],[Name]]))),1,0)</f>
        <v>0</v>
      </c>
    </row>
    <row r="972" spans="1:25" ht="15" x14ac:dyDescent="0.2">
      <c r="A972" s="157" t="str">
        <f>CONCATENATE(SP_ACQ_Lib[[#This Row],[Acquisition Tract No.]],"_",SP_ACQ_Lib[[#This Row],[ACQ Document Type]])</f>
        <v>T259_ENVIRONMENTAL Right-of-Entry Package</v>
      </c>
      <c r="B972" s="14" t="s">
        <v>5634</v>
      </c>
      <c r="C972" s="263" t="s">
        <v>5361</v>
      </c>
      <c r="D972" s="12" t="s">
        <v>3353</v>
      </c>
      <c r="E972" s="8" t="s">
        <v>2682</v>
      </c>
      <c r="F972" s="8" t="s">
        <v>2687</v>
      </c>
      <c r="G972" s="8" t="s">
        <v>2686</v>
      </c>
      <c r="H972" s="7" t="s">
        <v>592</v>
      </c>
      <c r="I972" s="16">
        <v>43848</v>
      </c>
      <c r="J972" s="16">
        <v>43854</v>
      </c>
      <c r="K972" s="17"/>
      <c r="L972" s="3"/>
      <c r="M972" s="8" t="s">
        <v>4206</v>
      </c>
      <c r="N972" s="11">
        <v>43983.582777777781</v>
      </c>
      <c r="O972" s="8" t="s">
        <v>4206</v>
      </c>
      <c r="P972" s="11">
        <v>43971.419710648152</v>
      </c>
      <c r="Q972" s="13">
        <v>851160</v>
      </c>
      <c r="R972" s="264" t="s">
        <v>594</v>
      </c>
      <c r="S972" s="14" t="s">
        <v>5142</v>
      </c>
      <c r="T972" s="163">
        <v>889</v>
      </c>
      <c r="U972" s="164" t="str">
        <f>CONCATENATE(LEFT(SP_ACQ_Lib[[#This Row],[Tax Parcel ID]],7),"_",SP_ACQ_Lib[[#This Row],[ACQ Document Type]])</f>
        <v>R072725_ENVIRONMENTAL Right-of-Entry Package</v>
      </c>
      <c r="V972" s="65" t="str">
        <f>INDEX(SP_AcqTract_DB[WCAD Tax Parcel ID],MATCH(SP_ACQ_Lib[[#This Row],[Acquisition Tract No.]],SP_AcqTract_DB[Acquisition Tract No.],0))</f>
        <v>R072725;#279</v>
      </c>
      <c r="W972" s="48" t="str">
        <f>INDEX(SP_TaxPar_DB[Acquisition Tract No.],MATCH(LEFT(SP_ACQ_Lib[[#This Row],[Tax Parcel ID]],7),SP_TaxPar_DB[Tax Parcel ID],0))</f>
        <v>T259</v>
      </c>
      <c r="X972" s="238" t="str">
        <f>IF(OR(SP_ACQ_Lib[[#This Row],[Acquisition Tract No.]]="",SP_ACQ_Lib[[#This Row],[ACQ Document Type]]=""),0,CONCATENATE("COW-FRMP_TR-",SP_ACQ_Lib[[#This Row],[Acquisition Tract No.]]," ",SP_ACQ_Lib[[#This Row],[ACQ Document Type]]))</f>
        <v>COW-FRMP_TR-T259 ENVIRONMENTAL Right-of-Entry Package</v>
      </c>
      <c r="Y972" s="239">
        <f>IF(OR(SP_ACQ_Lib[[#This Row],[File Name Convention]]=0,LEFT(SP_ACQ_Lib[[#This Row],[Name]],LEN(SP_ACQ_Lib[[#This Row],[File Name Convention]]))&lt;&gt;SP_ACQ_Lib[[#This Row],[File Name Convention]],ISERROR(SEARCH(SP_ACQ_Lib[[#This Row],[ACQ Document Type]],SP_ACQ_Lib[[#This Row],[Name]]))),1,0)</f>
        <v>0</v>
      </c>
    </row>
    <row r="973" spans="1:25" ht="15" x14ac:dyDescent="0.2">
      <c r="A973" s="157" t="str">
        <f>CONCATENATE(SP_ACQ_Lib[[#This Row],[Acquisition Tract No.]],"_",SP_ACQ_Lib[[#This Row],[ACQ Document Type]])</f>
        <v>T259_ROE Right-of-Entry Executed</v>
      </c>
      <c r="B973" s="14" t="s">
        <v>6353</v>
      </c>
      <c r="C973" s="263" t="s">
        <v>5361</v>
      </c>
      <c r="D973" s="12" t="s">
        <v>3353</v>
      </c>
      <c r="E973" s="8" t="s">
        <v>1146</v>
      </c>
      <c r="F973" s="8" t="s">
        <v>2683</v>
      </c>
      <c r="G973" s="8" t="s">
        <v>5660</v>
      </c>
      <c r="H973" s="7" t="s">
        <v>592</v>
      </c>
      <c r="I973" s="16">
        <v>44004</v>
      </c>
      <c r="J973" s="16">
        <v>44187</v>
      </c>
      <c r="K973" s="17"/>
      <c r="L973" s="3"/>
      <c r="M973" s="8" t="s">
        <v>4206</v>
      </c>
      <c r="N973" s="11">
        <v>44005.618923611109</v>
      </c>
      <c r="O973" s="8" t="s">
        <v>4206</v>
      </c>
      <c r="P973" s="11">
        <v>44005.613506944443</v>
      </c>
      <c r="Q973" s="13">
        <v>1546369</v>
      </c>
      <c r="R973" s="264" t="s">
        <v>594</v>
      </c>
      <c r="S973" s="14" t="s">
        <v>6422</v>
      </c>
      <c r="T973" s="163">
        <v>1283</v>
      </c>
      <c r="U973" s="164" t="str">
        <f>CONCATENATE(LEFT(SP_ACQ_Lib[[#This Row],[Tax Parcel ID]],7),"_",SP_ACQ_Lib[[#This Row],[ACQ Document Type]])</f>
        <v>R072725_ROE Right-of-Entry Executed</v>
      </c>
      <c r="V973" s="65" t="str">
        <f>INDEX(SP_AcqTract_DB[WCAD Tax Parcel ID],MATCH(SP_ACQ_Lib[[#This Row],[Acquisition Tract No.]],SP_AcqTract_DB[Acquisition Tract No.],0))</f>
        <v>R072725;#279</v>
      </c>
      <c r="W973" s="48" t="str">
        <f>INDEX(SP_TaxPar_DB[Acquisition Tract No.],MATCH(LEFT(SP_ACQ_Lib[[#This Row],[Tax Parcel ID]],7),SP_TaxPar_DB[Tax Parcel ID],0))</f>
        <v>T259</v>
      </c>
      <c r="X973" s="238" t="str">
        <f>IF(OR(SP_ACQ_Lib[[#This Row],[Acquisition Tract No.]]="",SP_ACQ_Lib[[#This Row],[ACQ Document Type]]=""),0,CONCATENATE("COW-FRMP_TR-",SP_ACQ_Lib[[#This Row],[Acquisition Tract No.]]," ",SP_ACQ_Lib[[#This Row],[ACQ Document Type]]))</f>
        <v>COW-FRMP_TR-T259 ROE Right-of-Entry Executed</v>
      </c>
      <c r="Y973" s="239">
        <f>IF(OR(SP_ACQ_Lib[[#This Row],[File Name Convention]]=0,LEFT(SP_ACQ_Lib[[#This Row],[Name]],LEN(SP_ACQ_Lib[[#This Row],[File Name Convention]]))&lt;&gt;SP_ACQ_Lib[[#This Row],[File Name Convention]],ISERROR(SEARCH(SP_ACQ_Lib[[#This Row],[ACQ Document Type]],SP_ACQ_Lib[[#This Row],[Name]]))),1,0)</f>
        <v>0</v>
      </c>
    </row>
    <row r="974" spans="1:25" ht="15" x14ac:dyDescent="0.2">
      <c r="A974" s="157" t="str">
        <f>CONCATENATE(SP_ACQ_Lib[[#This Row],[Acquisition Tract No.]],"_",SP_ACQ_Lib[[#This Row],[ACQ Document Type]])</f>
        <v>T259_ROE Right-of-Entry Package</v>
      </c>
      <c r="B974" s="14" t="s">
        <v>5782</v>
      </c>
      <c r="C974" s="263" t="s">
        <v>5361</v>
      </c>
      <c r="D974" s="12" t="s">
        <v>3353</v>
      </c>
      <c r="E974" s="8" t="s">
        <v>1146</v>
      </c>
      <c r="F974" s="8" t="s">
        <v>2687</v>
      </c>
      <c r="G974" s="8" t="s">
        <v>5659</v>
      </c>
      <c r="H974" s="7" t="s">
        <v>592</v>
      </c>
      <c r="I974" s="16">
        <v>43985</v>
      </c>
      <c r="J974" s="16"/>
      <c r="K974" s="17"/>
      <c r="L974" s="3"/>
      <c r="M974" s="8" t="s">
        <v>4206</v>
      </c>
      <c r="N974" s="11">
        <v>43986.581793981481</v>
      </c>
      <c r="O974" s="8" t="s">
        <v>4206</v>
      </c>
      <c r="P974" s="11">
        <v>43986.570497685185</v>
      </c>
      <c r="Q974" s="13">
        <v>1404673</v>
      </c>
      <c r="R974" s="264" t="s">
        <v>594</v>
      </c>
      <c r="S974" s="14" t="s">
        <v>5814</v>
      </c>
      <c r="T974" s="163">
        <v>1144</v>
      </c>
      <c r="U974" s="164" t="str">
        <f>CONCATENATE(LEFT(SP_ACQ_Lib[[#This Row],[Tax Parcel ID]],7),"_",SP_ACQ_Lib[[#This Row],[ACQ Document Type]])</f>
        <v>R072725_ROE Right-of-Entry Package</v>
      </c>
      <c r="V974" s="65" t="str">
        <f>INDEX(SP_AcqTract_DB[WCAD Tax Parcel ID],MATCH(SP_ACQ_Lib[[#This Row],[Acquisition Tract No.]],SP_AcqTract_DB[Acquisition Tract No.],0))</f>
        <v>R072725;#279</v>
      </c>
      <c r="W974" s="48" t="str">
        <f>INDEX(SP_TaxPar_DB[Acquisition Tract No.],MATCH(LEFT(SP_ACQ_Lib[[#This Row],[Tax Parcel ID]],7),SP_TaxPar_DB[Tax Parcel ID],0))</f>
        <v>T259</v>
      </c>
      <c r="X974" s="238" t="str">
        <f>IF(OR(SP_ACQ_Lib[[#This Row],[Acquisition Tract No.]]="",SP_ACQ_Lib[[#This Row],[ACQ Document Type]]=""),0,CONCATENATE("COW-FRMP_TR-",SP_ACQ_Lib[[#This Row],[Acquisition Tract No.]]," ",SP_ACQ_Lib[[#This Row],[ACQ Document Type]]))</f>
        <v>COW-FRMP_TR-T259 ROE Right-of-Entry Package</v>
      </c>
      <c r="Y974" s="239">
        <f>IF(OR(SP_ACQ_Lib[[#This Row],[File Name Convention]]=0,LEFT(SP_ACQ_Lib[[#This Row],[Name]],LEN(SP_ACQ_Lib[[#This Row],[File Name Convention]]))&lt;&gt;SP_ACQ_Lib[[#This Row],[File Name Convention]],ISERROR(SEARCH(SP_ACQ_Lib[[#This Row],[ACQ Document Type]],SP_ACQ_Lib[[#This Row],[Name]]))),1,0)</f>
        <v>0</v>
      </c>
    </row>
    <row r="975" spans="1:25" ht="15" x14ac:dyDescent="0.2">
      <c r="A975" s="157" t="str">
        <f>CONCATENATE(SP_ACQ_Lib[[#This Row],[Acquisition Tract No.]],"_",SP_ACQ_Lib[[#This Row],[ACQ Document Type]])</f>
        <v>T259_TITLE Tax Card</v>
      </c>
      <c r="B975" s="14" t="s">
        <v>5482</v>
      </c>
      <c r="C975" s="263" t="s">
        <v>5361</v>
      </c>
      <c r="D975" s="12" t="s">
        <v>3353</v>
      </c>
      <c r="E975" s="8" t="s">
        <v>861</v>
      </c>
      <c r="F975" s="8" t="s">
        <v>1150</v>
      </c>
      <c r="G975" s="8" t="s">
        <v>1149</v>
      </c>
      <c r="H975" s="7" t="s">
        <v>592</v>
      </c>
      <c r="I975" s="16"/>
      <c r="J975" s="16"/>
      <c r="K975" s="17"/>
      <c r="L975" s="3"/>
      <c r="M975" s="8" t="s">
        <v>4206</v>
      </c>
      <c r="N975" s="11">
        <v>43979.362083333333</v>
      </c>
      <c r="O975" s="8" t="s">
        <v>4206</v>
      </c>
      <c r="P975" s="11">
        <v>43971.41978009259</v>
      </c>
      <c r="Q975" s="13">
        <v>739092</v>
      </c>
      <c r="R975" s="264" t="s">
        <v>594</v>
      </c>
      <c r="S975" s="14" t="s">
        <v>5144</v>
      </c>
      <c r="T975" s="163">
        <v>891</v>
      </c>
      <c r="U975" s="164" t="str">
        <f>CONCATENATE(LEFT(SP_ACQ_Lib[[#This Row],[Tax Parcel ID]],7),"_",SP_ACQ_Lib[[#This Row],[ACQ Document Type]])</f>
        <v>R072725_TITLE Tax Card</v>
      </c>
      <c r="V975" s="65" t="str">
        <f>INDEX(SP_AcqTract_DB[WCAD Tax Parcel ID],MATCH(SP_ACQ_Lib[[#This Row],[Acquisition Tract No.]],SP_AcqTract_DB[Acquisition Tract No.],0))</f>
        <v>R072725;#279</v>
      </c>
      <c r="W975" s="48" t="str">
        <f>INDEX(SP_TaxPar_DB[Acquisition Tract No.],MATCH(LEFT(SP_ACQ_Lib[[#This Row],[Tax Parcel ID]],7),SP_TaxPar_DB[Tax Parcel ID],0))</f>
        <v>T259</v>
      </c>
      <c r="X975" s="238" t="str">
        <f>IF(OR(SP_ACQ_Lib[[#This Row],[Acquisition Tract No.]]="",SP_ACQ_Lib[[#This Row],[ACQ Document Type]]=""),0,CONCATENATE("COW-FRMP_TR-",SP_ACQ_Lib[[#This Row],[Acquisition Tract No.]]," ",SP_ACQ_Lib[[#This Row],[ACQ Document Type]]))</f>
        <v>COW-FRMP_TR-T259 TITLE Tax Card</v>
      </c>
      <c r="Y975" s="239">
        <f>IF(OR(SP_ACQ_Lib[[#This Row],[File Name Convention]]=0,LEFT(SP_ACQ_Lib[[#This Row],[Name]],LEN(SP_ACQ_Lib[[#This Row],[File Name Convention]]))&lt;&gt;SP_ACQ_Lib[[#This Row],[File Name Convention]],ISERROR(SEARCH(SP_ACQ_Lib[[#This Row],[ACQ Document Type]],SP_ACQ_Lib[[#This Row],[Name]]))),1,0)</f>
        <v>0</v>
      </c>
    </row>
    <row r="976" spans="1:25" ht="15" x14ac:dyDescent="0.2">
      <c r="A976" s="157" t="str">
        <f>CONCATENATE(SP_ACQ_Lib[[#This Row],[Acquisition Tract No.]],"_",SP_ACQ_Lib[[#This Row],[ACQ Document Type]])</f>
        <v>T261_CONTACT Negotiator Report</v>
      </c>
      <c r="B976" s="14" t="s">
        <v>6037</v>
      </c>
      <c r="C976" s="263" t="s">
        <v>5363</v>
      </c>
      <c r="D976" s="12" t="s">
        <v>3354</v>
      </c>
      <c r="E976" s="8" t="s">
        <v>865</v>
      </c>
      <c r="F976" s="8" t="s">
        <v>1068</v>
      </c>
      <c r="G976" s="8" t="s">
        <v>1067</v>
      </c>
      <c r="H976" s="7" t="s">
        <v>592</v>
      </c>
      <c r="I976" s="16"/>
      <c r="J976" s="16"/>
      <c r="K976" s="17"/>
      <c r="L976" s="3"/>
      <c r="M976" s="8" t="s">
        <v>1744</v>
      </c>
      <c r="N976" s="11">
        <v>44011.966064814813</v>
      </c>
      <c r="O976" s="8" t="s">
        <v>1744</v>
      </c>
      <c r="P976" s="11">
        <v>43992.582083333335</v>
      </c>
      <c r="Q976" s="13">
        <v>734970</v>
      </c>
      <c r="R976" s="264" t="s">
        <v>594</v>
      </c>
      <c r="S976" s="14" t="s">
        <v>5913</v>
      </c>
      <c r="T976" s="163">
        <v>1177</v>
      </c>
      <c r="U976" s="164" t="str">
        <f>CONCATENATE(LEFT(SP_ACQ_Lib[[#This Row],[Tax Parcel ID]],7),"_",SP_ACQ_Lib[[#This Row],[ACQ Document Type]])</f>
        <v>R073362_CONTACT Negotiator Report</v>
      </c>
      <c r="V976" s="65" t="str">
        <f>INDEX(SP_AcqTract_DB[WCAD Tax Parcel ID],MATCH(SP_ACQ_Lib[[#This Row],[Acquisition Tract No.]],SP_AcqTract_DB[Acquisition Tract No.],0))</f>
        <v>R073362;#280</v>
      </c>
      <c r="W976" s="48" t="str">
        <f>INDEX(SP_TaxPar_DB[Acquisition Tract No.],MATCH(LEFT(SP_ACQ_Lib[[#This Row],[Tax Parcel ID]],7),SP_TaxPar_DB[Tax Parcel ID],0))</f>
        <v>T261</v>
      </c>
      <c r="X976" s="238" t="str">
        <f>IF(OR(SP_ACQ_Lib[[#This Row],[Acquisition Tract No.]]="",SP_ACQ_Lib[[#This Row],[ACQ Document Type]]=""),0,CONCATENATE("COW-FRMP_TR-",SP_ACQ_Lib[[#This Row],[Acquisition Tract No.]]," ",SP_ACQ_Lib[[#This Row],[ACQ Document Type]]))</f>
        <v>COW-FRMP_TR-T261 CONTACT Negotiator Report</v>
      </c>
      <c r="Y976" s="239">
        <f>IF(OR(SP_ACQ_Lib[[#This Row],[File Name Convention]]=0,LEFT(SP_ACQ_Lib[[#This Row],[Name]],LEN(SP_ACQ_Lib[[#This Row],[File Name Convention]]))&lt;&gt;SP_ACQ_Lib[[#This Row],[File Name Convention]],ISERROR(SEARCH(SP_ACQ_Lib[[#This Row],[ACQ Document Type]],SP_ACQ_Lib[[#This Row],[Name]]))),1,0)</f>
        <v>0</v>
      </c>
    </row>
    <row r="977" spans="1:25" ht="15" x14ac:dyDescent="0.2">
      <c r="A977" s="157" t="str">
        <f>CONCATENATE(SP_ACQ_Lib[[#This Row],[Acquisition Tract No.]],"_",SP_ACQ_Lib[[#This Row],[ACQ Document Type]])</f>
        <v>T261_ENVIRONMENTAL Right-of-Entry Executed</v>
      </c>
      <c r="B977" s="14" t="s">
        <v>5635</v>
      </c>
      <c r="C977" s="263" t="s">
        <v>5363</v>
      </c>
      <c r="D977" s="12" t="s">
        <v>3354</v>
      </c>
      <c r="E977" s="8" t="s">
        <v>2682</v>
      </c>
      <c r="F977" s="8" t="s">
        <v>2683</v>
      </c>
      <c r="G977" s="8" t="s">
        <v>2681</v>
      </c>
      <c r="H977" s="7" t="s">
        <v>592</v>
      </c>
      <c r="I977" s="16">
        <v>43887</v>
      </c>
      <c r="J977" s="16"/>
      <c r="K977" s="17"/>
      <c r="L977" s="3"/>
      <c r="M977" s="8" t="s">
        <v>4206</v>
      </c>
      <c r="N977" s="11">
        <v>43983.57439814815</v>
      </c>
      <c r="O977" s="8" t="s">
        <v>4206</v>
      </c>
      <c r="P977" s="11">
        <v>43971.41983796296</v>
      </c>
      <c r="Q977" s="13">
        <v>1783576</v>
      </c>
      <c r="R977" s="264" t="s">
        <v>594</v>
      </c>
      <c r="S977" s="14" t="s">
        <v>5146</v>
      </c>
      <c r="T977" s="163">
        <v>893</v>
      </c>
      <c r="U977" s="164" t="str">
        <f>CONCATENATE(LEFT(SP_ACQ_Lib[[#This Row],[Tax Parcel ID]],7),"_",SP_ACQ_Lib[[#This Row],[ACQ Document Type]])</f>
        <v>R073362_ENVIRONMENTAL Right-of-Entry Executed</v>
      </c>
      <c r="V977" s="65" t="str">
        <f>INDEX(SP_AcqTract_DB[WCAD Tax Parcel ID],MATCH(SP_ACQ_Lib[[#This Row],[Acquisition Tract No.]],SP_AcqTract_DB[Acquisition Tract No.],0))</f>
        <v>R073362;#280</v>
      </c>
      <c r="W977" s="48" t="str">
        <f>INDEX(SP_TaxPar_DB[Acquisition Tract No.],MATCH(LEFT(SP_ACQ_Lib[[#This Row],[Tax Parcel ID]],7),SP_TaxPar_DB[Tax Parcel ID],0))</f>
        <v>T261</v>
      </c>
      <c r="X977" s="238" t="str">
        <f>IF(OR(SP_ACQ_Lib[[#This Row],[Acquisition Tract No.]]="",SP_ACQ_Lib[[#This Row],[ACQ Document Type]]=""),0,CONCATENATE("COW-FRMP_TR-",SP_ACQ_Lib[[#This Row],[Acquisition Tract No.]]," ",SP_ACQ_Lib[[#This Row],[ACQ Document Type]]))</f>
        <v>COW-FRMP_TR-T261 ENVIRONMENTAL Right-of-Entry Executed</v>
      </c>
      <c r="Y977" s="239">
        <f>IF(OR(SP_ACQ_Lib[[#This Row],[File Name Convention]]=0,LEFT(SP_ACQ_Lib[[#This Row],[Name]],LEN(SP_ACQ_Lib[[#This Row],[File Name Convention]]))&lt;&gt;SP_ACQ_Lib[[#This Row],[File Name Convention]],ISERROR(SEARCH(SP_ACQ_Lib[[#This Row],[ACQ Document Type]],SP_ACQ_Lib[[#This Row],[Name]]))),1,0)</f>
        <v>0</v>
      </c>
    </row>
    <row r="978" spans="1:25" ht="15" x14ac:dyDescent="0.2">
      <c r="A978" s="157" t="str">
        <f>CONCATENATE(SP_ACQ_Lib[[#This Row],[Acquisition Tract No.]],"_",SP_ACQ_Lib[[#This Row],[ACQ Document Type]])</f>
        <v>T261_ENVIRONMENTAL Right-of-Entry Package</v>
      </c>
      <c r="B978" s="14" t="s">
        <v>5636</v>
      </c>
      <c r="C978" s="263" t="s">
        <v>5363</v>
      </c>
      <c r="D978" s="12" t="s">
        <v>3354</v>
      </c>
      <c r="E978" s="8" t="s">
        <v>2682</v>
      </c>
      <c r="F978" s="8" t="s">
        <v>2687</v>
      </c>
      <c r="G978" s="8" t="s">
        <v>2686</v>
      </c>
      <c r="H978" s="7" t="s">
        <v>592</v>
      </c>
      <c r="I978" s="16">
        <v>43879</v>
      </c>
      <c r="J978" s="16">
        <v>43855</v>
      </c>
      <c r="K978" s="17"/>
      <c r="L978" s="3"/>
      <c r="M978" s="8" t="s">
        <v>4206</v>
      </c>
      <c r="N978" s="11">
        <v>43983.582777777781</v>
      </c>
      <c r="O978" s="8" t="s">
        <v>4206</v>
      </c>
      <c r="P978" s="11">
        <v>43971.419803240744</v>
      </c>
      <c r="Q978" s="13">
        <v>952597</v>
      </c>
      <c r="R978" s="264" t="s">
        <v>594</v>
      </c>
      <c r="S978" s="14" t="s">
        <v>5145</v>
      </c>
      <c r="T978" s="163">
        <v>892</v>
      </c>
      <c r="U978" s="164" t="str">
        <f>CONCATENATE(LEFT(SP_ACQ_Lib[[#This Row],[Tax Parcel ID]],7),"_",SP_ACQ_Lib[[#This Row],[ACQ Document Type]])</f>
        <v>R073362_ENVIRONMENTAL Right-of-Entry Package</v>
      </c>
      <c r="V978" s="65" t="str">
        <f>INDEX(SP_AcqTract_DB[WCAD Tax Parcel ID],MATCH(SP_ACQ_Lib[[#This Row],[Acquisition Tract No.]],SP_AcqTract_DB[Acquisition Tract No.],0))</f>
        <v>R073362;#280</v>
      </c>
      <c r="W978" s="48" t="str">
        <f>INDEX(SP_TaxPar_DB[Acquisition Tract No.],MATCH(LEFT(SP_ACQ_Lib[[#This Row],[Tax Parcel ID]],7),SP_TaxPar_DB[Tax Parcel ID],0))</f>
        <v>T261</v>
      </c>
      <c r="X978" s="238" t="str">
        <f>IF(OR(SP_ACQ_Lib[[#This Row],[Acquisition Tract No.]]="",SP_ACQ_Lib[[#This Row],[ACQ Document Type]]=""),0,CONCATENATE("COW-FRMP_TR-",SP_ACQ_Lib[[#This Row],[Acquisition Tract No.]]," ",SP_ACQ_Lib[[#This Row],[ACQ Document Type]]))</f>
        <v>COW-FRMP_TR-T261 ENVIRONMENTAL Right-of-Entry Package</v>
      </c>
      <c r="Y978" s="239">
        <f>IF(OR(SP_ACQ_Lib[[#This Row],[File Name Convention]]=0,LEFT(SP_ACQ_Lib[[#This Row],[Name]],LEN(SP_ACQ_Lib[[#This Row],[File Name Convention]]))&lt;&gt;SP_ACQ_Lib[[#This Row],[File Name Convention]],ISERROR(SEARCH(SP_ACQ_Lib[[#This Row],[ACQ Document Type]],SP_ACQ_Lib[[#This Row],[Name]]))),1,0)</f>
        <v>0</v>
      </c>
    </row>
    <row r="979" spans="1:25" ht="15" x14ac:dyDescent="0.2">
      <c r="A979" s="157" t="str">
        <f>CONCATENATE(SP_ACQ_Lib[[#This Row],[Acquisition Tract No.]],"_",SP_ACQ_Lib[[#This Row],[ACQ Document Type]])</f>
        <v>T261_ROE Right-of-Entry Package</v>
      </c>
      <c r="B979" s="14" t="s">
        <v>5783</v>
      </c>
      <c r="C979" s="263" t="s">
        <v>5363</v>
      </c>
      <c r="D979" s="12" t="s">
        <v>3354</v>
      </c>
      <c r="E979" s="8" t="s">
        <v>1146</v>
      </c>
      <c r="F979" s="8" t="s">
        <v>2687</v>
      </c>
      <c r="G979" s="8" t="s">
        <v>5659</v>
      </c>
      <c r="H979" s="7" t="s">
        <v>592</v>
      </c>
      <c r="I979" s="16">
        <v>43985</v>
      </c>
      <c r="J979" s="16"/>
      <c r="K979" s="17"/>
      <c r="L979" s="3"/>
      <c r="M979" s="8" t="s">
        <v>4206</v>
      </c>
      <c r="N979" s="11">
        <v>43986.582141203704</v>
      </c>
      <c r="O979" s="8" t="s">
        <v>4206</v>
      </c>
      <c r="P979" s="11">
        <v>43986.569594907407</v>
      </c>
      <c r="Q979" s="13">
        <v>1504611</v>
      </c>
      <c r="R979" s="264" t="s">
        <v>594</v>
      </c>
      <c r="S979" s="14" t="s">
        <v>5815</v>
      </c>
      <c r="T979" s="163">
        <v>1113</v>
      </c>
      <c r="U979" s="164" t="str">
        <f>CONCATENATE(LEFT(SP_ACQ_Lib[[#This Row],[Tax Parcel ID]],7),"_",SP_ACQ_Lib[[#This Row],[ACQ Document Type]])</f>
        <v>R073362_ROE Right-of-Entry Package</v>
      </c>
      <c r="V979" s="65" t="str">
        <f>INDEX(SP_AcqTract_DB[WCAD Tax Parcel ID],MATCH(SP_ACQ_Lib[[#This Row],[Acquisition Tract No.]],SP_AcqTract_DB[Acquisition Tract No.],0))</f>
        <v>R073362;#280</v>
      </c>
      <c r="W979" s="48" t="str">
        <f>INDEX(SP_TaxPar_DB[Acquisition Tract No.],MATCH(LEFT(SP_ACQ_Lib[[#This Row],[Tax Parcel ID]],7),SP_TaxPar_DB[Tax Parcel ID],0))</f>
        <v>T261</v>
      </c>
      <c r="X979" s="238" t="str">
        <f>IF(OR(SP_ACQ_Lib[[#This Row],[Acquisition Tract No.]]="",SP_ACQ_Lib[[#This Row],[ACQ Document Type]]=""),0,CONCATENATE("COW-FRMP_TR-",SP_ACQ_Lib[[#This Row],[Acquisition Tract No.]]," ",SP_ACQ_Lib[[#This Row],[ACQ Document Type]]))</f>
        <v>COW-FRMP_TR-T261 ROE Right-of-Entry Package</v>
      </c>
      <c r="Y979" s="239">
        <f>IF(OR(SP_ACQ_Lib[[#This Row],[File Name Convention]]=0,LEFT(SP_ACQ_Lib[[#This Row],[Name]],LEN(SP_ACQ_Lib[[#This Row],[File Name Convention]]))&lt;&gt;SP_ACQ_Lib[[#This Row],[File Name Convention]],ISERROR(SEARCH(SP_ACQ_Lib[[#This Row],[ACQ Document Type]],SP_ACQ_Lib[[#This Row],[Name]]))),1,0)</f>
        <v>0</v>
      </c>
    </row>
    <row r="980" spans="1:25" ht="15" x14ac:dyDescent="0.2">
      <c r="A980" s="157" t="str">
        <f>CONCATENATE(SP_ACQ_Lib[[#This Row],[Acquisition Tract No.]],"_",SP_ACQ_Lib[[#This Row],[ACQ Document Type]])</f>
        <v>T261_TITLE Tax Card</v>
      </c>
      <c r="B980" s="14" t="s">
        <v>5483</v>
      </c>
      <c r="C980" s="263" t="s">
        <v>5363</v>
      </c>
      <c r="D980" s="12" t="s">
        <v>3354</v>
      </c>
      <c r="E980" s="8" t="s">
        <v>861</v>
      </c>
      <c r="F980" s="8" t="s">
        <v>1150</v>
      </c>
      <c r="G980" s="8" t="s">
        <v>1149</v>
      </c>
      <c r="H980" s="7" t="s">
        <v>592</v>
      </c>
      <c r="I980" s="16"/>
      <c r="J980" s="16"/>
      <c r="K980" s="17"/>
      <c r="L980" s="3"/>
      <c r="M980" s="8" t="s">
        <v>4206</v>
      </c>
      <c r="N980" s="11">
        <v>43979.36210648148</v>
      </c>
      <c r="O980" s="8" t="s">
        <v>4206</v>
      </c>
      <c r="P980" s="11">
        <v>43971.41988425926</v>
      </c>
      <c r="Q980" s="13">
        <v>721389</v>
      </c>
      <c r="R980" s="264" t="s">
        <v>594</v>
      </c>
      <c r="S980" s="14" t="s">
        <v>5147</v>
      </c>
      <c r="T980" s="163">
        <v>894</v>
      </c>
      <c r="U980" s="164" t="str">
        <f>CONCATENATE(LEFT(SP_ACQ_Lib[[#This Row],[Tax Parcel ID]],7),"_",SP_ACQ_Lib[[#This Row],[ACQ Document Type]])</f>
        <v>R073362_TITLE Tax Card</v>
      </c>
      <c r="V980" s="65" t="str">
        <f>INDEX(SP_AcqTract_DB[WCAD Tax Parcel ID],MATCH(SP_ACQ_Lib[[#This Row],[Acquisition Tract No.]],SP_AcqTract_DB[Acquisition Tract No.],0))</f>
        <v>R073362;#280</v>
      </c>
      <c r="W980" s="48" t="str">
        <f>INDEX(SP_TaxPar_DB[Acquisition Tract No.],MATCH(LEFT(SP_ACQ_Lib[[#This Row],[Tax Parcel ID]],7),SP_TaxPar_DB[Tax Parcel ID],0))</f>
        <v>T261</v>
      </c>
      <c r="X980" s="238" t="str">
        <f>IF(OR(SP_ACQ_Lib[[#This Row],[Acquisition Tract No.]]="",SP_ACQ_Lib[[#This Row],[ACQ Document Type]]=""),0,CONCATENATE("COW-FRMP_TR-",SP_ACQ_Lib[[#This Row],[Acquisition Tract No.]]," ",SP_ACQ_Lib[[#This Row],[ACQ Document Type]]))</f>
        <v>COW-FRMP_TR-T261 TITLE Tax Card</v>
      </c>
      <c r="Y980" s="239">
        <f>IF(OR(SP_ACQ_Lib[[#This Row],[File Name Convention]]=0,LEFT(SP_ACQ_Lib[[#This Row],[Name]],LEN(SP_ACQ_Lib[[#This Row],[File Name Convention]]))&lt;&gt;SP_ACQ_Lib[[#This Row],[File Name Convention]],ISERROR(SEARCH(SP_ACQ_Lib[[#This Row],[ACQ Document Type]],SP_ACQ_Lib[[#This Row],[Name]]))),1,0)</f>
        <v>0</v>
      </c>
    </row>
    <row r="981" spans="1:25" ht="15" x14ac:dyDescent="0.2">
      <c r="A981" s="157" t="str">
        <f>CONCATENATE(SP_ACQ_Lib[[#This Row],[Acquisition Tract No.]],"_",SP_ACQ_Lib[[#This Row],[ACQ Document Type]])</f>
        <v>T262_CONTACT Negotiator Report</v>
      </c>
      <c r="B981" s="14" t="s">
        <v>6038</v>
      </c>
      <c r="C981" s="263" t="s">
        <v>5365</v>
      </c>
      <c r="D981" s="12" t="s">
        <v>5067</v>
      </c>
      <c r="E981" s="8" t="s">
        <v>865</v>
      </c>
      <c r="F981" s="8" t="s">
        <v>1068</v>
      </c>
      <c r="G981" s="8" t="s">
        <v>1067</v>
      </c>
      <c r="H981" s="7" t="s">
        <v>592</v>
      </c>
      <c r="I981" s="16"/>
      <c r="J981" s="16"/>
      <c r="K981" s="17"/>
      <c r="L981" s="3"/>
      <c r="M981" s="8" t="s">
        <v>6483</v>
      </c>
      <c r="N981" s="11">
        <v>44019.680891203701</v>
      </c>
      <c r="O981" s="8" t="s">
        <v>1744</v>
      </c>
      <c r="P981" s="11">
        <v>43992.583912037036</v>
      </c>
      <c r="Q981" s="13">
        <v>90162</v>
      </c>
      <c r="R981" s="264" t="s">
        <v>594</v>
      </c>
      <c r="S981" s="14" t="s">
        <v>5914</v>
      </c>
      <c r="T981" s="163">
        <v>1178</v>
      </c>
      <c r="U981" s="164" t="str">
        <f>CONCATENATE(LEFT(SP_ACQ_Lib[[#This Row],[Tax Parcel ID]],7),"_",SP_ACQ_Lib[[#This Row],[ACQ Document Type]])</f>
        <v>R020854_CONTACT Negotiator Report</v>
      </c>
      <c r="V981" s="65" t="str">
        <f>INDEX(SP_AcqTract_DB[WCAD Tax Parcel ID],MATCH(SP_ACQ_Lib[[#This Row],[Acquisition Tract No.]],SP_AcqTract_DB[Acquisition Tract No.],0))</f>
        <v>R020854;#292</v>
      </c>
      <c r="W981" s="48" t="str">
        <f>INDEX(SP_TaxPar_DB[Acquisition Tract No.],MATCH(LEFT(SP_ACQ_Lib[[#This Row],[Tax Parcel ID]],7),SP_TaxPar_DB[Tax Parcel ID],0))</f>
        <v>T262</v>
      </c>
      <c r="X981" s="238" t="str">
        <f>IF(OR(SP_ACQ_Lib[[#This Row],[Acquisition Tract No.]]="",SP_ACQ_Lib[[#This Row],[ACQ Document Type]]=""),0,CONCATENATE("COW-FRMP_TR-",SP_ACQ_Lib[[#This Row],[Acquisition Tract No.]]," ",SP_ACQ_Lib[[#This Row],[ACQ Document Type]]))</f>
        <v>COW-FRMP_TR-T262 CONTACT Negotiator Report</v>
      </c>
      <c r="Y981" s="239">
        <f>IF(OR(SP_ACQ_Lib[[#This Row],[File Name Convention]]=0,LEFT(SP_ACQ_Lib[[#This Row],[Name]],LEN(SP_ACQ_Lib[[#This Row],[File Name Convention]]))&lt;&gt;SP_ACQ_Lib[[#This Row],[File Name Convention]],ISERROR(SEARCH(SP_ACQ_Lib[[#This Row],[ACQ Document Type]],SP_ACQ_Lib[[#This Row],[Name]]))),1,0)</f>
        <v>0</v>
      </c>
    </row>
    <row r="982" spans="1:25" ht="15" x14ac:dyDescent="0.2">
      <c r="A982" s="157" t="str">
        <f>CONCATENATE(SP_ACQ_Lib[[#This Row],[Acquisition Tract No.]],"_",SP_ACQ_Lib[[#This Row],[ACQ Document Type]])</f>
        <v>T262_ROE Right-of-Entry Package</v>
      </c>
      <c r="B982" s="14" t="s">
        <v>5784</v>
      </c>
      <c r="C982" s="263" t="s">
        <v>5365</v>
      </c>
      <c r="D982" s="12" t="s">
        <v>5067</v>
      </c>
      <c r="E982" s="8" t="s">
        <v>1146</v>
      </c>
      <c r="F982" s="8" t="s">
        <v>2687</v>
      </c>
      <c r="G982" s="8" t="s">
        <v>5659</v>
      </c>
      <c r="H982" s="7" t="s">
        <v>592</v>
      </c>
      <c r="I982" s="16">
        <v>43985</v>
      </c>
      <c r="J982" s="16"/>
      <c r="K982" s="17"/>
      <c r="L982" s="3"/>
      <c r="M982" s="8" t="s">
        <v>4206</v>
      </c>
      <c r="N982" s="11">
        <v>43986.582476851851</v>
      </c>
      <c r="O982" s="8" t="s">
        <v>4206</v>
      </c>
      <c r="P982" s="11">
        <v>43986.56962962963</v>
      </c>
      <c r="Q982" s="13">
        <v>1013494</v>
      </c>
      <c r="R982" s="264" t="s">
        <v>594</v>
      </c>
      <c r="S982" s="14" t="s">
        <v>5816</v>
      </c>
      <c r="T982" s="163">
        <v>1114</v>
      </c>
      <c r="U982" s="164" t="str">
        <f>CONCATENATE(LEFT(SP_ACQ_Lib[[#This Row],[Tax Parcel ID]],7),"_",SP_ACQ_Lib[[#This Row],[ACQ Document Type]])</f>
        <v>R020854_ROE Right-of-Entry Package</v>
      </c>
      <c r="V982" s="65" t="str">
        <f>INDEX(SP_AcqTract_DB[WCAD Tax Parcel ID],MATCH(SP_ACQ_Lib[[#This Row],[Acquisition Tract No.]],SP_AcqTract_DB[Acquisition Tract No.],0))</f>
        <v>R020854;#292</v>
      </c>
      <c r="W982" s="48" t="str">
        <f>INDEX(SP_TaxPar_DB[Acquisition Tract No.],MATCH(LEFT(SP_ACQ_Lib[[#This Row],[Tax Parcel ID]],7),SP_TaxPar_DB[Tax Parcel ID],0))</f>
        <v>T262</v>
      </c>
      <c r="X982" s="238" t="str">
        <f>IF(OR(SP_ACQ_Lib[[#This Row],[Acquisition Tract No.]]="",SP_ACQ_Lib[[#This Row],[ACQ Document Type]]=""),0,CONCATENATE("COW-FRMP_TR-",SP_ACQ_Lib[[#This Row],[Acquisition Tract No.]]," ",SP_ACQ_Lib[[#This Row],[ACQ Document Type]]))</f>
        <v>COW-FRMP_TR-T262 ROE Right-of-Entry Package</v>
      </c>
      <c r="Y982" s="239">
        <f>IF(OR(SP_ACQ_Lib[[#This Row],[File Name Convention]]=0,LEFT(SP_ACQ_Lib[[#This Row],[Name]],LEN(SP_ACQ_Lib[[#This Row],[File Name Convention]]))&lt;&gt;SP_ACQ_Lib[[#This Row],[File Name Convention]],ISERROR(SEARCH(SP_ACQ_Lib[[#This Row],[ACQ Document Type]],SP_ACQ_Lib[[#This Row],[Name]]))),1,0)</f>
        <v>0</v>
      </c>
    </row>
    <row r="983" spans="1:25" ht="15" x14ac:dyDescent="0.2">
      <c r="A983" s="157" t="str">
        <f>CONCATENATE(SP_ACQ_Lib[[#This Row],[Acquisition Tract No.]],"_",SP_ACQ_Lib[[#This Row],[ACQ Document Type]])</f>
        <v>T263_CONTACT Negotiator Report</v>
      </c>
      <c r="B983" s="14" t="s">
        <v>6039</v>
      </c>
      <c r="C983" s="263" t="s">
        <v>5367</v>
      </c>
      <c r="D983" s="12" t="s">
        <v>5073</v>
      </c>
      <c r="E983" s="8" t="s">
        <v>865</v>
      </c>
      <c r="F983" s="8" t="s">
        <v>1068</v>
      </c>
      <c r="G983" s="8" t="s">
        <v>1067</v>
      </c>
      <c r="H983" s="7" t="s">
        <v>592</v>
      </c>
      <c r="I983" s="16"/>
      <c r="J983" s="16"/>
      <c r="K983" s="17"/>
      <c r="L983" s="3"/>
      <c r="M983" s="8" t="s">
        <v>6483</v>
      </c>
      <c r="N983" s="11">
        <v>44019.680775462963</v>
      </c>
      <c r="O983" s="8" t="s">
        <v>1744</v>
      </c>
      <c r="P983" s="11">
        <v>43992.584953703707</v>
      </c>
      <c r="Q983" s="13">
        <v>69107</v>
      </c>
      <c r="R983" s="264" t="s">
        <v>594</v>
      </c>
      <c r="S983" s="14" t="s">
        <v>5915</v>
      </c>
      <c r="T983" s="163">
        <v>1179</v>
      </c>
      <c r="U983" s="164" t="str">
        <f>CONCATENATE(LEFT(SP_ACQ_Lib[[#This Row],[Tax Parcel ID]],7),"_",SP_ACQ_Lib[[#This Row],[ACQ Document Type]])</f>
        <v>R020855_CONTACT Negotiator Report</v>
      </c>
      <c r="V983" s="65" t="str">
        <f>INDEX(SP_AcqTract_DB[WCAD Tax Parcel ID],MATCH(SP_ACQ_Lib[[#This Row],[Acquisition Tract No.]],SP_AcqTract_DB[Acquisition Tract No.],0))</f>
        <v>R020855;#293</v>
      </c>
      <c r="W983" s="48" t="str">
        <f>INDEX(SP_TaxPar_DB[Acquisition Tract No.],MATCH(LEFT(SP_ACQ_Lib[[#This Row],[Tax Parcel ID]],7),SP_TaxPar_DB[Tax Parcel ID],0))</f>
        <v>T263</v>
      </c>
      <c r="X983" s="238" t="str">
        <f>IF(OR(SP_ACQ_Lib[[#This Row],[Acquisition Tract No.]]="",SP_ACQ_Lib[[#This Row],[ACQ Document Type]]=""),0,CONCATENATE("COW-FRMP_TR-",SP_ACQ_Lib[[#This Row],[Acquisition Tract No.]]," ",SP_ACQ_Lib[[#This Row],[ACQ Document Type]]))</f>
        <v>COW-FRMP_TR-T263 CONTACT Negotiator Report</v>
      </c>
      <c r="Y983" s="239">
        <f>IF(OR(SP_ACQ_Lib[[#This Row],[File Name Convention]]=0,LEFT(SP_ACQ_Lib[[#This Row],[Name]],LEN(SP_ACQ_Lib[[#This Row],[File Name Convention]]))&lt;&gt;SP_ACQ_Lib[[#This Row],[File Name Convention]],ISERROR(SEARCH(SP_ACQ_Lib[[#This Row],[ACQ Document Type]],SP_ACQ_Lib[[#This Row],[Name]]))),1,0)</f>
        <v>0</v>
      </c>
    </row>
    <row r="984" spans="1:25" ht="15" x14ac:dyDescent="0.2">
      <c r="A984" s="157" t="str">
        <f>CONCATENATE(SP_ACQ_Lib[[#This Row],[Acquisition Tract No.]],"_",SP_ACQ_Lib[[#This Row],[ACQ Document Type]])</f>
        <v>T263_ROE Right-of-Entry Package</v>
      </c>
      <c r="B984" s="14" t="s">
        <v>5785</v>
      </c>
      <c r="C984" s="263" t="s">
        <v>5367</v>
      </c>
      <c r="D984" s="12" t="s">
        <v>5073</v>
      </c>
      <c r="E984" s="8" t="s">
        <v>1146</v>
      </c>
      <c r="F984" s="8" t="s">
        <v>2687</v>
      </c>
      <c r="G984" s="8" t="s">
        <v>5659</v>
      </c>
      <c r="H984" s="7" t="s">
        <v>592</v>
      </c>
      <c r="I984" s="16">
        <v>43985</v>
      </c>
      <c r="J984" s="16"/>
      <c r="K984" s="17"/>
      <c r="L984" s="3"/>
      <c r="M984" s="8" t="s">
        <v>4206</v>
      </c>
      <c r="N984" s="11">
        <v>43986.582731481481</v>
      </c>
      <c r="O984" s="8" t="s">
        <v>4206</v>
      </c>
      <c r="P984" s="11">
        <v>43986.569652777776</v>
      </c>
      <c r="Q984" s="13">
        <v>881472</v>
      </c>
      <c r="R984" s="264" t="s">
        <v>594</v>
      </c>
      <c r="S984" s="14" t="s">
        <v>5817</v>
      </c>
      <c r="T984" s="163">
        <v>1115</v>
      </c>
      <c r="U984" s="164" t="str">
        <f>CONCATENATE(LEFT(SP_ACQ_Lib[[#This Row],[Tax Parcel ID]],7),"_",SP_ACQ_Lib[[#This Row],[ACQ Document Type]])</f>
        <v>R020855_ROE Right-of-Entry Package</v>
      </c>
      <c r="V984" s="65" t="str">
        <f>INDEX(SP_AcqTract_DB[WCAD Tax Parcel ID],MATCH(SP_ACQ_Lib[[#This Row],[Acquisition Tract No.]],SP_AcqTract_DB[Acquisition Tract No.],0))</f>
        <v>R020855;#293</v>
      </c>
      <c r="W984" s="48" t="str">
        <f>INDEX(SP_TaxPar_DB[Acquisition Tract No.],MATCH(LEFT(SP_ACQ_Lib[[#This Row],[Tax Parcel ID]],7),SP_TaxPar_DB[Tax Parcel ID],0))</f>
        <v>T263</v>
      </c>
      <c r="X984" s="238" t="str">
        <f>IF(OR(SP_ACQ_Lib[[#This Row],[Acquisition Tract No.]]="",SP_ACQ_Lib[[#This Row],[ACQ Document Type]]=""),0,CONCATENATE("COW-FRMP_TR-",SP_ACQ_Lib[[#This Row],[Acquisition Tract No.]]," ",SP_ACQ_Lib[[#This Row],[ACQ Document Type]]))</f>
        <v>COW-FRMP_TR-T263 ROE Right-of-Entry Package</v>
      </c>
      <c r="Y984" s="239">
        <f>IF(OR(SP_ACQ_Lib[[#This Row],[File Name Convention]]=0,LEFT(SP_ACQ_Lib[[#This Row],[Name]],LEN(SP_ACQ_Lib[[#This Row],[File Name Convention]]))&lt;&gt;SP_ACQ_Lib[[#This Row],[File Name Convention]],ISERROR(SEARCH(SP_ACQ_Lib[[#This Row],[ACQ Document Type]],SP_ACQ_Lib[[#This Row],[Name]]))),1,0)</f>
        <v>0</v>
      </c>
    </row>
    <row r="985" spans="1:25" ht="15" x14ac:dyDescent="0.2">
      <c r="A985" s="157" t="str">
        <f>CONCATENATE(SP_ACQ_Lib[[#This Row],[Acquisition Tract No.]],"_",SP_ACQ_Lib[[#This Row],[ACQ Document Type]])</f>
        <v>T264_CONTACT Negotiator Report</v>
      </c>
      <c r="B985" s="14" t="s">
        <v>6247</v>
      </c>
      <c r="C985" s="263" t="s">
        <v>5369</v>
      </c>
      <c r="D985" s="12" t="s">
        <v>5077</v>
      </c>
      <c r="E985" s="8" t="s">
        <v>865</v>
      </c>
      <c r="F985" s="8" t="s">
        <v>1068</v>
      </c>
      <c r="G985" s="8" t="s">
        <v>1067</v>
      </c>
      <c r="H985" s="7" t="s">
        <v>592</v>
      </c>
      <c r="I985" s="16"/>
      <c r="J985" s="16"/>
      <c r="K985" s="17"/>
      <c r="L985" s="3"/>
      <c r="M985" s="8" t="s">
        <v>1744</v>
      </c>
      <c r="N985" s="11">
        <v>44011.97415509259</v>
      </c>
      <c r="O985" s="8" t="s">
        <v>1744</v>
      </c>
      <c r="P985" s="11">
        <v>43994.650046296294</v>
      </c>
      <c r="Q985" s="13">
        <v>121671</v>
      </c>
      <c r="R985" s="264" t="s">
        <v>594</v>
      </c>
      <c r="S985" s="14" t="s">
        <v>6235</v>
      </c>
      <c r="T985" s="163">
        <v>1205</v>
      </c>
      <c r="U985" s="164" t="str">
        <f>CONCATENATE(LEFT(SP_ACQ_Lib[[#This Row],[Tax Parcel ID]],7),"_",SP_ACQ_Lib[[#This Row],[ACQ Document Type]])</f>
        <v>R020856_CONTACT Negotiator Report</v>
      </c>
      <c r="V985" s="65" t="str">
        <f>INDEX(SP_AcqTract_DB[WCAD Tax Parcel ID],MATCH(SP_ACQ_Lib[[#This Row],[Acquisition Tract No.]],SP_AcqTract_DB[Acquisition Tract No.],0))</f>
        <v>R020856;#294</v>
      </c>
      <c r="W985" s="48" t="str">
        <f>INDEX(SP_TaxPar_DB[Acquisition Tract No.],MATCH(LEFT(SP_ACQ_Lib[[#This Row],[Tax Parcel ID]],7),SP_TaxPar_DB[Tax Parcel ID],0))</f>
        <v>T264</v>
      </c>
      <c r="X985" s="238" t="str">
        <f>IF(OR(SP_ACQ_Lib[[#This Row],[Acquisition Tract No.]]="",SP_ACQ_Lib[[#This Row],[ACQ Document Type]]=""),0,CONCATENATE("COW-FRMP_TR-",SP_ACQ_Lib[[#This Row],[Acquisition Tract No.]]," ",SP_ACQ_Lib[[#This Row],[ACQ Document Type]]))</f>
        <v>COW-FRMP_TR-T264 CONTACT Negotiator Report</v>
      </c>
      <c r="Y985" s="239">
        <f>IF(OR(SP_ACQ_Lib[[#This Row],[File Name Convention]]=0,LEFT(SP_ACQ_Lib[[#This Row],[Name]],LEN(SP_ACQ_Lib[[#This Row],[File Name Convention]]))&lt;&gt;SP_ACQ_Lib[[#This Row],[File Name Convention]],ISERROR(SEARCH(SP_ACQ_Lib[[#This Row],[ACQ Document Type]],SP_ACQ_Lib[[#This Row],[Name]]))),1,0)</f>
        <v>0</v>
      </c>
    </row>
    <row r="986" spans="1:25" ht="15" x14ac:dyDescent="0.2">
      <c r="A986" s="157" t="str">
        <f>CONCATENATE(SP_ACQ_Lib[[#This Row],[Acquisition Tract No.]],"_",SP_ACQ_Lib[[#This Row],[ACQ Document Type]])</f>
        <v>T264_ROE Right-of-Entry Executed</v>
      </c>
      <c r="B986" s="14" t="s">
        <v>6354</v>
      </c>
      <c r="C986" s="263" t="s">
        <v>5369</v>
      </c>
      <c r="D986" s="12" t="s">
        <v>5077</v>
      </c>
      <c r="E986" s="8" t="s">
        <v>1146</v>
      </c>
      <c r="F986" s="8" t="s">
        <v>2683</v>
      </c>
      <c r="G986" s="8" t="s">
        <v>5660</v>
      </c>
      <c r="H986" s="7" t="s">
        <v>592</v>
      </c>
      <c r="I986" s="16">
        <v>43998</v>
      </c>
      <c r="J986" s="16">
        <v>44181</v>
      </c>
      <c r="K986" s="17"/>
      <c r="L986" s="3"/>
      <c r="M986" s="8" t="s">
        <v>4206</v>
      </c>
      <c r="N986" s="11">
        <v>44004.44258101852</v>
      </c>
      <c r="O986" s="8" t="s">
        <v>4206</v>
      </c>
      <c r="P986" s="11">
        <v>44004.430937500001</v>
      </c>
      <c r="Q986" s="13">
        <v>2132160</v>
      </c>
      <c r="R986" s="264" t="s">
        <v>594</v>
      </c>
      <c r="S986" s="14" t="s">
        <v>6423</v>
      </c>
      <c r="T986" s="163">
        <v>1245</v>
      </c>
      <c r="U986" s="164" t="str">
        <f>CONCATENATE(LEFT(SP_ACQ_Lib[[#This Row],[Tax Parcel ID]],7),"_",SP_ACQ_Lib[[#This Row],[ACQ Document Type]])</f>
        <v>R020856_ROE Right-of-Entry Executed</v>
      </c>
      <c r="V986" s="65" t="str">
        <f>INDEX(SP_AcqTract_DB[WCAD Tax Parcel ID],MATCH(SP_ACQ_Lib[[#This Row],[Acquisition Tract No.]],SP_AcqTract_DB[Acquisition Tract No.],0))</f>
        <v>R020856;#294</v>
      </c>
      <c r="W986" s="48" t="str">
        <f>INDEX(SP_TaxPar_DB[Acquisition Tract No.],MATCH(LEFT(SP_ACQ_Lib[[#This Row],[Tax Parcel ID]],7),SP_TaxPar_DB[Tax Parcel ID],0))</f>
        <v>T264</v>
      </c>
      <c r="X986" s="238" t="str">
        <f>IF(OR(SP_ACQ_Lib[[#This Row],[Acquisition Tract No.]]="",SP_ACQ_Lib[[#This Row],[ACQ Document Type]]=""),0,CONCATENATE("COW-FRMP_TR-",SP_ACQ_Lib[[#This Row],[Acquisition Tract No.]]," ",SP_ACQ_Lib[[#This Row],[ACQ Document Type]]))</f>
        <v>COW-FRMP_TR-T264 ROE Right-of-Entry Executed</v>
      </c>
      <c r="Y986" s="239">
        <f>IF(OR(SP_ACQ_Lib[[#This Row],[File Name Convention]]=0,LEFT(SP_ACQ_Lib[[#This Row],[Name]],LEN(SP_ACQ_Lib[[#This Row],[File Name Convention]]))&lt;&gt;SP_ACQ_Lib[[#This Row],[File Name Convention]],ISERROR(SEARCH(SP_ACQ_Lib[[#This Row],[ACQ Document Type]],SP_ACQ_Lib[[#This Row],[Name]]))),1,0)</f>
        <v>0</v>
      </c>
    </row>
    <row r="987" spans="1:25" ht="15" x14ac:dyDescent="0.2">
      <c r="A987" s="157" t="str">
        <f>CONCATENATE(SP_ACQ_Lib[[#This Row],[Acquisition Tract No.]],"_",SP_ACQ_Lib[[#This Row],[ACQ Document Type]])</f>
        <v>T264_ROE Right-of-Entry Package</v>
      </c>
      <c r="B987" s="14" t="s">
        <v>5786</v>
      </c>
      <c r="C987" s="263" t="s">
        <v>5369</v>
      </c>
      <c r="D987" s="12" t="s">
        <v>5077</v>
      </c>
      <c r="E987" s="8" t="s">
        <v>1146</v>
      </c>
      <c r="F987" s="8" t="s">
        <v>2687</v>
      </c>
      <c r="G987" s="8" t="s">
        <v>5659</v>
      </c>
      <c r="H987" s="7" t="s">
        <v>592</v>
      </c>
      <c r="I987" s="16">
        <v>43985</v>
      </c>
      <c r="J987" s="16"/>
      <c r="K987" s="17"/>
      <c r="L987" s="3"/>
      <c r="M987" s="8" t="s">
        <v>4206</v>
      </c>
      <c r="N987" s="11">
        <v>43986.583032407405</v>
      </c>
      <c r="O987" s="8" t="s">
        <v>4206</v>
      </c>
      <c r="P987" s="11">
        <v>43986.569675925923</v>
      </c>
      <c r="Q987" s="13">
        <v>836651</v>
      </c>
      <c r="R987" s="264" t="s">
        <v>594</v>
      </c>
      <c r="S987" s="14" t="s">
        <v>5818</v>
      </c>
      <c r="T987" s="163">
        <v>1116</v>
      </c>
      <c r="U987" s="164" t="str">
        <f>CONCATENATE(LEFT(SP_ACQ_Lib[[#This Row],[Tax Parcel ID]],7),"_",SP_ACQ_Lib[[#This Row],[ACQ Document Type]])</f>
        <v>R020856_ROE Right-of-Entry Package</v>
      </c>
      <c r="V987" s="65" t="str">
        <f>INDEX(SP_AcqTract_DB[WCAD Tax Parcel ID],MATCH(SP_ACQ_Lib[[#This Row],[Acquisition Tract No.]],SP_AcqTract_DB[Acquisition Tract No.],0))</f>
        <v>R020856;#294</v>
      </c>
      <c r="W987" s="48" t="str">
        <f>INDEX(SP_TaxPar_DB[Acquisition Tract No.],MATCH(LEFT(SP_ACQ_Lib[[#This Row],[Tax Parcel ID]],7),SP_TaxPar_DB[Tax Parcel ID],0))</f>
        <v>T264</v>
      </c>
      <c r="X987" s="238" t="str">
        <f>IF(OR(SP_ACQ_Lib[[#This Row],[Acquisition Tract No.]]="",SP_ACQ_Lib[[#This Row],[ACQ Document Type]]=""),0,CONCATENATE("COW-FRMP_TR-",SP_ACQ_Lib[[#This Row],[Acquisition Tract No.]]," ",SP_ACQ_Lib[[#This Row],[ACQ Document Type]]))</f>
        <v>COW-FRMP_TR-T264 ROE Right-of-Entry Package</v>
      </c>
      <c r="Y987" s="239">
        <f>IF(OR(SP_ACQ_Lib[[#This Row],[File Name Convention]]=0,LEFT(SP_ACQ_Lib[[#This Row],[Name]],LEN(SP_ACQ_Lib[[#This Row],[File Name Convention]]))&lt;&gt;SP_ACQ_Lib[[#This Row],[File Name Convention]],ISERROR(SEARCH(SP_ACQ_Lib[[#This Row],[ACQ Document Type]],SP_ACQ_Lib[[#This Row],[Name]]))),1,0)</f>
        <v>0</v>
      </c>
    </row>
    <row r="988" spans="1:25" ht="15" x14ac:dyDescent="0.2">
      <c r="A988" s="157" t="str">
        <f>CONCATENATE(SP_ACQ_Lib[[#This Row],[Acquisition Tract No.]],"_",SP_ACQ_Lib[[#This Row],[ACQ Document Type]])</f>
        <v>T267_CONTACT Negotiator Report</v>
      </c>
      <c r="B988" s="14" t="s">
        <v>5649</v>
      </c>
      <c r="C988" s="263" t="s">
        <v>5375</v>
      </c>
      <c r="D988" s="12" t="s">
        <v>5087</v>
      </c>
      <c r="E988" s="8" t="s">
        <v>865</v>
      </c>
      <c r="F988" s="8" t="s">
        <v>1068</v>
      </c>
      <c r="G988" s="8" t="s">
        <v>1067</v>
      </c>
      <c r="H988" s="7" t="s">
        <v>592</v>
      </c>
      <c r="I988" s="16"/>
      <c r="J988" s="16"/>
      <c r="K988" s="17"/>
      <c r="L988" s="3"/>
      <c r="M988" s="8" t="s">
        <v>5648</v>
      </c>
      <c r="N988" s="11">
        <v>44014.483020833337</v>
      </c>
      <c r="O988" s="8" t="s">
        <v>5648</v>
      </c>
      <c r="P988" s="11">
        <v>43984.473460648151</v>
      </c>
      <c r="Q988" s="13">
        <v>39159</v>
      </c>
      <c r="R988" s="264" t="s">
        <v>594</v>
      </c>
      <c r="S988" s="14" t="s">
        <v>5652</v>
      </c>
      <c r="T988" s="163">
        <v>1078</v>
      </c>
      <c r="U988" s="164" t="str">
        <f>CONCATENATE(LEFT(SP_ACQ_Lib[[#This Row],[Tax Parcel ID]],7),"_",SP_ACQ_Lib[[#This Row],[ACQ Document Type]])</f>
        <v>R032147_CONTACT Negotiator Report</v>
      </c>
      <c r="V988" s="65" t="str">
        <f>INDEX(SP_AcqTract_DB[WCAD Tax Parcel ID],MATCH(SP_ACQ_Lib[[#This Row],[Acquisition Tract No.]],SP_AcqTract_DB[Acquisition Tract No.],0))</f>
        <v>R032147;#297</v>
      </c>
      <c r="W988" s="48" t="str">
        <f>INDEX(SP_TaxPar_DB[Acquisition Tract No.],MATCH(LEFT(SP_ACQ_Lib[[#This Row],[Tax Parcel ID]],7),SP_TaxPar_DB[Tax Parcel ID],0))</f>
        <v>T267</v>
      </c>
      <c r="X988" s="238" t="str">
        <f>IF(OR(SP_ACQ_Lib[[#This Row],[Acquisition Tract No.]]="",SP_ACQ_Lib[[#This Row],[ACQ Document Type]]=""),0,CONCATENATE("COW-FRMP_TR-",SP_ACQ_Lib[[#This Row],[Acquisition Tract No.]]," ",SP_ACQ_Lib[[#This Row],[ACQ Document Type]]))</f>
        <v>COW-FRMP_TR-T267 CONTACT Negotiator Report</v>
      </c>
      <c r="Y988" s="239">
        <f>IF(OR(SP_ACQ_Lib[[#This Row],[File Name Convention]]=0,LEFT(SP_ACQ_Lib[[#This Row],[Name]],LEN(SP_ACQ_Lib[[#This Row],[File Name Convention]]))&lt;&gt;SP_ACQ_Lib[[#This Row],[File Name Convention]],ISERROR(SEARCH(SP_ACQ_Lib[[#This Row],[ACQ Document Type]],SP_ACQ_Lib[[#This Row],[Name]]))),1,0)</f>
        <v>0</v>
      </c>
    </row>
    <row r="989" spans="1:25" ht="15" x14ac:dyDescent="0.2">
      <c r="A989" s="157" t="str">
        <f>CONCATENATE(SP_ACQ_Lib[[#This Row],[Acquisition Tract No.]],"_",SP_ACQ_Lib[[#This Row],[ACQ Document Type]])</f>
        <v>T267_ROE Right-of-Entry Executed</v>
      </c>
      <c r="B989" s="14" t="s">
        <v>6546</v>
      </c>
      <c r="C989" s="263" t="s">
        <v>5375</v>
      </c>
      <c r="D989" s="12" t="s">
        <v>5087</v>
      </c>
      <c r="E989" s="8" t="s">
        <v>1146</v>
      </c>
      <c r="F989" s="8" t="s">
        <v>2683</v>
      </c>
      <c r="G989" s="8" t="s">
        <v>5660</v>
      </c>
      <c r="H989" s="7" t="s">
        <v>592</v>
      </c>
      <c r="I989" s="16">
        <v>44014</v>
      </c>
      <c r="J989" s="16">
        <v>44198</v>
      </c>
      <c r="K989" s="17"/>
      <c r="L989" s="3"/>
      <c r="M989" s="8" t="s">
        <v>4206</v>
      </c>
      <c r="N989" s="11">
        <v>44018.431446759256</v>
      </c>
      <c r="O989" s="8" t="s">
        <v>4206</v>
      </c>
      <c r="P989" s="11">
        <v>44018.426840277774</v>
      </c>
      <c r="Q989" s="13">
        <v>4164041</v>
      </c>
      <c r="R989" s="264" t="s">
        <v>594</v>
      </c>
      <c r="S989" s="14" t="s">
        <v>6610</v>
      </c>
      <c r="T989" s="163">
        <v>1334</v>
      </c>
      <c r="U989" s="164" t="str">
        <f>CONCATENATE(LEFT(SP_ACQ_Lib[[#This Row],[Tax Parcel ID]],7),"_",SP_ACQ_Lib[[#This Row],[ACQ Document Type]])</f>
        <v>R032147_ROE Right-of-Entry Executed</v>
      </c>
      <c r="V989" s="65" t="str">
        <f>INDEX(SP_AcqTract_DB[WCAD Tax Parcel ID],MATCH(SP_ACQ_Lib[[#This Row],[Acquisition Tract No.]],SP_AcqTract_DB[Acquisition Tract No.],0))</f>
        <v>R032147;#297</v>
      </c>
      <c r="W989" s="48" t="str">
        <f>INDEX(SP_TaxPar_DB[Acquisition Tract No.],MATCH(LEFT(SP_ACQ_Lib[[#This Row],[Tax Parcel ID]],7),SP_TaxPar_DB[Tax Parcel ID],0))</f>
        <v>T267</v>
      </c>
      <c r="X989" s="238" t="str">
        <f>IF(OR(SP_ACQ_Lib[[#This Row],[Acquisition Tract No.]]="",SP_ACQ_Lib[[#This Row],[ACQ Document Type]]=""),0,CONCATENATE("COW-FRMP_TR-",SP_ACQ_Lib[[#This Row],[Acquisition Tract No.]]," ",SP_ACQ_Lib[[#This Row],[ACQ Document Type]]))</f>
        <v>COW-FRMP_TR-T267 ROE Right-of-Entry Executed</v>
      </c>
      <c r="Y989" s="239">
        <f>IF(OR(SP_ACQ_Lib[[#This Row],[File Name Convention]]=0,LEFT(SP_ACQ_Lib[[#This Row],[Name]],LEN(SP_ACQ_Lib[[#This Row],[File Name Convention]]))&lt;&gt;SP_ACQ_Lib[[#This Row],[File Name Convention]],ISERROR(SEARCH(SP_ACQ_Lib[[#This Row],[ACQ Document Type]],SP_ACQ_Lib[[#This Row],[Name]]))),1,0)</f>
        <v>0</v>
      </c>
    </row>
    <row r="990" spans="1:25" ht="15" x14ac:dyDescent="0.2">
      <c r="A990" s="157" t="str">
        <f>CONCATENATE(SP_ACQ_Lib[[#This Row],[Acquisition Tract No.]],"_",SP_ACQ_Lib[[#This Row],[ACQ Document Type]])</f>
        <v>T267_ROE Right-of-Entry Package</v>
      </c>
      <c r="B990" s="14" t="s">
        <v>5787</v>
      </c>
      <c r="C990" s="263" t="s">
        <v>5375</v>
      </c>
      <c r="D990" s="12" t="s">
        <v>5087</v>
      </c>
      <c r="E990" s="8" t="s">
        <v>1146</v>
      </c>
      <c r="F990" s="8" t="s">
        <v>2687</v>
      </c>
      <c r="G990" s="8" t="s">
        <v>5659</v>
      </c>
      <c r="H990" s="7" t="s">
        <v>592</v>
      </c>
      <c r="I990" s="16">
        <v>43985</v>
      </c>
      <c r="J990" s="16"/>
      <c r="K990" s="17"/>
      <c r="L990" s="3"/>
      <c r="M990" s="8" t="s">
        <v>4206</v>
      </c>
      <c r="N990" s="11">
        <v>43986.583414351851</v>
      </c>
      <c r="O990" s="8" t="s">
        <v>4206</v>
      </c>
      <c r="P990" s="11">
        <v>43986.569699074076</v>
      </c>
      <c r="Q990" s="13">
        <v>1419130</v>
      </c>
      <c r="R990" s="264" t="s">
        <v>594</v>
      </c>
      <c r="S990" s="14" t="s">
        <v>5819</v>
      </c>
      <c r="T990" s="163">
        <v>1117</v>
      </c>
      <c r="U990" s="164" t="str">
        <f>CONCATENATE(LEFT(SP_ACQ_Lib[[#This Row],[Tax Parcel ID]],7),"_",SP_ACQ_Lib[[#This Row],[ACQ Document Type]])</f>
        <v>R032147_ROE Right-of-Entry Package</v>
      </c>
      <c r="V990" s="65" t="str">
        <f>INDEX(SP_AcqTract_DB[WCAD Tax Parcel ID],MATCH(SP_ACQ_Lib[[#This Row],[Acquisition Tract No.]],SP_AcqTract_DB[Acquisition Tract No.],0))</f>
        <v>R032147;#297</v>
      </c>
      <c r="W990" s="48" t="str">
        <f>INDEX(SP_TaxPar_DB[Acquisition Tract No.],MATCH(LEFT(SP_ACQ_Lib[[#This Row],[Tax Parcel ID]],7),SP_TaxPar_DB[Tax Parcel ID],0))</f>
        <v>T267</v>
      </c>
      <c r="X990" s="238" t="str">
        <f>IF(OR(SP_ACQ_Lib[[#This Row],[Acquisition Tract No.]]="",SP_ACQ_Lib[[#This Row],[ACQ Document Type]]=""),0,CONCATENATE("COW-FRMP_TR-",SP_ACQ_Lib[[#This Row],[Acquisition Tract No.]]," ",SP_ACQ_Lib[[#This Row],[ACQ Document Type]]))</f>
        <v>COW-FRMP_TR-T267 ROE Right-of-Entry Package</v>
      </c>
      <c r="Y990" s="239">
        <f>IF(OR(SP_ACQ_Lib[[#This Row],[File Name Convention]]=0,LEFT(SP_ACQ_Lib[[#This Row],[Name]],LEN(SP_ACQ_Lib[[#This Row],[File Name Convention]]))&lt;&gt;SP_ACQ_Lib[[#This Row],[File Name Convention]],ISERROR(SEARCH(SP_ACQ_Lib[[#This Row],[ACQ Document Type]],SP_ACQ_Lib[[#This Row],[Name]]))),1,0)</f>
        <v>0</v>
      </c>
    </row>
    <row r="991" spans="1:25" ht="15" x14ac:dyDescent="0.2">
      <c r="A991" s="157" t="str">
        <f>CONCATENATE(SP_ACQ_Lib[[#This Row],[Acquisition Tract No.]],"_",SP_ACQ_Lib[[#This Row],[ACQ Document Type]])</f>
        <v>T268_CONTACT Negotiator Report</v>
      </c>
      <c r="B991" s="14" t="s">
        <v>5650</v>
      </c>
      <c r="C991" s="263" t="s">
        <v>5377</v>
      </c>
      <c r="D991" s="12" t="s">
        <v>5089</v>
      </c>
      <c r="E991" s="8" t="s">
        <v>865</v>
      </c>
      <c r="F991" s="8" t="s">
        <v>1068</v>
      </c>
      <c r="G991" s="8" t="s">
        <v>1067</v>
      </c>
      <c r="H991" s="7" t="s">
        <v>592</v>
      </c>
      <c r="I991" s="16"/>
      <c r="J991" s="16"/>
      <c r="K991" s="17"/>
      <c r="L991" s="3"/>
      <c r="M991" s="8" t="s">
        <v>5648</v>
      </c>
      <c r="N991" s="11">
        <v>44013.335636574076</v>
      </c>
      <c r="O991" s="8" t="s">
        <v>5648</v>
      </c>
      <c r="P991" s="11">
        <v>43984.47347222222</v>
      </c>
      <c r="Q991" s="13">
        <v>42003</v>
      </c>
      <c r="R991" s="264" t="s">
        <v>594</v>
      </c>
      <c r="S991" s="14" t="s">
        <v>5653</v>
      </c>
      <c r="T991" s="163">
        <v>1079</v>
      </c>
      <c r="U991" s="164" t="str">
        <f>CONCATENATE(LEFT(SP_ACQ_Lib[[#This Row],[Tax Parcel ID]],7),"_",SP_ACQ_Lib[[#This Row],[ACQ Document Type]])</f>
        <v>R032148_CONTACT Negotiator Report</v>
      </c>
      <c r="V991" s="65" t="str">
        <f>INDEX(SP_AcqTract_DB[WCAD Tax Parcel ID],MATCH(SP_ACQ_Lib[[#This Row],[Acquisition Tract No.]],SP_AcqTract_DB[Acquisition Tract No.],0))</f>
        <v>R032148;#298</v>
      </c>
      <c r="W991" s="48" t="str">
        <f>INDEX(SP_TaxPar_DB[Acquisition Tract No.],MATCH(LEFT(SP_ACQ_Lib[[#This Row],[Tax Parcel ID]],7),SP_TaxPar_DB[Tax Parcel ID],0))</f>
        <v>T268</v>
      </c>
      <c r="X991" s="238" t="str">
        <f>IF(OR(SP_ACQ_Lib[[#This Row],[Acquisition Tract No.]]="",SP_ACQ_Lib[[#This Row],[ACQ Document Type]]=""),0,CONCATENATE("COW-FRMP_TR-",SP_ACQ_Lib[[#This Row],[Acquisition Tract No.]]," ",SP_ACQ_Lib[[#This Row],[ACQ Document Type]]))</f>
        <v>COW-FRMP_TR-T268 CONTACT Negotiator Report</v>
      </c>
      <c r="Y991" s="239">
        <f>IF(OR(SP_ACQ_Lib[[#This Row],[File Name Convention]]=0,LEFT(SP_ACQ_Lib[[#This Row],[Name]],LEN(SP_ACQ_Lib[[#This Row],[File Name Convention]]))&lt;&gt;SP_ACQ_Lib[[#This Row],[File Name Convention]],ISERROR(SEARCH(SP_ACQ_Lib[[#This Row],[ACQ Document Type]],SP_ACQ_Lib[[#This Row],[Name]]))),1,0)</f>
        <v>0</v>
      </c>
    </row>
    <row r="992" spans="1:25" ht="15" x14ac:dyDescent="0.2">
      <c r="A992" s="157" t="str">
        <f>CONCATENATE(SP_ACQ_Lib[[#This Row],[Acquisition Tract No.]],"_",SP_ACQ_Lib[[#This Row],[ACQ Document Type]])</f>
        <v>T268_ROE Right-of-Entry Executed</v>
      </c>
      <c r="B992" s="14" t="s">
        <v>6547</v>
      </c>
      <c r="C992" s="263" t="s">
        <v>5377</v>
      </c>
      <c r="D992" s="12" t="s">
        <v>5089</v>
      </c>
      <c r="E992" s="8" t="s">
        <v>1146</v>
      </c>
      <c r="F992" s="8" t="s">
        <v>2683</v>
      </c>
      <c r="G992" s="8" t="s">
        <v>5660</v>
      </c>
      <c r="H992" s="7" t="s">
        <v>592</v>
      </c>
      <c r="I992" s="16">
        <v>44014</v>
      </c>
      <c r="J992" s="16">
        <v>44198</v>
      </c>
      <c r="K992" s="17"/>
      <c r="L992" s="3"/>
      <c r="M992" s="8" t="s">
        <v>4206</v>
      </c>
      <c r="N992" s="11">
        <v>44018.432546296295</v>
      </c>
      <c r="O992" s="8" t="s">
        <v>4206</v>
      </c>
      <c r="P992" s="11">
        <v>44018.426863425928</v>
      </c>
      <c r="Q992" s="13">
        <v>1979150</v>
      </c>
      <c r="R992" s="264" t="s">
        <v>594</v>
      </c>
      <c r="S992" s="14" t="s">
        <v>6611</v>
      </c>
      <c r="T992" s="163">
        <v>1335</v>
      </c>
      <c r="U992" s="164" t="str">
        <f>CONCATENATE(LEFT(SP_ACQ_Lib[[#This Row],[Tax Parcel ID]],7),"_",SP_ACQ_Lib[[#This Row],[ACQ Document Type]])</f>
        <v>R032148_ROE Right-of-Entry Executed</v>
      </c>
      <c r="V992" s="65" t="str">
        <f>INDEX(SP_AcqTract_DB[WCAD Tax Parcel ID],MATCH(SP_ACQ_Lib[[#This Row],[Acquisition Tract No.]],SP_AcqTract_DB[Acquisition Tract No.],0))</f>
        <v>R032148;#298</v>
      </c>
      <c r="W992" s="48" t="str">
        <f>INDEX(SP_TaxPar_DB[Acquisition Tract No.],MATCH(LEFT(SP_ACQ_Lib[[#This Row],[Tax Parcel ID]],7),SP_TaxPar_DB[Tax Parcel ID],0))</f>
        <v>T268</v>
      </c>
      <c r="X992" s="238" t="str">
        <f>IF(OR(SP_ACQ_Lib[[#This Row],[Acquisition Tract No.]]="",SP_ACQ_Lib[[#This Row],[ACQ Document Type]]=""),0,CONCATENATE("COW-FRMP_TR-",SP_ACQ_Lib[[#This Row],[Acquisition Tract No.]]," ",SP_ACQ_Lib[[#This Row],[ACQ Document Type]]))</f>
        <v>COW-FRMP_TR-T268 ROE Right-of-Entry Executed</v>
      </c>
      <c r="Y992" s="239">
        <f>IF(OR(SP_ACQ_Lib[[#This Row],[File Name Convention]]=0,LEFT(SP_ACQ_Lib[[#This Row],[Name]],LEN(SP_ACQ_Lib[[#This Row],[File Name Convention]]))&lt;&gt;SP_ACQ_Lib[[#This Row],[File Name Convention]],ISERROR(SEARCH(SP_ACQ_Lib[[#This Row],[ACQ Document Type]],SP_ACQ_Lib[[#This Row],[Name]]))),1,0)</f>
        <v>0</v>
      </c>
    </row>
    <row r="993" spans="1:25" ht="15" x14ac:dyDescent="0.2">
      <c r="A993" s="157" t="str">
        <f>CONCATENATE(SP_ACQ_Lib[[#This Row],[Acquisition Tract No.]],"_",SP_ACQ_Lib[[#This Row],[ACQ Document Type]])</f>
        <v>T268_ROE Right-of-Entry Package</v>
      </c>
      <c r="B993" s="14" t="s">
        <v>5788</v>
      </c>
      <c r="C993" s="263" t="s">
        <v>5377</v>
      </c>
      <c r="D993" s="12" t="s">
        <v>5089</v>
      </c>
      <c r="E993" s="8" t="s">
        <v>1146</v>
      </c>
      <c r="F993" s="8" t="s">
        <v>2687</v>
      </c>
      <c r="G993" s="8" t="s">
        <v>5659</v>
      </c>
      <c r="H993" s="7" t="s">
        <v>592</v>
      </c>
      <c r="I993" s="16">
        <v>43985</v>
      </c>
      <c r="J993" s="16"/>
      <c r="K993" s="17"/>
      <c r="L993" s="3"/>
      <c r="M993" s="8" t="s">
        <v>4206</v>
      </c>
      <c r="N993" s="11">
        <v>43986.583738425928</v>
      </c>
      <c r="O993" s="8" t="s">
        <v>4206</v>
      </c>
      <c r="P993" s="11">
        <v>43986.569722222222</v>
      </c>
      <c r="Q993" s="13">
        <v>977958</v>
      </c>
      <c r="R993" s="264" t="s">
        <v>594</v>
      </c>
      <c r="S993" s="14" t="s">
        <v>5820</v>
      </c>
      <c r="T993" s="163">
        <v>1118</v>
      </c>
      <c r="U993" s="164" t="str">
        <f>CONCATENATE(LEFT(SP_ACQ_Lib[[#This Row],[Tax Parcel ID]],7),"_",SP_ACQ_Lib[[#This Row],[ACQ Document Type]])</f>
        <v>R032148_ROE Right-of-Entry Package</v>
      </c>
      <c r="V993" s="65" t="str">
        <f>INDEX(SP_AcqTract_DB[WCAD Tax Parcel ID],MATCH(SP_ACQ_Lib[[#This Row],[Acquisition Tract No.]],SP_AcqTract_DB[Acquisition Tract No.],0))</f>
        <v>R032148;#298</v>
      </c>
      <c r="W993" s="48" t="str">
        <f>INDEX(SP_TaxPar_DB[Acquisition Tract No.],MATCH(LEFT(SP_ACQ_Lib[[#This Row],[Tax Parcel ID]],7),SP_TaxPar_DB[Tax Parcel ID],0))</f>
        <v>T268</v>
      </c>
      <c r="X993" s="238" t="str">
        <f>IF(OR(SP_ACQ_Lib[[#This Row],[Acquisition Tract No.]]="",SP_ACQ_Lib[[#This Row],[ACQ Document Type]]=""),0,CONCATENATE("COW-FRMP_TR-",SP_ACQ_Lib[[#This Row],[Acquisition Tract No.]]," ",SP_ACQ_Lib[[#This Row],[ACQ Document Type]]))</f>
        <v>COW-FRMP_TR-T268 ROE Right-of-Entry Package</v>
      </c>
      <c r="Y993" s="239">
        <f>IF(OR(SP_ACQ_Lib[[#This Row],[File Name Convention]]=0,LEFT(SP_ACQ_Lib[[#This Row],[Name]],LEN(SP_ACQ_Lib[[#This Row],[File Name Convention]]))&lt;&gt;SP_ACQ_Lib[[#This Row],[File Name Convention]],ISERROR(SEARCH(SP_ACQ_Lib[[#This Row],[ACQ Document Type]],SP_ACQ_Lib[[#This Row],[Name]]))),1,0)</f>
        <v>0</v>
      </c>
    </row>
    <row r="994" spans="1:25" ht="15" x14ac:dyDescent="0.2">
      <c r="A994" s="157" t="str">
        <f>CONCATENATE(SP_ACQ_Lib[[#This Row],[Acquisition Tract No.]],"_",SP_ACQ_Lib[[#This Row],[ACQ Document Type]])</f>
        <v>T269_CONTACT Negotiator Report</v>
      </c>
      <c r="B994" s="14" t="s">
        <v>5651</v>
      </c>
      <c r="C994" s="263" t="s">
        <v>5379</v>
      </c>
      <c r="D994" s="12" t="s">
        <v>5092</v>
      </c>
      <c r="E994" s="8" t="s">
        <v>865</v>
      </c>
      <c r="F994" s="8" t="s">
        <v>1068</v>
      </c>
      <c r="G994" s="8" t="s">
        <v>1067</v>
      </c>
      <c r="H994" s="7" t="s">
        <v>592</v>
      </c>
      <c r="I994" s="16">
        <v>43984</v>
      </c>
      <c r="J994" s="16"/>
      <c r="K994" s="17"/>
      <c r="L994" s="3"/>
      <c r="M994" s="8" t="s">
        <v>5648</v>
      </c>
      <c r="N994" s="11">
        <v>44000.453379629631</v>
      </c>
      <c r="O994" s="8" t="s">
        <v>5648</v>
      </c>
      <c r="P994" s="11">
        <v>43997.634143518517</v>
      </c>
      <c r="Q994" s="13">
        <v>39308</v>
      </c>
      <c r="R994" s="264" t="s">
        <v>594</v>
      </c>
      <c r="S994" s="14" t="s">
        <v>6259</v>
      </c>
      <c r="T994" s="163">
        <v>1210</v>
      </c>
      <c r="U994" s="164" t="str">
        <f>CONCATENATE(LEFT(SP_ACQ_Lib[[#This Row],[Tax Parcel ID]],7),"_",SP_ACQ_Lib[[#This Row],[ACQ Document Type]])</f>
        <v>R032149_CONTACT Negotiator Report</v>
      </c>
      <c r="V994" s="65" t="str">
        <f>INDEX(SP_AcqTract_DB[WCAD Tax Parcel ID],MATCH(SP_ACQ_Lib[[#This Row],[Acquisition Tract No.]],SP_AcqTract_DB[Acquisition Tract No.],0))</f>
        <v>R032149;#299</v>
      </c>
      <c r="W994" s="48" t="str">
        <f>INDEX(SP_TaxPar_DB[Acquisition Tract No.],MATCH(LEFT(SP_ACQ_Lib[[#This Row],[Tax Parcel ID]],7),SP_TaxPar_DB[Tax Parcel ID],0))</f>
        <v>T269</v>
      </c>
      <c r="X994" s="238" t="str">
        <f>IF(OR(SP_ACQ_Lib[[#This Row],[Acquisition Tract No.]]="",SP_ACQ_Lib[[#This Row],[ACQ Document Type]]=""),0,CONCATENATE("COW-FRMP_TR-",SP_ACQ_Lib[[#This Row],[Acquisition Tract No.]]," ",SP_ACQ_Lib[[#This Row],[ACQ Document Type]]))</f>
        <v>COW-FRMP_TR-T269 CONTACT Negotiator Report</v>
      </c>
      <c r="Y994" s="239">
        <f>IF(OR(SP_ACQ_Lib[[#This Row],[File Name Convention]]=0,LEFT(SP_ACQ_Lib[[#This Row],[Name]],LEN(SP_ACQ_Lib[[#This Row],[File Name Convention]]))&lt;&gt;SP_ACQ_Lib[[#This Row],[File Name Convention]],ISERROR(SEARCH(SP_ACQ_Lib[[#This Row],[ACQ Document Type]],SP_ACQ_Lib[[#This Row],[Name]]))),1,0)</f>
        <v>0</v>
      </c>
    </row>
    <row r="995" spans="1:25" ht="15" x14ac:dyDescent="0.2">
      <c r="A995" s="157" t="str">
        <f>CONCATENATE(SP_ACQ_Lib[[#This Row],[Acquisition Tract No.]],"_",SP_ACQ_Lib[[#This Row],[ACQ Document Type]])</f>
        <v>T269_ROE Right-of-Entry Executed</v>
      </c>
      <c r="B995" s="14" t="s">
        <v>6355</v>
      </c>
      <c r="C995" s="263" t="s">
        <v>5379</v>
      </c>
      <c r="D995" s="12" t="s">
        <v>5092</v>
      </c>
      <c r="E995" s="8" t="s">
        <v>1146</v>
      </c>
      <c r="F995" s="8" t="s">
        <v>2683</v>
      </c>
      <c r="G995" s="8" t="s">
        <v>5660</v>
      </c>
      <c r="H995" s="7" t="s">
        <v>592</v>
      </c>
      <c r="I995" s="16">
        <v>43992</v>
      </c>
      <c r="J995" s="16">
        <v>43992</v>
      </c>
      <c r="K995" s="17"/>
      <c r="L995" s="3"/>
      <c r="M995" s="8" t="s">
        <v>4206</v>
      </c>
      <c r="N995" s="11">
        <v>44000.549375000002</v>
      </c>
      <c r="O995" s="8" t="s">
        <v>4206</v>
      </c>
      <c r="P995" s="11">
        <v>44000.543263888889</v>
      </c>
      <c r="Q995" s="13">
        <v>1990329</v>
      </c>
      <c r="R995" s="264" t="s">
        <v>594</v>
      </c>
      <c r="S995" s="14" t="s">
        <v>6424</v>
      </c>
      <c r="T995" s="163">
        <v>1233</v>
      </c>
      <c r="U995" s="164" t="str">
        <f>CONCATENATE(LEFT(SP_ACQ_Lib[[#This Row],[Tax Parcel ID]],7),"_",SP_ACQ_Lib[[#This Row],[ACQ Document Type]])</f>
        <v>R032149_ROE Right-of-Entry Executed</v>
      </c>
      <c r="V995" s="65" t="str">
        <f>INDEX(SP_AcqTract_DB[WCAD Tax Parcel ID],MATCH(SP_ACQ_Lib[[#This Row],[Acquisition Tract No.]],SP_AcqTract_DB[Acquisition Tract No.],0))</f>
        <v>R032149;#299</v>
      </c>
      <c r="W995" s="48" t="str">
        <f>INDEX(SP_TaxPar_DB[Acquisition Tract No.],MATCH(LEFT(SP_ACQ_Lib[[#This Row],[Tax Parcel ID]],7),SP_TaxPar_DB[Tax Parcel ID],0))</f>
        <v>T269</v>
      </c>
      <c r="X995" s="238" t="str">
        <f>IF(OR(SP_ACQ_Lib[[#This Row],[Acquisition Tract No.]]="",SP_ACQ_Lib[[#This Row],[ACQ Document Type]]=""),0,CONCATENATE("COW-FRMP_TR-",SP_ACQ_Lib[[#This Row],[Acquisition Tract No.]]," ",SP_ACQ_Lib[[#This Row],[ACQ Document Type]]))</f>
        <v>COW-FRMP_TR-T269 ROE Right-of-Entry Executed</v>
      </c>
      <c r="Y995" s="239">
        <f>IF(OR(SP_ACQ_Lib[[#This Row],[File Name Convention]]=0,LEFT(SP_ACQ_Lib[[#This Row],[Name]],LEN(SP_ACQ_Lib[[#This Row],[File Name Convention]]))&lt;&gt;SP_ACQ_Lib[[#This Row],[File Name Convention]],ISERROR(SEARCH(SP_ACQ_Lib[[#This Row],[ACQ Document Type]],SP_ACQ_Lib[[#This Row],[Name]]))),1,0)</f>
        <v>0</v>
      </c>
    </row>
    <row r="996" spans="1:25" ht="15" x14ac:dyDescent="0.2">
      <c r="A996" s="157" t="str">
        <f>CONCATENATE(SP_ACQ_Lib[[#This Row],[Acquisition Tract No.]],"_",SP_ACQ_Lib[[#This Row],[ACQ Document Type]])</f>
        <v>T269_ROE Right-of-Entry Package</v>
      </c>
      <c r="B996" s="14" t="s">
        <v>5789</v>
      </c>
      <c r="C996" s="263" t="s">
        <v>5379</v>
      </c>
      <c r="D996" s="12" t="s">
        <v>5092</v>
      </c>
      <c r="E996" s="8" t="s">
        <v>1146</v>
      </c>
      <c r="F996" s="8" t="s">
        <v>2687</v>
      </c>
      <c r="G996" s="8" t="s">
        <v>5659</v>
      </c>
      <c r="H996" s="7" t="s">
        <v>592</v>
      </c>
      <c r="I996" s="16">
        <v>43985</v>
      </c>
      <c r="J996" s="16"/>
      <c r="K996" s="17"/>
      <c r="L996" s="3"/>
      <c r="M996" s="8" t="s">
        <v>4206</v>
      </c>
      <c r="N996" s="11">
        <v>43986.58421296296</v>
      </c>
      <c r="O996" s="8" t="s">
        <v>4206</v>
      </c>
      <c r="P996" s="11">
        <v>43986.569745370369</v>
      </c>
      <c r="Q996" s="13">
        <v>891318</v>
      </c>
      <c r="R996" s="264" t="s">
        <v>594</v>
      </c>
      <c r="S996" s="14" t="s">
        <v>5821</v>
      </c>
      <c r="T996" s="163">
        <v>1119</v>
      </c>
      <c r="U996" s="164" t="str">
        <f>CONCATENATE(LEFT(SP_ACQ_Lib[[#This Row],[Tax Parcel ID]],7),"_",SP_ACQ_Lib[[#This Row],[ACQ Document Type]])</f>
        <v>R032149_ROE Right-of-Entry Package</v>
      </c>
      <c r="V996" s="65" t="str">
        <f>INDEX(SP_AcqTract_DB[WCAD Tax Parcel ID],MATCH(SP_ACQ_Lib[[#This Row],[Acquisition Tract No.]],SP_AcqTract_DB[Acquisition Tract No.],0))</f>
        <v>R032149;#299</v>
      </c>
      <c r="W996" s="48" t="str">
        <f>INDEX(SP_TaxPar_DB[Acquisition Tract No.],MATCH(LEFT(SP_ACQ_Lib[[#This Row],[Tax Parcel ID]],7),SP_TaxPar_DB[Tax Parcel ID],0))</f>
        <v>T269</v>
      </c>
      <c r="X996" s="238" t="str">
        <f>IF(OR(SP_ACQ_Lib[[#This Row],[Acquisition Tract No.]]="",SP_ACQ_Lib[[#This Row],[ACQ Document Type]]=""),0,CONCATENATE("COW-FRMP_TR-",SP_ACQ_Lib[[#This Row],[Acquisition Tract No.]]," ",SP_ACQ_Lib[[#This Row],[ACQ Document Type]]))</f>
        <v>COW-FRMP_TR-T269 ROE Right-of-Entry Package</v>
      </c>
      <c r="Y996" s="239">
        <f>IF(OR(SP_ACQ_Lib[[#This Row],[File Name Convention]]=0,LEFT(SP_ACQ_Lib[[#This Row],[Name]],LEN(SP_ACQ_Lib[[#This Row],[File Name Convention]]))&lt;&gt;SP_ACQ_Lib[[#This Row],[File Name Convention]],ISERROR(SEARCH(SP_ACQ_Lib[[#This Row],[ACQ Document Type]],SP_ACQ_Lib[[#This Row],[Name]]))),1,0)</f>
        <v>0</v>
      </c>
    </row>
    <row r="997" spans="1:25" ht="15" x14ac:dyDescent="0.2">
      <c r="A997" s="157" t="str">
        <f>CONCATENATE(SP_ACQ_Lib[[#This Row],[Acquisition Tract No.]],"_",SP_ACQ_Lib[[#This Row],[ACQ Document Type]])</f>
        <v>T271_ROE Right-of-Entry Executed</v>
      </c>
      <c r="B997" s="14" t="s">
        <v>5744</v>
      </c>
      <c r="C997" s="263" t="s">
        <v>5383</v>
      </c>
      <c r="D997" s="12" t="s">
        <v>5844</v>
      </c>
      <c r="E997" s="8" t="s">
        <v>1146</v>
      </c>
      <c r="F997" s="8" t="s">
        <v>2683</v>
      </c>
      <c r="G997" s="8" t="s">
        <v>5660</v>
      </c>
      <c r="H997" s="7" t="s">
        <v>592</v>
      </c>
      <c r="I997" s="16">
        <v>43600</v>
      </c>
      <c r="J997" s="16">
        <v>44168</v>
      </c>
      <c r="K997" s="17"/>
      <c r="L997" s="3" t="s">
        <v>5740</v>
      </c>
      <c r="M997" s="8" t="s">
        <v>4205</v>
      </c>
      <c r="N997" s="11">
        <v>43992.637557870374</v>
      </c>
      <c r="O997" s="8" t="s">
        <v>4206</v>
      </c>
      <c r="P997" s="11">
        <v>43986.386782407404</v>
      </c>
      <c r="Q997" s="13">
        <v>1419507</v>
      </c>
      <c r="R997" s="264" t="s">
        <v>594</v>
      </c>
      <c r="S997" s="14" t="s">
        <v>5751</v>
      </c>
      <c r="T997" s="163">
        <v>1110</v>
      </c>
      <c r="U997" s="164" t="str">
        <f>CONCATENATE(LEFT(SP_ACQ_Lib[[#This Row],[Tax Parcel ID]],7),"_",SP_ACQ_Lib[[#This Row],[ACQ Document Type]])</f>
        <v>Ro68875_ROE Right-of-Entry Executed</v>
      </c>
      <c r="V997" s="65" t="str">
        <f>INDEX(SP_AcqTract_DB[WCAD Tax Parcel ID],MATCH(SP_ACQ_Lib[[#This Row],[Acquisition Tract No.]],SP_AcqTract_DB[Acquisition Tract No.],0))</f>
        <v>Ro68875;#301</v>
      </c>
      <c r="W997" s="48" t="str">
        <f>INDEX(SP_TaxPar_DB[Acquisition Tract No.],MATCH(LEFT(SP_ACQ_Lib[[#This Row],[Tax Parcel ID]],7),SP_TaxPar_DB[Tax Parcel ID],0))</f>
        <v>T271</v>
      </c>
      <c r="X997" s="238" t="str">
        <f>IF(OR(SP_ACQ_Lib[[#This Row],[Acquisition Tract No.]]="",SP_ACQ_Lib[[#This Row],[ACQ Document Type]]=""),0,CONCATENATE("COW-FRMP_TR-",SP_ACQ_Lib[[#This Row],[Acquisition Tract No.]]," ",SP_ACQ_Lib[[#This Row],[ACQ Document Type]]))</f>
        <v>COW-FRMP_TR-T271 ROE Right-of-Entry Executed</v>
      </c>
      <c r="Y997" s="239">
        <f>IF(OR(SP_ACQ_Lib[[#This Row],[File Name Convention]]=0,LEFT(SP_ACQ_Lib[[#This Row],[Name]],LEN(SP_ACQ_Lib[[#This Row],[File Name Convention]]))&lt;&gt;SP_ACQ_Lib[[#This Row],[File Name Convention]],ISERROR(SEARCH(SP_ACQ_Lib[[#This Row],[ACQ Document Type]],SP_ACQ_Lib[[#This Row],[Name]]))),1,0)</f>
        <v>0</v>
      </c>
    </row>
    <row r="998" spans="1:25" ht="15" x14ac:dyDescent="0.2">
      <c r="A998" s="157" t="str">
        <f>CONCATENATE(SP_ACQ_Lib[[#This Row],[Acquisition Tract No.]],"_",SP_ACQ_Lib[[#This Row],[ACQ Document Type]])</f>
        <v>T272_ROE Right-of-Entry Executed</v>
      </c>
      <c r="B998" s="14" t="s">
        <v>5745</v>
      </c>
      <c r="C998" s="263" t="s">
        <v>5710</v>
      </c>
      <c r="D998" s="12" t="s">
        <v>5711</v>
      </c>
      <c r="E998" s="8" t="s">
        <v>1146</v>
      </c>
      <c r="F998" s="8" t="s">
        <v>2683</v>
      </c>
      <c r="G998" s="8" t="s">
        <v>5660</v>
      </c>
      <c r="H998" s="7" t="s">
        <v>592</v>
      </c>
      <c r="I998" s="16">
        <v>43600</v>
      </c>
      <c r="J998" s="16">
        <v>44168</v>
      </c>
      <c r="K998" s="17"/>
      <c r="L998" s="3" t="s">
        <v>5740</v>
      </c>
      <c r="M998" s="8" t="s">
        <v>4205</v>
      </c>
      <c r="N998" s="11">
        <v>43992.637881944444</v>
      </c>
      <c r="O998" s="8" t="s">
        <v>4206</v>
      </c>
      <c r="P998" s="11">
        <v>43986.386828703704</v>
      </c>
      <c r="Q998" s="13">
        <v>1419507</v>
      </c>
      <c r="R998" s="264" t="s">
        <v>594</v>
      </c>
      <c r="S998" s="14" t="s">
        <v>5752</v>
      </c>
      <c r="T998" s="163">
        <v>1111</v>
      </c>
      <c r="U998" s="164" t="str">
        <f>CONCATENATE(LEFT(SP_ACQ_Lib[[#This Row],[Tax Parcel ID]],7),"_",SP_ACQ_Lib[[#This Row],[ACQ Document Type]])</f>
        <v>R068877_ROE Right-of-Entry Executed</v>
      </c>
      <c r="V998" s="65" t="str">
        <f>INDEX(SP_AcqTract_DB[WCAD Tax Parcel ID],MATCH(SP_ACQ_Lib[[#This Row],[Acquisition Tract No.]],SP_AcqTract_DB[Acquisition Tract No.],0))</f>
        <v>R068877;#305</v>
      </c>
      <c r="W998" s="48" t="str">
        <f>INDEX(SP_TaxPar_DB[Acquisition Tract No.],MATCH(LEFT(SP_ACQ_Lib[[#This Row],[Tax Parcel ID]],7),SP_TaxPar_DB[Tax Parcel ID],0))</f>
        <v>T272</v>
      </c>
      <c r="X998" s="238" t="str">
        <f>IF(OR(SP_ACQ_Lib[[#This Row],[Acquisition Tract No.]]="",SP_ACQ_Lib[[#This Row],[ACQ Document Type]]=""),0,CONCATENATE("COW-FRMP_TR-",SP_ACQ_Lib[[#This Row],[Acquisition Tract No.]]," ",SP_ACQ_Lib[[#This Row],[ACQ Document Type]]))</f>
        <v>COW-FRMP_TR-T272 ROE Right-of-Entry Executed</v>
      </c>
      <c r="Y998" s="239">
        <f>IF(OR(SP_ACQ_Lib[[#This Row],[File Name Convention]]=0,LEFT(SP_ACQ_Lib[[#This Row],[Name]],LEN(SP_ACQ_Lib[[#This Row],[File Name Convention]]))&lt;&gt;SP_ACQ_Lib[[#This Row],[File Name Convention]],ISERROR(SEARCH(SP_ACQ_Lib[[#This Row],[ACQ Document Type]],SP_ACQ_Lib[[#This Row],[Name]]))),1,0)</f>
        <v>0</v>
      </c>
    </row>
    <row r="999" spans="1:25" ht="15" x14ac:dyDescent="0.2">
      <c r="A999" s="157" t="str">
        <f>CONCATENATE(SP_ACQ_Lib[[#This Row],[Acquisition Tract No.]],"_",SP_ACQ_Lib[[#This Row],[ACQ Document Type]])</f>
        <v>T273_ROE Right-of-Entry Executed</v>
      </c>
      <c r="B999" s="14" t="s">
        <v>6356</v>
      </c>
      <c r="C999" s="263" t="s">
        <v>5715</v>
      </c>
      <c r="D999" s="12" t="s">
        <v>5716</v>
      </c>
      <c r="E999" s="8" t="s">
        <v>1146</v>
      </c>
      <c r="F999" s="8" t="s">
        <v>2683</v>
      </c>
      <c r="G999" s="8" t="s">
        <v>5660</v>
      </c>
      <c r="H999" s="7" t="s">
        <v>592</v>
      </c>
      <c r="I999" s="16">
        <v>43976</v>
      </c>
      <c r="J999" s="16">
        <v>44160</v>
      </c>
      <c r="K999" s="17"/>
      <c r="L999" s="3"/>
      <c r="M999" s="8" t="s">
        <v>4206</v>
      </c>
      <c r="N999" s="11">
        <v>44004.442777777775</v>
      </c>
      <c r="O999" s="8" t="s">
        <v>4206</v>
      </c>
      <c r="P999" s="11">
        <v>44004.430960648147</v>
      </c>
      <c r="Q999" s="13">
        <v>1808693</v>
      </c>
      <c r="R999" s="264" t="s">
        <v>594</v>
      </c>
      <c r="S999" s="14" t="s">
        <v>6425</v>
      </c>
      <c r="T999" s="163">
        <v>1246</v>
      </c>
      <c r="U999" s="164" t="str">
        <f>CONCATENATE(LEFT(SP_ACQ_Lib[[#This Row],[Tax Parcel ID]],7),"_",SP_ACQ_Lib[[#This Row],[ACQ Document Type]])</f>
        <v>R020858_ROE Right-of-Entry Executed</v>
      </c>
      <c r="V999" s="65" t="str">
        <f>INDEX(SP_AcqTract_DB[WCAD Tax Parcel ID],MATCH(SP_ACQ_Lib[[#This Row],[Acquisition Tract No.]],SP_AcqTract_DB[Acquisition Tract No.],0))</f>
        <v>R020858;#302</v>
      </c>
      <c r="W999" s="48" t="str">
        <f>INDEX(SP_TaxPar_DB[Acquisition Tract No.],MATCH(LEFT(SP_ACQ_Lib[[#This Row],[Tax Parcel ID]],7),SP_TaxPar_DB[Tax Parcel ID],0))</f>
        <v>T273</v>
      </c>
      <c r="X999" s="238" t="str">
        <f>IF(OR(SP_ACQ_Lib[[#This Row],[Acquisition Tract No.]]="",SP_ACQ_Lib[[#This Row],[ACQ Document Type]]=""),0,CONCATENATE("COW-FRMP_TR-",SP_ACQ_Lib[[#This Row],[Acquisition Tract No.]]," ",SP_ACQ_Lib[[#This Row],[ACQ Document Type]]))</f>
        <v>COW-FRMP_TR-T273 ROE Right-of-Entry Executed</v>
      </c>
      <c r="Y999" s="239">
        <f>IF(OR(SP_ACQ_Lib[[#This Row],[File Name Convention]]=0,LEFT(SP_ACQ_Lib[[#This Row],[Name]],LEN(SP_ACQ_Lib[[#This Row],[File Name Convention]]))&lt;&gt;SP_ACQ_Lib[[#This Row],[File Name Convention]],ISERROR(SEARCH(SP_ACQ_Lib[[#This Row],[ACQ Document Type]],SP_ACQ_Lib[[#This Row],[Name]]))),1,0)</f>
        <v>0</v>
      </c>
    </row>
    <row r="1000" spans="1:25" ht="15" x14ac:dyDescent="0.2">
      <c r="A1000" s="157" t="str">
        <f>CONCATENATE(SP_ACQ_Lib[[#This Row],[Acquisition Tract No.]],"_",SP_ACQ_Lib[[#This Row],[ACQ Document Type]])</f>
        <v>T274_ENVIRONMENTAL Right-of-Entry Executed</v>
      </c>
      <c r="B1000" s="14" t="s">
        <v>5637</v>
      </c>
      <c r="C1000" s="263" t="s">
        <v>5536</v>
      </c>
      <c r="D1000" s="12" t="s">
        <v>3288</v>
      </c>
      <c r="E1000" s="8" t="s">
        <v>2682</v>
      </c>
      <c r="F1000" s="8" t="s">
        <v>2683</v>
      </c>
      <c r="G1000" s="8" t="s">
        <v>2681</v>
      </c>
      <c r="H1000" s="7" t="s">
        <v>592</v>
      </c>
      <c r="I1000" s="16">
        <v>43865</v>
      </c>
      <c r="J1000" s="16"/>
      <c r="K1000" s="17"/>
      <c r="L1000" s="3"/>
      <c r="M1000" s="8" t="s">
        <v>4206</v>
      </c>
      <c r="N1000" s="11">
        <v>43983.726643518516</v>
      </c>
      <c r="O1000" s="8" t="s">
        <v>4206</v>
      </c>
      <c r="P1000" s="11">
        <v>43971.421817129631</v>
      </c>
      <c r="Q1000" s="13">
        <v>1791057</v>
      </c>
      <c r="R1000" s="264" t="s">
        <v>594</v>
      </c>
      <c r="S1000" s="14" t="s">
        <v>5209</v>
      </c>
      <c r="T1000" s="163">
        <v>980</v>
      </c>
      <c r="U1000" s="164" t="str">
        <f>CONCATENATE(LEFT(SP_ACQ_Lib[[#This Row],[Tax Parcel ID]],7),"_",SP_ACQ_Lib[[#This Row],[ACQ Document Type]])</f>
        <v>R052351_ENVIRONMENTAL Right-of-Entry Executed</v>
      </c>
      <c r="V1000" s="65" t="str">
        <f>INDEX(SP_AcqTract_DB[WCAD Tax Parcel ID],MATCH(SP_ACQ_Lib[[#This Row],[Acquisition Tract No.]],SP_AcqTract_DB[Acquisition Tract No.],0))</f>
        <v>R052351;#256</v>
      </c>
      <c r="W1000" s="48" t="str">
        <f>INDEX(SP_TaxPar_DB[Acquisition Tract No.],MATCH(LEFT(SP_ACQ_Lib[[#This Row],[Tax Parcel ID]],7),SP_TaxPar_DB[Tax Parcel ID],0))</f>
        <v>T274</v>
      </c>
      <c r="X1000" s="238" t="str">
        <f>IF(OR(SP_ACQ_Lib[[#This Row],[Acquisition Tract No.]]="",SP_ACQ_Lib[[#This Row],[ACQ Document Type]]=""),0,CONCATENATE("COW-FRMP_TR-",SP_ACQ_Lib[[#This Row],[Acquisition Tract No.]]," ",SP_ACQ_Lib[[#This Row],[ACQ Document Type]]))</f>
        <v>COW-FRMP_TR-T274 ENVIRONMENTAL Right-of-Entry Executed</v>
      </c>
      <c r="Y1000" s="239">
        <f>IF(OR(SP_ACQ_Lib[[#This Row],[File Name Convention]]=0,LEFT(SP_ACQ_Lib[[#This Row],[Name]],LEN(SP_ACQ_Lib[[#This Row],[File Name Convention]]))&lt;&gt;SP_ACQ_Lib[[#This Row],[File Name Convention]],ISERROR(SEARCH(SP_ACQ_Lib[[#This Row],[ACQ Document Type]],SP_ACQ_Lib[[#This Row],[Name]]))),1,0)</f>
        <v>0</v>
      </c>
    </row>
    <row r="1001" spans="1:25" ht="15" x14ac:dyDescent="0.2">
      <c r="A1001" s="157" t="str">
        <f>CONCATENATE(SP_ACQ_Lib[[#This Row],[Acquisition Tract No.]],"_",SP_ACQ_Lib[[#This Row],[ACQ Document Type]])</f>
        <v>T274_ROE Right-of-Entry Executed</v>
      </c>
      <c r="B1001" s="14" t="s">
        <v>5683</v>
      </c>
      <c r="C1001" s="263" t="s">
        <v>5536</v>
      </c>
      <c r="D1001" s="12" t="s">
        <v>3288</v>
      </c>
      <c r="E1001" s="8" t="s">
        <v>1146</v>
      </c>
      <c r="F1001" s="8" t="s">
        <v>2683</v>
      </c>
      <c r="G1001" s="8" t="s">
        <v>5660</v>
      </c>
      <c r="H1001" s="7" t="s">
        <v>592</v>
      </c>
      <c r="I1001" s="16">
        <v>43976</v>
      </c>
      <c r="J1001" s="16">
        <v>44160</v>
      </c>
      <c r="K1001" s="17"/>
      <c r="L1001" s="3"/>
      <c r="M1001" s="8" t="s">
        <v>4206</v>
      </c>
      <c r="N1001" s="11">
        <v>43986.619768518518</v>
      </c>
      <c r="O1001" s="8" t="s">
        <v>4206</v>
      </c>
      <c r="P1001" s="11">
        <v>43983.624664351853</v>
      </c>
      <c r="Q1001" s="13">
        <v>1645332</v>
      </c>
      <c r="R1001" s="264" t="s">
        <v>594</v>
      </c>
      <c r="S1001" s="14" t="s">
        <v>5640</v>
      </c>
      <c r="T1001" s="163">
        <v>1076</v>
      </c>
      <c r="U1001" s="164" t="str">
        <f>CONCATENATE(LEFT(SP_ACQ_Lib[[#This Row],[Tax Parcel ID]],7),"_",SP_ACQ_Lib[[#This Row],[ACQ Document Type]])</f>
        <v>R052351_ROE Right-of-Entry Executed</v>
      </c>
      <c r="V1001" s="65" t="str">
        <f>INDEX(SP_AcqTract_DB[WCAD Tax Parcel ID],MATCH(SP_ACQ_Lib[[#This Row],[Acquisition Tract No.]],SP_AcqTract_DB[Acquisition Tract No.],0))</f>
        <v>R052351;#256</v>
      </c>
      <c r="W1001" s="48" t="str">
        <f>INDEX(SP_TaxPar_DB[Acquisition Tract No.],MATCH(LEFT(SP_ACQ_Lib[[#This Row],[Tax Parcel ID]],7),SP_TaxPar_DB[Tax Parcel ID],0))</f>
        <v>T274</v>
      </c>
      <c r="X1001" s="238" t="str">
        <f>IF(OR(SP_ACQ_Lib[[#This Row],[Acquisition Tract No.]]="",SP_ACQ_Lib[[#This Row],[ACQ Document Type]]=""),0,CONCATENATE("COW-FRMP_TR-",SP_ACQ_Lib[[#This Row],[Acquisition Tract No.]]," ",SP_ACQ_Lib[[#This Row],[ACQ Document Type]]))</f>
        <v>COW-FRMP_TR-T274 ROE Right-of-Entry Executed</v>
      </c>
      <c r="Y1001" s="239">
        <f>IF(OR(SP_ACQ_Lib[[#This Row],[File Name Convention]]=0,LEFT(SP_ACQ_Lib[[#This Row],[Name]],LEN(SP_ACQ_Lib[[#This Row],[File Name Convention]]))&lt;&gt;SP_ACQ_Lib[[#This Row],[File Name Convention]],ISERROR(SEARCH(SP_ACQ_Lib[[#This Row],[ACQ Document Type]],SP_ACQ_Lib[[#This Row],[Name]]))),1,0)</f>
        <v>0</v>
      </c>
    </row>
    <row r="1002" spans="1:25" ht="15" x14ac:dyDescent="0.2">
      <c r="A1002" s="157" t="str">
        <f>CONCATENATE(SP_ACQ_Lib[[#This Row],[Acquisition Tract No.]],"_",SP_ACQ_Lib[[#This Row],[ACQ Document Type]])</f>
        <v>T274_TITLE Tax Card</v>
      </c>
      <c r="B1002" s="14" t="s">
        <v>5638</v>
      </c>
      <c r="C1002" s="263" t="s">
        <v>5536</v>
      </c>
      <c r="D1002" s="12" t="s">
        <v>3288</v>
      </c>
      <c r="E1002" s="8" t="s">
        <v>861</v>
      </c>
      <c r="F1002" s="8" t="s">
        <v>1150</v>
      </c>
      <c r="G1002" s="8" t="s">
        <v>1149</v>
      </c>
      <c r="H1002" s="7" t="s">
        <v>592</v>
      </c>
      <c r="I1002" s="16"/>
      <c r="J1002" s="16"/>
      <c r="K1002" s="17"/>
      <c r="L1002" s="3"/>
      <c r="M1002" s="8" t="s">
        <v>4206</v>
      </c>
      <c r="N1002" s="11">
        <v>43983.727060185185</v>
      </c>
      <c r="O1002" s="8" t="s">
        <v>4206</v>
      </c>
      <c r="P1002" s="11">
        <v>43971.421863425923</v>
      </c>
      <c r="Q1002" s="13">
        <v>824061</v>
      </c>
      <c r="R1002" s="264" t="s">
        <v>594</v>
      </c>
      <c r="S1002" s="14" t="s">
        <v>5210</v>
      </c>
      <c r="T1002" s="163">
        <v>981</v>
      </c>
      <c r="U1002" s="164" t="str">
        <f>CONCATENATE(LEFT(SP_ACQ_Lib[[#This Row],[Tax Parcel ID]],7),"_",SP_ACQ_Lib[[#This Row],[ACQ Document Type]])</f>
        <v>R052351_TITLE Tax Card</v>
      </c>
      <c r="V1002" s="65" t="str">
        <f>INDEX(SP_AcqTract_DB[WCAD Tax Parcel ID],MATCH(SP_ACQ_Lib[[#This Row],[Acquisition Tract No.]],SP_AcqTract_DB[Acquisition Tract No.],0))</f>
        <v>R052351;#256</v>
      </c>
      <c r="W1002" s="48" t="str">
        <f>INDEX(SP_TaxPar_DB[Acquisition Tract No.],MATCH(LEFT(SP_ACQ_Lib[[#This Row],[Tax Parcel ID]],7),SP_TaxPar_DB[Tax Parcel ID],0))</f>
        <v>T274</v>
      </c>
      <c r="X1002" s="238" t="str">
        <f>IF(OR(SP_ACQ_Lib[[#This Row],[Acquisition Tract No.]]="",SP_ACQ_Lib[[#This Row],[ACQ Document Type]]=""),0,CONCATENATE("COW-FRMP_TR-",SP_ACQ_Lib[[#This Row],[Acquisition Tract No.]]," ",SP_ACQ_Lib[[#This Row],[ACQ Document Type]]))</f>
        <v>COW-FRMP_TR-T274 TITLE Tax Card</v>
      </c>
      <c r="Y1002" s="239">
        <f>IF(OR(SP_ACQ_Lib[[#This Row],[File Name Convention]]=0,LEFT(SP_ACQ_Lib[[#This Row],[Name]],LEN(SP_ACQ_Lib[[#This Row],[File Name Convention]]))&lt;&gt;SP_ACQ_Lib[[#This Row],[File Name Convention]],ISERROR(SEARCH(SP_ACQ_Lib[[#This Row],[ACQ Document Type]],SP_ACQ_Lib[[#This Row],[Name]]))),1,0)</f>
        <v>0</v>
      </c>
    </row>
    <row r="1003" spans="1:25" ht="15" x14ac:dyDescent="0.2">
      <c r="A1003" s="157" t="str">
        <f>CONCATENATE(SP_ACQ_Lib[[#This Row],[Acquisition Tract No.]],"_",SP_ACQ_Lib[[#This Row],[ACQ Document Type]])</f>
        <v>T275_ROE Right-of-Entry Executed</v>
      </c>
      <c r="B1003" s="14" t="s">
        <v>6357</v>
      </c>
      <c r="C1003" s="263" t="s">
        <v>5720</v>
      </c>
      <c r="D1003" s="12" t="s">
        <v>5721</v>
      </c>
      <c r="E1003" s="8" t="s">
        <v>1146</v>
      </c>
      <c r="F1003" s="8" t="s">
        <v>2683</v>
      </c>
      <c r="G1003" s="8" t="s">
        <v>5660</v>
      </c>
      <c r="H1003" s="7" t="s">
        <v>592</v>
      </c>
      <c r="I1003" s="16">
        <v>43976</v>
      </c>
      <c r="J1003" s="16">
        <v>44160</v>
      </c>
      <c r="K1003" s="17"/>
      <c r="L1003" s="3"/>
      <c r="M1003" s="8" t="s">
        <v>4206</v>
      </c>
      <c r="N1003" s="11">
        <v>44004.442974537036</v>
      </c>
      <c r="O1003" s="8" t="s">
        <v>4206</v>
      </c>
      <c r="P1003" s="11">
        <v>44004.430972222224</v>
      </c>
      <c r="Q1003" s="13">
        <v>679657</v>
      </c>
      <c r="R1003" s="264" t="s">
        <v>594</v>
      </c>
      <c r="S1003" s="14" t="s">
        <v>6426</v>
      </c>
      <c r="T1003" s="163">
        <v>1247</v>
      </c>
      <c r="U1003" s="164" t="str">
        <f>CONCATENATE(LEFT(SP_ACQ_Lib[[#This Row],[Tax Parcel ID]],7),"_",SP_ACQ_Lib[[#This Row],[ACQ Document Type]])</f>
        <v>R062755_ROE Right-of-Entry Executed</v>
      </c>
      <c r="V1003" s="65" t="str">
        <f>INDEX(SP_AcqTract_DB[WCAD Tax Parcel ID],MATCH(SP_ACQ_Lib[[#This Row],[Acquisition Tract No.]],SP_AcqTract_DB[Acquisition Tract No.],0))</f>
        <v>R062755;#303</v>
      </c>
      <c r="W1003" s="48" t="str">
        <f>INDEX(SP_TaxPar_DB[Acquisition Tract No.],MATCH(LEFT(SP_ACQ_Lib[[#This Row],[Tax Parcel ID]],7),SP_TaxPar_DB[Tax Parcel ID],0))</f>
        <v>T275</v>
      </c>
      <c r="X1003" s="238" t="str">
        <f>IF(OR(SP_ACQ_Lib[[#This Row],[Acquisition Tract No.]]="",SP_ACQ_Lib[[#This Row],[ACQ Document Type]]=""),0,CONCATENATE("COW-FRMP_TR-",SP_ACQ_Lib[[#This Row],[Acquisition Tract No.]]," ",SP_ACQ_Lib[[#This Row],[ACQ Document Type]]))</f>
        <v>COW-FRMP_TR-T275 ROE Right-of-Entry Executed</v>
      </c>
      <c r="Y1003" s="239">
        <f>IF(OR(SP_ACQ_Lib[[#This Row],[File Name Convention]]=0,LEFT(SP_ACQ_Lib[[#This Row],[Name]],LEN(SP_ACQ_Lib[[#This Row],[File Name Convention]]))&lt;&gt;SP_ACQ_Lib[[#This Row],[File Name Convention]],ISERROR(SEARCH(SP_ACQ_Lib[[#This Row],[ACQ Document Type]],SP_ACQ_Lib[[#This Row],[Name]]))),1,0)</f>
        <v>0</v>
      </c>
    </row>
    <row r="1004" spans="1:25" ht="15" x14ac:dyDescent="0.2">
      <c r="A1004" s="157" t="str">
        <f>CONCATENATE(SP_ACQ_Lib[[#This Row],[Acquisition Tract No.]],"_",SP_ACQ_Lib[[#This Row],[ACQ Document Type]])</f>
        <v>T276_ENVIRONMENTAL Right-of-Entry Executed</v>
      </c>
      <c r="B1004" s="14" t="s">
        <v>5639</v>
      </c>
      <c r="C1004" s="263" t="s">
        <v>5385</v>
      </c>
      <c r="D1004" s="12" t="s">
        <v>2938</v>
      </c>
      <c r="E1004" s="8" t="s">
        <v>2682</v>
      </c>
      <c r="F1004" s="8" t="s">
        <v>2683</v>
      </c>
      <c r="G1004" s="8" t="s">
        <v>2681</v>
      </c>
      <c r="H1004" s="7" t="s">
        <v>592</v>
      </c>
      <c r="I1004" s="16">
        <v>43873</v>
      </c>
      <c r="J1004" s="16"/>
      <c r="K1004" s="17"/>
      <c r="L1004" s="3"/>
      <c r="M1004" s="8" t="s">
        <v>4206</v>
      </c>
      <c r="N1004" s="11">
        <v>43983.574548611112</v>
      </c>
      <c r="O1004" s="8" t="s">
        <v>4206</v>
      </c>
      <c r="P1004" s="11">
        <v>43979.392523148148</v>
      </c>
      <c r="Q1004" s="13">
        <v>1782623</v>
      </c>
      <c r="R1004" s="264" t="s">
        <v>594</v>
      </c>
      <c r="S1004" s="14" t="s">
        <v>5528</v>
      </c>
      <c r="T1004" s="163">
        <v>1058</v>
      </c>
      <c r="U1004" s="164" t="str">
        <f>CONCATENATE(LEFT(SP_ACQ_Lib[[#This Row],[Tax Parcel ID]],7),"_",SP_ACQ_Lib[[#This Row],[ACQ Document Type]])</f>
        <v>R018699_ENVIRONMENTAL Right-of-Entry Executed</v>
      </c>
      <c r="V1004" s="65" t="str">
        <f>INDEX(SP_AcqTract_DB[WCAD Tax Parcel ID],MATCH(SP_ACQ_Lib[[#This Row],[Acquisition Tract No.]],SP_AcqTract_DB[Acquisition Tract No.],0))</f>
        <v>R018699;#148</v>
      </c>
      <c r="W1004" s="48" t="str">
        <f>INDEX(SP_TaxPar_DB[Acquisition Tract No.],MATCH(LEFT(SP_ACQ_Lib[[#This Row],[Tax Parcel ID]],7),SP_TaxPar_DB[Tax Parcel ID],0))</f>
        <v>T276</v>
      </c>
      <c r="X1004" s="238" t="str">
        <f>IF(OR(SP_ACQ_Lib[[#This Row],[Acquisition Tract No.]]="",SP_ACQ_Lib[[#This Row],[ACQ Document Type]]=""),0,CONCATENATE("COW-FRMP_TR-",SP_ACQ_Lib[[#This Row],[Acquisition Tract No.]]," ",SP_ACQ_Lib[[#This Row],[ACQ Document Type]]))</f>
        <v>COW-FRMP_TR-T276 ENVIRONMENTAL Right-of-Entry Executed</v>
      </c>
      <c r="Y1004" s="239">
        <f>IF(OR(SP_ACQ_Lib[[#This Row],[File Name Convention]]=0,LEFT(SP_ACQ_Lib[[#This Row],[Name]],LEN(SP_ACQ_Lib[[#This Row],[File Name Convention]]))&lt;&gt;SP_ACQ_Lib[[#This Row],[File Name Convention]],ISERROR(SEARCH(SP_ACQ_Lib[[#This Row],[ACQ Document Type]],SP_ACQ_Lib[[#This Row],[Name]]))),1,0)</f>
        <v>0</v>
      </c>
    </row>
    <row r="1005" spans="1:25" ht="15" x14ac:dyDescent="0.2">
      <c r="A1005" s="157" t="str">
        <f>CONCATENATE(SP_ACQ_Lib[[#This Row],[Acquisition Tract No.]],"_",SP_ACQ_Lib[[#This Row],[ACQ Document Type]])</f>
        <v>T276_ROE Right-of-Entry Executed</v>
      </c>
      <c r="B1005" s="14" t="s">
        <v>5684</v>
      </c>
      <c r="C1005" s="263" t="s">
        <v>5385</v>
      </c>
      <c r="D1005" s="12" t="s">
        <v>2938</v>
      </c>
      <c r="E1005" s="8" t="s">
        <v>1146</v>
      </c>
      <c r="F1005" s="8" t="s">
        <v>2683</v>
      </c>
      <c r="G1005" s="8" t="s">
        <v>5660</v>
      </c>
      <c r="H1005" s="7" t="s">
        <v>592</v>
      </c>
      <c r="I1005" s="16">
        <v>43976</v>
      </c>
      <c r="J1005" s="16">
        <v>44160</v>
      </c>
      <c r="K1005" s="17"/>
      <c r="L1005" s="3"/>
      <c r="M1005" s="8" t="s">
        <v>4206</v>
      </c>
      <c r="N1005" s="11">
        <v>43986.619872685187</v>
      </c>
      <c r="O1005" s="8" t="s">
        <v>4206</v>
      </c>
      <c r="P1005" s="11">
        <v>43983.625937500001</v>
      </c>
      <c r="Q1005" s="13">
        <v>1893027</v>
      </c>
      <c r="R1005" s="264" t="s">
        <v>594</v>
      </c>
      <c r="S1005" s="14" t="s">
        <v>5641</v>
      </c>
      <c r="T1005" s="163">
        <v>1077</v>
      </c>
      <c r="U1005" s="164" t="str">
        <f>CONCATENATE(LEFT(SP_ACQ_Lib[[#This Row],[Tax Parcel ID]],7),"_",SP_ACQ_Lib[[#This Row],[ACQ Document Type]])</f>
        <v>R018699_ROE Right-of-Entry Executed</v>
      </c>
      <c r="V1005" s="65" t="str">
        <f>INDEX(SP_AcqTract_DB[WCAD Tax Parcel ID],MATCH(SP_ACQ_Lib[[#This Row],[Acquisition Tract No.]],SP_AcqTract_DB[Acquisition Tract No.],0))</f>
        <v>R018699;#148</v>
      </c>
      <c r="W1005" s="48" t="str">
        <f>INDEX(SP_TaxPar_DB[Acquisition Tract No.],MATCH(LEFT(SP_ACQ_Lib[[#This Row],[Tax Parcel ID]],7),SP_TaxPar_DB[Tax Parcel ID],0))</f>
        <v>T276</v>
      </c>
      <c r="X1005" s="238" t="str">
        <f>IF(OR(SP_ACQ_Lib[[#This Row],[Acquisition Tract No.]]="",SP_ACQ_Lib[[#This Row],[ACQ Document Type]]=""),0,CONCATENATE("COW-FRMP_TR-",SP_ACQ_Lib[[#This Row],[Acquisition Tract No.]]," ",SP_ACQ_Lib[[#This Row],[ACQ Document Type]]))</f>
        <v>COW-FRMP_TR-T276 ROE Right-of-Entry Executed</v>
      </c>
      <c r="Y1005" s="239">
        <f>IF(OR(SP_ACQ_Lib[[#This Row],[File Name Convention]]=0,LEFT(SP_ACQ_Lib[[#This Row],[Name]],LEN(SP_ACQ_Lib[[#This Row],[File Name Convention]]))&lt;&gt;SP_ACQ_Lib[[#This Row],[File Name Convention]],ISERROR(SEARCH(SP_ACQ_Lib[[#This Row],[ACQ Document Type]],SP_ACQ_Lib[[#This Row],[Name]]))),1,0)</f>
        <v>0</v>
      </c>
    </row>
    <row r="1006" spans="1:25" ht="15" x14ac:dyDescent="0.2">
      <c r="A1006" s="157" t="str">
        <f>CONCATENATE(SP_ACQ_Lib[[#This Row],[Acquisition Tract No.]],"_",SP_ACQ_Lib[[#This Row],[ACQ Document Type]])</f>
        <v>T276_TITLE Tax Card</v>
      </c>
      <c r="B1006" s="14" t="s">
        <v>5484</v>
      </c>
      <c r="C1006" s="263" t="s">
        <v>5385</v>
      </c>
      <c r="D1006" s="12" t="s">
        <v>2938</v>
      </c>
      <c r="E1006" s="8" t="s">
        <v>861</v>
      </c>
      <c r="F1006" s="8" t="s">
        <v>1150</v>
      </c>
      <c r="G1006" s="8" t="s">
        <v>1149</v>
      </c>
      <c r="H1006" s="7" t="s">
        <v>592</v>
      </c>
      <c r="I1006" s="16"/>
      <c r="J1006" s="16"/>
      <c r="K1006" s="17"/>
      <c r="L1006" s="3"/>
      <c r="M1006" s="8" t="s">
        <v>4206</v>
      </c>
      <c r="N1006" s="11">
        <v>43979.405601851853</v>
      </c>
      <c r="O1006" s="8" t="s">
        <v>4206</v>
      </c>
      <c r="P1006" s="11">
        <v>43979.392557870371</v>
      </c>
      <c r="Q1006" s="13">
        <v>790845</v>
      </c>
      <c r="R1006" s="264" t="s">
        <v>594</v>
      </c>
      <c r="S1006" s="14" t="s">
        <v>5529</v>
      </c>
      <c r="T1006" s="163">
        <v>1059</v>
      </c>
      <c r="U1006" s="164" t="str">
        <f>CONCATENATE(LEFT(SP_ACQ_Lib[[#This Row],[Tax Parcel ID]],7),"_",SP_ACQ_Lib[[#This Row],[ACQ Document Type]])</f>
        <v>R018699_TITLE Tax Card</v>
      </c>
      <c r="V1006" s="65" t="str">
        <f>INDEX(SP_AcqTract_DB[WCAD Tax Parcel ID],MATCH(SP_ACQ_Lib[[#This Row],[Acquisition Tract No.]],SP_AcqTract_DB[Acquisition Tract No.],0))</f>
        <v>R018699;#148</v>
      </c>
      <c r="W1006" s="48" t="str">
        <f>INDEX(SP_TaxPar_DB[Acquisition Tract No.],MATCH(LEFT(SP_ACQ_Lib[[#This Row],[Tax Parcel ID]],7),SP_TaxPar_DB[Tax Parcel ID],0))</f>
        <v>T276</v>
      </c>
      <c r="X1006" s="238" t="str">
        <f>IF(OR(SP_ACQ_Lib[[#This Row],[Acquisition Tract No.]]="",SP_ACQ_Lib[[#This Row],[ACQ Document Type]]=""),0,CONCATENATE("COW-FRMP_TR-",SP_ACQ_Lib[[#This Row],[Acquisition Tract No.]]," ",SP_ACQ_Lib[[#This Row],[ACQ Document Type]]))</f>
        <v>COW-FRMP_TR-T276 TITLE Tax Card</v>
      </c>
      <c r="Y1006" s="239">
        <f>IF(OR(SP_ACQ_Lib[[#This Row],[File Name Convention]]=0,LEFT(SP_ACQ_Lib[[#This Row],[Name]],LEN(SP_ACQ_Lib[[#This Row],[File Name Convention]]))&lt;&gt;SP_ACQ_Lib[[#This Row],[File Name Convention]],ISERROR(SEARCH(SP_ACQ_Lib[[#This Row],[ACQ Document Type]],SP_ACQ_Lib[[#This Row],[Name]]))),1,0)</f>
        <v>0</v>
      </c>
    </row>
    <row r="1007" spans="1:25" ht="15" x14ac:dyDescent="0.2">
      <c r="A1007" s="157" t="str">
        <f>CONCATENATE(SP_ACQ_Lib[[#This Row],[Acquisition Tract No.]],"_",SP_ACQ_Lib[[#This Row],[ACQ Document Type]])</f>
        <v>T277_ROE Right-of-Entry Executed</v>
      </c>
      <c r="B1007" s="14" t="s">
        <v>6358</v>
      </c>
      <c r="C1007" s="263" t="s">
        <v>5724</v>
      </c>
      <c r="D1007" s="12" t="s">
        <v>5725</v>
      </c>
      <c r="E1007" s="8" t="s">
        <v>1146</v>
      </c>
      <c r="F1007" s="8" t="s">
        <v>2683</v>
      </c>
      <c r="G1007" s="8" t="s">
        <v>5660</v>
      </c>
      <c r="H1007" s="7" t="s">
        <v>592</v>
      </c>
      <c r="I1007" s="16">
        <v>43976</v>
      </c>
      <c r="J1007" s="16">
        <v>44160</v>
      </c>
      <c r="K1007" s="17"/>
      <c r="L1007" s="3"/>
      <c r="M1007" s="8" t="s">
        <v>4206</v>
      </c>
      <c r="N1007" s="11">
        <v>44004.443206018521</v>
      </c>
      <c r="O1007" s="8" t="s">
        <v>4206</v>
      </c>
      <c r="P1007" s="11">
        <v>44004.431006944447</v>
      </c>
      <c r="Q1007" s="13">
        <v>1624626</v>
      </c>
      <c r="R1007" s="264" t="s">
        <v>594</v>
      </c>
      <c r="S1007" s="14" t="s">
        <v>6427</v>
      </c>
      <c r="T1007" s="163">
        <v>1248</v>
      </c>
      <c r="U1007" s="164" t="str">
        <f>CONCATENATE(LEFT(SP_ACQ_Lib[[#This Row],[Tax Parcel ID]],7),"_",SP_ACQ_Lib[[#This Row],[ACQ Document Type]])</f>
        <v>R062995_ROE Right-of-Entry Executed</v>
      </c>
      <c r="V1007" s="65" t="str">
        <f>INDEX(SP_AcqTract_DB[WCAD Tax Parcel ID],MATCH(SP_ACQ_Lib[[#This Row],[Acquisition Tract No.]],SP_AcqTract_DB[Acquisition Tract No.],0))</f>
        <v>R062995;#304</v>
      </c>
      <c r="W1007" s="48" t="str">
        <f>INDEX(SP_TaxPar_DB[Acquisition Tract No.],MATCH(LEFT(SP_ACQ_Lib[[#This Row],[Tax Parcel ID]],7),SP_TaxPar_DB[Tax Parcel ID],0))</f>
        <v>T277</v>
      </c>
      <c r="X1007" s="238" t="str">
        <f>IF(OR(SP_ACQ_Lib[[#This Row],[Acquisition Tract No.]]="",SP_ACQ_Lib[[#This Row],[ACQ Document Type]]=""),0,CONCATENATE("COW-FRMP_TR-",SP_ACQ_Lib[[#This Row],[Acquisition Tract No.]]," ",SP_ACQ_Lib[[#This Row],[ACQ Document Type]]))</f>
        <v>COW-FRMP_TR-T277 ROE Right-of-Entry Executed</v>
      </c>
      <c r="Y1007" s="239">
        <f>IF(OR(SP_ACQ_Lib[[#This Row],[File Name Convention]]=0,LEFT(SP_ACQ_Lib[[#This Row],[Name]],LEN(SP_ACQ_Lib[[#This Row],[File Name Convention]]))&lt;&gt;SP_ACQ_Lib[[#This Row],[File Name Convention]],ISERROR(SEARCH(SP_ACQ_Lib[[#This Row],[ACQ Document Type]],SP_ACQ_Lib[[#This Row],[Name]]))),1,0)</f>
        <v>0</v>
      </c>
    </row>
    <row r="1008" spans="1:25" ht="15" x14ac:dyDescent="0.2">
      <c r="A1008" s="157" t="str">
        <f>CONCATENATE(SP_ACQ_Lib[[#This Row],[Acquisition Tract No.]],"_",SP_ACQ_Lib[[#This Row],[ACQ Document Type]])</f>
        <v>T278_ROE Right-of-Entry Executed</v>
      </c>
      <c r="B1008" s="14" t="s">
        <v>5746</v>
      </c>
      <c r="C1008" s="263" t="s">
        <v>5257</v>
      </c>
      <c r="D1008" s="12" t="s">
        <v>595</v>
      </c>
      <c r="E1008" s="8" t="s">
        <v>1146</v>
      </c>
      <c r="F1008" s="8" t="s">
        <v>2683</v>
      </c>
      <c r="G1008" s="8" t="s">
        <v>5660</v>
      </c>
      <c r="H1008" s="7" t="s">
        <v>592</v>
      </c>
      <c r="I1008" s="16">
        <v>43724</v>
      </c>
      <c r="J1008" s="16">
        <v>44819</v>
      </c>
      <c r="K1008" s="17"/>
      <c r="L1008" s="3"/>
      <c r="M1008" s="8" t="s">
        <v>4205</v>
      </c>
      <c r="N1008" s="11">
        <v>43992.639270833337</v>
      </c>
      <c r="O1008" s="8" t="s">
        <v>4325</v>
      </c>
      <c r="P1008" s="11">
        <v>43724.537118055552</v>
      </c>
      <c r="Q1008" s="13">
        <v>926298</v>
      </c>
      <c r="R1008" s="264" t="s">
        <v>594</v>
      </c>
      <c r="S1008" s="14" t="s">
        <v>682</v>
      </c>
      <c r="T1008" s="163">
        <v>243</v>
      </c>
      <c r="U1008" s="164" t="str">
        <f>CONCATENATE(LEFT(SP_ACQ_Lib[[#This Row],[Tax Parcel ID]],7),"_",SP_ACQ_Lib[[#This Row],[ACQ Document Type]])</f>
        <v>R027667_ROE Right-of-Entry Executed</v>
      </c>
      <c r="V1008" s="65" t="str">
        <f>INDEX(SP_AcqTract_DB[WCAD Tax Parcel ID],MATCH(SP_ACQ_Lib[[#This Row],[Acquisition Tract No.]],SP_AcqTract_DB[Acquisition Tract No.],0))</f>
        <v>R027667;#66</v>
      </c>
      <c r="W1008" s="48" t="str">
        <f>INDEX(SP_TaxPar_DB[Acquisition Tract No.],MATCH(LEFT(SP_ACQ_Lib[[#This Row],[Tax Parcel ID]],7),SP_TaxPar_DB[Tax Parcel ID],0))</f>
        <v>T278</v>
      </c>
      <c r="X1008" s="238" t="str">
        <f>IF(OR(SP_ACQ_Lib[[#This Row],[Acquisition Tract No.]]="",SP_ACQ_Lib[[#This Row],[ACQ Document Type]]=""),0,CONCATENATE("COW-FRMP_TR-",SP_ACQ_Lib[[#This Row],[Acquisition Tract No.]]," ",SP_ACQ_Lib[[#This Row],[ACQ Document Type]]))</f>
        <v>COW-FRMP_TR-T278 ROE Right-of-Entry Executed</v>
      </c>
      <c r="Y1008" s="239">
        <f>IF(OR(SP_ACQ_Lib[[#This Row],[File Name Convention]]=0,LEFT(SP_ACQ_Lib[[#This Row],[Name]],LEN(SP_ACQ_Lib[[#This Row],[File Name Convention]]))&lt;&gt;SP_ACQ_Lib[[#This Row],[File Name Convention]],ISERROR(SEARCH(SP_ACQ_Lib[[#This Row],[ACQ Document Type]],SP_ACQ_Lib[[#This Row],[Name]]))),1,0)</f>
        <v>0</v>
      </c>
    </row>
    <row r="1009" spans="1:25" ht="15" x14ac:dyDescent="0.2">
      <c r="A1009" s="157" t="str">
        <f>CONCATENATE(SP_ACQ_Lib[[#This Row],[Acquisition Tract No.]],"_",SP_ACQ_Lib[[#This Row],[ACQ Document Type]])</f>
        <v>T278_ROE Right-of-Entry Package</v>
      </c>
      <c r="B1009" s="14" t="s">
        <v>5747</v>
      </c>
      <c r="C1009" s="263" t="s">
        <v>5257</v>
      </c>
      <c r="D1009" s="12" t="s">
        <v>595</v>
      </c>
      <c r="E1009" s="8" t="s">
        <v>1146</v>
      </c>
      <c r="F1009" s="8" t="s">
        <v>2687</v>
      </c>
      <c r="G1009" s="8" t="s">
        <v>5659</v>
      </c>
      <c r="H1009" s="7" t="s">
        <v>592</v>
      </c>
      <c r="I1009" s="16">
        <v>43697</v>
      </c>
      <c r="J1009" s="16">
        <v>43707</v>
      </c>
      <c r="K1009" s="17"/>
      <c r="L1009" s="3" t="s">
        <v>5741</v>
      </c>
      <c r="M1009" s="8" t="s">
        <v>4206</v>
      </c>
      <c r="N1009" s="11">
        <v>43986.373194444444</v>
      </c>
      <c r="O1009" s="8" t="s">
        <v>4325</v>
      </c>
      <c r="P1009" s="11">
        <v>43699.472962962966</v>
      </c>
      <c r="Q1009" s="13">
        <v>325493</v>
      </c>
      <c r="R1009" s="264" t="s">
        <v>594</v>
      </c>
      <c r="S1009" s="14" t="s">
        <v>691</v>
      </c>
      <c r="T1009" s="163">
        <v>135</v>
      </c>
      <c r="U1009" s="164" t="str">
        <f>CONCATENATE(LEFT(SP_ACQ_Lib[[#This Row],[Tax Parcel ID]],7),"_",SP_ACQ_Lib[[#This Row],[ACQ Document Type]])</f>
        <v>R027667_ROE Right-of-Entry Package</v>
      </c>
      <c r="V1009" s="65" t="str">
        <f>INDEX(SP_AcqTract_DB[WCAD Tax Parcel ID],MATCH(SP_ACQ_Lib[[#This Row],[Acquisition Tract No.]],SP_AcqTract_DB[Acquisition Tract No.],0))</f>
        <v>R027667;#66</v>
      </c>
      <c r="W1009" s="48" t="str">
        <f>INDEX(SP_TaxPar_DB[Acquisition Tract No.],MATCH(LEFT(SP_ACQ_Lib[[#This Row],[Tax Parcel ID]],7),SP_TaxPar_DB[Tax Parcel ID],0))</f>
        <v>T278</v>
      </c>
      <c r="X1009" s="238" t="str">
        <f>IF(OR(SP_ACQ_Lib[[#This Row],[Acquisition Tract No.]]="",SP_ACQ_Lib[[#This Row],[ACQ Document Type]]=""),0,CONCATENATE("COW-FRMP_TR-",SP_ACQ_Lib[[#This Row],[Acquisition Tract No.]]," ",SP_ACQ_Lib[[#This Row],[ACQ Document Type]]))</f>
        <v>COW-FRMP_TR-T278 ROE Right-of-Entry Package</v>
      </c>
      <c r="Y1009" s="239">
        <f>IF(OR(SP_ACQ_Lib[[#This Row],[File Name Convention]]=0,LEFT(SP_ACQ_Lib[[#This Row],[Name]],LEN(SP_ACQ_Lib[[#This Row],[File Name Convention]]))&lt;&gt;SP_ACQ_Lib[[#This Row],[File Name Convention]],ISERROR(SEARCH(SP_ACQ_Lib[[#This Row],[ACQ Document Type]],SP_ACQ_Lib[[#This Row],[Name]]))),1,0)</f>
        <v>0</v>
      </c>
    </row>
    <row r="1010" spans="1:25" ht="15" x14ac:dyDescent="0.2">
      <c r="A1010" s="157" t="str">
        <f>CONCATENATE(SP_ACQ_Lib[[#This Row],[Acquisition Tract No.]],"_",SP_ACQ_Lib[[#This Row],[ACQ Document Type]])</f>
        <v>T279_ROE Right-of-Entry Executed</v>
      </c>
      <c r="B1010" s="14" t="s">
        <v>5748</v>
      </c>
      <c r="C1010" s="263" t="s">
        <v>5388</v>
      </c>
      <c r="D1010" s="12" t="s">
        <v>5845</v>
      </c>
      <c r="E1010" s="8" t="s">
        <v>1146</v>
      </c>
      <c r="F1010" s="8" t="s">
        <v>2683</v>
      </c>
      <c r="G1010" s="8" t="s">
        <v>5660</v>
      </c>
      <c r="H1010" s="7" t="s">
        <v>592</v>
      </c>
      <c r="I1010" s="16">
        <v>43600</v>
      </c>
      <c r="J1010" s="16">
        <v>44168</v>
      </c>
      <c r="K1010" s="17"/>
      <c r="L1010" s="3" t="s">
        <v>5740</v>
      </c>
      <c r="M1010" s="8" t="s">
        <v>4205</v>
      </c>
      <c r="N1010" s="11">
        <v>43992.638067129628</v>
      </c>
      <c r="O1010" s="8" t="s">
        <v>4206</v>
      </c>
      <c r="P1010" s="11">
        <v>43986.38685185185</v>
      </c>
      <c r="Q1010" s="13">
        <v>1419507</v>
      </c>
      <c r="R1010" s="264" t="s">
        <v>594</v>
      </c>
      <c r="S1010" s="14" t="s">
        <v>5753</v>
      </c>
      <c r="T1010" s="163">
        <v>1112</v>
      </c>
      <c r="U1010" s="164" t="str">
        <f>CONCATENATE(LEFT(SP_ACQ_Lib[[#This Row],[Tax Parcel ID]],7),"_",SP_ACQ_Lib[[#This Row],[ACQ Document Type]])</f>
        <v>Ro68876_ROE Right-of-Entry Executed</v>
      </c>
      <c r="V1010" s="65" t="str">
        <f>INDEX(SP_AcqTract_DB[WCAD Tax Parcel ID],MATCH(SP_ACQ_Lib[[#This Row],[Acquisition Tract No.]],SP_AcqTract_DB[Acquisition Tract No.],0))</f>
        <v>Ro68876;#2</v>
      </c>
      <c r="W1010" s="48" t="str">
        <f>INDEX(SP_TaxPar_DB[Acquisition Tract No.],MATCH(LEFT(SP_ACQ_Lib[[#This Row],[Tax Parcel ID]],7),SP_TaxPar_DB[Tax Parcel ID],0))</f>
        <v>T279</v>
      </c>
      <c r="X1010" s="238" t="str">
        <f>IF(OR(SP_ACQ_Lib[[#This Row],[Acquisition Tract No.]]="",SP_ACQ_Lib[[#This Row],[ACQ Document Type]]=""),0,CONCATENATE("COW-FRMP_TR-",SP_ACQ_Lib[[#This Row],[Acquisition Tract No.]]," ",SP_ACQ_Lib[[#This Row],[ACQ Document Type]]))</f>
        <v>COW-FRMP_TR-T279 ROE Right-of-Entry Executed</v>
      </c>
      <c r="Y1010" s="239">
        <f>IF(OR(SP_ACQ_Lib[[#This Row],[File Name Convention]]=0,LEFT(SP_ACQ_Lib[[#This Row],[Name]],LEN(SP_ACQ_Lib[[#This Row],[File Name Convention]]))&lt;&gt;SP_ACQ_Lib[[#This Row],[File Name Convention]],ISERROR(SEARCH(SP_ACQ_Lib[[#This Row],[ACQ Document Type]],SP_ACQ_Lib[[#This Row],[Name]]))),1,0)</f>
        <v>0</v>
      </c>
    </row>
    <row r="1011" spans="1:25" ht="15" x14ac:dyDescent="0.2">
      <c r="A1011" s="157" t="str">
        <f>CONCATENATE(SP_ACQ_Lib[[#This Row],[Acquisition Tract No.]],"_",SP_ACQ_Lib[[#This Row],[ACQ Document Type]])</f>
        <v>T280_ROE Right-of-Entry Executed</v>
      </c>
      <c r="B1011" s="14" t="s">
        <v>6173</v>
      </c>
      <c r="C1011" s="263" t="s">
        <v>5258</v>
      </c>
      <c r="D1011" s="12" t="s">
        <v>601</v>
      </c>
      <c r="E1011" s="8" t="s">
        <v>1146</v>
      </c>
      <c r="F1011" s="8" t="s">
        <v>2683</v>
      </c>
      <c r="G1011" s="8" t="s">
        <v>5660</v>
      </c>
      <c r="H1011" s="7" t="s">
        <v>592</v>
      </c>
      <c r="I1011" s="16">
        <v>43738</v>
      </c>
      <c r="J1011" s="16">
        <v>44833</v>
      </c>
      <c r="K1011" s="17"/>
      <c r="L1011" s="3" t="s">
        <v>1173</v>
      </c>
      <c r="M1011" s="8" t="s">
        <v>4206</v>
      </c>
      <c r="N1011" s="11">
        <v>43994.486863425926</v>
      </c>
      <c r="O1011" s="8" t="s">
        <v>4325</v>
      </c>
      <c r="P1011" s="11">
        <v>43745.493923611109</v>
      </c>
      <c r="Q1011" s="13">
        <v>843121</v>
      </c>
      <c r="R1011" s="264" t="s">
        <v>594</v>
      </c>
      <c r="S1011" s="14" t="s">
        <v>1177</v>
      </c>
      <c r="T1011" s="163">
        <v>395</v>
      </c>
      <c r="U1011" s="164" t="str">
        <f>CONCATENATE(LEFT(SP_ACQ_Lib[[#This Row],[Tax Parcel ID]],7),"_",SP_ACQ_Lib[[#This Row],[ACQ Document Type]])</f>
        <v>R070100_ROE Right-of-Entry Executed</v>
      </c>
      <c r="V1011" s="65" t="str">
        <f>INDEX(SP_AcqTract_DB[WCAD Tax Parcel ID],MATCH(SP_ACQ_Lib[[#This Row],[Acquisition Tract No.]],SP_AcqTract_DB[Acquisition Tract No.],0))</f>
        <v>R070100;#79</v>
      </c>
      <c r="W1011" s="48" t="str">
        <f>INDEX(SP_TaxPar_DB[Acquisition Tract No.],MATCH(LEFT(SP_ACQ_Lib[[#This Row],[Tax Parcel ID]],7),SP_TaxPar_DB[Tax Parcel ID],0))</f>
        <v>T280</v>
      </c>
      <c r="X1011" s="238" t="str">
        <f>IF(OR(SP_ACQ_Lib[[#This Row],[Acquisition Tract No.]]="",SP_ACQ_Lib[[#This Row],[ACQ Document Type]]=""),0,CONCATENATE("COW-FRMP_TR-",SP_ACQ_Lib[[#This Row],[Acquisition Tract No.]]," ",SP_ACQ_Lib[[#This Row],[ACQ Document Type]]))</f>
        <v>COW-FRMP_TR-T280 ROE Right-of-Entry Executed</v>
      </c>
      <c r="Y1011" s="239">
        <f>IF(OR(SP_ACQ_Lib[[#This Row],[File Name Convention]]=0,LEFT(SP_ACQ_Lib[[#This Row],[Name]],LEN(SP_ACQ_Lib[[#This Row],[File Name Convention]]))&lt;&gt;SP_ACQ_Lib[[#This Row],[File Name Convention]],ISERROR(SEARCH(SP_ACQ_Lib[[#This Row],[ACQ Document Type]],SP_ACQ_Lib[[#This Row],[Name]]))),1,0)</f>
        <v>0</v>
      </c>
    </row>
    <row r="1012" spans="1:25" ht="15" x14ac:dyDescent="0.2">
      <c r="A1012" s="157" t="str">
        <f>CONCATENATE(SP_ACQ_Lib[[#This Row],[Acquisition Tract No.]],"_",SP_ACQ_Lib[[#This Row],[ACQ Document Type]])</f>
        <v>T280_ROE Right-of-Entry Package</v>
      </c>
      <c r="B1012" s="14" t="s">
        <v>5790</v>
      </c>
      <c r="C1012" s="263" t="s">
        <v>5258</v>
      </c>
      <c r="D1012" s="12" t="s">
        <v>601</v>
      </c>
      <c r="E1012" s="8" t="s">
        <v>1146</v>
      </c>
      <c r="F1012" s="8" t="s">
        <v>2687</v>
      </c>
      <c r="G1012" s="8" t="s">
        <v>5659</v>
      </c>
      <c r="H1012" s="7" t="s">
        <v>592</v>
      </c>
      <c r="I1012" s="16">
        <v>43697</v>
      </c>
      <c r="J1012" s="16">
        <v>43703</v>
      </c>
      <c r="K1012" s="17"/>
      <c r="L1012" s="3" t="s">
        <v>6166</v>
      </c>
      <c r="M1012" s="8" t="s">
        <v>4206</v>
      </c>
      <c r="N1012" s="11">
        <v>43994.570844907408</v>
      </c>
      <c r="O1012" s="8" t="s">
        <v>4325</v>
      </c>
      <c r="P1012" s="11">
        <v>43699.461215277777</v>
      </c>
      <c r="Q1012" s="13">
        <v>2021846</v>
      </c>
      <c r="R1012" s="264" t="s">
        <v>594</v>
      </c>
      <c r="S1012" s="14" t="s">
        <v>687</v>
      </c>
      <c r="T1012" s="163">
        <v>128</v>
      </c>
      <c r="U1012" s="164" t="str">
        <f>CONCATENATE(LEFT(SP_ACQ_Lib[[#This Row],[Tax Parcel ID]],7),"_",SP_ACQ_Lib[[#This Row],[ACQ Document Type]])</f>
        <v>R070100_ROE Right-of-Entry Package</v>
      </c>
      <c r="V1012" s="65" t="str">
        <f>INDEX(SP_AcqTract_DB[WCAD Tax Parcel ID],MATCH(SP_ACQ_Lib[[#This Row],[Acquisition Tract No.]],SP_AcqTract_DB[Acquisition Tract No.],0))</f>
        <v>R070100;#79</v>
      </c>
      <c r="W1012" s="48" t="str">
        <f>INDEX(SP_TaxPar_DB[Acquisition Tract No.],MATCH(LEFT(SP_ACQ_Lib[[#This Row],[Tax Parcel ID]],7),SP_TaxPar_DB[Tax Parcel ID],0))</f>
        <v>T280</v>
      </c>
      <c r="X1012" s="238" t="str">
        <f>IF(OR(SP_ACQ_Lib[[#This Row],[Acquisition Tract No.]]="",SP_ACQ_Lib[[#This Row],[ACQ Document Type]]=""),0,CONCATENATE("COW-FRMP_TR-",SP_ACQ_Lib[[#This Row],[Acquisition Tract No.]]," ",SP_ACQ_Lib[[#This Row],[ACQ Document Type]]))</f>
        <v>COW-FRMP_TR-T280 ROE Right-of-Entry Package</v>
      </c>
      <c r="Y1012" s="239">
        <f>IF(OR(SP_ACQ_Lib[[#This Row],[File Name Convention]]=0,LEFT(SP_ACQ_Lib[[#This Row],[Name]],LEN(SP_ACQ_Lib[[#This Row],[File Name Convention]]))&lt;&gt;SP_ACQ_Lib[[#This Row],[File Name Convention]],ISERROR(SEARCH(SP_ACQ_Lib[[#This Row],[ACQ Document Type]],SP_ACQ_Lib[[#This Row],[Name]]))),1,0)</f>
        <v>0</v>
      </c>
    </row>
    <row r="1013" spans="1:25" ht="15" x14ac:dyDescent="0.2">
      <c r="A1013" s="157" t="str">
        <f>CONCATENATE(SP_ACQ_Lib[[#This Row],[Acquisition Tract No.]],"_",SP_ACQ_Lib[[#This Row],[ACQ Document Type]])</f>
        <v>T281_ROE Right-of-Entry Executed</v>
      </c>
      <c r="B1013" s="14" t="s">
        <v>5912</v>
      </c>
      <c r="C1013" s="263" t="s">
        <v>5259</v>
      </c>
      <c r="D1013" s="12" t="s">
        <v>597</v>
      </c>
      <c r="E1013" s="8" t="s">
        <v>1146</v>
      </c>
      <c r="F1013" s="8" t="s">
        <v>2683</v>
      </c>
      <c r="G1013" s="8" t="s">
        <v>5660</v>
      </c>
      <c r="H1013" s="7" t="s">
        <v>592</v>
      </c>
      <c r="I1013" s="16">
        <v>43724</v>
      </c>
      <c r="J1013" s="16">
        <v>44819</v>
      </c>
      <c r="K1013" s="17"/>
      <c r="L1013" s="3"/>
      <c r="M1013" s="8" t="s">
        <v>4206</v>
      </c>
      <c r="N1013" s="11">
        <v>43992.681817129633</v>
      </c>
      <c r="O1013" s="8" t="s">
        <v>4325</v>
      </c>
      <c r="P1013" s="11">
        <v>43724.543541666666</v>
      </c>
      <c r="Q1013" s="13">
        <v>963465</v>
      </c>
      <c r="R1013" s="264" t="s">
        <v>594</v>
      </c>
      <c r="S1013" s="14" t="s">
        <v>684</v>
      </c>
      <c r="T1013" s="163">
        <v>245</v>
      </c>
      <c r="U1013" s="164" t="str">
        <f>CONCATENATE(LEFT(SP_ACQ_Lib[[#This Row],[Tax Parcel ID]],7),"_",SP_ACQ_Lib[[#This Row],[ACQ Document Type]])</f>
        <v>R073246_ROE Right-of-Entry Executed</v>
      </c>
      <c r="V1013" s="65" t="str">
        <f>INDEX(SP_AcqTract_DB[WCAD Tax Parcel ID],MATCH(SP_ACQ_Lib[[#This Row],[Acquisition Tract No.]],SP_AcqTract_DB[Acquisition Tract No.],0))</f>
        <v>R073246;#83</v>
      </c>
      <c r="W1013" s="48" t="str">
        <f>INDEX(SP_TaxPar_DB[Acquisition Tract No.],MATCH(LEFT(SP_ACQ_Lib[[#This Row],[Tax Parcel ID]],7),SP_TaxPar_DB[Tax Parcel ID],0))</f>
        <v>T281</v>
      </c>
      <c r="X1013" s="238" t="str">
        <f>IF(OR(SP_ACQ_Lib[[#This Row],[Acquisition Tract No.]]="",SP_ACQ_Lib[[#This Row],[ACQ Document Type]]=""),0,CONCATENATE("COW-FRMP_TR-",SP_ACQ_Lib[[#This Row],[Acquisition Tract No.]]," ",SP_ACQ_Lib[[#This Row],[ACQ Document Type]]))</f>
        <v>COW-FRMP_TR-T281 ROE Right-of-Entry Executed</v>
      </c>
      <c r="Y1013" s="239">
        <f>IF(OR(SP_ACQ_Lib[[#This Row],[File Name Convention]]=0,LEFT(SP_ACQ_Lib[[#This Row],[Name]],LEN(SP_ACQ_Lib[[#This Row],[File Name Convention]]))&lt;&gt;SP_ACQ_Lib[[#This Row],[File Name Convention]],ISERROR(SEARCH(SP_ACQ_Lib[[#This Row],[ACQ Document Type]],SP_ACQ_Lib[[#This Row],[Name]]))),1,0)</f>
        <v>0</v>
      </c>
    </row>
    <row r="1014" spans="1:25" ht="15" x14ac:dyDescent="0.2">
      <c r="A1014" s="157" t="str">
        <f>CONCATENATE(SP_ACQ_Lib[[#This Row],[Acquisition Tract No.]],"_",SP_ACQ_Lib[[#This Row],[ACQ Document Type]])</f>
        <v>T281_ROE Right-of-Entry Package</v>
      </c>
      <c r="B1014" s="14" t="s">
        <v>5791</v>
      </c>
      <c r="C1014" s="263" t="s">
        <v>5259</v>
      </c>
      <c r="D1014" s="12" t="s">
        <v>597</v>
      </c>
      <c r="E1014" s="8" t="s">
        <v>1146</v>
      </c>
      <c r="F1014" s="8" t="s">
        <v>2687</v>
      </c>
      <c r="G1014" s="8" t="s">
        <v>5659</v>
      </c>
      <c r="H1014" s="7" t="s">
        <v>592</v>
      </c>
      <c r="I1014" s="16">
        <v>43697</v>
      </c>
      <c r="J1014" s="16">
        <v>43699</v>
      </c>
      <c r="K1014" s="17"/>
      <c r="L1014" s="3" t="s">
        <v>6167</v>
      </c>
      <c r="M1014" s="8" t="s">
        <v>4206</v>
      </c>
      <c r="N1014" s="11">
        <v>43994.57440972222</v>
      </c>
      <c r="O1014" s="8" t="s">
        <v>4206</v>
      </c>
      <c r="P1014" s="11">
        <v>43986.569803240738</v>
      </c>
      <c r="Q1014" s="13">
        <v>2199619</v>
      </c>
      <c r="R1014" s="264" t="s">
        <v>594</v>
      </c>
      <c r="S1014" s="14" t="s">
        <v>5822</v>
      </c>
      <c r="T1014" s="163">
        <v>1121</v>
      </c>
      <c r="U1014" s="164" t="str">
        <f>CONCATENATE(LEFT(SP_ACQ_Lib[[#This Row],[Tax Parcel ID]],7),"_",SP_ACQ_Lib[[#This Row],[ACQ Document Type]])</f>
        <v>R073246_ROE Right-of-Entry Package</v>
      </c>
      <c r="V1014" s="65" t="str">
        <f>INDEX(SP_AcqTract_DB[WCAD Tax Parcel ID],MATCH(SP_ACQ_Lib[[#This Row],[Acquisition Tract No.]],SP_AcqTract_DB[Acquisition Tract No.],0))</f>
        <v>R073246;#83</v>
      </c>
      <c r="W1014" s="48" t="str">
        <f>INDEX(SP_TaxPar_DB[Acquisition Tract No.],MATCH(LEFT(SP_ACQ_Lib[[#This Row],[Tax Parcel ID]],7),SP_TaxPar_DB[Tax Parcel ID],0))</f>
        <v>T281</v>
      </c>
      <c r="X1014" s="238" t="str">
        <f>IF(OR(SP_ACQ_Lib[[#This Row],[Acquisition Tract No.]]="",SP_ACQ_Lib[[#This Row],[ACQ Document Type]]=""),0,CONCATENATE("COW-FRMP_TR-",SP_ACQ_Lib[[#This Row],[Acquisition Tract No.]]," ",SP_ACQ_Lib[[#This Row],[ACQ Document Type]]))</f>
        <v>COW-FRMP_TR-T281 ROE Right-of-Entry Package</v>
      </c>
      <c r="Y1014" s="239">
        <f>IF(OR(SP_ACQ_Lib[[#This Row],[File Name Convention]]=0,LEFT(SP_ACQ_Lib[[#This Row],[Name]],LEN(SP_ACQ_Lib[[#This Row],[File Name Convention]]))&lt;&gt;SP_ACQ_Lib[[#This Row],[File Name Convention]],ISERROR(SEARCH(SP_ACQ_Lib[[#This Row],[ACQ Document Type]],SP_ACQ_Lib[[#This Row],[Name]]))),1,0)</f>
        <v>0</v>
      </c>
    </row>
    <row r="1015" spans="1:25" ht="15" x14ac:dyDescent="0.2">
      <c r="A1015" s="259"/>
      <c r="B1015" s="260">
        <f>SUBTOTAL(103,SP_ACQ_Lib[Name])</f>
        <v>1013</v>
      </c>
      <c r="C1015" s="259"/>
      <c r="D1015" s="259"/>
      <c r="E1015" s="259"/>
      <c r="F1015" s="259"/>
      <c r="G1015" s="259"/>
      <c r="H1015" s="259"/>
      <c r="I1015" s="259">
        <f>SUBTOTAL(102,SP_ACQ_Lib[Doc Date_1])</f>
        <v>782</v>
      </c>
      <c r="J1015" s="259"/>
      <c r="K1015" s="259"/>
      <c r="L1015" s="259"/>
      <c r="M1015" s="257"/>
      <c r="N1015" s="258"/>
      <c r="O1015" s="257"/>
      <c r="P1015" s="258"/>
      <c r="Q1015" s="259"/>
      <c r="R1015" s="259"/>
      <c r="S1015" s="259"/>
      <c r="T1015" s="261"/>
      <c r="U1015" s="262"/>
      <c r="V1015" s="259"/>
      <c r="W1015" s="259"/>
      <c r="X1015" s="259"/>
      <c r="Y1015" s="259"/>
    </row>
  </sheetData>
  <phoneticPr fontId="65" type="noConversion"/>
  <conditionalFormatting sqref="D2:D1014 V2:V1014">
    <cfRule type="expression" dxfId="339" priority="14">
      <formula>AND(ISTEXT($V2),$V2&lt;&gt;$D2)</formula>
    </cfRule>
  </conditionalFormatting>
  <conditionalFormatting sqref="C2:C1014 W2:W1014">
    <cfRule type="expression" dxfId="338" priority="16">
      <formula>$W2&lt;&gt;$C2</formula>
    </cfRule>
  </conditionalFormatting>
  <conditionalFormatting sqref="X2:Y1014 B2:B1014">
    <cfRule type="expression" dxfId="337" priority="1">
      <formula>$Y2=1</formula>
    </cfRule>
  </conditionalFormatting>
  <hyperlinks>
    <hyperlink ref="B2" r:id="rId1"/>
    <hyperlink ref="B3" r:id="rId2"/>
    <hyperlink ref="B4" r:id="rId3"/>
    <hyperlink ref="B5" r:id="rId4"/>
    <hyperlink ref="B6" r:id="rId5"/>
    <hyperlink ref="B7" r:id="rId6"/>
    <hyperlink ref="B8" r:id="rId7"/>
    <hyperlink ref="B9" r:id="rId8"/>
    <hyperlink ref="B10" r:id="rId9"/>
    <hyperlink ref="B11" r:id="rId10"/>
    <hyperlink ref="B12" r:id="rId11"/>
    <hyperlink ref="B13" r:id="rId12"/>
    <hyperlink ref="B14" r:id="rId13"/>
    <hyperlink ref="B15" r:id="rId14"/>
    <hyperlink ref="B16" r:id="rId15"/>
    <hyperlink ref="B17" r:id="rId16"/>
    <hyperlink ref="B18" r:id="rId17"/>
    <hyperlink ref="B19" r:id="rId18"/>
    <hyperlink ref="B20" r:id="rId19"/>
    <hyperlink ref="B21" r:id="rId20"/>
    <hyperlink ref="B22" r:id="rId21"/>
    <hyperlink ref="B23" r:id="rId22"/>
    <hyperlink ref="B24" r:id="rId23"/>
    <hyperlink ref="B25" r:id="rId24"/>
    <hyperlink ref="B26" r:id="rId25"/>
    <hyperlink ref="B27" r:id="rId26"/>
    <hyperlink ref="B28" r:id="rId27"/>
    <hyperlink ref="B29" r:id="rId28"/>
    <hyperlink ref="B30" r:id="rId29"/>
    <hyperlink ref="B31" r:id="rId30"/>
    <hyperlink ref="B32" r:id="rId31"/>
    <hyperlink ref="B33" r:id="rId32"/>
    <hyperlink ref="B34" r:id="rId33"/>
    <hyperlink ref="B35" r:id="rId34"/>
    <hyperlink ref="B36" r:id="rId35"/>
    <hyperlink ref="B37" r:id="rId36"/>
    <hyperlink ref="B38" r:id="rId37"/>
    <hyperlink ref="B39" r:id="rId38"/>
    <hyperlink ref="B40" r:id="rId39"/>
    <hyperlink ref="B41" r:id="rId40"/>
    <hyperlink ref="B42" r:id="rId41"/>
    <hyperlink ref="B43" r:id="rId42"/>
    <hyperlink ref="B44" r:id="rId43"/>
    <hyperlink ref="B45" r:id="rId44"/>
    <hyperlink ref="B46" r:id="rId45"/>
    <hyperlink ref="B47" r:id="rId46"/>
    <hyperlink ref="B48" r:id="rId47"/>
    <hyperlink ref="B49" r:id="rId48"/>
    <hyperlink ref="B50" r:id="rId49"/>
    <hyperlink ref="B51" r:id="rId50"/>
    <hyperlink ref="B52" r:id="rId51"/>
    <hyperlink ref="B53" r:id="rId52"/>
    <hyperlink ref="B54" r:id="rId53"/>
    <hyperlink ref="B55" r:id="rId54"/>
    <hyperlink ref="B56" r:id="rId55"/>
    <hyperlink ref="B57" r:id="rId56"/>
    <hyperlink ref="B58" r:id="rId57"/>
    <hyperlink ref="B59" r:id="rId58"/>
    <hyperlink ref="B60" r:id="rId59"/>
    <hyperlink ref="B61" r:id="rId60"/>
    <hyperlink ref="B62" r:id="rId61"/>
    <hyperlink ref="B63" r:id="rId62"/>
    <hyperlink ref="B64" r:id="rId63"/>
    <hyperlink ref="B65" r:id="rId64"/>
    <hyperlink ref="B66" r:id="rId65"/>
    <hyperlink ref="B67" r:id="rId66"/>
    <hyperlink ref="B68" r:id="rId67"/>
    <hyperlink ref="B69" r:id="rId68"/>
    <hyperlink ref="B70" r:id="rId69"/>
    <hyperlink ref="B71" r:id="rId70"/>
    <hyperlink ref="B72" r:id="rId71"/>
    <hyperlink ref="B73" r:id="rId72"/>
    <hyperlink ref="B74" r:id="rId73"/>
    <hyperlink ref="B75" r:id="rId74"/>
    <hyperlink ref="B76" r:id="rId75"/>
    <hyperlink ref="B77" r:id="rId76"/>
    <hyperlink ref="B78" r:id="rId77"/>
    <hyperlink ref="B79" r:id="rId78"/>
    <hyperlink ref="B80" r:id="rId79"/>
    <hyperlink ref="B81" r:id="rId80"/>
    <hyperlink ref="B82" r:id="rId81"/>
    <hyperlink ref="B83" r:id="rId82"/>
    <hyperlink ref="B84" r:id="rId83"/>
    <hyperlink ref="B85" r:id="rId84"/>
    <hyperlink ref="B86" r:id="rId85"/>
    <hyperlink ref="B87" r:id="rId86"/>
    <hyperlink ref="B88" r:id="rId87"/>
    <hyperlink ref="B89" r:id="rId88"/>
    <hyperlink ref="B90" r:id="rId89"/>
    <hyperlink ref="B91" r:id="rId90"/>
    <hyperlink ref="B92" r:id="rId91"/>
    <hyperlink ref="B93" r:id="rId92"/>
    <hyperlink ref="B94" r:id="rId93"/>
    <hyperlink ref="B95" r:id="rId94"/>
    <hyperlink ref="B96" r:id="rId95"/>
    <hyperlink ref="B97" r:id="rId96"/>
    <hyperlink ref="B98" r:id="rId97"/>
    <hyperlink ref="B99" r:id="rId98"/>
    <hyperlink ref="B100" r:id="rId99"/>
    <hyperlink ref="B101" r:id="rId100"/>
    <hyperlink ref="B102" r:id="rId101"/>
    <hyperlink ref="B103" r:id="rId102"/>
    <hyperlink ref="B104" r:id="rId103"/>
    <hyperlink ref="B105" r:id="rId104"/>
    <hyperlink ref="B106" r:id="rId105"/>
    <hyperlink ref="B107" r:id="rId106"/>
    <hyperlink ref="B108" r:id="rId107"/>
    <hyperlink ref="B109" r:id="rId108"/>
    <hyperlink ref="B110" r:id="rId109"/>
    <hyperlink ref="B111" r:id="rId110"/>
    <hyperlink ref="B112" r:id="rId111"/>
    <hyperlink ref="B113" r:id="rId112"/>
    <hyperlink ref="B114" r:id="rId113"/>
    <hyperlink ref="B115" r:id="rId114"/>
    <hyperlink ref="B116" r:id="rId115"/>
    <hyperlink ref="B117" r:id="rId116"/>
    <hyperlink ref="B118" r:id="rId117"/>
    <hyperlink ref="B119" r:id="rId118"/>
    <hyperlink ref="B120" r:id="rId119"/>
    <hyperlink ref="B121" r:id="rId120"/>
    <hyperlink ref="B122" r:id="rId121"/>
    <hyperlink ref="B123" r:id="rId122"/>
    <hyperlink ref="B124" r:id="rId123"/>
    <hyperlink ref="B125" r:id="rId124"/>
    <hyperlink ref="B126" r:id="rId125"/>
    <hyperlink ref="B127" r:id="rId126"/>
    <hyperlink ref="B128" r:id="rId127"/>
    <hyperlink ref="B129" r:id="rId128"/>
    <hyperlink ref="B130" r:id="rId129"/>
    <hyperlink ref="B131" r:id="rId130"/>
    <hyperlink ref="B132" r:id="rId131"/>
    <hyperlink ref="B133" r:id="rId132"/>
    <hyperlink ref="B134" r:id="rId133"/>
    <hyperlink ref="B135" r:id="rId134"/>
    <hyperlink ref="B136" r:id="rId135"/>
    <hyperlink ref="B137" r:id="rId136"/>
    <hyperlink ref="B138" r:id="rId137"/>
    <hyperlink ref="B139" r:id="rId138"/>
    <hyperlink ref="B140" r:id="rId139"/>
    <hyperlink ref="B141" r:id="rId140"/>
    <hyperlink ref="B142" r:id="rId141"/>
    <hyperlink ref="B143" r:id="rId142"/>
    <hyperlink ref="B144" r:id="rId143"/>
    <hyperlink ref="B145" r:id="rId144"/>
    <hyperlink ref="B146" r:id="rId145"/>
    <hyperlink ref="B147" r:id="rId146"/>
    <hyperlink ref="B148" r:id="rId147"/>
    <hyperlink ref="B149" r:id="rId148"/>
    <hyperlink ref="B150" r:id="rId149"/>
    <hyperlink ref="B151" r:id="rId150"/>
    <hyperlink ref="B152" r:id="rId151"/>
    <hyperlink ref="B153" r:id="rId152"/>
    <hyperlink ref="B154" r:id="rId153"/>
    <hyperlink ref="B155" r:id="rId154"/>
    <hyperlink ref="B156" r:id="rId155"/>
    <hyperlink ref="B157" r:id="rId156"/>
    <hyperlink ref="B158" r:id="rId157"/>
    <hyperlink ref="B159" r:id="rId158"/>
    <hyperlink ref="B160" r:id="rId159"/>
    <hyperlink ref="B161" r:id="rId160"/>
    <hyperlink ref="B162" r:id="rId161"/>
    <hyperlink ref="B163" r:id="rId162"/>
    <hyperlink ref="B164" r:id="rId163"/>
    <hyperlink ref="B165" r:id="rId164"/>
    <hyperlink ref="B166" r:id="rId165"/>
    <hyperlink ref="B167" r:id="rId166"/>
    <hyperlink ref="B168" r:id="rId167"/>
    <hyperlink ref="B169" r:id="rId168"/>
    <hyperlink ref="B170" r:id="rId169"/>
    <hyperlink ref="B171" r:id="rId170"/>
    <hyperlink ref="B172" r:id="rId171"/>
    <hyperlink ref="B173" r:id="rId172"/>
    <hyperlink ref="B174" r:id="rId173"/>
    <hyperlink ref="B175" r:id="rId174"/>
    <hyperlink ref="B176" r:id="rId175"/>
    <hyperlink ref="B177" r:id="rId176"/>
    <hyperlink ref="B178" r:id="rId177"/>
    <hyperlink ref="B179" r:id="rId178"/>
    <hyperlink ref="B180" r:id="rId179"/>
    <hyperlink ref="B181" r:id="rId180"/>
    <hyperlink ref="B182" r:id="rId181"/>
    <hyperlink ref="B183" r:id="rId182"/>
    <hyperlink ref="B184" r:id="rId183"/>
    <hyperlink ref="B185" r:id="rId184"/>
    <hyperlink ref="B186" r:id="rId185"/>
    <hyperlink ref="B187" r:id="rId186"/>
    <hyperlink ref="B188" r:id="rId187"/>
    <hyperlink ref="B189" r:id="rId188"/>
    <hyperlink ref="B190" r:id="rId189"/>
    <hyperlink ref="B191" r:id="rId190"/>
    <hyperlink ref="B192" r:id="rId191"/>
    <hyperlink ref="B193" r:id="rId192"/>
    <hyperlink ref="B194" r:id="rId193"/>
    <hyperlink ref="B195" r:id="rId194"/>
    <hyperlink ref="B196" r:id="rId195"/>
    <hyperlink ref="B197" r:id="rId196"/>
    <hyperlink ref="B198" r:id="rId197"/>
    <hyperlink ref="B199" r:id="rId198"/>
    <hyperlink ref="B200" r:id="rId199"/>
    <hyperlink ref="B201" r:id="rId200"/>
    <hyperlink ref="B202" r:id="rId201"/>
    <hyperlink ref="B203" r:id="rId202"/>
    <hyperlink ref="B204" r:id="rId203"/>
    <hyperlink ref="B205" r:id="rId204"/>
    <hyperlink ref="B206" r:id="rId205"/>
    <hyperlink ref="B207" r:id="rId206"/>
    <hyperlink ref="B208" r:id="rId207"/>
    <hyperlink ref="B209" r:id="rId208"/>
    <hyperlink ref="B210" r:id="rId209"/>
    <hyperlink ref="B211" r:id="rId210"/>
    <hyperlink ref="B212" r:id="rId211"/>
    <hyperlink ref="B213" r:id="rId212"/>
    <hyperlink ref="B214" r:id="rId213"/>
    <hyperlink ref="B215" r:id="rId214"/>
    <hyperlink ref="B216" r:id="rId215"/>
    <hyperlink ref="B217" r:id="rId216"/>
    <hyperlink ref="B218" r:id="rId217"/>
    <hyperlink ref="B219" r:id="rId218"/>
    <hyperlink ref="B220" r:id="rId219"/>
    <hyperlink ref="B221" r:id="rId220"/>
    <hyperlink ref="B222" r:id="rId221"/>
    <hyperlink ref="B223" r:id="rId222"/>
    <hyperlink ref="B224" r:id="rId223"/>
    <hyperlink ref="B225" r:id="rId224"/>
    <hyperlink ref="B226" r:id="rId225"/>
    <hyperlink ref="B227" r:id="rId226"/>
    <hyperlink ref="B228" r:id="rId227"/>
    <hyperlink ref="B229" r:id="rId228"/>
    <hyperlink ref="B230" r:id="rId229"/>
    <hyperlink ref="B231" r:id="rId230"/>
    <hyperlink ref="B232" r:id="rId231"/>
    <hyperlink ref="B233" r:id="rId232"/>
    <hyperlink ref="B234" r:id="rId233"/>
    <hyperlink ref="B235" r:id="rId234"/>
    <hyperlink ref="B236" r:id="rId235"/>
    <hyperlink ref="B237" r:id="rId236"/>
    <hyperlink ref="B238" r:id="rId237"/>
    <hyperlink ref="B239" r:id="rId238"/>
    <hyperlink ref="B240" r:id="rId239"/>
    <hyperlink ref="B241" r:id="rId240"/>
    <hyperlink ref="B242" r:id="rId241"/>
    <hyperlink ref="B243" r:id="rId242"/>
    <hyperlink ref="B244" r:id="rId243"/>
    <hyperlink ref="B245" r:id="rId244"/>
    <hyperlink ref="B246" r:id="rId245"/>
    <hyperlink ref="B247" r:id="rId246"/>
    <hyperlink ref="B248" r:id="rId247"/>
    <hyperlink ref="B249" r:id="rId248"/>
    <hyperlink ref="B250" r:id="rId249"/>
    <hyperlink ref="B251" r:id="rId250"/>
    <hyperlink ref="B252" r:id="rId251"/>
    <hyperlink ref="B253" r:id="rId252"/>
    <hyperlink ref="B254" r:id="rId253"/>
    <hyperlink ref="B255" r:id="rId254"/>
    <hyperlink ref="B256" r:id="rId255"/>
    <hyperlink ref="B257" r:id="rId256"/>
    <hyperlink ref="B258" r:id="rId257"/>
    <hyperlink ref="B259" r:id="rId258"/>
    <hyperlink ref="B260" r:id="rId259"/>
    <hyperlink ref="B261" r:id="rId260"/>
    <hyperlink ref="B262" r:id="rId261"/>
    <hyperlink ref="B263" r:id="rId262"/>
    <hyperlink ref="B264" r:id="rId263"/>
    <hyperlink ref="B265" r:id="rId264"/>
    <hyperlink ref="B266" r:id="rId265"/>
    <hyperlink ref="B267" r:id="rId266"/>
    <hyperlink ref="B268" r:id="rId267"/>
    <hyperlink ref="B269" r:id="rId268"/>
    <hyperlink ref="B270" r:id="rId269"/>
    <hyperlink ref="B271" r:id="rId270"/>
    <hyperlink ref="B272" r:id="rId271"/>
    <hyperlink ref="B273" r:id="rId272"/>
    <hyperlink ref="B274" r:id="rId273"/>
    <hyperlink ref="B275" r:id="rId274"/>
    <hyperlink ref="B276" r:id="rId275"/>
    <hyperlink ref="B277" r:id="rId276"/>
    <hyperlink ref="B278" r:id="rId277"/>
    <hyperlink ref="B279" r:id="rId278"/>
    <hyperlink ref="B280" r:id="rId279"/>
    <hyperlink ref="B281" r:id="rId280"/>
    <hyperlink ref="B282" r:id="rId281"/>
    <hyperlink ref="B283" r:id="rId282"/>
    <hyperlink ref="B284" r:id="rId283"/>
    <hyperlink ref="B285" r:id="rId284"/>
    <hyperlink ref="B286" r:id="rId285"/>
    <hyperlink ref="B287" r:id="rId286"/>
    <hyperlink ref="B288" r:id="rId287"/>
    <hyperlink ref="B289" r:id="rId288"/>
    <hyperlink ref="B290" r:id="rId289"/>
    <hyperlink ref="B291" r:id="rId290"/>
    <hyperlink ref="B292" r:id="rId291"/>
    <hyperlink ref="B293" r:id="rId292"/>
    <hyperlink ref="B294" r:id="rId293"/>
    <hyperlink ref="B295" r:id="rId294"/>
    <hyperlink ref="B296" r:id="rId295"/>
    <hyperlink ref="B297" r:id="rId296"/>
    <hyperlink ref="B298" r:id="rId297"/>
    <hyperlink ref="B299" r:id="rId298"/>
    <hyperlink ref="B300" r:id="rId299"/>
    <hyperlink ref="B301" r:id="rId300"/>
    <hyperlink ref="B302" r:id="rId301"/>
    <hyperlink ref="B303" r:id="rId302"/>
    <hyperlink ref="B304" r:id="rId303"/>
    <hyperlink ref="B305" r:id="rId304"/>
    <hyperlink ref="B306" r:id="rId305"/>
    <hyperlink ref="B307" r:id="rId306"/>
    <hyperlink ref="B308" r:id="rId307"/>
    <hyperlink ref="B309" r:id="rId308"/>
    <hyperlink ref="B310" r:id="rId309"/>
    <hyperlink ref="B311" r:id="rId310"/>
    <hyperlink ref="B312" r:id="rId311"/>
    <hyperlink ref="B313" r:id="rId312"/>
    <hyperlink ref="B314" r:id="rId313"/>
    <hyperlink ref="B315" r:id="rId314"/>
    <hyperlink ref="B316" r:id="rId315"/>
    <hyperlink ref="B317" r:id="rId316"/>
    <hyperlink ref="B318" r:id="rId317"/>
    <hyperlink ref="B319" r:id="rId318"/>
    <hyperlink ref="B320" r:id="rId319"/>
    <hyperlink ref="B321" r:id="rId320"/>
    <hyperlink ref="B322" r:id="rId321"/>
    <hyperlink ref="B323" r:id="rId322"/>
    <hyperlink ref="B324" r:id="rId323"/>
    <hyperlink ref="B325" r:id="rId324"/>
    <hyperlink ref="B326" r:id="rId325"/>
    <hyperlink ref="B327" r:id="rId326"/>
    <hyperlink ref="B328" r:id="rId327"/>
    <hyperlink ref="B329" r:id="rId328"/>
    <hyperlink ref="B330" r:id="rId329"/>
    <hyperlink ref="B331" r:id="rId330"/>
    <hyperlink ref="B332" r:id="rId331"/>
    <hyperlink ref="B333" r:id="rId332"/>
    <hyperlink ref="B334" r:id="rId333"/>
    <hyperlink ref="B335" r:id="rId334"/>
    <hyperlink ref="B336" r:id="rId335"/>
    <hyperlink ref="B337" r:id="rId336"/>
    <hyperlink ref="B338" r:id="rId337"/>
    <hyperlink ref="B339" r:id="rId338"/>
    <hyperlink ref="B340" r:id="rId339"/>
    <hyperlink ref="B341" r:id="rId340"/>
    <hyperlink ref="B342" r:id="rId341"/>
    <hyperlink ref="B343" r:id="rId342"/>
    <hyperlink ref="B344" r:id="rId343"/>
    <hyperlink ref="B345" r:id="rId344"/>
    <hyperlink ref="B346" r:id="rId345"/>
    <hyperlink ref="B347" r:id="rId346"/>
    <hyperlink ref="B348" r:id="rId347"/>
    <hyperlink ref="B349" r:id="rId348"/>
    <hyperlink ref="B350" r:id="rId349"/>
    <hyperlink ref="B351" r:id="rId350"/>
    <hyperlink ref="B352" r:id="rId351"/>
    <hyperlink ref="B353" r:id="rId352"/>
    <hyperlink ref="B354" r:id="rId353"/>
    <hyperlink ref="B355" r:id="rId354"/>
    <hyperlink ref="B356" r:id="rId355"/>
    <hyperlink ref="B357" r:id="rId356"/>
    <hyperlink ref="B358" r:id="rId357"/>
    <hyperlink ref="B359" r:id="rId358"/>
    <hyperlink ref="B360" r:id="rId359"/>
    <hyperlink ref="B361" r:id="rId360"/>
    <hyperlink ref="B362" r:id="rId361"/>
    <hyperlink ref="B363" r:id="rId362"/>
    <hyperlink ref="B364" r:id="rId363"/>
    <hyperlink ref="B365" r:id="rId364"/>
    <hyperlink ref="B366" r:id="rId365"/>
    <hyperlink ref="B367" r:id="rId366"/>
    <hyperlink ref="B368" r:id="rId367"/>
    <hyperlink ref="B369" r:id="rId368"/>
    <hyperlink ref="B370" r:id="rId369"/>
    <hyperlink ref="B371" r:id="rId370"/>
    <hyperlink ref="B372" r:id="rId371"/>
    <hyperlink ref="B373" r:id="rId372"/>
    <hyperlink ref="B374" r:id="rId373"/>
    <hyperlink ref="B375" r:id="rId374"/>
    <hyperlink ref="B376" r:id="rId375"/>
    <hyperlink ref="B377" r:id="rId376"/>
    <hyperlink ref="B378" r:id="rId377"/>
    <hyperlink ref="B379" r:id="rId378"/>
    <hyperlink ref="B380" r:id="rId379"/>
    <hyperlink ref="B381" r:id="rId380"/>
    <hyperlink ref="B382" r:id="rId381"/>
    <hyperlink ref="B383" r:id="rId382"/>
    <hyperlink ref="B384" r:id="rId383"/>
    <hyperlink ref="B385" r:id="rId384"/>
    <hyperlink ref="B386" r:id="rId385"/>
    <hyperlink ref="B387" r:id="rId386"/>
    <hyperlink ref="B388" r:id="rId387"/>
    <hyperlink ref="B389" r:id="rId388"/>
    <hyperlink ref="B390" r:id="rId389"/>
    <hyperlink ref="B391" r:id="rId390"/>
    <hyperlink ref="B392" r:id="rId391"/>
    <hyperlink ref="B393" r:id="rId392"/>
    <hyperlink ref="B394" r:id="rId393"/>
    <hyperlink ref="B395" r:id="rId394"/>
    <hyperlink ref="B396" r:id="rId395"/>
    <hyperlink ref="B397" r:id="rId396"/>
    <hyperlink ref="B398" r:id="rId397"/>
    <hyperlink ref="B399" r:id="rId398"/>
    <hyperlink ref="B400" r:id="rId399"/>
    <hyperlink ref="B401" r:id="rId400"/>
    <hyperlink ref="B402" r:id="rId401"/>
    <hyperlink ref="B403" r:id="rId402"/>
    <hyperlink ref="B404" r:id="rId403"/>
    <hyperlink ref="B405" r:id="rId404"/>
    <hyperlink ref="B406" r:id="rId405"/>
    <hyperlink ref="B407" r:id="rId406"/>
    <hyperlink ref="B408" r:id="rId407"/>
    <hyperlink ref="B409" r:id="rId408"/>
    <hyperlink ref="B410" r:id="rId409"/>
    <hyperlink ref="B411" r:id="rId410"/>
    <hyperlink ref="B412" r:id="rId411"/>
    <hyperlink ref="B413" r:id="rId412"/>
    <hyperlink ref="B414" r:id="rId413"/>
    <hyperlink ref="B415" r:id="rId414"/>
    <hyperlink ref="B416" r:id="rId415"/>
    <hyperlink ref="B417" r:id="rId416"/>
    <hyperlink ref="B418" r:id="rId417"/>
    <hyperlink ref="B419" r:id="rId418"/>
    <hyperlink ref="B420" r:id="rId419"/>
    <hyperlink ref="B421" r:id="rId420"/>
    <hyperlink ref="B422" r:id="rId421"/>
    <hyperlink ref="B423" r:id="rId422"/>
    <hyperlink ref="B424" r:id="rId423"/>
    <hyperlink ref="B425" r:id="rId424"/>
    <hyperlink ref="B426" r:id="rId425"/>
    <hyperlink ref="B427" r:id="rId426"/>
    <hyperlink ref="B428" r:id="rId427"/>
    <hyperlink ref="B429" r:id="rId428"/>
    <hyperlink ref="B430" r:id="rId429"/>
    <hyperlink ref="B431" r:id="rId430"/>
    <hyperlink ref="B432" r:id="rId431"/>
    <hyperlink ref="B433" r:id="rId432"/>
    <hyperlink ref="B434" r:id="rId433"/>
    <hyperlink ref="B435" r:id="rId434"/>
    <hyperlink ref="B436" r:id="rId435"/>
    <hyperlink ref="B437" r:id="rId436"/>
    <hyperlink ref="B438" r:id="rId437"/>
    <hyperlink ref="B439" r:id="rId438"/>
    <hyperlink ref="B440" r:id="rId439"/>
    <hyperlink ref="B441" r:id="rId440"/>
    <hyperlink ref="B442" r:id="rId441"/>
    <hyperlink ref="B443" r:id="rId442"/>
    <hyperlink ref="B444" r:id="rId443"/>
    <hyperlink ref="B445" r:id="rId444"/>
    <hyperlink ref="B446" r:id="rId445"/>
    <hyperlink ref="B447" r:id="rId446"/>
    <hyperlink ref="B448" r:id="rId447"/>
    <hyperlink ref="B449" r:id="rId448"/>
    <hyperlink ref="B450" r:id="rId449"/>
    <hyperlink ref="B451" r:id="rId450"/>
    <hyperlink ref="B452" r:id="rId451"/>
    <hyperlink ref="B453" r:id="rId452"/>
    <hyperlink ref="B454" r:id="rId453"/>
    <hyperlink ref="B455" r:id="rId454"/>
    <hyperlink ref="B456" r:id="rId455"/>
    <hyperlink ref="B457" r:id="rId456"/>
    <hyperlink ref="B458" r:id="rId457"/>
    <hyperlink ref="B459" r:id="rId458"/>
    <hyperlink ref="B460" r:id="rId459"/>
    <hyperlink ref="B461" r:id="rId460"/>
    <hyperlink ref="B462" r:id="rId461"/>
    <hyperlink ref="B463" r:id="rId462"/>
    <hyperlink ref="B464" r:id="rId463"/>
    <hyperlink ref="B465" r:id="rId464"/>
    <hyperlink ref="B466" r:id="rId465"/>
    <hyperlink ref="B467" r:id="rId466"/>
    <hyperlink ref="B468" r:id="rId467"/>
    <hyperlink ref="B469" r:id="rId468"/>
    <hyperlink ref="B470" r:id="rId469"/>
    <hyperlink ref="B471" r:id="rId470"/>
    <hyperlink ref="B472" r:id="rId471"/>
    <hyperlink ref="B473" r:id="rId472"/>
    <hyperlink ref="B474" r:id="rId473"/>
    <hyperlink ref="B475" r:id="rId474"/>
    <hyperlink ref="B476" r:id="rId475"/>
    <hyperlink ref="B477" r:id="rId476"/>
    <hyperlink ref="B478" r:id="rId477"/>
    <hyperlink ref="B479" r:id="rId478"/>
    <hyperlink ref="B480" r:id="rId479"/>
    <hyperlink ref="B481" r:id="rId480"/>
    <hyperlink ref="B482" r:id="rId481"/>
    <hyperlink ref="B483" r:id="rId482"/>
    <hyperlink ref="B484" r:id="rId483"/>
    <hyperlink ref="B485" r:id="rId484"/>
    <hyperlink ref="B486" r:id="rId485"/>
    <hyperlink ref="B487" r:id="rId486"/>
    <hyperlink ref="B488" r:id="rId487"/>
    <hyperlink ref="B489" r:id="rId488"/>
    <hyperlink ref="B490" r:id="rId489"/>
    <hyperlink ref="B491" r:id="rId490"/>
    <hyperlink ref="B492" r:id="rId491"/>
    <hyperlink ref="B493" r:id="rId492"/>
    <hyperlink ref="B494" r:id="rId493"/>
    <hyperlink ref="B495" r:id="rId494"/>
    <hyperlink ref="B496" r:id="rId495"/>
    <hyperlink ref="B497" r:id="rId496"/>
    <hyperlink ref="B498" r:id="rId497"/>
    <hyperlink ref="B499" r:id="rId498"/>
    <hyperlink ref="B500" r:id="rId499"/>
    <hyperlink ref="B501" r:id="rId500"/>
    <hyperlink ref="B502" r:id="rId501"/>
    <hyperlink ref="B503" r:id="rId502"/>
    <hyperlink ref="B504" r:id="rId503"/>
    <hyperlink ref="B505" r:id="rId504"/>
    <hyperlink ref="B506" r:id="rId505"/>
    <hyperlink ref="B507" r:id="rId506"/>
    <hyperlink ref="B508" r:id="rId507"/>
    <hyperlink ref="B509" r:id="rId508"/>
    <hyperlink ref="B510" r:id="rId509"/>
    <hyperlink ref="B511" r:id="rId510"/>
    <hyperlink ref="B512" r:id="rId511"/>
    <hyperlink ref="B513" r:id="rId512"/>
    <hyperlink ref="B514" r:id="rId513"/>
    <hyperlink ref="B515" r:id="rId514"/>
    <hyperlink ref="B516" r:id="rId515"/>
    <hyperlink ref="B517" r:id="rId516"/>
    <hyperlink ref="B518" r:id="rId517"/>
    <hyperlink ref="B519" r:id="rId518"/>
    <hyperlink ref="B520" r:id="rId519"/>
    <hyperlink ref="B521" r:id="rId520"/>
    <hyperlink ref="B522" r:id="rId521"/>
    <hyperlink ref="B523" r:id="rId522"/>
    <hyperlink ref="B524" r:id="rId523"/>
    <hyperlink ref="B525" r:id="rId524"/>
    <hyperlink ref="B526" r:id="rId525"/>
    <hyperlink ref="B527" r:id="rId526"/>
    <hyperlink ref="B528" r:id="rId527"/>
    <hyperlink ref="B529" r:id="rId528"/>
    <hyperlink ref="B530" r:id="rId529"/>
    <hyperlink ref="B531" r:id="rId530"/>
    <hyperlink ref="B532" r:id="rId531"/>
    <hyperlink ref="B533" r:id="rId532"/>
    <hyperlink ref="B534" r:id="rId533"/>
    <hyperlink ref="B535" r:id="rId534"/>
    <hyperlink ref="B536" r:id="rId535"/>
    <hyperlink ref="B537" r:id="rId536"/>
    <hyperlink ref="B538" r:id="rId537"/>
    <hyperlink ref="B539" r:id="rId538"/>
    <hyperlink ref="B540" r:id="rId539"/>
    <hyperlink ref="B541" r:id="rId540"/>
    <hyperlink ref="B542" r:id="rId541"/>
    <hyperlink ref="B543" r:id="rId542"/>
    <hyperlink ref="B544" r:id="rId543"/>
    <hyperlink ref="B545" r:id="rId544"/>
    <hyperlink ref="B546" r:id="rId545"/>
    <hyperlink ref="B547" r:id="rId546"/>
    <hyperlink ref="B548" r:id="rId547"/>
    <hyperlink ref="B549" r:id="rId548"/>
    <hyperlink ref="B550" r:id="rId549"/>
    <hyperlink ref="B551" r:id="rId550"/>
    <hyperlink ref="B552" r:id="rId551"/>
    <hyperlink ref="B553" r:id="rId552"/>
    <hyperlink ref="B554" r:id="rId553"/>
    <hyperlink ref="B555" r:id="rId554"/>
    <hyperlink ref="B556" r:id="rId555"/>
    <hyperlink ref="B557" r:id="rId556"/>
    <hyperlink ref="B558" r:id="rId557"/>
    <hyperlink ref="B559" r:id="rId558"/>
    <hyperlink ref="B560" r:id="rId559"/>
    <hyperlink ref="B561" r:id="rId560"/>
    <hyperlink ref="B562" r:id="rId561"/>
    <hyperlink ref="B563" r:id="rId562"/>
    <hyperlink ref="B564" r:id="rId563"/>
    <hyperlink ref="B565" r:id="rId564"/>
    <hyperlink ref="B566" r:id="rId565"/>
    <hyperlink ref="B567" r:id="rId566"/>
    <hyperlink ref="B568" r:id="rId567"/>
    <hyperlink ref="B569" r:id="rId568"/>
    <hyperlink ref="B570" r:id="rId569"/>
    <hyperlink ref="B571" r:id="rId570"/>
    <hyperlink ref="B572" r:id="rId571"/>
    <hyperlink ref="B573" r:id="rId572"/>
    <hyperlink ref="B574" r:id="rId573"/>
    <hyperlink ref="B575" r:id="rId574"/>
    <hyperlink ref="B576" r:id="rId575"/>
    <hyperlink ref="B577" r:id="rId576"/>
    <hyperlink ref="B578" r:id="rId577"/>
    <hyperlink ref="B579" r:id="rId578"/>
    <hyperlink ref="B580" r:id="rId579"/>
    <hyperlink ref="B581" r:id="rId580"/>
    <hyperlink ref="B582" r:id="rId581"/>
    <hyperlink ref="B583" r:id="rId582"/>
    <hyperlink ref="B584" r:id="rId583"/>
    <hyperlink ref="B585" r:id="rId584"/>
    <hyperlink ref="B586" r:id="rId585"/>
    <hyperlink ref="B587" r:id="rId586"/>
    <hyperlink ref="B588" r:id="rId587"/>
    <hyperlink ref="B589" r:id="rId588"/>
    <hyperlink ref="B590" r:id="rId589"/>
    <hyperlink ref="B591" r:id="rId590"/>
    <hyperlink ref="B592" r:id="rId591"/>
    <hyperlink ref="B593" r:id="rId592"/>
    <hyperlink ref="B594" r:id="rId593"/>
    <hyperlink ref="B595" r:id="rId594"/>
    <hyperlink ref="B596" r:id="rId595"/>
    <hyperlink ref="B597" r:id="rId596"/>
    <hyperlink ref="B598" r:id="rId597"/>
    <hyperlink ref="B599" r:id="rId598"/>
    <hyperlink ref="B600" r:id="rId599"/>
    <hyperlink ref="B601" r:id="rId600"/>
    <hyperlink ref="B602" r:id="rId601"/>
    <hyperlink ref="B603" r:id="rId602"/>
    <hyperlink ref="B604" r:id="rId603"/>
    <hyperlink ref="B605" r:id="rId604"/>
    <hyperlink ref="B606" r:id="rId605"/>
    <hyperlink ref="B607" r:id="rId606"/>
    <hyperlink ref="B608" r:id="rId607"/>
    <hyperlink ref="B609" r:id="rId608"/>
    <hyperlink ref="B610" r:id="rId609"/>
    <hyperlink ref="B611" r:id="rId610"/>
    <hyperlink ref="B612" r:id="rId611"/>
    <hyperlink ref="B613" r:id="rId612"/>
    <hyperlink ref="B614" r:id="rId613"/>
    <hyperlink ref="B615" r:id="rId614"/>
    <hyperlink ref="B616" r:id="rId615"/>
    <hyperlink ref="B617" r:id="rId616"/>
    <hyperlink ref="B618" r:id="rId617"/>
    <hyperlink ref="B619" r:id="rId618"/>
    <hyperlink ref="B620" r:id="rId619"/>
    <hyperlink ref="B621" r:id="rId620"/>
    <hyperlink ref="B622" r:id="rId621"/>
    <hyperlink ref="B623" r:id="rId622"/>
    <hyperlink ref="B624" r:id="rId623"/>
    <hyperlink ref="B625" r:id="rId624"/>
    <hyperlink ref="B626" r:id="rId625"/>
    <hyperlink ref="B627" r:id="rId626"/>
    <hyperlink ref="B628" r:id="rId627"/>
    <hyperlink ref="B629" r:id="rId628"/>
    <hyperlink ref="B630" r:id="rId629"/>
    <hyperlink ref="B631" r:id="rId630"/>
    <hyperlink ref="B632" r:id="rId631"/>
    <hyperlink ref="B633" r:id="rId632"/>
    <hyperlink ref="B634" r:id="rId633"/>
    <hyperlink ref="B635" r:id="rId634"/>
    <hyperlink ref="B636" r:id="rId635"/>
    <hyperlink ref="B637" r:id="rId636"/>
    <hyperlink ref="B638" r:id="rId637"/>
    <hyperlink ref="B639" r:id="rId638"/>
    <hyperlink ref="B640" r:id="rId639"/>
    <hyperlink ref="B641" r:id="rId640"/>
    <hyperlink ref="B642" r:id="rId641"/>
    <hyperlink ref="B643" r:id="rId642"/>
    <hyperlink ref="B644" r:id="rId643"/>
    <hyperlink ref="B645" r:id="rId644"/>
    <hyperlink ref="B646" r:id="rId645"/>
    <hyperlink ref="B647" r:id="rId646"/>
    <hyperlink ref="B648" r:id="rId647"/>
    <hyperlink ref="B649" r:id="rId648"/>
    <hyperlink ref="B650" r:id="rId649"/>
    <hyperlink ref="B651" r:id="rId650"/>
    <hyperlink ref="B652" r:id="rId651"/>
    <hyperlink ref="B653" r:id="rId652"/>
    <hyperlink ref="B654" r:id="rId653"/>
    <hyperlink ref="B655" r:id="rId654"/>
    <hyperlink ref="B656" r:id="rId655"/>
    <hyperlink ref="B657" r:id="rId656"/>
    <hyperlink ref="B658" r:id="rId657"/>
    <hyperlink ref="B659" r:id="rId658"/>
    <hyperlink ref="B660" r:id="rId659"/>
    <hyperlink ref="B661" r:id="rId660"/>
    <hyperlink ref="B662" r:id="rId661"/>
    <hyperlink ref="B663" r:id="rId662"/>
    <hyperlink ref="B664" r:id="rId663"/>
    <hyperlink ref="B665" r:id="rId664"/>
    <hyperlink ref="B666" r:id="rId665"/>
    <hyperlink ref="B667" r:id="rId666"/>
    <hyperlink ref="B668" r:id="rId667"/>
    <hyperlink ref="B669" r:id="rId668"/>
    <hyperlink ref="B670" r:id="rId669"/>
    <hyperlink ref="B671" r:id="rId670"/>
    <hyperlink ref="B672" r:id="rId671"/>
    <hyperlink ref="B673" r:id="rId672"/>
    <hyperlink ref="B674" r:id="rId673"/>
    <hyperlink ref="B675" r:id="rId674"/>
    <hyperlink ref="B676" r:id="rId675"/>
    <hyperlink ref="B677" r:id="rId676"/>
    <hyperlink ref="B678" r:id="rId677"/>
    <hyperlink ref="B679" r:id="rId678"/>
    <hyperlink ref="B680" r:id="rId679"/>
    <hyperlink ref="B681" r:id="rId680"/>
    <hyperlink ref="B682" r:id="rId681"/>
    <hyperlink ref="B683" r:id="rId682"/>
    <hyperlink ref="B684" r:id="rId683"/>
    <hyperlink ref="B685" r:id="rId684"/>
    <hyperlink ref="B686" r:id="rId685"/>
    <hyperlink ref="B687" r:id="rId686"/>
    <hyperlink ref="B688" r:id="rId687"/>
    <hyperlink ref="B689" r:id="rId688"/>
    <hyperlink ref="B690" r:id="rId689"/>
    <hyperlink ref="B691" r:id="rId690"/>
    <hyperlink ref="B692" r:id="rId691"/>
    <hyperlink ref="B693" r:id="rId692"/>
    <hyperlink ref="B694" r:id="rId693"/>
    <hyperlink ref="B695" r:id="rId694"/>
    <hyperlink ref="B696" r:id="rId695"/>
    <hyperlink ref="B697" r:id="rId696"/>
    <hyperlink ref="B698" r:id="rId697"/>
    <hyperlink ref="B699" r:id="rId698"/>
    <hyperlink ref="B700" r:id="rId699"/>
    <hyperlink ref="B701" r:id="rId700"/>
    <hyperlink ref="B702" r:id="rId701"/>
    <hyperlink ref="B703" r:id="rId702"/>
    <hyperlink ref="B704" r:id="rId703"/>
    <hyperlink ref="B705" r:id="rId704"/>
    <hyperlink ref="B706" r:id="rId705"/>
    <hyperlink ref="B707" r:id="rId706"/>
    <hyperlink ref="B708" r:id="rId707"/>
    <hyperlink ref="B709" r:id="rId708"/>
    <hyperlink ref="B710" r:id="rId709"/>
    <hyperlink ref="B711" r:id="rId710"/>
    <hyperlink ref="B712" r:id="rId711"/>
    <hyperlink ref="B713" r:id="rId712"/>
    <hyperlink ref="B714" r:id="rId713"/>
    <hyperlink ref="B715" r:id="rId714"/>
    <hyperlink ref="B716" r:id="rId715"/>
    <hyperlink ref="B717" r:id="rId716"/>
    <hyperlink ref="B718" r:id="rId717"/>
    <hyperlink ref="B719" r:id="rId718"/>
    <hyperlink ref="B720" r:id="rId719"/>
    <hyperlink ref="B721" r:id="rId720"/>
    <hyperlink ref="B722" r:id="rId721"/>
    <hyperlink ref="B723" r:id="rId722"/>
    <hyperlink ref="B724" r:id="rId723"/>
    <hyperlink ref="B725" r:id="rId724"/>
    <hyperlink ref="B726" r:id="rId725"/>
    <hyperlink ref="B727" r:id="rId726"/>
    <hyperlink ref="B728" r:id="rId727"/>
    <hyperlink ref="B729" r:id="rId728"/>
    <hyperlink ref="B730" r:id="rId729"/>
    <hyperlink ref="B731" r:id="rId730"/>
    <hyperlink ref="B732" r:id="rId731"/>
    <hyperlink ref="B733" r:id="rId732"/>
    <hyperlink ref="B734" r:id="rId733"/>
    <hyperlink ref="B735" r:id="rId734"/>
    <hyperlink ref="B736" r:id="rId735"/>
    <hyperlink ref="B737" r:id="rId736"/>
    <hyperlink ref="B738" r:id="rId737"/>
    <hyperlink ref="B739" r:id="rId738"/>
    <hyperlink ref="B740" r:id="rId739"/>
    <hyperlink ref="B741" r:id="rId740"/>
    <hyperlink ref="B742" r:id="rId741"/>
    <hyperlink ref="B743" r:id="rId742"/>
    <hyperlink ref="B744" r:id="rId743"/>
    <hyperlink ref="B745" r:id="rId744"/>
    <hyperlink ref="B746" r:id="rId745"/>
    <hyperlink ref="B747" r:id="rId746"/>
    <hyperlink ref="B748" r:id="rId747"/>
    <hyperlink ref="B749" r:id="rId748"/>
    <hyperlink ref="B750" r:id="rId749"/>
    <hyperlink ref="B751" r:id="rId750"/>
    <hyperlink ref="B752" r:id="rId751"/>
    <hyperlink ref="B753" r:id="rId752"/>
    <hyperlink ref="B754" r:id="rId753"/>
    <hyperlink ref="B755" r:id="rId754"/>
    <hyperlink ref="B756" r:id="rId755"/>
    <hyperlink ref="B757" r:id="rId756"/>
    <hyperlink ref="B758" r:id="rId757"/>
    <hyperlink ref="B759" r:id="rId758"/>
    <hyperlink ref="B760" r:id="rId759"/>
    <hyperlink ref="B761" r:id="rId760"/>
    <hyperlink ref="B762" r:id="rId761"/>
    <hyperlink ref="B763" r:id="rId762"/>
    <hyperlink ref="B764" r:id="rId763"/>
    <hyperlink ref="B765" r:id="rId764"/>
    <hyperlink ref="B766" r:id="rId765"/>
    <hyperlink ref="B767" r:id="rId766"/>
    <hyperlink ref="B768" r:id="rId767"/>
    <hyperlink ref="B769" r:id="rId768"/>
    <hyperlink ref="B770" r:id="rId769"/>
    <hyperlink ref="B771" r:id="rId770"/>
    <hyperlink ref="B772" r:id="rId771"/>
    <hyperlink ref="B773" r:id="rId772"/>
    <hyperlink ref="B774" r:id="rId773"/>
    <hyperlink ref="B775" r:id="rId774"/>
    <hyperlink ref="B776" r:id="rId775"/>
    <hyperlink ref="B777" r:id="rId776"/>
    <hyperlink ref="B778" r:id="rId777"/>
    <hyperlink ref="B779" r:id="rId778"/>
    <hyperlink ref="B780" r:id="rId779"/>
    <hyperlink ref="B781" r:id="rId780"/>
    <hyperlink ref="B782" r:id="rId781"/>
    <hyperlink ref="B783" r:id="rId782"/>
    <hyperlink ref="B784" r:id="rId783"/>
    <hyperlink ref="B785" r:id="rId784"/>
    <hyperlink ref="B786" r:id="rId785"/>
    <hyperlink ref="B787" r:id="rId786"/>
    <hyperlink ref="B788" r:id="rId787"/>
    <hyperlink ref="B789" r:id="rId788"/>
    <hyperlink ref="B790" r:id="rId789"/>
    <hyperlink ref="B791" r:id="rId790"/>
    <hyperlink ref="B792" r:id="rId791"/>
    <hyperlink ref="B793" r:id="rId792"/>
    <hyperlink ref="B794" r:id="rId793"/>
    <hyperlink ref="B795" r:id="rId794"/>
    <hyperlink ref="B796" r:id="rId795"/>
    <hyperlink ref="B797" r:id="rId796"/>
    <hyperlink ref="B798" r:id="rId797"/>
    <hyperlink ref="B799" r:id="rId798"/>
    <hyperlink ref="B800" r:id="rId799"/>
    <hyperlink ref="B801" r:id="rId800"/>
    <hyperlink ref="B802" r:id="rId801"/>
    <hyperlink ref="B803" r:id="rId802"/>
    <hyperlink ref="B804" r:id="rId803"/>
    <hyperlink ref="B805" r:id="rId804"/>
    <hyperlink ref="B806" r:id="rId805"/>
    <hyperlink ref="B807" r:id="rId806"/>
    <hyperlink ref="B808" r:id="rId807"/>
    <hyperlink ref="B809" r:id="rId808"/>
    <hyperlink ref="B810" r:id="rId809"/>
    <hyperlink ref="B811" r:id="rId810"/>
    <hyperlink ref="B812" r:id="rId811"/>
    <hyperlink ref="B813" r:id="rId812"/>
    <hyperlink ref="B814" r:id="rId813"/>
    <hyperlink ref="B815" r:id="rId814"/>
    <hyperlink ref="B816" r:id="rId815"/>
    <hyperlink ref="B817" r:id="rId816"/>
    <hyperlink ref="B818" r:id="rId817"/>
    <hyperlink ref="B819" r:id="rId818"/>
    <hyperlink ref="B820" r:id="rId819"/>
    <hyperlink ref="B821" r:id="rId820"/>
    <hyperlink ref="B822" r:id="rId821"/>
    <hyperlink ref="B823" r:id="rId822"/>
    <hyperlink ref="B824" r:id="rId823"/>
    <hyperlink ref="B825" r:id="rId824"/>
    <hyperlink ref="B826" r:id="rId825"/>
    <hyperlink ref="B827" r:id="rId826"/>
    <hyperlink ref="B828" r:id="rId827"/>
    <hyperlink ref="B829" r:id="rId828"/>
    <hyperlink ref="B830" r:id="rId829"/>
    <hyperlink ref="B831" r:id="rId830"/>
    <hyperlink ref="B832" r:id="rId831"/>
    <hyperlink ref="B833" r:id="rId832"/>
    <hyperlink ref="B834" r:id="rId833"/>
    <hyperlink ref="B835" r:id="rId834"/>
    <hyperlink ref="B836" r:id="rId835"/>
    <hyperlink ref="B837" r:id="rId836"/>
    <hyperlink ref="B838" r:id="rId837"/>
    <hyperlink ref="B839" r:id="rId838"/>
    <hyperlink ref="B840" r:id="rId839"/>
    <hyperlink ref="B841" r:id="rId840"/>
    <hyperlink ref="B842" r:id="rId841"/>
    <hyperlink ref="B843" r:id="rId842"/>
    <hyperlink ref="B844" r:id="rId843"/>
    <hyperlink ref="B845" r:id="rId844"/>
    <hyperlink ref="B846" r:id="rId845"/>
    <hyperlink ref="B847" r:id="rId846"/>
    <hyperlink ref="B848" r:id="rId847"/>
    <hyperlink ref="B849" r:id="rId848"/>
    <hyperlink ref="B850" r:id="rId849"/>
    <hyperlink ref="B851" r:id="rId850"/>
    <hyperlink ref="B852" r:id="rId851"/>
    <hyperlink ref="B853" r:id="rId852"/>
    <hyperlink ref="B854" r:id="rId853"/>
    <hyperlink ref="B855" r:id="rId854"/>
    <hyperlink ref="B856" r:id="rId855"/>
    <hyperlink ref="B857" r:id="rId856"/>
    <hyperlink ref="B858" r:id="rId857"/>
    <hyperlink ref="B859" r:id="rId858"/>
    <hyperlink ref="B860" r:id="rId859"/>
    <hyperlink ref="B861" r:id="rId860"/>
    <hyperlink ref="B862" r:id="rId861"/>
    <hyperlink ref="B863" r:id="rId862"/>
    <hyperlink ref="B864" r:id="rId863"/>
    <hyperlink ref="B865" r:id="rId864"/>
    <hyperlink ref="B866" r:id="rId865"/>
    <hyperlink ref="B867" r:id="rId866"/>
    <hyperlink ref="B868" r:id="rId867"/>
    <hyperlink ref="B869" r:id="rId868"/>
    <hyperlink ref="B870" r:id="rId869"/>
    <hyperlink ref="B871" r:id="rId870"/>
    <hyperlink ref="B872" r:id="rId871"/>
    <hyperlink ref="B873" r:id="rId872"/>
    <hyperlink ref="B874" r:id="rId873"/>
    <hyperlink ref="B875" r:id="rId874"/>
    <hyperlink ref="B876" r:id="rId875"/>
    <hyperlink ref="B877" r:id="rId876"/>
    <hyperlink ref="B878" r:id="rId877"/>
    <hyperlink ref="B879" r:id="rId878"/>
    <hyperlink ref="B880" r:id="rId879"/>
    <hyperlink ref="B881" r:id="rId880"/>
    <hyperlink ref="B882" r:id="rId881"/>
    <hyperlink ref="B883" r:id="rId882"/>
    <hyperlink ref="B884" r:id="rId883"/>
    <hyperlink ref="B885" r:id="rId884"/>
    <hyperlink ref="B886" r:id="rId885"/>
    <hyperlink ref="B887" r:id="rId886"/>
    <hyperlink ref="B888" r:id="rId887"/>
    <hyperlink ref="B889" r:id="rId888"/>
    <hyperlink ref="B890" r:id="rId889"/>
    <hyperlink ref="B891" r:id="rId890"/>
    <hyperlink ref="B892" r:id="rId891"/>
    <hyperlink ref="B893" r:id="rId892"/>
    <hyperlink ref="B894" r:id="rId893"/>
    <hyperlink ref="B895" r:id="rId894"/>
    <hyperlink ref="B896" r:id="rId895"/>
    <hyperlink ref="B897" r:id="rId896"/>
    <hyperlink ref="B898" r:id="rId897"/>
    <hyperlink ref="B899" r:id="rId898"/>
    <hyperlink ref="B900" r:id="rId899"/>
    <hyperlink ref="B901" r:id="rId900"/>
    <hyperlink ref="B902" r:id="rId901"/>
    <hyperlink ref="B903" r:id="rId902"/>
    <hyperlink ref="B904" r:id="rId903"/>
    <hyperlink ref="B905" r:id="rId904"/>
    <hyperlink ref="B906" r:id="rId905"/>
    <hyperlink ref="B907" r:id="rId906"/>
    <hyperlink ref="B908" r:id="rId907"/>
    <hyperlink ref="B909" r:id="rId908"/>
    <hyperlink ref="B910" r:id="rId909"/>
    <hyperlink ref="B911" r:id="rId910"/>
    <hyperlink ref="B912" r:id="rId911"/>
    <hyperlink ref="B913" r:id="rId912"/>
    <hyperlink ref="B914" r:id="rId913"/>
    <hyperlink ref="B915" r:id="rId914"/>
    <hyperlink ref="B916" r:id="rId915"/>
    <hyperlink ref="B917" r:id="rId916"/>
    <hyperlink ref="B918" r:id="rId917"/>
    <hyperlink ref="B919" r:id="rId918"/>
    <hyperlink ref="B920" r:id="rId919"/>
    <hyperlink ref="B921" r:id="rId920"/>
    <hyperlink ref="B922" r:id="rId921"/>
    <hyperlink ref="B923" r:id="rId922"/>
    <hyperlink ref="B924" r:id="rId923"/>
    <hyperlink ref="B925" r:id="rId924"/>
    <hyperlink ref="B926" r:id="rId925"/>
    <hyperlink ref="B927" r:id="rId926"/>
    <hyperlink ref="B928" r:id="rId927"/>
    <hyperlink ref="B929" r:id="rId928"/>
    <hyperlink ref="B930" r:id="rId929"/>
    <hyperlink ref="B931" r:id="rId930"/>
    <hyperlink ref="B932" r:id="rId931"/>
    <hyperlink ref="B933" r:id="rId932"/>
    <hyperlink ref="B934" r:id="rId933"/>
    <hyperlink ref="B935" r:id="rId934"/>
    <hyperlink ref="B936" r:id="rId935"/>
    <hyperlink ref="B937" r:id="rId936"/>
    <hyperlink ref="B938" r:id="rId937"/>
    <hyperlink ref="B939" r:id="rId938"/>
    <hyperlink ref="B940" r:id="rId939"/>
    <hyperlink ref="B941" r:id="rId940"/>
    <hyperlink ref="B942" r:id="rId941"/>
    <hyperlink ref="B943" r:id="rId942"/>
    <hyperlink ref="B944" r:id="rId943"/>
    <hyperlink ref="B945" r:id="rId944"/>
    <hyperlink ref="B946" r:id="rId945"/>
    <hyperlink ref="B947" r:id="rId946"/>
    <hyperlink ref="B948" r:id="rId947"/>
    <hyperlink ref="B949" r:id="rId948"/>
    <hyperlink ref="B950" r:id="rId949"/>
    <hyperlink ref="B951" r:id="rId950"/>
    <hyperlink ref="B952" r:id="rId951"/>
    <hyperlink ref="B953" r:id="rId952"/>
    <hyperlink ref="B954" r:id="rId953"/>
    <hyperlink ref="B955" r:id="rId954"/>
    <hyperlink ref="B956" r:id="rId955"/>
    <hyperlink ref="B957" r:id="rId956"/>
    <hyperlink ref="B958" r:id="rId957"/>
    <hyperlink ref="B959" r:id="rId958"/>
    <hyperlink ref="B960" r:id="rId959"/>
    <hyperlink ref="B961" r:id="rId960"/>
    <hyperlink ref="B962" r:id="rId961"/>
    <hyperlink ref="B963" r:id="rId962"/>
    <hyperlink ref="B964" r:id="rId963"/>
    <hyperlink ref="B965" r:id="rId964"/>
    <hyperlink ref="B966" r:id="rId965"/>
    <hyperlink ref="B967" r:id="rId966"/>
    <hyperlink ref="B968" r:id="rId967"/>
    <hyperlink ref="B969" r:id="rId968"/>
    <hyperlink ref="B970" r:id="rId969"/>
    <hyperlink ref="B971" r:id="rId970"/>
    <hyperlink ref="B972" r:id="rId971"/>
    <hyperlink ref="B973" r:id="rId972"/>
    <hyperlink ref="B974" r:id="rId973"/>
    <hyperlink ref="B975" r:id="rId974"/>
    <hyperlink ref="B976" r:id="rId975"/>
    <hyperlink ref="B977" r:id="rId976"/>
    <hyperlink ref="B978" r:id="rId977"/>
    <hyperlink ref="B979" r:id="rId978"/>
    <hyperlink ref="B980" r:id="rId979"/>
    <hyperlink ref="B981" r:id="rId980"/>
    <hyperlink ref="B982" r:id="rId981"/>
    <hyperlink ref="B983" r:id="rId982"/>
    <hyperlink ref="B984" r:id="rId983"/>
    <hyperlink ref="B985" r:id="rId984"/>
    <hyperlink ref="B986" r:id="rId985"/>
    <hyperlink ref="B987" r:id="rId986"/>
    <hyperlink ref="B988" r:id="rId987"/>
    <hyperlink ref="B989" r:id="rId988"/>
    <hyperlink ref="B990" r:id="rId989"/>
    <hyperlink ref="B991" r:id="rId990"/>
    <hyperlink ref="B992" r:id="rId991"/>
    <hyperlink ref="B993" r:id="rId992"/>
    <hyperlink ref="B994" r:id="rId993"/>
    <hyperlink ref="B995" r:id="rId994"/>
    <hyperlink ref="B996" r:id="rId995"/>
    <hyperlink ref="B997" r:id="rId996"/>
    <hyperlink ref="B998" r:id="rId997"/>
    <hyperlink ref="B999" r:id="rId998"/>
    <hyperlink ref="B1000" r:id="rId999"/>
    <hyperlink ref="B1001" r:id="rId1000"/>
    <hyperlink ref="B1002" r:id="rId1001"/>
    <hyperlink ref="B1003" r:id="rId1002"/>
    <hyperlink ref="B1004" r:id="rId1003"/>
    <hyperlink ref="B1005" r:id="rId1004"/>
    <hyperlink ref="B1006" r:id="rId1005"/>
    <hyperlink ref="B1007" r:id="rId1006"/>
    <hyperlink ref="B1008" r:id="rId1007"/>
    <hyperlink ref="B1009" r:id="rId1008"/>
    <hyperlink ref="B1010" r:id="rId1009"/>
    <hyperlink ref="B1011" r:id="rId1010"/>
    <hyperlink ref="B1012" r:id="rId1011"/>
    <hyperlink ref="B1013" r:id="rId1012"/>
    <hyperlink ref="B1014" r:id="rId1013"/>
    <hyperlink ref="S2" r:id="rId1014"/>
    <hyperlink ref="S3" r:id="rId1015"/>
    <hyperlink ref="S4" r:id="rId1016"/>
    <hyperlink ref="S5" r:id="rId1017"/>
    <hyperlink ref="S6" r:id="rId1018"/>
    <hyperlink ref="S7" r:id="rId1019"/>
    <hyperlink ref="S8" r:id="rId1020"/>
    <hyperlink ref="S9" r:id="rId1021"/>
    <hyperlink ref="S10" r:id="rId1022"/>
    <hyperlink ref="S11" r:id="rId1023"/>
    <hyperlink ref="S12" r:id="rId1024"/>
    <hyperlink ref="S13" r:id="rId1025"/>
    <hyperlink ref="S14" r:id="rId1026"/>
    <hyperlink ref="S15" r:id="rId1027"/>
    <hyperlink ref="S16" r:id="rId1028"/>
    <hyperlink ref="S17" r:id="rId1029"/>
    <hyperlink ref="S18" r:id="rId1030"/>
    <hyperlink ref="S19" r:id="rId1031"/>
    <hyperlink ref="S20" r:id="rId1032"/>
    <hyperlink ref="S21" r:id="rId1033"/>
    <hyperlink ref="S22" r:id="rId1034"/>
    <hyperlink ref="S23" r:id="rId1035"/>
    <hyperlink ref="S24" r:id="rId1036"/>
    <hyperlink ref="S25" r:id="rId1037"/>
    <hyperlink ref="S26" r:id="rId1038"/>
    <hyperlink ref="S27" r:id="rId1039"/>
    <hyperlink ref="S28" r:id="rId1040"/>
    <hyperlink ref="S29" r:id="rId1041"/>
    <hyperlink ref="S30" r:id="rId1042"/>
    <hyperlink ref="S31" r:id="rId1043"/>
    <hyperlink ref="S32" r:id="rId1044"/>
    <hyperlink ref="S33" r:id="rId1045"/>
    <hyperlink ref="S34" r:id="rId1046"/>
    <hyperlink ref="S35" r:id="rId1047"/>
    <hyperlink ref="S36" r:id="rId1048"/>
    <hyperlink ref="S37" r:id="rId1049"/>
    <hyperlink ref="S38" r:id="rId1050"/>
    <hyperlink ref="S39" r:id="rId1051"/>
    <hyperlink ref="S40" r:id="rId1052"/>
    <hyperlink ref="S41" r:id="rId1053"/>
    <hyperlink ref="S42" r:id="rId1054"/>
    <hyperlink ref="S43" r:id="rId1055"/>
    <hyperlink ref="S44" r:id="rId1056"/>
    <hyperlink ref="S45" r:id="rId1057"/>
    <hyperlink ref="S46" r:id="rId1058"/>
    <hyperlink ref="S47" r:id="rId1059"/>
    <hyperlink ref="S48" r:id="rId1060"/>
    <hyperlink ref="S49" r:id="rId1061"/>
    <hyperlink ref="S50" r:id="rId1062"/>
    <hyperlink ref="S51" r:id="rId1063"/>
    <hyperlink ref="S52" r:id="rId1064"/>
    <hyperlink ref="S53" r:id="rId1065"/>
    <hyperlink ref="S54" r:id="rId1066"/>
    <hyperlink ref="S55" r:id="rId1067"/>
    <hyperlink ref="S56" r:id="rId1068"/>
    <hyperlink ref="S57" r:id="rId1069"/>
    <hyperlink ref="S58" r:id="rId1070"/>
    <hyperlink ref="S59" r:id="rId1071"/>
    <hyperlink ref="S60" r:id="rId1072"/>
    <hyperlink ref="S61" r:id="rId1073"/>
    <hyperlink ref="S62" r:id="rId1074"/>
    <hyperlink ref="S63" r:id="rId1075"/>
    <hyperlink ref="S64" r:id="rId1076"/>
    <hyperlink ref="S65" r:id="rId1077"/>
    <hyperlink ref="S66" r:id="rId1078"/>
    <hyperlink ref="S67" r:id="rId1079"/>
    <hyperlink ref="S68" r:id="rId1080"/>
    <hyperlink ref="S69" r:id="rId1081"/>
    <hyperlink ref="S70" r:id="rId1082"/>
    <hyperlink ref="S71" r:id="rId1083"/>
    <hyperlink ref="S72" r:id="rId1084"/>
    <hyperlink ref="S73" r:id="rId1085"/>
    <hyperlink ref="S74" r:id="rId1086"/>
    <hyperlink ref="S75" r:id="rId1087"/>
    <hyperlink ref="S76" r:id="rId1088"/>
    <hyperlink ref="S77" r:id="rId1089"/>
    <hyperlink ref="S78" r:id="rId1090"/>
    <hyperlink ref="S79" r:id="rId1091"/>
    <hyperlink ref="S80" r:id="rId1092"/>
    <hyperlink ref="S81" r:id="rId1093"/>
    <hyperlink ref="S82" r:id="rId1094"/>
    <hyperlink ref="S83" r:id="rId1095"/>
    <hyperlink ref="S84" r:id="rId1096"/>
    <hyperlink ref="S85" r:id="rId1097"/>
    <hyperlink ref="S86" r:id="rId1098"/>
    <hyperlink ref="S87" r:id="rId1099"/>
    <hyperlink ref="S88" r:id="rId1100"/>
    <hyperlink ref="S89" r:id="rId1101"/>
    <hyperlink ref="S90" r:id="rId1102"/>
    <hyperlink ref="S91" r:id="rId1103"/>
    <hyperlink ref="S92" r:id="rId1104"/>
    <hyperlink ref="S93" r:id="rId1105"/>
    <hyperlink ref="S94" r:id="rId1106"/>
    <hyperlink ref="S95" r:id="rId1107"/>
    <hyperlink ref="S96" r:id="rId1108"/>
    <hyperlink ref="S97" r:id="rId1109"/>
    <hyperlink ref="S98" r:id="rId1110"/>
    <hyperlink ref="S99" r:id="rId1111"/>
    <hyperlink ref="S100" r:id="rId1112"/>
    <hyperlink ref="S101" r:id="rId1113"/>
    <hyperlink ref="S102" r:id="rId1114"/>
    <hyperlink ref="S103" r:id="rId1115"/>
    <hyperlink ref="S104" r:id="rId1116"/>
    <hyperlink ref="S105" r:id="rId1117"/>
    <hyperlink ref="S106" r:id="rId1118"/>
    <hyperlink ref="S107" r:id="rId1119"/>
    <hyperlink ref="S108" r:id="rId1120"/>
    <hyperlink ref="S109" r:id="rId1121"/>
    <hyperlink ref="S110" r:id="rId1122"/>
    <hyperlink ref="S111" r:id="rId1123"/>
    <hyperlink ref="S112" r:id="rId1124"/>
    <hyperlink ref="S113" r:id="rId1125"/>
    <hyperlink ref="S114" r:id="rId1126"/>
    <hyperlink ref="S115" r:id="rId1127"/>
    <hyperlink ref="S116" r:id="rId1128"/>
    <hyperlink ref="S117" r:id="rId1129"/>
    <hyperlink ref="S118" r:id="rId1130"/>
    <hyperlink ref="S119" r:id="rId1131"/>
    <hyperlink ref="S120" r:id="rId1132"/>
    <hyperlink ref="S121" r:id="rId1133"/>
    <hyperlink ref="S122" r:id="rId1134"/>
    <hyperlink ref="S123" r:id="rId1135"/>
    <hyperlink ref="S124" r:id="rId1136"/>
    <hyperlink ref="S125" r:id="rId1137"/>
    <hyperlink ref="S126" r:id="rId1138"/>
    <hyperlink ref="S127" r:id="rId1139"/>
    <hyperlink ref="S128" r:id="rId1140"/>
    <hyperlink ref="S129" r:id="rId1141"/>
    <hyperlink ref="S130" r:id="rId1142"/>
    <hyperlink ref="S131" r:id="rId1143"/>
    <hyperlink ref="S132" r:id="rId1144"/>
    <hyperlink ref="S133" r:id="rId1145"/>
    <hyperlink ref="S134" r:id="rId1146"/>
    <hyperlink ref="S135" r:id="rId1147"/>
    <hyperlink ref="S136" r:id="rId1148"/>
    <hyperlink ref="S137" r:id="rId1149"/>
    <hyperlink ref="S138" r:id="rId1150"/>
    <hyperlink ref="S139" r:id="rId1151"/>
    <hyperlink ref="S140" r:id="rId1152"/>
    <hyperlink ref="S141" r:id="rId1153"/>
    <hyperlink ref="S142" r:id="rId1154"/>
    <hyperlink ref="S143" r:id="rId1155"/>
    <hyperlink ref="S144" r:id="rId1156"/>
    <hyperlink ref="S145" r:id="rId1157"/>
    <hyperlink ref="S146" r:id="rId1158"/>
    <hyperlink ref="S147" r:id="rId1159"/>
    <hyperlink ref="S148" r:id="rId1160"/>
    <hyperlink ref="S149" r:id="rId1161"/>
    <hyperlink ref="S150" r:id="rId1162"/>
    <hyperlink ref="S151" r:id="rId1163"/>
    <hyperlink ref="S152" r:id="rId1164"/>
    <hyperlink ref="S153" r:id="rId1165"/>
    <hyperlink ref="S154" r:id="rId1166"/>
    <hyperlink ref="S155" r:id="rId1167"/>
    <hyperlink ref="S156" r:id="rId1168"/>
    <hyperlink ref="S157" r:id="rId1169"/>
    <hyperlink ref="S158" r:id="rId1170"/>
    <hyperlink ref="S159" r:id="rId1171"/>
    <hyperlink ref="S160" r:id="rId1172"/>
    <hyperlink ref="S161" r:id="rId1173"/>
    <hyperlink ref="S162" r:id="rId1174"/>
    <hyperlink ref="S163" r:id="rId1175"/>
    <hyperlink ref="S164" r:id="rId1176"/>
    <hyperlink ref="S165" r:id="rId1177"/>
    <hyperlink ref="S166" r:id="rId1178"/>
    <hyperlink ref="S167" r:id="rId1179"/>
    <hyperlink ref="S168" r:id="rId1180"/>
    <hyperlink ref="S169" r:id="rId1181"/>
    <hyperlink ref="S170" r:id="rId1182"/>
    <hyperlink ref="S171" r:id="rId1183"/>
    <hyperlink ref="S172" r:id="rId1184"/>
    <hyperlink ref="S173" r:id="rId1185"/>
    <hyperlink ref="S174" r:id="rId1186"/>
    <hyperlink ref="S175" r:id="rId1187"/>
    <hyperlink ref="S176" r:id="rId1188"/>
    <hyperlink ref="S177" r:id="rId1189"/>
    <hyperlink ref="S178" r:id="rId1190"/>
    <hyperlink ref="S179" r:id="rId1191"/>
    <hyperlink ref="S180" r:id="rId1192"/>
    <hyperlink ref="S181" r:id="rId1193"/>
    <hyperlink ref="S182" r:id="rId1194"/>
    <hyperlink ref="S183" r:id="rId1195"/>
    <hyperlink ref="S184" r:id="rId1196"/>
    <hyperlink ref="S185" r:id="rId1197"/>
    <hyperlink ref="S186" r:id="rId1198"/>
    <hyperlink ref="S187" r:id="rId1199"/>
    <hyperlink ref="S188" r:id="rId1200"/>
    <hyperlink ref="S189" r:id="rId1201"/>
    <hyperlink ref="S190" r:id="rId1202"/>
    <hyperlink ref="S191" r:id="rId1203"/>
    <hyperlink ref="S192" r:id="rId1204"/>
    <hyperlink ref="S193" r:id="rId1205"/>
    <hyperlink ref="S194" r:id="rId1206"/>
    <hyperlink ref="S195" r:id="rId1207"/>
    <hyperlink ref="S196" r:id="rId1208"/>
    <hyperlink ref="S197" r:id="rId1209"/>
    <hyperlink ref="S198" r:id="rId1210"/>
    <hyperlink ref="S199" r:id="rId1211"/>
    <hyperlink ref="S200" r:id="rId1212"/>
    <hyperlink ref="S201" r:id="rId1213"/>
    <hyperlink ref="S202" r:id="rId1214"/>
    <hyperlink ref="S203" r:id="rId1215"/>
    <hyperlink ref="S204" r:id="rId1216"/>
    <hyperlink ref="S205" r:id="rId1217"/>
    <hyperlink ref="S206" r:id="rId1218"/>
    <hyperlink ref="S207" r:id="rId1219"/>
    <hyperlink ref="S208" r:id="rId1220"/>
    <hyperlink ref="S209" r:id="rId1221"/>
    <hyperlink ref="S210" r:id="rId1222"/>
    <hyperlink ref="S211" r:id="rId1223"/>
    <hyperlink ref="S212" r:id="rId1224"/>
    <hyperlink ref="S213" r:id="rId1225"/>
    <hyperlink ref="S214" r:id="rId1226"/>
    <hyperlink ref="S215" r:id="rId1227"/>
    <hyperlink ref="S216" r:id="rId1228"/>
    <hyperlink ref="S217" r:id="rId1229"/>
    <hyperlink ref="S218" r:id="rId1230"/>
    <hyperlink ref="S219" r:id="rId1231"/>
    <hyperlink ref="S220" r:id="rId1232"/>
    <hyperlink ref="S221" r:id="rId1233"/>
    <hyperlink ref="S222" r:id="rId1234"/>
    <hyperlink ref="S223" r:id="rId1235"/>
    <hyperlink ref="S224" r:id="rId1236"/>
    <hyperlink ref="S225" r:id="rId1237"/>
    <hyperlink ref="S226" r:id="rId1238"/>
    <hyperlink ref="S227" r:id="rId1239"/>
    <hyperlink ref="S228" r:id="rId1240"/>
    <hyperlink ref="S229" r:id="rId1241"/>
    <hyperlink ref="S230" r:id="rId1242"/>
    <hyperlink ref="S231" r:id="rId1243"/>
    <hyperlink ref="S232" r:id="rId1244"/>
    <hyperlink ref="S233" r:id="rId1245"/>
    <hyperlink ref="S234" r:id="rId1246"/>
    <hyperlink ref="S235" r:id="rId1247"/>
    <hyperlink ref="S236" r:id="rId1248"/>
    <hyperlink ref="S237" r:id="rId1249"/>
    <hyperlink ref="S238" r:id="rId1250"/>
    <hyperlink ref="S239" r:id="rId1251"/>
    <hyperlink ref="S240" r:id="rId1252"/>
    <hyperlink ref="S241" r:id="rId1253"/>
    <hyperlink ref="S242" r:id="rId1254"/>
    <hyperlink ref="S243" r:id="rId1255"/>
    <hyperlink ref="S244" r:id="rId1256"/>
    <hyperlink ref="S245" r:id="rId1257"/>
    <hyperlink ref="S246" r:id="rId1258"/>
    <hyperlink ref="S247" r:id="rId1259"/>
    <hyperlink ref="S248" r:id="rId1260"/>
    <hyperlink ref="S249" r:id="rId1261"/>
    <hyperlink ref="S250" r:id="rId1262"/>
    <hyperlink ref="S251" r:id="rId1263"/>
    <hyperlink ref="S252" r:id="rId1264"/>
    <hyperlink ref="S253" r:id="rId1265"/>
    <hyperlink ref="S254" r:id="rId1266"/>
    <hyperlink ref="S255" r:id="rId1267"/>
    <hyperlink ref="S256" r:id="rId1268"/>
    <hyperlink ref="S257" r:id="rId1269"/>
    <hyperlink ref="S258" r:id="rId1270"/>
    <hyperlink ref="S259" r:id="rId1271"/>
    <hyperlink ref="S260" r:id="rId1272"/>
    <hyperlink ref="S261" r:id="rId1273"/>
    <hyperlink ref="S262" r:id="rId1274"/>
    <hyperlink ref="S263" r:id="rId1275"/>
    <hyperlink ref="S264" r:id="rId1276"/>
    <hyperlink ref="S265" r:id="rId1277"/>
    <hyperlink ref="S266" r:id="rId1278"/>
    <hyperlink ref="S267" r:id="rId1279"/>
    <hyperlink ref="S268" r:id="rId1280"/>
    <hyperlink ref="S269" r:id="rId1281"/>
    <hyperlink ref="S270" r:id="rId1282"/>
    <hyperlink ref="S271" r:id="rId1283"/>
    <hyperlink ref="S272" r:id="rId1284"/>
    <hyperlink ref="S273" r:id="rId1285"/>
    <hyperlink ref="S274" r:id="rId1286"/>
    <hyperlink ref="S275" r:id="rId1287"/>
    <hyperlink ref="S276" r:id="rId1288"/>
    <hyperlink ref="S277" r:id="rId1289"/>
    <hyperlink ref="S278" r:id="rId1290"/>
    <hyperlink ref="S279" r:id="rId1291"/>
    <hyperlink ref="S280" r:id="rId1292"/>
    <hyperlink ref="S281" r:id="rId1293"/>
    <hyperlink ref="S282" r:id="rId1294"/>
    <hyperlink ref="S283" r:id="rId1295"/>
    <hyperlink ref="S284" r:id="rId1296"/>
    <hyperlink ref="S285" r:id="rId1297"/>
    <hyperlink ref="S286" r:id="rId1298"/>
    <hyperlink ref="S287" r:id="rId1299"/>
    <hyperlink ref="S288" r:id="rId1300"/>
    <hyperlink ref="S289" r:id="rId1301"/>
    <hyperlink ref="S290" r:id="rId1302"/>
    <hyperlink ref="S291" r:id="rId1303"/>
    <hyperlink ref="S292" r:id="rId1304"/>
    <hyperlink ref="S293" r:id="rId1305"/>
    <hyperlink ref="S294" r:id="rId1306"/>
    <hyperlink ref="S295" r:id="rId1307"/>
    <hyperlink ref="S296" r:id="rId1308"/>
    <hyperlink ref="S297" r:id="rId1309"/>
    <hyperlink ref="S298" r:id="rId1310"/>
    <hyperlink ref="S299" r:id="rId1311"/>
    <hyperlink ref="S300" r:id="rId1312"/>
    <hyperlink ref="S301" r:id="rId1313"/>
    <hyperlink ref="S302" r:id="rId1314"/>
    <hyperlink ref="S303" r:id="rId1315"/>
    <hyperlink ref="S304" r:id="rId1316"/>
    <hyperlink ref="S305" r:id="rId1317"/>
    <hyperlink ref="S306" r:id="rId1318"/>
    <hyperlink ref="S307" r:id="rId1319"/>
    <hyperlink ref="S308" r:id="rId1320"/>
    <hyperlink ref="S309" r:id="rId1321"/>
    <hyperlink ref="S310" r:id="rId1322"/>
    <hyperlink ref="S311" r:id="rId1323"/>
    <hyperlink ref="S312" r:id="rId1324"/>
    <hyperlink ref="S313" r:id="rId1325"/>
    <hyperlink ref="S314" r:id="rId1326"/>
    <hyperlink ref="S315" r:id="rId1327"/>
    <hyperlink ref="S316" r:id="rId1328"/>
    <hyperlink ref="S317" r:id="rId1329"/>
    <hyperlink ref="S318" r:id="rId1330"/>
    <hyperlink ref="S319" r:id="rId1331"/>
    <hyperlink ref="S320" r:id="rId1332"/>
    <hyperlink ref="S321" r:id="rId1333"/>
    <hyperlink ref="S322" r:id="rId1334"/>
    <hyperlink ref="S323" r:id="rId1335"/>
    <hyperlink ref="S324" r:id="rId1336"/>
    <hyperlink ref="S325" r:id="rId1337"/>
    <hyperlink ref="S326" r:id="rId1338"/>
    <hyperlink ref="S327" r:id="rId1339"/>
    <hyperlink ref="S328" r:id="rId1340"/>
    <hyperlink ref="S329" r:id="rId1341"/>
    <hyperlink ref="S330" r:id="rId1342"/>
    <hyperlink ref="S331" r:id="rId1343"/>
    <hyperlink ref="S332" r:id="rId1344"/>
    <hyperlink ref="S333" r:id="rId1345"/>
    <hyperlink ref="S334" r:id="rId1346"/>
    <hyperlink ref="S335" r:id="rId1347"/>
    <hyperlink ref="S336" r:id="rId1348"/>
    <hyperlink ref="S337" r:id="rId1349"/>
    <hyperlink ref="S338" r:id="rId1350"/>
    <hyperlink ref="S339" r:id="rId1351"/>
    <hyperlink ref="S340" r:id="rId1352"/>
    <hyperlink ref="S341" r:id="rId1353"/>
    <hyperlink ref="S342" r:id="rId1354"/>
    <hyperlink ref="S343" r:id="rId1355"/>
    <hyperlink ref="S344" r:id="rId1356"/>
    <hyperlink ref="S345" r:id="rId1357"/>
    <hyperlink ref="S346" r:id="rId1358"/>
    <hyperlink ref="S347" r:id="rId1359"/>
    <hyperlink ref="S348" r:id="rId1360"/>
    <hyperlink ref="S349" r:id="rId1361"/>
    <hyperlink ref="S350" r:id="rId1362"/>
    <hyperlink ref="S351" r:id="rId1363"/>
    <hyperlink ref="S352" r:id="rId1364"/>
    <hyperlink ref="S353" r:id="rId1365"/>
    <hyperlink ref="S354" r:id="rId1366"/>
    <hyperlink ref="S355" r:id="rId1367"/>
    <hyperlink ref="S356" r:id="rId1368"/>
    <hyperlink ref="S357" r:id="rId1369"/>
    <hyperlink ref="S358" r:id="rId1370"/>
    <hyperlink ref="S359" r:id="rId1371"/>
    <hyperlink ref="S360" r:id="rId1372"/>
    <hyperlink ref="S361" r:id="rId1373"/>
    <hyperlink ref="S362" r:id="rId1374"/>
    <hyperlink ref="S363" r:id="rId1375"/>
    <hyperlink ref="S364" r:id="rId1376"/>
    <hyperlink ref="S365" r:id="rId1377"/>
    <hyperlink ref="S366" r:id="rId1378"/>
    <hyperlink ref="S367" r:id="rId1379"/>
    <hyperlink ref="S368" r:id="rId1380"/>
    <hyperlink ref="S369" r:id="rId1381"/>
    <hyperlink ref="S370" r:id="rId1382"/>
    <hyperlink ref="S371" r:id="rId1383"/>
    <hyperlink ref="S372" r:id="rId1384"/>
    <hyperlink ref="S373" r:id="rId1385"/>
    <hyperlink ref="S374" r:id="rId1386"/>
    <hyperlink ref="S375" r:id="rId1387"/>
    <hyperlink ref="S376" r:id="rId1388"/>
    <hyperlink ref="S377" r:id="rId1389"/>
    <hyperlink ref="S378" r:id="rId1390"/>
    <hyperlink ref="S379" r:id="rId1391"/>
    <hyperlink ref="S380" r:id="rId1392"/>
    <hyperlink ref="S381" r:id="rId1393"/>
    <hyperlink ref="S382" r:id="rId1394"/>
    <hyperlink ref="S383" r:id="rId1395"/>
    <hyperlink ref="S384" r:id="rId1396"/>
    <hyperlink ref="S385" r:id="rId1397"/>
    <hyperlink ref="S386" r:id="rId1398"/>
    <hyperlink ref="S387" r:id="rId1399"/>
    <hyperlink ref="S388" r:id="rId1400"/>
    <hyperlink ref="S389" r:id="rId1401"/>
    <hyperlink ref="S390" r:id="rId1402"/>
    <hyperlink ref="S391" r:id="rId1403"/>
    <hyperlink ref="S392" r:id="rId1404"/>
    <hyperlink ref="S393" r:id="rId1405"/>
    <hyperlink ref="S394" r:id="rId1406"/>
    <hyperlink ref="S395" r:id="rId1407"/>
    <hyperlink ref="S396" r:id="rId1408"/>
    <hyperlink ref="S397" r:id="rId1409"/>
    <hyperlink ref="S398" r:id="rId1410"/>
    <hyperlink ref="S399" r:id="rId1411"/>
    <hyperlink ref="S400" r:id="rId1412"/>
    <hyperlink ref="S401" r:id="rId1413"/>
    <hyperlink ref="S402" r:id="rId1414"/>
    <hyperlink ref="S403" r:id="rId1415"/>
    <hyperlink ref="S404" r:id="rId1416"/>
    <hyperlink ref="S405" r:id="rId1417"/>
    <hyperlink ref="S406" r:id="rId1418"/>
    <hyperlink ref="S407" r:id="rId1419"/>
    <hyperlink ref="S408" r:id="rId1420"/>
    <hyperlink ref="S409" r:id="rId1421"/>
    <hyperlink ref="S410" r:id="rId1422"/>
    <hyperlink ref="S411" r:id="rId1423"/>
    <hyperlink ref="S412" r:id="rId1424"/>
    <hyperlink ref="S413" r:id="rId1425"/>
    <hyperlink ref="S414" r:id="rId1426"/>
    <hyperlink ref="S415" r:id="rId1427"/>
    <hyperlink ref="S416" r:id="rId1428"/>
    <hyperlink ref="S417" r:id="rId1429"/>
    <hyperlink ref="S418" r:id="rId1430"/>
    <hyperlink ref="S419" r:id="rId1431"/>
    <hyperlink ref="S420" r:id="rId1432"/>
    <hyperlink ref="S421" r:id="rId1433"/>
    <hyperlink ref="S422" r:id="rId1434"/>
    <hyperlink ref="S423" r:id="rId1435"/>
    <hyperlink ref="S424" r:id="rId1436"/>
    <hyperlink ref="S425" r:id="rId1437"/>
    <hyperlink ref="S426" r:id="rId1438"/>
    <hyperlink ref="S427" r:id="rId1439"/>
    <hyperlink ref="S428" r:id="rId1440"/>
    <hyperlink ref="S429" r:id="rId1441"/>
    <hyperlink ref="S430" r:id="rId1442"/>
    <hyperlink ref="S431" r:id="rId1443"/>
    <hyperlink ref="S432" r:id="rId1444"/>
    <hyperlink ref="S433" r:id="rId1445"/>
    <hyperlink ref="S434" r:id="rId1446"/>
    <hyperlink ref="S435" r:id="rId1447"/>
    <hyperlink ref="S436" r:id="rId1448"/>
    <hyperlink ref="S437" r:id="rId1449"/>
    <hyperlink ref="S438" r:id="rId1450"/>
    <hyperlink ref="S439" r:id="rId1451"/>
    <hyperlink ref="S440" r:id="rId1452"/>
    <hyperlink ref="S441" r:id="rId1453"/>
    <hyperlink ref="S442" r:id="rId1454"/>
    <hyperlink ref="S443" r:id="rId1455"/>
    <hyperlink ref="S444" r:id="rId1456"/>
    <hyperlink ref="S445" r:id="rId1457"/>
    <hyperlink ref="S446" r:id="rId1458"/>
    <hyperlink ref="S447" r:id="rId1459"/>
    <hyperlink ref="S448" r:id="rId1460"/>
    <hyperlink ref="S449" r:id="rId1461"/>
    <hyperlink ref="S450" r:id="rId1462"/>
    <hyperlink ref="S451" r:id="rId1463"/>
    <hyperlink ref="S452" r:id="rId1464"/>
    <hyperlink ref="S453" r:id="rId1465"/>
    <hyperlink ref="S454" r:id="rId1466"/>
    <hyperlink ref="S455" r:id="rId1467"/>
    <hyperlink ref="S456" r:id="rId1468"/>
    <hyperlink ref="S457" r:id="rId1469"/>
    <hyperlink ref="S458" r:id="rId1470"/>
    <hyperlink ref="S459" r:id="rId1471"/>
    <hyperlink ref="S460" r:id="rId1472"/>
    <hyperlink ref="S461" r:id="rId1473"/>
    <hyperlink ref="S462" r:id="rId1474"/>
    <hyperlink ref="S463" r:id="rId1475"/>
    <hyperlink ref="S464" r:id="rId1476"/>
    <hyperlink ref="S465" r:id="rId1477"/>
    <hyperlink ref="S466" r:id="rId1478"/>
    <hyperlink ref="S467" r:id="rId1479"/>
    <hyperlink ref="S468" r:id="rId1480"/>
    <hyperlink ref="S469" r:id="rId1481"/>
    <hyperlink ref="S470" r:id="rId1482"/>
    <hyperlink ref="S471" r:id="rId1483"/>
    <hyperlink ref="S472" r:id="rId1484"/>
    <hyperlink ref="S473" r:id="rId1485"/>
    <hyperlink ref="S474" r:id="rId1486"/>
    <hyperlink ref="S475" r:id="rId1487"/>
    <hyperlink ref="S476" r:id="rId1488"/>
    <hyperlink ref="S477" r:id="rId1489"/>
    <hyperlink ref="S478" r:id="rId1490"/>
    <hyperlink ref="S479" r:id="rId1491"/>
    <hyperlink ref="S480" r:id="rId1492"/>
    <hyperlink ref="S481" r:id="rId1493"/>
    <hyperlink ref="S482" r:id="rId1494"/>
    <hyperlink ref="S483" r:id="rId1495"/>
    <hyperlink ref="S484" r:id="rId1496"/>
    <hyperlink ref="S485" r:id="rId1497"/>
    <hyperlink ref="S486" r:id="rId1498"/>
    <hyperlink ref="S487" r:id="rId1499"/>
    <hyperlink ref="S488" r:id="rId1500"/>
    <hyperlink ref="S489" r:id="rId1501"/>
    <hyperlink ref="S490" r:id="rId1502"/>
    <hyperlink ref="S491" r:id="rId1503"/>
    <hyperlink ref="S492" r:id="rId1504"/>
    <hyperlink ref="S493" r:id="rId1505"/>
    <hyperlink ref="S494" r:id="rId1506"/>
    <hyperlink ref="S495" r:id="rId1507"/>
    <hyperlink ref="S496" r:id="rId1508"/>
    <hyperlink ref="S497" r:id="rId1509"/>
    <hyperlink ref="S498" r:id="rId1510"/>
    <hyperlink ref="S499" r:id="rId1511"/>
    <hyperlink ref="S500" r:id="rId1512"/>
    <hyperlink ref="S501" r:id="rId1513"/>
    <hyperlink ref="S502" r:id="rId1514"/>
    <hyperlink ref="S503" r:id="rId1515"/>
    <hyperlink ref="S504" r:id="rId1516"/>
    <hyperlink ref="S505" r:id="rId1517"/>
    <hyperlink ref="S506" r:id="rId1518"/>
    <hyperlink ref="S507" r:id="rId1519"/>
    <hyperlink ref="S508" r:id="rId1520"/>
    <hyperlink ref="S509" r:id="rId1521"/>
    <hyperlink ref="S510" r:id="rId1522"/>
    <hyperlink ref="S511" r:id="rId1523"/>
    <hyperlink ref="S512" r:id="rId1524"/>
    <hyperlink ref="S513" r:id="rId1525"/>
    <hyperlink ref="S514" r:id="rId1526"/>
    <hyperlink ref="S515" r:id="rId1527"/>
    <hyperlink ref="S516" r:id="rId1528"/>
    <hyperlink ref="S517" r:id="rId1529"/>
    <hyperlink ref="S518" r:id="rId1530"/>
    <hyperlink ref="S519" r:id="rId1531"/>
    <hyperlink ref="S520" r:id="rId1532"/>
    <hyperlink ref="S521" r:id="rId1533"/>
    <hyperlink ref="S522" r:id="rId1534"/>
    <hyperlink ref="S523" r:id="rId1535"/>
    <hyperlink ref="S524" r:id="rId1536"/>
    <hyperlink ref="S525" r:id="rId1537"/>
    <hyperlink ref="S526" r:id="rId1538"/>
    <hyperlink ref="S527" r:id="rId1539"/>
    <hyperlink ref="S528" r:id="rId1540"/>
    <hyperlink ref="S529" r:id="rId1541"/>
    <hyperlink ref="S530" r:id="rId1542"/>
    <hyperlink ref="S531" r:id="rId1543"/>
    <hyperlink ref="S532" r:id="rId1544"/>
    <hyperlink ref="S533" r:id="rId1545"/>
    <hyperlink ref="S534" r:id="rId1546"/>
    <hyperlink ref="S535" r:id="rId1547"/>
    <hyperlink ref="S536" r:id="rId1548"/>
    <hyperlink ref="S537" r:id="rId1549"/>
    <hyperlink ref="S538" r:id="rId1550"/>
    <hyperlink ref="S539" r:id="rId1551"/>
    <hyperlink ref="S540" r:id="rId1552"/>
    <hyperlink ref="S541" r:id="rId1553"/>
    <hyperlink ref="S542" r:id="rId1554"/>
    <hyperlink ref="S543" r:id="rId1555"/>
    <hyperlink ref="S544" r:id="rId1556"/>
    <hyperlink ref="S545" r:id="rId1557"/>
    <hyperlink ref="S546" r:id="rId1558"/>
    <hyperlink ref="S547" r:id="rId1559"/>
    <hyperlink ref="S548" r:id="rId1560"/>
    <hyperlink ref="S549" r:id="rId1561"/>
    <hyperlink ref="S550" r:id="rId1562"/>
    <hyperlink ref="S551" r:id="rId1563"/>
    <hyperlink ref="S552" r:id="rId1564"/>
    <hyperlink ref="S553" r:id="rId1565"/>
    <hyperlink ref="S554" r:id="rId1566"/>
    <hyperlink ref="S555" r:id="rId1567"/>
    <hyperlink ref="S556" r:id="rId1568"/>
    <hyperlink ref="S557" r:id="rId1569"/>
    <hyperlink ref="S558" r:id="rId1570"/>
    <hyperlink ref="S559" r:id="rId1571"/>
    <hyperlink ref="S560" r:id="rId1572"/>
    <hyperlink ref="S561" r:id="rId1573"/>
    <hyperlink ref="S562" r:id="rId1574"/>
    <hyperlink ref="S563" r:id="rId1575"/>
    <hyperlink ref="S564" r:id="rId1576"/>
    <hyperlink ref="S565" r:id="rId1577"/>
    <hyperlink ref="S566" r:id="rId1578"/>
    <hyperlink ref="S567" r:id="rId1579"/>
    <hyperlink ref="S568" r:id="rId1580"/>
    <hyperlink ref="S569" r:id="rId1581"/>
    <hyperlink ref="S570" r:id="rId1582"/>
    <hyperlink ref="S571" r:id="rId1583"/>
    <hyperlink ref="S572" r:id="rId1584"/>
    <hyperlink ref="S573" r:id="rId1585"/>
    <hyperlink ref="S574" r:id="rId1586"/>
    <hyperlink ref="S575" r:id="rId1587"/>
    <hyperlink ref="S576" r:id="rId1588"/>
    <hyperlink ref="S577" r:id="rId1589"/>
    <hyperlink ref="S578" r:id="rId1590"/>
    <hyperlink ref="S579" r:id="rId1591"/>
    <hyperlink ref="S580" r:id="rId1592"/>
    <hyperlink ref="S581" r:id="rId1593"/>
    <hyperlink ref="S582" r:id="rId1594"/>
    <hyperlink ref="S583" r:id="rId1595"/>
    <hyperlink ref="S584" r:id="rId1596"/>
    <hyperlink ref="S585" r:id="rId1597"/>
    <hyperlink ref="S586" r:id="rId1598"/>
    <hyperlink ref="S587" r:id="rId1599"/>
    <hyperlink ref="S588" r:id="rId1600"/>
    <hyperlink ref="S589" r:id="rId1601"/>
    <hyperlink ref="S590" r:id="rId1602"/>
    <hyperlink ref="S591" r:id="rId1603"/>
    <hyperlink ref="S592" r:id="rId1604"/>
    <hyperlink ref="S593" r:id="rId1605"/>
    <hyperlink ref="S594" r:id="rId1606"/>
    <hyperlink ref="S595" r:id="rId1607"/>
    <hyperlink ref="S596" r:id="rId1608"/>
    <hyperlink ref="S597" r:id="rId1609"/>
    <hyperlink ref="S598" r:id="rId1610"/>
    <hyperlink ref="S599" r:id="rId1611"/>
    <hyperlink ref="S600" r:id="rId1612"/>
    <hyperlink ref="S601" r:id="rId1613"/>
    <hyperlink ref="S602" r:id="rId1614"/>
    <hyperlink ref="S603" r:id="rId1615"/>
    <hyperlink ref="S604" r:id="rId1616"/>
    <hyperlink ref="S605" r:id="rId1617"/>
    <hyperlink ref="S606" r:id="rId1618"/>
    <hyperlink ref="S607" r:id="rId1619"/>
    <hyperlink ref="S608" r:id="rId1620"/>
    <hyperlink ref="S609" r:id="rId1621"/>
    <hyperlink ref="S610" r:id="rId1622"/>
    <hyperlink ref="S611" r:id="rId1623"/>
    <hyperlink ref="S612" r:id="rId1624"/>
    <hyperlink ref="S613" r:id="rId1625"/>
    <hyperlink ref="S614" r:id="rId1626"/>
    <hyperlink ref="S615" r:id="rId1627"/>
    <hyperlink ref="S616" r:id="rId1628"/>
    <hyperlink ref="S617" r:id="rId1629"/>
    <hyperlink ref="S618" r:id="rId1630"/>
    <hyperlink ref="S619" r:id="rId1631"/>
    <hyperlink ref="S620" r:id="rId1632"/>
    <hyperlink ref="S621" r:id="rId1633"/>
    <hyperlink ref="S622" r:id="rId1634"/>
    <hyperlink ref="S623" r:id="rId1635"/>
    <hyperlink ref="S624" r:id="rId1636"/>
    <hyperlink ref="S625" r:id="rId1637"/>
    <hyperlink ref="S626" r:id="rId1638"/>
    <hyperlink ref="S627" r:id="rId1639"/>
    <hyperlink ref="S628" r:id="rId1640"/>
    <hyperlink ref="S629" r:id="rId1641"/>
    <hyperlink ref="S630" r:id="rId1642"/>
    <hyperlink ref="S631" r:id="rId1643"/>
    <hyperlink ref="S632" r:id="rId1644"/>
    <hyperlink ref="S633" r:id="rId1645"/>
    <hyperlink ref="S634" r:id="rId1646"/>
    <hyperlink ref="S635" r:id="rId1647"/>
    <hyperlink ref="S636" r:id="rId1648"/>
    <hyperlink ref="S637" r:id="rId1649"/>
    <hyperlink ref="S638" r:id="rId1650"/>
    <hyperlink ref="S639" r:id="rId1651"/>
    <hyperlink ref="S640" r:id="rId1652"/>
    <hyperlink ref="S641" r:id="rId1653"/>
    <hyperlink ref="S642" r:id="rId1654"/>
    <hyperlink ref="S643" r:id="rId1655"/>
    <hyperlink ref="S644" r:id="rId1656"/>
    <hyperlink ref="S645" r:id="rId1657"/>
    <hyperlink ref="S646" r:id="rId1658"/>
    <hyperlink ref="S647" r:id="rId1659"/>
    <hyperlink ref="S648" r:id="rId1660"/>
    <hyperlink ref="S649" r:id="rId1661"/>
    <hyperlink ref="S650" r:id="rId1662"/>
    <hyperlink ref="S651" r:id="rId1663"/>
    <hyperlink ref="S652" r:id="rId1664"/>
    <hyperlink ref="S653" r:id="rId1665"/>
    <hyperlink ref="S654" r:id="rId1666"/>
    <hyperlink ref="S655" r:id="rId1667"/>
    <hyperlink ref="S656" r:id="rId1668"/>
    <hyperlink ref="S657" r:id="rId1669"/>
    <hyperlink ref="S658" r:id="rId1670"/>
    <hyperlink ref="S659" r:id="rId1671"/>
    <hyperlink ref="S660" r:id="rId1672"/>
    <hyperlink ref="S661" r:id="rId1673"/>
    <hyperlink ref="S662" r:id="rId1674"/>
    <hyperlink ref="S663" r:id="rId1675"/>
    <hyperlink ref="S664" r:id="rId1676"/>
    <hyperlink ref="S665" r:id="rId1677"/>
    <hyperlink ref="S666" r:id="rId1678"/>
    <hyperlink ref="S667" r:id="rId1679"/>
    <hyperlink ref="S668" r:id="rId1680"/>
    <hyperlink ref="S669" r:id="rId1681"/>
    <hyperlink ref="S670" r:id="rId1682"/>
    <hyperlink ref="S671" r:id="rId1683"/>
    <hyperlink ref="S672" r:id="rId1684"/>
    <hyperlink ref="S673" r:id="rId1685"/>
    <hyperlink ref="S674" r:id="rId1686"/>
    <hyperlink ref="S675" r:id="rId1687"/>
    <hyperlink ref="S676" r:id="rId1688"/>
    <hyperlink ref="S677" r:id="rId1689"/>
    <hyperlink ref="S678" r:id="rId1690"/>
    <hyperlink ref="S679" r:id="rId1691"/>
    <hyperlink ref="S680" r:id="rId1692"/>
    <hyperlink ref="S681" r:id="rId1693"/>
    <hyperlink ref="S682" r:id="rId1694"/>
    <hyperlink ref="S683" r:id="rId1695"/>
    <hyperlink ref="S684" r:id="rId1696"/>
    <hyperlink ref="S685" r:id="rId1697"/>
    <hyperlink ref="S686" r:id="rId1698"/>
    <hyperlink ref="S687" r:id="rId1699"/>
    <hyperlink ref="S688" r:id="rId1700"/>
    <hyperlink ref="S689" r:id="rId1701"/>
    <hyperlink ref="S690" r:id="rId1702"/>
    <hyperlink ref="S691" r:id="rId1703"/>
    <hyperlink ref="S692" r:id="rId1704"/>
    <hyperlink ref="S693" r:id="rId1705"/>
    <hyperlink ref="S694" r:id="rId1706"/>
    <hyperlink ref="S695" r:id="rId1707"/>
    <hyperlink ref="S696" r:id="rId1708"/>
    <hyperlink ref="S697" r:id="rId1709"/>
    <hyperlink ref="S698" r:id="rId1710"/>
    <hyperlink ref="S699" r:id="rId1711"/>
    <hyperlink ref="S700" r:id="rId1712"/>
    <hyperlink ref="S701" r:id="rId1713"/>
    <hyperlink ref="S702" r:id="rId1714"/>
    <hyperlink ref="S703" r:id="rId1715"/>
    <hyperlink ref="S704" r:id="rId1716"/>
    <hyperlink ref="S705" r:id="rId1717"/>
    <hyperlink ref="S706" r:id="rId1718"/>
    <hyperlink ref="S707" r:id="rId1719"/>
    <hyperlink ref="S708" r:id="rId1720"/>
    <hyperlink ref="S709" r:id="rId1721"/>
    <hyperlink ref="S710" r:id="rId1722"/>
    <hyperlink ref="S711" r:id="rId1723"/>
    <hyperlink ref="S712" r:id="rId1724"/>
    <hyperlink ref="S713" r:id="rId1725"/>
    <hyperlink ref="S714" r:id="rId1726"/>
    <hyperlink ref="S715" r:id="rId1727"/>
    <hyperlink ref="S716" r:id="rId1728"/>
    <hyperlink ref="S717" r:id="rId1729"/>
    <hyperlink ref="S718" r:id="rId1730"/>
    <hyperlink ref="S719" r:id="rId1731"/>
    <hyperlink ref="S720" r:id="rId1732"/>
    <hyperlink ref="S721" r:id="rId1733"/>
    <hyperlink ref="S722" r:id="rId1734"/>
    <hyperlink ref="S723" r:id="rId1735"/>
    <hyperlink ref="S724" r:id="rId1736"/>
    <hyperlink ref="S725" r:id="rId1737"/>
    <hyperlink ref="S726" r:id="rId1738"/>
    <hyperlink ref="S727" r:id="rId1739"/>
    <hyperlink ref="S728" r:id="rId1740"/>
    <hyperlink ref="S729" r:id="rId1741"/>
    <hyperlink ref="S730" r:id="rId1742"/>
    <hyperlink ref="S731" r:id="rId1743"/>
    <hyperlink ref="S732" r:id="rId1744"/>
    <hyperlink ref="S733" r:id="rId1745"/>
    <hyperlink ref="S734" r:id="rId1746"/>
    <hyperlink ref="S735" r:id="rId1747"/>
    <hyperlink ref="S736" r:id="rId1748"/>
    <hyperlink ref="S737" r:id="rId1749"/>
    <hyperlink ref="S738" r:id="rId1750"/>
    <hyperlink ref="S739" r:id="rId1751"/>
    <hyperlink ref="S740" r:id="rId1752"/>
    <hyperlink ref="S741" r:id="rId1753"/>
    <hyperlink ref="S742" r:id="rId1754"/>
    <hyperlink ref="S743" r:id="rId1755"/>
    <hyperlink ref="S744" r:id="rId1756"/>
    <hyperlink ref="S745" r:id="rId1757"/>
    <hyperlink ref="S746" r:id="rId1758"/>
    <hyperlink ref="S747" r:id="rId1759"/>
    <hyperlink ref="S748" r:id="rId1760"/>
    <hyperlink ref="S749" r:id="rId1761"/>
    <hyperlink ref="S750" r:id="rId1762"/>
    <hyperlink ref="S751" r:id="rId1763"/>
    <hyperlink ref="S752" r:id="rId1764"/>
    <hyperlink ref="S753" r:id="rId1765"/>
    <hyperlink ref="S754" r:id="rId1766"/>
    <hyperlink ref="S755" r:id="rId1767"/>
    <hyperlink ref="S756" r:id="rId1768"/>
    <hyperlink ref="S757" r:id="rId1769"/>
    <hyperlink ref="S758" r:id="rId1770"/>
    <hyperlink ref="S759" r:id="rId1771"/>
    <hyperlink ref="S760" r:id="rId1772"/>
    <hyperlink ref="S761" r:id="rId1773"/>
    <hyperlink ref="S762" r:id="rId1774"/>
    <hyperlink ref="S763" r:id="rId1775"/>
    <hyperlink ref="S764" r:id="rId1776"/>
    <hyperlink ref="S765" r:id="rId1777"/>
    <hyperlink ref="S766" r:id="rId1778"/>
    <hyperlink ref="S767" r:id="rId1779"/>
    <hyperlink ref="S768" r:id="rId1780"/>
    <hyperlink ref="S769" r:id="rId1781"/>
    <hyperlink ref="S770" r:id="rId1782"/>
    <hyperlink ref="S771" r:id="rId1783"/>
    <hyperlink ref="S772" r:id="rId1784"/>
    <hyperlink ref="S773" r:id="rId1785"/>
    <hyperlink ref="S774" r:id="rId1786"/>
    <hyperlink ref="S775" r:id="rId1787"/>
    <hyperlink ref="S776" r:id="rId1788"/>
    <hyperlink ref="S777" r:id="rId1789"/>
    <hyperlink ref="S778" r:id="rId1790"/>
    <hyperlink ref="S779" r:id="rId1791"/>
    <hyperlink ref="S780" r:id="rId1792"/>
    <hyperlink ref="S781" r:id="rId1793"/>
    <hyperlink ref="S782" r:id="rId1794"/>
    <hyperlink ref="S783" r:id="rId1795"/>
    <hyperlink ref="S784" r:id="rId1796"/>
    <hyperlink ref="S785" r:id="rId1797"/>
    <hyperlink ref="S786" r:id="rId1798"/>
    <hyperlink ref="S787" r:id="rId1799"/>
    <hyperlink ref="S788" r:id="rId1800"/>
    <hyperlink ref="S789" r:id="rId1801"/>
    <hyperlink ref="S790" r:id="rId1802"/>
    <hyperlink ref="S791" r:id="rId1803"/>
    <hyperlink ref="S792" r:id="rId1804"/>
    <hyperlink ref="S793" r:id="rId1805"/>
    <hyperlink ref="S794" r:id="rId1806"/>
    <hyperlink ref="S795" r:id="rId1807"/>
    <hyperlink ref="S796" r:id="rId1808"/>
    <hyperlink ref="S797" r:id="rId1809"/>
    <hyperlink ref="S798" r:id="rId1810"/>
    <hyperlink ref="S799" r:id="rId1811"/>
    <hyperlink ref="S800" r:id="rId1812"/>
    <hyperlink ref="S801" r:id="rId1813"/>
    <hyperlink ref="S802" r:id="rId1814"/>
    <hyperlink ref="S803" r:id="rId1815"/>
    <hyperlink ref="S804" r:id="rId1816"/>
    <hyperlink ref="S805" r:id="rId1817"/>
    <hyperlink ref="S806" r:id="rId1818"/>
    <hyperlink ref="S807" r:id="rId1819"/>
    <hyperlink ref="S808" r:id="rId1820"/>
    <hyperlink ref="S809" r:id="rId1821"/>
    <hyperlink ref="S810" r:id="rId1822"/>
    <hyperlink ref="S811" r:id="rId1823"/>
    <hyperlink ref="S812" r:id="rId1824"/>
    <hyperlink ref="S813" r:id="rId1825"/>
    <hyperlink ref="S814" r:id="rId1826"/>
    <hyperlink ref="S815" r:id="rId1827"/>
    <hyperlink ref="S816" r:id="rId1828"/>
    <hyperlink ref="S817" r:id="rId1829"/>
    <hyperlink ref="S818" r:id="rId1830"/>
    <hyperlink ref="S819" r:id="rId1831"/>
    <hyperlink ref="S820" r:id="rId1832"/>
    <hyperlink ref="S821" r:id="rId1833"/>
    <hyperlink ref="S822" r:id="rId1834"/>
    <hyperlink ref="S823" r:id="rId1835"/>
    <hyperlink ref="S824" r:id="rId1836"/>
    <hyperlink ref="S825" r:id="rId1837"/>
    <hyperlink ref="S826" r:id="rId1838"/>
    <hyperlink ref="S827" r:id="rId1839"/>
    <hyperlink ref="S828" r:id="rId1840"/>
    <hyperlink ref="S829" r:id="rId1841"/>
    <hyperlink ref="S830" r:id="rId1842"/>
    <hyperlink ref="S831" r:id="rId1843"/>
    <hyperlink ref="S832" r:id="rId1844"/>
    <hyperlink ref="S833" r:id="rId1845"/>
    <hyperlink ref="S834" r:id="rId1846"/>
    <hyperlink ref="S835" r:id="rId1847"/>
    <hyperlink ref="S836" r:id="rId1848"/>
    <hyperlink ref="S837" r:id="rId1849"/>
    <hyperlink ref="S838" r:id="rId1850"/>
    <hyperlink ref="S839" r:id="rId1851"/>
    <hyperlink ref="S840" r:id="rId1852"/>
    <hyperlink ref="S841" r:id="rId1853"/>
    <hyperlink ref="S842" r:id="rId1854"/>
    <hyperlink ref="S843" r:id="rId1855"/>
    <hyperlink ref="S844" r:id="rId1856"/>
    <hyperlink ref="S845" r:id="rId1857"/>
    <hyperlink ref="S846" r:id="rId1858"/>
    <hyperlink ref="S847" r:id="rId1859"/>
    <hyperlink ref="S848" r:id="rId1860"/>
    <hyperlink ref="S849" r:id="rId1861"/>
    <hyperlink ref="S850" r:id="rId1862"/>
    <hyperlink ref="S851" r:id="rId1863"/>
    <hyperlink ref="S852" r:id="rId1864"/>
    <hyperlink ref="S853" r:id="rId1865"/>
    <hyperlink ref="S854" r:id="rId1866"/>
    <hyperlink ref="S855" r:id="rId1867"/>
    <hyperlink ref="S856" r:id="rId1868"/>
    <hyperlink ref="S857" r:id="rId1869"/>
    <hyperlink ref="S858" r:id="rId1870"/>
    <hyperlink ref="S859" r:id="rId1871"/>
    <hyperlink ref="S860" r:id="rId1872"/>
    <hyperlink ref="S861" r:id="rId1873"/>
    <hyperlink ref="S862" r:id="rId1874"/>
    <hyperlink ref="S863" r:id="rId1875"/>
    <hyperlink ref="S864" r:id="rId1876"/>
    <hyperlink ref="S865" r:id="rId1877"/>
    <hyperlink ref="S866" r:id="rId1878"/>
    <hyperlink ref="S867" r:id="rId1879"/>
    <hyperlink ref="S868" r:id="rId1880"/>
    <hyperlink ref="S869" r:id="rId1881"/>
    <hyperlink ref="S870" r:id="rId1882"/>
    <hyperlink ref="S871" r:id="rId1883"/>
    <hyperlink ref="S872" r:id="rId1884"/>
    <hyperlink ref="S873" r:id="rId1885"/>
    <hyperlink ref="S874" r:id="rId1886"/>
    <hyperlink ref="S875" r:id="rId1887"/>
    <hyperlink ref="S876" r:id="rId1888"/>
    <hyperlink ref="S877" r:id="rId1889"/>
    <hyperlink ref="S878" r:id="rId1890"/>
    <hyperlink ref="S879" r:id="rId1891"/>
    <hyperlink ref="S880" r:id="rId1892"/>
    <hyperlink ref="S881" r:id="rId1893"/>
    <hyperlink ref="S882" r:id="rId1894"/>
    <hyperlink ref="S883" r:id="rId1895"/>
    <hyperlink ref="S884" r:id="rId1896"/>
    <hyperlink ref="S885" r:id="rId1897"/>
    <hyperlink ref="S886" r:id="rId1898"/>
    <hyperlink ref="S887" r:id="rId1899"/>
    <hyperlink ref="S888" r:id="rId1900"/>
    <hyperlink ref="S889" r:id="rId1901"/>
    <hyperlink ref="S890" r:id="rId1902"/>
    <hyperlink ref="S891" r:id="rId1903"/>
    <hyperlink ref="S892" r:id="rId1904"/>
    <hyperlink ref="S893" r:id="rId1905"/>
    <hyperlink ref="S894" r:id="rId1906"/>
    <hyperlink ref="S895" r:id="rId1907"/>
    <hyperlink ref="S896" r:id="rId1908"/>
    <hyperlink ref="S897" r:id="rId1909"/>
    <hyperlink ref="S898" r:id="rId1910"/>
    <hyperlink ref="S899" r:id="rId1911"/>
    <hyperlink ref="S900" r:id="rId1912"/>
    <hyperlink ref="S901" r:id="rId1913"/>
    <hyperlink ref="S902" r:id="rId1914"/>
    <hyperlink ref="S903" r:id="rId1915"/>
    <hyperlink ref="S904" r:id="rId1916"/>
    <hyperlink ref="S905" r:id="rId1917"/>
    <hyperlink ref="S906" r:id="rId1918"/>
    <hyperlink ref="S907" r:id="rId1919"/>
    <hyperlink ref="S908" r:id="rId1920"/>
    <hyperlink ref="S909" r:id="rId1921"/>
    <hyperlink ref="S910" r:id="rId1922"/>
    <hyperlink ref="S911" r:id="rId1923"/>
    <hyperlink ref="S912" r:id="rId1924"/>
    <hyperlink ref="S913" r:id="rId1925"/>
    <hyperlink ref="S914" r:id="rId1926"/>
    <hyperlink ref="S915" r:id="rId1927"/>
    <hyperlink ref="S916" r:id="rId1928"/>
    <hyperlink ref="S917" r:id="rId1929"/>
    <hyperlink ref="S918" r:id="rId1930"/>
    <hyperlink ref="S919" r:id="rId1931"/>
    <hyperlink ref="S920" r:id="rId1932"/>
    <hyperlink ref="S921" r:id="rId1933"/>
    <hyperlink ref="S922" r:id="rId1934"/>
    <hyperlink ref="S923" r:id="rId1935"/>
    <hyperlink ref="S924" r:id="rId1936"/>
    <hyperlink ref="S925" r:id="rId1937"/>
    <hyperlink ref="S926" r:id="rId1938"/>
    <hyperlink ref="S927" r:id="rId1939"/>
    <hyperlink ref="S928" r:id="rId1940"/>
    <hyperlink ref="S929" r:id="rId1941"/>
    <hyperlink ref="S930" r:id="rId1942"/>
    <hyperlink ref="S931" r:id="rId1943"/>
    <hyperlink ref="S932" r:id="rId1944"/>
    <hyperlink ref="S933" r:id="rId1945"/>
    <hyperlink ref="S934" r:id="rId1946"/>
    <hyperlink ref="S935" r:id="rId1947"/>
    <hyperlink ref="S936" r:id="rId1948"/>
    <hyperlink ref="S937" r:id="rId1949"/>
    <hyperlink ref="S938" r:id="rId1950"/>
    <hyperlink ref="S939" r:id="rId1951"/>
    <hyperlink ref="S940" r:id="rId1952"/>
    <hyperlink ref="S941" r:id="rId1953"/>
    <hyperlink ref="S942" r:id="rId1954"/>
    <hyperlink ref="S943" r:id="rId1955"/>
    <hyperlink ref="S944" r:id="rId1956"/>
    <hyperlink ref="S945" r:id="rId1957"/>
    <hyperlink ref="S946" r:id="rId1958"/>
    <hyperlink ref="S947" r:id="rId1959"/>
    <hyperlink ref="S948" r:id="rId1960"/>
    <hyperlink ref="S949" r:id="rId1961"/>
    <hyperlink ref="S950" r:id="rId1962"/>
    <hyperlink ref="S951" r:id="rId1963"/>
    <hyperlink ref="S952" r:id="rId1964"/>
    <hyperlink ref="S953" r:id="rId1965"/>
    <hyperlink ref="S954" r:id="rId1966"/>
    <hyperlink ref="S955" r:id="rId1967"/>
    <hyperlink ref="S956" r:id="rId1968"/>
    <hyperlink ref="S957" r:id="rId1969"/>
    <hyperlink ref="S958" r:id="rId1970"/>
    <hyperlink ref="S959" r:id="rId1971"/>
    <hyperlink ref="S960" r:id="rId1972"/>
    <hyperlink ref="S961" r:id="rId1973"/>
    <hyperlink ref="S962" r:id="rId1974"/>
    <hyperlink ref="S963" r:id="rId1975"/>
    <hyperlink ref="S964" r:id="rId1976"/>
    <hyperlink ref="S965" r:id="rId1977"/>
    <hyperlink ref="S966" r:id="rId1978"/>
    <hyperlink ref="S967" r:id="rId1979"/>
    <hyperlink ref="S968" r:id="rId1980"/>
    <hyperlink ref="S969" r:id="rId1981"/>
    <hyperlink ref="S970" r:id="rId1982"/>
    <hyperlink ref="S971" r:id="rId1983"/>
    <hyperlink ref="S972" r:id="rId1984"/>
    <hyperlink ref="S973" r:id="rId1985"/>
    <hyperlink ref="S974" r:id="rId1986"/>
    <hyperlink ref="S975" r:id="rId1987"/>
    <hyperlink ref="S976" r:id="rId1988"/>
    <hyperlink ref="S977" r:id="rId1989"/>
    <hyperlink ref="S978" r:id="rId1990"/>
    <hyperlink ref="S979" r:id="rId1991"/>
    <hyperlink ref="S980" r:id="rId1992"/>
    <hyperlink ref="S981" r:id="rId1993"/>
    <hyperlink ref="S982" r:id="rId1994"/>
    <hyperlink ref="S983" r:id="rId1995"/>
    <hyperlink ref="S984" r:id="rId1996"/>
    <hyperlink ref="S985" r:id="rId1997"/>
    <hyperlink ref="S986" r:id="rId1998"/>
    <hyperlink ref="S987" r:id="rId1999"/>
    <hyperlink ref="S988" r:id="rId2000"/>
    <hyperlink ref="S989" r:id="rId2001"/>
    <hyperlink ref="S990" r:id="rId2002"/>
    <hyperlink ref="S991" r:id="rId2003"/>
    <hyperlink ref="S992" r:id="rId2004"/>
    <hyperlink ref="S993" r:id="rId2005"/>
    <hyperlink ref="S994" r:id="rId2006"/>
    <hyperlink ref="S995" r:id="rId2007"/>
    <hyperlink ref="S996" r:id="rId2008"/>
    <hyperlink ref="S997" r:id="rId2009"/>
    <hyperlink ref="S998" r:id="rId2010"/>
    <hyperlink ref="S999" r:id="rId2011"/>
    <hyperlink ref="S1000" r:id="rId2012"/>
    <hyperlink ref="S1001" r:id="rId2013"/>
    <hyperlink ref="S1002" r:id="rId2014"/>
    <hyperlink ref="S1003" r:id="rId2015"/>
    <hyperlink ref="S1004" r:id="rId2016"/>
    <hyperlink ref="S1005" r:id="rId2017"/>
    <hyperlink ref="S1006" r:id="rId2018"/>
    <hyperlink ref="S1007" r:id="rId2019"/>
    <hyperlink ref="S1008" r:id="rId2020"/>
    <hyperlink ref="S1009" r:id="rId2021"/>
    <hyperlink ref="S1010" r:id="rId2022"/>
    <hyperlink ref="S1011" r:id="rId2023"/>
    <hyperlink ref="S1012" r:id="rId2024"/>
    <hyperlink ref="S1013" r:id="rId2025"/>
    <hyperlink ref="S1014" r:id="rId2026"/>
  </hyperlinks>
  <pageMargins left="0.7" right="0.7" top="0.75" bottom="0.75" header="0.3" footer="0.3"/>
  <pageSetup orientation="portrait" horizontalDpi="1200" verticalDpi="1200" r:id="rId2027"/>
  <tableParts count="1">
    <tablePart r:id="rId2028"/>
  </tableParts>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3" tint="-0.249977111117893"/>
  </sheetPr>
  <dimension ref="A1:AH128"/>
  <sheetViews>
    <sheetView zoomScaleNormal="100" workbookViewId="0">
      <pane ySplit="1" topLeftCell="A104" activePane="bottomLeft" state="frozen"/>
      <selection activeCell="AW132" sqref="AW132"/>
      <selection pane="bottomLeft" activeCell="AW132" sqref="AW132"/>
    </sheetView>
  </sheetViews>
  <sheetFormatPr defaultColWidth="16.85546875" defaultRowHeight="12.75" x14ac:dyDescent="0.2"/>
  <cols>
    <col min="1" max="1" width="16" customWidth="1"/>
    <col min="2" max="2" width="6.5703125" customWidth="1"/>
    <col min="3" max="3" width="11" customWidth="1"/>
    <col min="4" max="4" width="13.140625" customWidth="1"/>
    <col min="5" max="5" width="17.42578125" bestFit="1" customWidth="1"/>
    <col min="6" max="6" width="26.85546875" customWidth="1"/>
    <col min="7" max="7" width="9.5703125" customWidth="1"/>
    <col min="8" max="8" width="10.42578125" customWidth="1"/>
    <col min="9" max="9" width="6.5703125" customWidth="1"/>
    <col min="10" max="10" width="14.42578125" customWidth="1"/>
    <col min="11" max="15" width="14" customWidth="1"/>
    <col min="16" max="16" width="8.140625" customWidth="1"/>
    <col min="17" max="17" width="7.5703125" customWidth="1"/>
    <col min="18" max="18" width="6.140625" customWidth="1"/>
    <col min="19" max="19" width="9.5703125" customWidth="1"/>
    <col min="20" max="20" width="6.5703125" customWidth="1"/>
    <col min="21" max="21" width="7.5703125" customWidth="1"/>
    <col min="22" max="22" width="10.5703125" customWidth="1"/>
    <col min="23" max="23" width="9.42578125" customWidth="1"/>
    <col min="24" max="24" width="8.5703125" customWidth="1"/>
    <col min="25" max="25" width="10.140625" customWidth="1"/>
    <col min="26" max="26" width="8" customWidth="1"/>
    <col min="27" max="27" width="10.42578125" customWidth="1"/>
    <col min="28" max="28" width="8.140625" customWidth="1"/>
    <col min="29" max="29" width="6.140625" customWidth="1"/>
    <col min="30" max="30" width="16.5703125" customWidth="1"/>
    <col min="31" max="31" width="12.85546875" customWidth="1"/>
    <col min="32" max="32" width="14.42578125" bestFit="1" customWidth="1"/>
    <col min="33" max="33" width="12.5703125" customWidth="1"/>
    <col min="34" max="34" width="14.42578125" bestFit="1" customWidth="1"/>
    <col min="35" max="35" width="46.5703125" bestFit="1" customWidth="1"/>
    <col min="36" max="36" width="21.5703125" bestFit="1" customWidth="1"/>
    <col min="37" max="37" width="20.5703125" bestFit="1" customWidth="1"/>
    <col min="38" max="38" width="18.5703125" bestFit="1" customWidth="1"/>
  </cols>
  <sheetData>
    <row r="1" spans="1:34" ht="39" customHeight="1" x14ac:dyDescent="0.2">
      <c r="A1" s="9" t="s">
        <v>2689</v>
      </c>
      <c r="B1" s="51" t="s">
        <v>9</v>
      </c>
      <c r="C1" s="51" t="s">
        <v>0</v>
      </c>
      <c r="D1" s="2" t="s">
        <v>6</v>
      </c>
      <c r="E1" s="2" t="s">
        <v>2719</v>
      </c>
      <c r="F1" s="2" t="s">
        <v>2720</v>
      </c>
      <c r="G1" s="51" t="s">
        <v>68</v>
      </c>
      <c r="H1" s="51" t="s">
        <v>69</v>
      </c>
      <c r="I1" s="2" t="s">
        <v>70</v>
      </c>
      <c r="J1" s="51" t="s">
        <v>1</v>
      </c>
      <c r="K1" s="51" t="s">
        <v>71</v>
      </c>
      <c r="L1" s="51" t="s">
        <v>1295</v>
      </c>
      <c r="M1" s="51" t="s">
        <v>2</v>
      </c>
      <c r="N1" s="51" t="s">
        <v>1733</v>
      </c>
      <c r="O1" s="51" t="s">
        <v>1296</v>
      </c>
      <c r="P1" s="51" t="s">
        <v>1389</v>
      </c>
      <c r="Q1" s="51" t="s">
        <v>10</v>
      </c>
      <c r="R1" s="51" t="s">
        <v>11</v>
      </c>
      <c r="S1" s="51" t="s">
        <v>1388</v>
      </c>
      <c r="T1" s="51" t="s">
        <v>15</v>
      </c>
      <c r="U1" s="51" t="s">
        <v>16</v>
      </c>
      <c r="V1" s="51" t="s">
        <v>12</v>
      </c>
      <c r="W1" s="51" t="s">
        <v>1724</v>
      </c>
      <c r="X1" s="51" t="s">
        <v>13</v>
      </c>
      <c r="Y1" s="51" t="s">
        <v>1728</v>
      </c>
      <c r="Z1" s="51" t="s">
        <v>1277</v>
      </c>
      <c r="AA1" s="51" t="s">
        <v>14</v>
      </c>
      <c r="AB1" s="51" t="s">
        <v>8</v>
      </c>
      <c r="AC1" s="51" t="s">
        <v>7</v>
      </c>
      <c r="AD1" s="51" t="s">
        <v>1297</v>
      </c>
      <c r="AE1" s="51" t="s">
        <v>19</v>
      </c>
      <c r="AF1" s="51" t="s">
        <v>18</v>
      </c>
      <c r="AG1" s="51" t="s">
        <v>20</v>
      </c>
      <c r="AH1" s="243" t="s">
        <v>5647</v>
      </c>
    </row>
    <row r="2" spans="1:34" ht="15" x14ac:dyDescent="0.2">
      <c r="A2" s="15" t="s">
        <v>2721</v>
      </c>
      <c r="B2" s="111" t="s">
        <v>80</v>
      </c>
      <c r="C2" s="1"/>
      <c r="D2" s="55" t="s">
        <v>1807</v>
      </c>
      <c r="E2" s="55" t="s">
        <v>2723</v>
      </c>
      <c r="F2" s="55" t="s">
        <v>4629</v>
      </c>
      <c r="G2" s="3"/>
      <c r="H2" s="3"/>
      <c r="I2" s="7" t="s">
        <v>1808</v>
      </c>
      <c r="J2" s="3"/>
      <c r="K2" s="3"/>
      <c r="L2" s="3"/>
      <c r="M2" s="3"/>
      <c r="N2" s="3"/>
      <c r="O2" s="3" t="s">
        <v>4628</v>
      </c>
      <c r="P2" s="131"/>
      <c r="Q2" s="3"/>
      <c r="R2" s="3"/>
      <c r="S2" s="131"/>
      <c r="T2" s="4"/>
      <c r="U2" s="5">
        <v>0</v>
      </c>
      <c r="V2" s="131"/>
      <c r="W2" s="3"/>
      <c r="X2" s="3"/>
      <c r="Y2" s="132"/>
      <c r="Z2" s="3"/>
      <c r="AA2" s="3"/>
      <c r="AB2" s="3"/>
      <c r="AC2" s="3"/>
      <c r="AD2" s="8" t="s">
        <v>2722</v>
      </c>
      <c r="AE2" s="26">
        <v>43983.44127314815</v>
      </c>
      <c r="AF2" s="8" t="s">
        <v>4206</v>
      </c>
      <c r="AG2" s="26">
        <v>43861.440659722219</v>
      </c>
      <c r="AH2" s="244">
        <f>COUNTIF('ENV Tract Status Report'!$A$6:$A$131,SP_EnvTract_DB[[#This Row],[Environmental Tract No.]])</f>
        <v>1</v>
      </c>
    </row>
    <row r="3" spans="1:34" ht="15" x14ac:dyDescent="0.2">
      <c r="A3" s="15" t="s">
        <v>2724</v>
      </c>
      <c r="B3" s="111" t="s">
        <v>80</v>
      </c>
      <c r="C3" s="1"/>
      <c r="D3" s="55" t="s">
        <v>1810</v>
      </c>
      <c r="E3" s="55" t="s">
        <v>4630</v>
      </c>
      <c r="F3" s="55" t="s">
        <v>4631</v>
      </c>
      <c r="G3" s="3"/>
      <c r="H3" s="3"/>
      <c r="I3" s="7" t="s">
        <v>1808</v>
      </c>
      <c r="J3" s="3"/>
      <c r="K3" s="3"/>
      <c r="L3" s="3"/>
      <c r="M3" s="3"/>
      <c r="N3" s="3"/>
      <c r="O3" s="3"/>
      <c r="P3" s="131"/>
      <c r="Q3" s="3"/>
      <c r="R3" s="3"/>
      <c r="S3" s="131"/>
      <c r="T3" s="4"/>
      <c r="U3" s="5">
        <v>0</v>
      </c>
      <c r="V3" s="131"/>
      <c r="W3" s="3"/>
      <c r="X3" s="3"/>
      <c r="Y3" s="132"/>
      <c r="Z3" s="3"/>
      <c r="AA3" s="3"/>
      <c r="AB3" s="3"/>
      <c r="AC3" s="3"/>
      <c r="AD3" s="8" t="s">
        <v>2725</v>
      </c>
      <c r="AE3" s="26">
        <v>43983.441493055558</v>
      </c>
      <c r="AF3" s="8" t="s">
        <v>4206</v>
      </c>
      <c r="AG3" s="26">
        <v>43861.440821759257</v>
      </c>
      <c r="AH3" s="244">
        <f>COUNTIF('ENV Tract Status Report'!$A$6:$A$131,SP_EnvTract_DB[[#This Row],[Environmental Tract No.]])</f>
        <v>1</v>
      </c>
    </row>
    <row r="4" spans="1:34" ht="15" x14ac:dyDescent="0.2">
      <c r="A4" s="15" t="s">
        <v>2726</v>
      </c>
      <c r="B4" s="111" t="s">
        <v>80</v>
      </c>
      <c r="C4" s="1"/>
      <c r="D4" s="55" t="s">
        <v>1815</v>
      </c>
      <c r="E4" s="55" t="s">
        <v>2728</v>
      </c>
      <c r="F4" s="55" t="s">
        <v>4632</v>
      </c>
      <c r="G4" s="3"/>
      <c r="H4" s="3"/>
      <c r="I4" s="7" t="s">
        <v>1808</v>
      </c>
      <c r="J4" s="3"/>
      <c r="K4" s="3"/>
      <c r="L4" s="3"/>
      <c r="M4" s="3"/>
      <c r="N4" s="3"/>
      <c r="O4" s="3"/>
      <c r="P4" s="131"/>
      <c r="Q4" s="3"/>
      <c r="R4" s="3"/>
      <c r="S4" s="131"/>
      <c r="T4" s="4"/>
      <c r="U4" s="5">
        <v>0</v>
      </c>
      <c r="V4" s="131"/>
      <c r="W4" s="3"/>
      <c r="X4" s="3"/>
      <c r="Y4" s="132"/>
      <c r="Z4" s="3"/>
      <c r="AA4" s="3"/>
      <c r="AB4" s="3"/>
      <c r="AC4" s="3"/>
      <c r="AD4" s="8" t="s">
        <v>2727</v>
      </c>
      <c r="AE4" s="26">
        <v>43983.441504629627</v>
      </c>
      <c r="AF4" s="8" t="s">
        <v>4206</v>
      </c>
      <c r="AG4" s="26">
        <v>43861.440995370373</v>
      </c>
      <c r="AH4" s="244">
        <f>COUNTIF('ENV Tract Status Report'!$A$6:$A$131,SP_EnvTract_DB[[#This Row],[Environmental Tract No.]])</f>
        <v>1</v>
      </c>
    </row>
    <row r="5" spans="1:34" ht="15" x14ac:dyDescent="0.2">
      <c r="A5" s="15" t="s">
        <v>2729</v>
      </c>
      <c r="B5" s="111" t="s">
        <v>5642</v>
      </c>
      <c r="C5" s="1"/>
      <c r="D5" s="55" t="s">
        <v>1818</v>
      </c>
      <c r="E5" s="55" t="s">
        <v>2731</v>
      </c>
      <c r="F5" s="55" t="s">
        <v>22</v>
      </c>
      <c r="G5" s="3"/>
      <c r="H5" s="3"/>
      <c r="I5" s="7" t="s">
        <v>1808</v>
      </c>
      <c r="J5" s="3"/>
      <c r="K5" s="3"/>
      <c r="L5" s="3"/>
      <c r="M5" s="3"/>
      <c r="N5" s="3"/>
      <c r="O5" s="3"/>
      <c r="P5" s="131"/>
      <c r="Q5" s="3"/>
      <c r="R5" s="3"/>
      <c r="S5" s="131"/>
      <c r="T5" s="4"/>
      <c r="U5" s="5">
        <v>0</v>
      </c>
      <c r="V5" s="131"/>
      <c r="W5" s="3"/>
      <c r="X5" s="3"/>
      <c r="Y5" s="132"/>
      <c r="Z5" s="3"/>
      <c r="AA5" s="3"/>
      <c r="AB5" s="3"/>
      <c r="AC5" s="3"/>
      <c r="AD5" s="8" t="s">
        <v>2730</v>
      </c>
      <c r="AE5" s="26">
        <v>43983.449386574073</v>
      </c>
      <c r="AF5" s="8" t="s">
        <v>4206</v>
      </c>
      <c r="AG5" s="26">
        <v>43861.441157407404</v>
      </c>
      <c r="AH5" s="244">
        <f>COUNTIF('ENV Tract Status Report'!$A$6:$A$131,SP_EnvTract_DB[[#This Row],[Environmental Tract No.]])</f>
        <v>1</v>
      </c>
    </row>
    <row r="6" spans="1:34" ht="15" x14ac:dyDescent="0.2">
      <c r="A6" s="15" t="s">
        <v>2691</v>
      </c>
      <c r="B6" s="111" t="s">
        <v>80</v>
      </c>
      <c r="C6" s="1"/>
      <c r="D6" s="55" t="s">
        <v>2690</v>
      </c>
      <c r="E6" s="55" t="s">
        <v>2733</v>
      </c>
      <c r="F6" s="55" t="s">
        <v>2734</v>
      </c>
      <c r="G6" s="3"/>
      <c r="H6" s="3"/>
      <c r="I6" s="7" t="s">
        <v>1808</v>
      </c>
      <c r="J6" s="3"/>
      <c r="K6" s="3"/>
      <c r="L6" s="3"/>
      <c r="M6" s="3"/>
      <c r="N6" s="3"/>
      <c r="O6" s="3"/>
      <c r="P6" s="131"/>
      <c r="Q6" s="3"/>
      <c r="R6" s="3"/>
      <c r="S6" s="131"/>
      <c r="T6" s="4"/>
      <c r="U6" s="5">
        <v>0</v>
      </c>
      <c r="V6" s="131"/>
      <c r="W6" s="3"/>
      <c r="X6" s="3"/>
      <c r="Y6" s="132"/>
      <c r="Z6" s="3"/>
      <c r="AA6" s="3"/>
      <c r="AB6" s="3"/>
      <c r="AC6" s="3"/>
      <c r="AD6" s="8" t="s">
        <v>2732</v>
      </c>
      <c r="AE6" s="26">
        <v>43983.441643518519</v>
      </c>
      <c r="AF6" s="8" t="s">
        <v>4206</v>
      </c>
      <c r="AG6" s="26">
        <v>43860.552557870367</v>
      </c>
      <c r="AH6" s="244">
        <f>COUNTIF('ENV Tract Status Report'!$A$6:$A$131,SP_EnvTract_DB[[#This Row],[Environmental Tract No.]])</f>
        <v>1</v>
      </c>
    </row>
    <row r="7" spans="1:34" ht="15" x14ac:dyDescent="0.2">
      <c r="A7" s="15" t="s">
        <v>2705</v>
      </c>
      <c r="B7" s="111" t="s">
        <v>80</v>
      </c>
      <c r="C7" s="1"/>
      <c r="D7" s="55" t="s">
        <v>2735</v>
      </c>
      <c r="E7" s="55" t="s">
        <v>2737</v>
      </c>
      <c r="F7" s="55" t="s">
        <v>2738</v>
      </c>
      <c r="G7" s="3"/>
      <c r="H7" s="3"/>
      <c r="I7" s="7" t="s">
        <v>1808</v>
      </c>
      <c r="J7" s="3"/>
      <c r="K7" s="3"/>
      <c r="L7" s="3"/>
      <c r="M7" s="3"/>
      <c r="N7" s="3"/>
      <c r="O7" s="3"/>
      <c r="P7" s="131"/>
      <c r="Q7" s="3"/>
      <c r="R7" s="3"/>
      <c r="S7" s="131"/>
      <c r="T7" s="4"/>
      <c r="U7" s="5">
        <v>0</v>
      </c>
      <c r="V7" s="131"/>
      <c r="W7" s="3"/>
      <c r="X7" s="3"/>
      <c r="Y7" s="132"/>
      <c r="Z7" s="3"/>
      <c r="AA7" s="3"/>
      <c r="AB7" s="3"/>
      <c r="AC7" s="3"/>
      <c r="AD7" s="8" t="s">
        <v>2736</v>
      </c>
      <c r="AE7" s="26">
        <v>43983.441655092596</v>
      </c>
      <c r="AF7" s="8" t="s">
        <v>4206</v>
      </c>
      <c r="AG7" s="26">
        <v>43860.552812499998</v>
      </c>
      <c r="AH7" s="244">
        <f>COUNTIF('ENV Tract Status Report'!$A$6:$A$131,SP_EnvTract_DB[[#This Row],[Environmental Tract No.]])</f>
        <v>1</v>
      </c>
    </row>
    <row r="8" spans="1:34" ht="15" x14ac:dyDescent="0.2">
      <c r="A8" s="15" t="s">
        <v>2706</v>
      </c>
      <c r="B8" s="111" t="s">
        <v>80</v>
      </c>
      <c r="C8" s="1"/>
      <c r="D8" s="55" t="s">
        <v>2739</v>
      </c>
      <c r="E8" s="55" t="s">
        <v>2741</v>
      </c>
      <c r="F8" s="55" t="s">
        <v>2742</v>
      </c>
      <c r="G8" s="3"/>
      <c r="H8" s="3"/>
      <c r="I8" s="7" t="s">
        <v>1808</v>
      </c>
      <c r="J8" s="3"/>
      <c r="K8" s="3"/>
      <c r="L8" s="3"/>
      <c r="M8" s="3"/>
      <c r="N8" s="3"/>
      <c r="O8" s="3"/>
      <c r="P8" s="131"/>
      <c r="Q8" s="3"/>
      <c r="R8" s="3"/>
      <c r="S8" s="131"/>
      <c r="T8" s="4"/>
      <c r="U8" s="5">
        <v>0</v>
      </c>
      <c r="V8" s="131"/>
      <c r="W8" s="3"/>
      <c r="X8" s="3"/>
      <c r="Y8" s="132"/>
      <c r="Z8" s="3"/>
      <c r="AA8" s="3"/>
      <c r="AB8" s="3"/>
      <c r="AC8" s="3"/>
      <c r="AD8" s="8" t="s">
        <v>2740</v>
      </c>
      <c r="AE8" s="26">
        <v>43983.441655092596</v>
      </c>
      <c r="AF8" s="8" t="s">
        <v>4206</v>
      </c>
      <c r="AG8" s="26">
        <v>43860.552974537037</v>
      </c>
      <c r="AH8" s="244">
        <f>COUNTIF('ENV Tract Status Report'!$A$6:$A$131,SP_EnvTract_DB[[#This Row],[Environmental Tract No.]])</f>
        <v>1</v>
      </c>
    </row>
    <row r="9" spans="1:34" ht="15" x14ac:dyDescent="0.2">
      <c r="A9" s="15" t="s">
        <v>2743</v>
      </c>
      <c r="B9" s="111" t="s">
        <v>80</v>
      </c>
      <c r="C9" s="1"/>
      <c r="D9" s="55" t="s">
        <v>2744</v>
      </c>
      <c r="E9" s="55" t="s">
        <v>2746</v>
      </c>
      <c r="F9" s="55" t="s">
        <v>2747</v>
      </c>
      <c r="G9" s="3"/>
      <c r="H9" s="3"/>
      <c r="I9" s="7" t="s">
        <v>1808</v>
      </c>
      <c r="J9" s="3"/>
      <c r="K9" s="3"/>
      <c r="L9" s="3"/>
      <c r="M9" s="3"/>
      <c r="N9" s="3"/>
      <c r="O9" s="3"/>
      <c r="P9" s="131"/>
      <c r="Q9" s="3"/>
      <c r="R9" s="3"/>
      <c r="S9" s="131"/>
      <c r="T9" s="4"/>
      <c r="U9" s="5">
        <v>0</v>
      </c>
      <c r="V9" s="131"/>
      <c r="W9" s="3"/>
      <c r="X9" s="3"/>
      <c r="Y9" s="132"/>
      <c r="Z9" s="3"/>
      <c r="AA9" s="3"/>
      <c r="AB9" s="3"/>
      <c r="AC9" s="3"/>
      <c r="AD9" s="8" t="s">
        <v>2745</v>
      </c>
      <c r="AE9" s="26">
        <v>43983.441655092596</v>
      </c>
      <c r="AF9" s="8" t="s">
        <v>4206</v>
      </c>
      <c r="AG9" s="26">
        <v>43860.553159722222</v>
      </c>
      <c r="AH9" s="244">
        <f>COUNTIF('ENV Tract Status Report'!$A$6:$A$131,SP_EnvTract_DB[[#This Row],[Environmental Tract No.]])</f>
        <v>1</v>
      </c>
    </row>
    <row r="10" spans="1:34" ht="15" x14ac:dyDescent="0.2">
      <c r="A10" s="15" t="s">
        <v>2692</v>
      </c>
      <c r="B10" s="111" t="s">
        <v>80</v>
      </c>
      <c r="C10" s="1"/>
      <c r="D10" s="55" t="s">
        <v>3355</v>
      </c>
      <c r="E10" s="55" t="s">
        <v>3356</v>
      </c>
      <c r="F10" s="55" t="s">
        <v>2749</v>
      </c>
      <c r="G10" s="3"/>
      <c r="H10" s="3"/>
      <c r="I10" s="7" t="s">
        <v>1808</v>
      </c>
      <c r="J10" s="3"/>
      <c r="K10" s="3"/>
      <c r="L10" s="3"/>
      <c r="M10" s="3"/>
      <c r="N10" s="3"/>
      <c r="O10" s="3"/>
      <c r="P10" s="131"/>
      <c r="Q10" s="3"/>
      <c r="R10" s="3"/>
      <c r="S10" s="131"/>
      <c r="T10" s="4"/>
      <c r="U10" s="5">
        <v>0</v>
      </c>
      <c r="V10" s="131"/>
      <c r="W10" s="3"/>
      <c r="X10" s="3"/>
      <c r="Y10" s="132"/>
      <c r="Z10" s="3"/>
      <c r="AA10" s="3"/>
      <c r="AB10" s="3"/>
      <c r="AC10" s="3"/>
      <c r="AD10" s="8" t="s">
        <v>2748</v>
      </c>
      <c r="AE10" s="26">
        <v>43983.441805555558</v>
      </c>
      <c r="AF10" s="8" t="s">
        <v>4206</v>
      </c>
      <c r="AG10" s="26">
        <v>43860.553483796299</v>
      </c>
      <c r="AH10" s="244">
        <f>COUNTIF('ENV Tract Status Report'!$A$6:$A$131,SP_EnvTract_DB[[#This Row],[Environmental Tract No.]])</f>
        <v>1</v>
      </c>
    </row>
    <row r="11" spans="1:34" ht="15" x14ac:dyDescent="0.2">
      <c r="A11" s="15" t="s">
        <v>2694</v>
      </c>
      <c r="B11" s="111" t="s">
        <v>80</v>
      </c>
      <c r="C11" s="1"/>
      <c r="D11" s="55" t="s">
        <v>2693</v>
      </c>
      <c r="E11" s="55" t="s">
        <v>2751</v>
      </c>
      <c r="F11" s="55" t="s">
        <v>2752</v>
      </c>
      <c r="G11" s="3"/>
      <c r="H11" s="3"/>
      <c r="I11" s="7" t="s">
        <v>1808</v>
      </c>
      <c r="J11" s="3"/>
      <c r="K11" s="3"/>
      <c r="L11" s="3"/>
      <c r="M11" s="3"/>
      <c r="N11" s="3"/>
      <c r="O11" s="3"/>
      <c r="P11" s="131"/>
      <c r="Q11" s="3"/>
      <c r="R11" s="3"/>
      <c r="S11" s="131"/>
      <c r="T11" s="4"/>
      <c r="U11" s="5">
        <v>0</v>
      </c>
      <c r="V11" s="131"/>
      <c r="W11" s="3"/>
      <c r="X11" s="3"/>
      <c r="Y11" s="132"/>
      <c r="Z11" s="3"/>
      <c r="AA11" s="3"/>
      <c r="AB11" s="3"/>
      <c r="AC11" s="3"/>
      <c r="AD11" s="8" t="s">
        <v>2750</v>
      </c>
      <c r="AE11" s="26">
        <v>43983.441805555558</v>
      </c>
      <c r="AF11" s="8" t="s">
        <v>4206</v>
      </c>
      <c r="AG11" s="26">
        <v>43860.553749999999</v>
      </c>
      <c r="AH11" s="244">
        <f>COUNTIF('ENV Tract Status Report'!$A$6:$A$131,SP_EnvTract_DB[[#This Row],[Environmental Tract No.]])</f>
        <v>1</v>
      </c>
    </row>
    <row r="12" spans="1:34" ht="15" x14ac:dyDescent="0.2">
      <c r="A12" s="15" t="s">
        <v>2696</v>
      </c>
      <c r="B12" s="111" t="s">
        <v>80</v>
      </c>
      <c r="C12" s="1" t="s">
        <v>67</v>
      </c>
      <c r="D12" s="55" t="s">
        <v>2695</v>
      </c>
      <c r="E12" s="55" t="s">
        <v>2754</v>
      </c>
      <c r="F12" s="55" t="s">
        <v>2755</v>
      </c>
      <c r="G12" s="3"/>
      <c r="H12" s="3"/>
      <c r="I12" s="7" t="s">
        <v>1808</v>
      </c>
      <c r="J12" s="3"/>
      <c r="K12" s="3"/>
      <c r="L12" s="3"/>
      <c r="M12" s="3"/>
      <c r="N12" s="3"/>
      <c r="O12" s="3"/>
      <c r="P12" s="131"/>
      <c r="Q12" s="3"/>
      <c r="R12" s="3"/>
      <c r="S12" s="131"/>
      <c r="T12" s="4"/>
      <c r="U12" s="5">
        <v>0</v>
      </c>
      <c r="V12" s="131"/>
      <c r="W12" s="3"/>
      <c r="X12" s="3"/>
      <c r="Y12" s="132"/>
      <c r="Z12" s="3"/>
      <c r="AA12" s="3"/>
      <c r="AB12" s="3"/>
      <c r="AC12" s="3"/>
      <c r="AD12" s="8" t="s">
        <v>2753</v>
      </c>
      <c r="AE12" s="26">
        <v>43983.441805555558</v>
      </c>
      <c r="AF12" s="8" t="s">
        <v>4206</v>
      </c>
      <c r="AG12" s="26">
        <v>43860.553946759261</v>
      </c>
      <c r="AH12" s="244">
        <f>COUNTIF('ENV Tract Status Report'!$A$6:$A$131,SP_EnvTract_DB[[#This Row],[Environmental Tract No.]])</f>
        <v>1</v>
      </c>
    </row>
    <row r="13" spans="1:34" ht="15" x14ac:dyDescent="0.2">
      <c r="A13" s="15" t="s">
        <v>2756</v>
      </c>
      <c r="B13" s="111" t="s">
        <v>80</v>
      </c>
      <c r="C13" s="1"/>
      <c r="D13" s="55" t="s">
        <v>2757</v>
      </c>
      <c r="E13" s="55" t="s">
        <v>2759</v>
      </c>
      <c r="F13" s="55" t="s">
        <v>2760</v>
      </c>
      <c r="G13" s="3"/>
      <c r="H13" s="3"/>
      <c r="I13" s="7" t="s">
        <v>1808</v>
      </c>
      <c r="J13" s="3"/>
      <c r="K13" s="3"/>
      <c r="L13" s="3"/>
      <c r="M13" s="3"/>
      <c r="N13" s="3"/>
      <c r="O13" s="3"/>
      <c r="P13" s="131"/>
      <c r="Q13" s="3"/>
      <c r="R13" s="3"/>
      <c r="S13" s="131"/>
      <c r="T13" s="4"/>
      <c r="U13" s="5">
        <v>0</v>
      </c>
      <c r="V13" s="131"/>
      <c r="W13" s="3"/>
      <c r="X13" s="3"/>
      <c r="Y13" s="132"/>
      <c r="Z13" s="3"/>
      <c r="AA13" s="3"/>
      <c r="AB13" s="3"/>
      <c r="AC13" s="3"/>
      <c r="AD13" s="8" t="s">
        <v>2758</v>
      </c>
      <c r="AE13" s="26">
        <v>43983.441817129627</v>
      </c>
      <c r="AF13" s="8" t="s">
        <v>4206</v>
      </c>
      <c r="AG13" s="26">
        <v>43860.554143518515</v>
      </c>
      <c r="AH13" s="244">
        <f>COUNTIF('ENV Tract Status Report'!$A$6:$A$131,SP_EnvTract_DB[[#This Row],[Environmental Tract No.]])</f>
        <v>1</v>
      </c>
    </row>
    <row r="14" spans="1:34" ht="15" x14ac:dyDescent="0.2">
      <c r="A14" s="15" t="s">
        <v>2761</v>
      </c>
      <c r="B14" s="111" t="s">
        <v>80</v>
      </c>
      <c r="C14" s="1"/>
      <c r="D14" s="55" t="s">
        <v>2762</v>
      </c>
      <c r="E14" s="55" t="s">
        <v>2764</v>
      </c>
      <c r="F14" s="55" t="s">
        <v>2765</v>
      </c>
      <c r="G14" s="3"/>
      <c r="H14" s="3"/>
      <c r="I14" s="7" t="s">
        <v>1808</v>
      </c>
      <c r="J14" s="3"/>
      <c r="K14" s="3"/>
      <c r="L14" s="3"/>
      <c r="M14" s="3"/>
      <c r="N14" s="3"/>
      <c r="O14" s="3"/>
      <c r="P14" s="131"/>
      <c r="Q14" s="3"/>
      <c r="R14" s="3"/>
      <c r="S14" s="131"/>
      <c r="T14" s="4"/>
      <c r="U14" s="5">
        <v>0</v>
      </c>
      <c r="V14" s="131"/>
      <c r="W14" s="3"/>
      <c r="X14" s="3"/>
      <c r="Y14" s="132"/>
      <c r="Z14" s="3"/>
      <c r="AA14" s="3"/>
      <c r="AB14" s="3"/>
      <c r="AC14" s="3"/>
      <c r="AD14" s="8" t="s">
        <v>2763</v>
      </c>
      <c r="AE14" s="26">
        <v>43983.441817129627</v>
      </c>
      <c r="AF14" s="8" t="s">
        <v>4206</v>
      </c>
      <c r="AG14" s="26">
        <v>43860.554363425923</v>
      </c>
      <c r="AH14" s="244">
        <f>COUNTIF('ENV Tract Status Report'!$A$6:$A$131,SP_EnvTract_DB[[#This Row],[Environmental Tract No.]])</f>
        <v>1</v>
      </c>
    </row>
    <row r="15" spans="1:34" ht="15" x14ac:dyDescent="0.2">
      <c r="A15" s="15" t="s">
        <v>2766</v>
      </c>
      <c r="B15" s="111" t="s">
        <v>80</v>
      </c>
      <c r="C15" s="1"/>
      <c r="D15" s="55" t="s">
        <v>3566</v>
      </c>
      <c r="E15" s="55" t="s">
        <v>4633</v>
      </c>
      <c r="F15" s="55" t="s">
        <v>4634</v>
      </c>
      <c r="G15" s="3"/>
      <c r="H15" s="3"/>
      <c r="I15" s="7" t="s">
        <v>1808</v>
      </c>
      <c r="J15" s="3"/>
      <c r="K15" s="3"/>
      <c r="L15" s="3"/>
      <c r="M15" s="3"/>
      <c r="N15" s="3"/>
      <c r="O15" s="3"/>
      <c r="P15" s="131"/>
      <c r="Q15" s="3"/>
      <c r="R15" s="3"/>
      <c r="S15" s="131"/>
      <c r="T15" s="4"/>
      <c r="U15" s="5">
        <v>0</v>
      </c>
      <c r="V15" s="131"/>
      <c r="W15" s="3"/>
      <c r="X15" s="3"/>
      <c r="Y15" s="132"/>
      <c r="Z15" s="3"/>
      <c r="AA15" s="3"/>
      <c r="AB15" s="3"/>
      <c r="AC15" s="3"/>
      <c r="AD15" s="8" t="s">
        <v>2768</v>
      </c>
      <c r="AE15" s="26">
        <v>43983.441817129627</v>
      </c>
      <c r="AF15" s="8" t="s">
        <v>4206</v>
      </c>
      <c r="AG15" s="26">
        <v>43860.554560185185</v>
      </c>
      <c r="AH15" s="244">
        <f>COUNTIF('ENV Tract Status Report'!$A$6:$A$131,SP_EnvTract_DB[[#This Row],[Environmental Tract No.]])</f>
        <v>1</v>
      </c>
    </row>
    <row r="16" spans="1:34" ht="15" x14ac:dyDescent="0.2">
      <c r="A16" s="15" t="s">
        <v>2771</v>
      </c>
      <c r="B16" s="111" t="s">
        <v>80</v>
      </c>
      <c r="C16" s="1"/>
      <c r="D16" s="55" t="s">
        <v>2767</v>
      </c>
      <c r="E16" s="55" t="s">
        <v>2769</v>
      </c>
      <c r="F16" s="55" t="s">
        <v>2770</v>
      </c>
      <c r="G16" s="3"/>
      <c r="H16" s="3"/>
      <c r="I16" s="7" t="s">
        <v>1808</v>
      </c>
      <c r="J16" s="3"/>
      <c r="K16" s="3"/>
      <c r="L16" s="3"/>
      <c r="M16" s="3"/>
      <c r="N16" s="3"/>
      <c r="O16" s="3"/>
      <c r="P16" s="131"/>
      <c r="Q16" s="3"/>
      <c r="R16" s="3"/>
      <c r="S16" s="131"/>
      <c r="T16" s="4"/>
      <c r="U16" s="5">
        <v>0</v>
      </c>
      <c r="V16" s="131"/>
      <c r="W16" s="3"/>
      <c r="X16" s="3"/>
      <c r="Y16" s="132"/>
      <c r="Z16" s="3"/>
      <c r="AA16" s="3"/>
      <c r="AB16" s="3"/>
      <c r="AC16" s="3"/>
      <c r="AD16" s="8" t="s">
        <v>2772</v>
      </c>
      <c r="AE16" s="26">
        <v>43983.441817129627</v>
      </c>
      <c r="AF16" s="8" t="s">
        <v>4206</v>
      </c>
      <c r="AG16" s="26">
        <v>43860.55667824074</v>
      </c>
      <c r="AH16" s="244">
        <f>COUNTIF('ENV Tract Status Report'!$A$6:$A$131,SP_EnvTract_DB[[#This Row],[Environmental Tract No.]])</f>
        <v>1</v>
      </c>
    </row>
    <row r="17" spans="1:34" ht="15" x14ac:dyDescent="0.2">
      <c r="A17" s="15" t="s">
        <v>2773</v>
      </c>
      <c r="B17" s="111" t="s">
        <v>80</v>
      </c>
      <c r="C17" s="1"/>
      <c r="D17" s="55" t="s">
        <v>2774</v>
      </c>
      <c r="E17" s="55" t="s">
        <v>2776</v>
      </c>
      <c r="F17" s="55" t="s">
        <v>2777</v>
      </c>
      <c r="G17" s="3"/>
      <c r="H17" s="3"/>
      <c r="I17" s="7" t="s">
        <v>1808</v>
      </c>
      <c r="J17" s="3"/>
      <c r="K17" s="3"/>
      <c r="L17" s="3"/>
      <c r="M17" s="3"/>
      <c r="N17" s="3"/>
      <c r="O17" s="3"/>
      <c r="P17" s="131"/>
      <c r="Q17" s="3"/>
      <c r="R17" s="3"/>
      <c r="S17" s="131"/>
      <c r="T17" s="4"/>
      <c r="U17" s="5">
        <v>0</v>
      </c>
      <c r="V17" s="131"/>
      <c r="W17" s="3"/>
      <c r="X17" s="3"/>
      <c r="Y17" s="132"/>
      <c r="Z17" s="3"/>
      <c r="AA17" s="3"/>
      <c r="AB17" s="3"/>
      <c r="AC17" s="3"/>
      <c r="AD17" s="8" t="s">
        <v>2775</v>
      </c>
      <c r="AE17" s="26">
        <v>43983.441817129627</v>
      </c>
      <c r="AF17" s="8" t="s">
        <v>4206</v>
      </c>
      <c r="AG17" s="26">
        <v>43860.557523148149</v>
      </c>
      <c r="AH17" s="244">
        <f>COUNTIF('ENV Tract Status Report'!$A$6:$A$131,SP_EnvTract_DB[[#This Row],[Environmental Tract No.]])</f>
        <v>1</v>
      </c>
    </row>
    <row r="18" spans="1:34" ht="15" x14ac:dyDescent="0.2">
      <c r="A18" s="15" t="s">
        <v>2778</v>
      </c>
      <c r="B18" s="111" t="s">
        <v>80</v>
      </c>
      <c r="C18" s="1"/>
      <c r="D18" s="55" t="s">
        <v>2779</v>
      </c>
      <c r="E18" s="55" t="s">
        <v>2781</v>
      </c>
      <c r="F18" s="55" t="s">
        <v>2782</v>
      </c>
      <c r="G18" s="3"/>
      <c r="H18" s="3"/>
      <c r="I18" s="7" t="s">
        <v>1808</v>
      </c>
      <c r="J18" s="3"/>
      <c r="K18" s="3"/>
      <c r="L18" s="3"/>
      <c r="M18" s="3"/>
      <c r="N18" s="3"/>
      <c r="O18" s="3"/>
      <c r="P18" s="131"/>
      <c r="Q18" s="3"/>
      <c r="R18" s="3"/>
      <c r="S18" s="131"/>
      <c r="T18" s="4"/>
      <c r="U18" s="5">
        <v>0</v>
      </c>
      <c r="V18" s="131"/>
      <c r="W18" s="3"/>
      <c r="X18" s="3"/>
      <c r="Y18" s="132"/>
      <c r="Z18" s="3"/>
      <c r="AA18" s="3"/>
      <c r="AB18" s="3"/>
      <c r="AC18" s="3"/>
      <c r="AD18" s="8" t="s">
        <v>2780</v>
      </c>
      <c r="AE18" s="26">
        <v>43983.441817129627</v>
      </c>
      <c r="AF18" s="8" t="s">
        <v>4206</v>
      </c>
      <c r="AG18" s="26">
        <v>43860.557708333334</v>
      </c>
      <c r="AH18" s="244">
        <f>COUNTIF('ENV Tract Status Report'!$A$6:$A$131,SP_EnvTract_DB[[#This Row],[Environmental Tract No.]])</f>
        <v>1</v>
      </c>
    </row>
    <row r="19" spans="1:34" ht="15" x14ac:dyDescent="0.2">
      <c r="A19" s="15" t="s">
        <v>2783</v>
      </c>
      <c r="B19" s="111" t="s">
        <v>80</v>
      </c>
      <c r="C19" s="1"/>
      <c r="D19" s="55" t="s">
        <v>2784</v>
      </c>
      <c r="E19" s="55" t="s">
        <v>2786</v>
      </c>
      <c r="F19" s="55" t="s">
        <v>2787</v>
      </c>
      <c r="G19" s="3"/>
      <c r="H19" s="3"/>
      <c r="I19" s="7" t="s">
        <v>1808</v>
      </c>
      <c r="J19" s="3"/>
      <c r="K19" s="3"/>
      <c r="L19" s="3"/>
      <c r="M19" s="3"/>
      <c r="N19" s="3"/>
      <c r="O19" s="3"/>
      <c r="P19" s="131"/>
      <c r="Q19" s="3"/>
      <c r="R19" s="3"/>
      <c r="S19" s="131"/>
      <c r="T19" s="4"/>
      <c r="U19" s="5">
        <v>0</v>
      </c>
      <c r="V19" s="131"/>
      <c r="W19" s="3"/>
      <c r="X19" s="3"/>
      <c r="Y19" s="132"/>
      <c r="Z19" s="3"/>
      <c r="AA19" s="3"/>
      <c r="AB19" s="3"/>
      <c r="AC19" s="3"/>
      <c r="AD19" s="8" t="s">
        <v>2785</v>
      </c>
      <c r="AE19" s="26">
        <v>43983.441817129627</v>
      </c>
      <c r="AF19" s="8" t="s">
        <v>4206</v>
      </c>
      <c r="AG19" s="26">
        <v>43860.557870370372</v>
      </c>
      <c r="AH19" s="244">
        <f>COUNTIF('ENV Tract Status Report'!$A$6:$A$131,SP_EnvTract_DB[[#This Row],[Environmental Tract No.]])</f>
        <v>1</v>
      </c>
    </row>
    <row r="20" spans="1:34" ht="15" x14ac:dyDescent="0.2">
      <c r="A20" s="15" t="s">
        <v>2788</v>
      </c>
      <c r="B20" s="111" t="s">
        <v>80</v>
      </c>
      <c r="C20" s="1"/>
      <c r="D20" s="55" t="s">
        <v>2789</v>
      </c>
      <c r="E20" s="55" t="s">
        <v>2791</v>
      </c>
      <c r="F20" s="55" t="s">
        <v>2792</v>
      </c>
      <c r="G20" s="3"/>
      <c r="H20" s="3"/>
      <c r="I20" s="7" t="s">
        <v>1808</v>
      </c>
      <c r="J20" s="3"/>
      <c r="K20" s="3"/>
      <c r="L20" s="3"/>
      <c r="M20" s="3"/>
      <c r="N20" s="3"/>
      <c r="O20" s="3"/>
      <c r="P20" s="131"/>
      <c r="Q20" s="3"/>
      <c r="R20" s="3"/>
      <c r="S20" s="131"/>
      <c r="T20" s="4"/>
      <c r="U20" s="5">
        <v>0</v>
      </c>
      <c r="V20" s="131"/>
      <c r="W20" s="3"/>
      <c r="X20" s="3"/>
      <c r="Y20" s="132"/>
      <c r="Z20" s="3"/>
      <c r="AA20" s="3"/>
      <c r="AB20" s="3"/>
      <c r="AC20" s="3"/>
      <c r="AD20" s="8" t="s">
        <v>2790</v>
      </c>
      <c r="AE20" s="26">
        <v>43983.44189814815</v>
      </c>
      <c r="AF20" s="8" t="s">
        <v>4206</v>
      </c>
      <c r="AG20" s="26">
        <v>43860.55804398148</v>
      </c>
      <c r="AH20" s="244">
        <f>COUNTIF('ENV Tract Status Report'!$A$6:$A$131,SP_EnvTract_DB[[#This Row],[Environmental Tract No.]])</f>
        <v>1</v>
      </c>
    </row>
    <row r="21" spans="1:34" ht="15" x14ac:dyDescent="0.2">
      <c r="A21" s="15" t="s">
        <v>2793</v>
      </c>
      <c r="B21" s="111" t="s">
        <v>80</v>
      </c>
      <c r="C21" s="1"/>
      <c r="D21" s="55" t="s">
        <v>2794</v>
      </c>
      <c r="E21" s="55" t="s">
        <v>2796</v>
      </c>
      <c r="F21" s="55" t="s">
        <v>2797</v>
      </c>
      <c r="G21" s="3"/>
      <c r="H21" s="3"/>
      <c r="I21" s="7" t="s">
        <v>1808</v>
      </c>
      <c r="J21" s="3"/>
      <c r="K21" s="3"/>
      <c r="L21" s="3"/>
      <c r="M21" s="3"/>
      <c r="N21" s="3"/>
      <c r="O21" s="3"/>
      <c r="P21" s="131"/>
      <c r="Q21" s="3"/>
      <c r="R21" s="3"/>
      <c r="S21" s="131"/>
      <c r="T21" s="4"/>
      <c r="U21" s="5">
        <v>0</v>
      </c>
      <c r="V21" s="131"/>
      <c r="W21" s="3"/>
      <c r="X21" s="3"/>
      <c r="Y21" s="132"/>
      <c r="Z21" s="3"/>
      <c r="AA21" s="3"/>
      <c r="AB21" s="3"/>
      <c r="AC21" s="3"/>
      <c r="AD21" s="8" t="s">
        <v>2795</v>
      </c>
      <c r="AE21" s="26">
        <v>43983.44189814815</v>
      </c>
      <c r="AF21" s="8" t="s">
        <v>4206</v>
      </c>
      <c r="AG21" s="26">
        <v>43860.558263888888</v>
      </c>
      <c r="AH21" s="244">
        <f>COUNTIF('ENV Tract Status Report'!$A$6:$A$131,SP_EnvTract_DB[[#This Row],[Environmental Tract No.]])</f>
        <v>1</v>
      </c>
    </row>
    <row r="22" spans="1:34" ht="15" x14ac:dyDescent="0.2">
      <c r="A22" s="15" t="s">
        <v>2798</v>
      </c>
      <c r="B22" s="111" t="s">
        <v>80</v>
      </c>
      <c r="C22" s="1"/>
      <c r="D22" s="55" t="s">
        <v>2799</v>
      </c>
      <c r="E22" s="55" t="s">
        <v>2801</v>
      </c>
      <c r="F22" s="55" t="s">
        <v>2802</v>
      </c>
      <c r="G22" s="3"/>
      <c r="H22" s="3"/>
      <c r="I22" s="7" t="s">
        <v>1808</v>
      </c>
      <c r="J22" s="3"/>
      <c r="K22" s="3"/>
      <c r="L22" s="3"/>
      <c r="M22" s="3"/>
      <c r="N22" s="3"/>
      <c r="O22" s="3"/>
      <c r="P22" s="131"/>
      <c r="Q22" s="3"/>
      <c r="R22" s="3"/>
      <c r="S22" s="131"/>
      <c r="T22" s="4"/>
      <c r="U22" s="5">
        <v>0</v>
      </c>
      <c r="V22" s="131"/>
      <c r="W22" s="3"/>
      <c r="X22" s="3"/>
      <c r="Y22" s="132"/>
      <c r="Z22" s="3"/>
      <c r="AA22" s="3"/>
      <c r="AB22" s="3"/>
      <c r="AC22" s="3"/>
      <c r="AD22" s="8" t="s">
        <v>2800</v>
      </c>
      <c r="AE22" s="26">
        <v>43983.442083333335</v>
      </c>
      <c r="AF22" s="8" t="s">
        <v>4206</v>
      </c>
      <c r="AG22" s="26">
        <v>43860.558472222219</v>
      </c>
      <c r="AH22" s="244">
        <f>COUNTIF('ENV Tract Status Report'!$A$6:$A$131,SP_EnvTract_DB[[#This Row],[Environmental Tract No.]])</f>
        <v>1</v>
      </c>
    </row>
    <row r="23" spans="1:34" ht="15" x14ac:dyDescent="0.2">
      <c r="A23" s="15" t="s">
        <v>2803</v>
      </c>
      <c r="B23" s="111" t="s">
        <v>80</v>
      </c>
      <c r="C23" s="1"/>
      <c r="D23" s="55" t="s">
        <v>2804</v>
      </c>
      <c r="E23" s="55" t="s">
        <v>2806</v>
      </c>
      <c r="F23" s="55" t="s">
        <v>2807</v>
      </c>
      <c r="G23" s="3"/>
      <c r="H23" s="3"/>
      <c r="I23" s="7" t="s">
        <v>1808</v>
      </c>
      <c r="J23" s="3"/>
      <c r="K23" s="3"/>
      <c r="L23" s="3"/>
      <c r="M23" s="3"/>
      <c r="N23" s="3"/>
      <c r="O23" s="3"/>
      <c r="P23" s="131"/>
      <c r="Q23" s="3"/>
      <c r="R23" s="3"/>
      <c r="S23" s="131"/>
      <c r="T23" s="4"/>
      <c r="U23" s="5">
        <v>0</v>
      </c>
      <c r="V23" s="131"/>
      <c r="W23" s="3"/>
      <c r="X23" s="3"/>
      <c r="Y23" s="132"/>
      <c r="Z23" s="3"/>
      <c r="AA23" s="3"/>
      <c r="AB23" s="3"/>
      <c r="AC23" s="3"/>
      <c r="AD23" s="8" t="s">
        <v>2805</v>
      </c>
      <c r="AE23" s="26">
        <v>43983.442094907405</v>
      </c>
      <c r="AF23" s="8" t="s">
        <v>4206</v>
      </c>
      <c r="AG23" s="26">
        <v>43860.558657407404</v>
      </c>
      <c r="AH23" s="244">
        <f>COUNTIF('ENV Tract Status Report'!$A$6:$A$131,SP_EnvTract_DB[[#This Row],[Environmental Tract No.]])</f>
        <v>1</v>
      </c>
    </row>
    <row r="24" spans="1:34" ht="15" x14ac:dyDescent="0.2">
      <c r="A24" s="15" t="s">
        <v>2808</v>
      </c>
      <c r="B24" s="111" t="s">
        <v>80</v>
      </c>
      <c r="C24" s="1"/>
      <c r="D24" s="55" t="s">
        <v>2809</v>
      </c>
      <c r="E24" s="55" t="s">
        <v>2811</v>
      </c>
      <c r="F24" s="55" t="s">
        <v>2812</v>
      </c>
      <c r="G24" s="3"/>
      <c r="H24" s="3"/>
      <c r="I24" s="7" t="s">
        <v>1808</v>
      </c>
      <c r="J24" s="3"/>
      <c r="K24" s="3"/>
      <c r="L24" s="3"/>
      <c r="M24" s="3"/>
      <c r="N24" s="3"/>
      <c r="O24" s="3"/>
      <c r="P24" s="131"/>
      <c r="Q24" s="3"/>
      <c r="R24" s="3"/>
      <c r="S24" s="131"/>
      <c r="T24" s="4"/>
      <c r="U24" s="5">
        <v>0</v>
      </c>
      <c r="V24" s="131"/>
      <c r="W24" s="3"/>
      <c r="X24" s="3"/>
      <c r="Y24" s="132"/>
      <c r="Z24" s="3"/>
      <c r="AA24" s="3"/>
      <c r="AB24" s="3"/>
      <c r="AC24" s="3"/>
      <c r="AD24" s="8" t="s">
        <v>2810</v>
      </c>
      <c r="AE24" s="26">
        <v>43983.442094907405</v>
      </c>
      <c r="AF24" s="8" t="s">
        <v>4206</v>
      </c>
      <c r="AG24" s="26">
        <v>43860.558854166666</v>
      </c>
      <c r="AH24" s="244">
        <f>COUNTIF('ENV Tract Status Report'!$A$6:$A$131,SP_EnvTract_DB[[#This Row],[Environmental Tract No.]])</f>
        <v>1</v>
      </c>
    </row>
    <row r="25" spans="1:34" ht="15" x14ac:dyDescent="0.2">
      <c r="A25" s="15" t="s">
        <v>2813</v>
      </c>
      <c r="B25" s="111" t="s">
        <v>80</v>
      </c>
      <c r="C25" s="1"/>
      <c r="D25" s="55" t="s">
        <v>2814</v>
      </c>
      <c r="E25" s="55" t="s">
        <v>2816</v>
      </c>
      <c r="F25" s="55" t="s">
        <v>2817</v>
      </c>
      <c r="G25" s="3"/>
      <c r="H25" s="3"/>
      <c r="I25" s="7" t="s">
        <v>1808</v>
      </c>
      <c r="J25" s="3"/>
      <c r="K25" s="3"/>
      <c r="L25" s="3"/>
      <c r="M25" s="3"/>
      <c r="N25" s="3"/>
      <c r="O25" s="3"/>
      <c r="P25" s="131"/>
      <c r="Q25" s="3"/>
      <c r="R25" s="3"/>
      <c r="S25" s="131"/>
      <c r="T25" s="4"/>
      <c r="U25" s="5">
        <v>0</v>
      </c>
      <c r="V25" s="131"/>
      <c r="W25" s="3"/>
      <c r="X25" s="3"/>
      <c r="Y25" s="132"/>
      <c r="Z25" s="3"/>
      <c r="AA25" s="3"/>
      <c r="AB25" s="3"/>
      <c r="AC25" s="3"/>
      <c r="AD25" s="8" t="s">
        <v>2815</v>
      </c>
      <c r="AE25" s="26">
        <v>43983.442199074074</v>
      </c>
      <c r="AF25" s="8" t="s">
        <v>4206</v>
      </c>
      <c r="AG25" s="26">
        <v>43860.55909722222</v>
      </c>
      <c r="AH25" s="244">
        <f>COUNTIF('ENV Tract Status Report'!$A$6:$A$131,SP_EnvTract_DB[[#This Row],[Environmental Tract No.]])</f>
        <v>1</v>
      </c>
    </row>
    <row r="26" spans="1:34" ht="15" x14ac:dyDescent="0.2">
      <c r="A26" s="15" t="s">
        <v>2818</v>
      </c>
      <c r="B26" s="111" t="s">
        <v>80</v>
      </c>
      <c r="C26" s="1"/>
      <c r="D26" s="55" t="s">
        <v>2819</v>
      </c>
      <c r="E26" s="55" t="s">
        <v>2821</v>
      </c>
      <c r="F26" s="55" t="s">
        <v>2822</v>
      </c>
      <c r="G26" s="3"/>
      <c r="H26" s="3"/>
      <c r="I26" s="7" t="s">
        <v>1808</v>
      </c>
      <c r="J26" s="3"/>
      <c r="K26" s="3"/>
      <c r="L26" s="3"/>
      <c r="M26" s="3"/>
      <c r="N26" s="3"/>
      <c r="O26" s="3"/>
      <c r="P26" s="131"/>
      <c r="Q26" s="3"/>
      <c r="R26" s="3"/>
      <c r="S26" s="131"/>
      <c r="T26" s="4"/>
      <c r="U26" s="5">
        <v>0</v>
      </c>
      <c r="V26" s="131"/>
      <c r="W26" s="3"/>
      <c r="X26" s="3"/>
      <c r="Y26" s="132"/>
      <c r="Z26" s="3"/>
      <c r="AA26" s="3"/>
      <c r="AB26" s="3"/>
      <c r="AC26" s="3"/>
      <c r="AD26" s="8" t="s">
        <v>2820</v>
      </c>
      <c r="AE26" s="26">
        <v>43983.442210648151</v>
      </c>
      <c r="AF26" s="8" t="s">
        <v>4206</v>
      </c>
      <c r="AG26" s="26">
        <v>43860.559270833335</v>
      </c>
      <c r="AH26" s="244">
        <f>COUNTIF('ENV Tract Status Report'!$A$6:$A$131,SP_EnvTract_DB[[#This Row],[Environmental Tract No.]])</f>
        <v>1</v>
      </c>
    </row>
    <row r="27" spans="1:34" ht="15" x14ac:dyDescent="0.2">
      <c r="A27" s="15" t="s">
        <v>2823</v>
      </c>
      <c r="B27" s="111" t="s">
        <v>80</v>
      </c>
      <c r="C27" s="1"/>
      <c r="D27" s="55" t="s">
        <v>2824</v>
      </c>
      <c r="E27" s="55" t="s">
        <v>2826</v>
      </c>
      <c r="F27" s="55" t="s">
        <v>2827</v>
      </c>
      <c r="G27" s="3"/>
      <c r="H27" s="3"/>
      <c r="I27" s="7" t="s">
        <v>1808</v>
      </c>
      <c r="J27" s="3"/>
      <c r="K27" s="3"/>
      <c r="L27" s="3"/>
      <c r="M27" s="3"/>
      <c r="N27" s="3"/>
      <c r="O27" s="3"/>
      <c r="P27" s="131"/>
      <c r="Q27" s="3"/>
      <c r="R27" s="3"/>
      <c r="S27" s="131"/>
      <c r="T27" s="4"/>
      <c r="U27" s="5">
        <v>0</v>
      </c>
      <c r="V27" s="131"/>
      <c r="W27" s="3"/>
      <c r="X27" s="3"/>
      <c r="Y27" s="132"/>
      <c r="Z27" s="3"/>
      <c r="AA27" s="3"/>
      <c r="AB27" s="3"/>
      <c r="AC27" s="3"/>
      <c r="AD27" s="8" t="s">
        <v>2825</v>
      </c>
      <c r="AE27" s="26">
        <v>43983.442210648151</v>
      </c>
      <c r="AF27" s="8" t="s">
        <v>4206</v>
      </c>
      <c r="AG27" s="26">
        <v>43860.559444444443</v>
      </c>
      <c r="AH27" s="244">
        <f>COUNTIF('ENV Tract Status Report'!$A$6:$A$131,SP_EnvTract_DB[[#This Row],[Environmental Tract No.]])</f>
        <v>1</v>
      </c>
    </row>
    <row r="28" spans="1:34" ht="15" x14ac:dyDescent="0.2">
      <c r="A28" s="15" t="s">
        <v>2698</v>
      </c>
      <c r="B28" s="111" t="s">
        <v>80</v>
      </c>
      <c r="C28" s="1"/>
      <c r="D28" s="55" t="s">
        <v>2697</v>
      </c>
      <c r="E28" s="55" t="s">
        <v>2829</v>
      </c>
      <c r="F28" s="55" t="s">
        <v>2830</v>
      </c>
      <c r="G28" s="3"/>
      <c r="H28" s="3"/>
      <c r="I28" s="7" t="s">
        <v>1808</v>
      </c>
      <c r="J28" s="3"/>
      <c r="K28" s="3"/>
      <c r="L28" s="3"/>
      <c r="M28" s="3"/>
      <c r="N28" s="3"/>
      <c r="O28" s="3"/>
      <c r="P28" s="131"/>
      <c r="Q28" s="3"/>
      <c r="R28" s="3"/>
      <c r="S28" s="131"/>
      <c r="T28" s="4"/>
      <c r="U28" s="5">
        <v>0</v>
      </c>
      <c r="V28" s="131"/>
      <c r="W28" s="3"/>
      <c r="X28" s="3"/>
      <c r="Y28" s="132"/>
      <c r="Z28" s="3"/>
      <c r="AA28" s="3"/>
      <c r="AB28" s="3"/>
      <c r="AC28" s="3"/>
      <c r="AD28" s="8" t="s">
        <v>2828</v>
      </c>
      <c r="AE28" s="26">
        <v>43983.442442129628</v>
      </c>
      <c r="AF28" s="8" t="s">
        <v>4206</v>
      </c>
      <c r="AG28" s="26">
        <v>43860.559791666667</v>
      </c>
      <c r="AH28" s="244">
        <f>COUNTIF('ENV Tract Status Report'!$A$6:$A$131,SP_EnvTract_DB[[#This Row],[Environmental Tract No.]])</f>
        <v>1</v>
      </c>
    </row>
    <row r="29" spans="1:34" ht="15" x14ac:dyDescent="0.2">
      <c r="A29" s="15" t="s">
        <v>2831</v>
      </c>
      <c r="B29" s="111" t="s">
        <v>80</v>
      </c>
      <c r="C29" s="1"/>
      <c r="D29" s="55" t="s">
        <v>2832</v>
      </c>
      <c r="E29" s="55" t="s">
        <v>2834</v>
      </c>
      <c r="F29" s="55" t="s">
        <v>2835</v>
      </c>
      <c r="G29" s="3"/>
      <c r="H29" s="3"/>
      <c r="I29" s="7" t="s">
        <v>1808</v>
      </c>
      <c r="J29" s="3"/>
      <c r="K29" s="3"/>
      <c r="L29" s="3"/>
      <c r="M29" s="3"/>
      <c r="N29" s="3"/>
      <c r="O29" s="3"/>
      <c r="P29" s="131"/>
      <c r="Q29" s="3"/>
      <c r="R29" s="3"/>
      <c r="S29" s="131"/>
      <c r="T29" s="4"/>
      <c r="U29" s="5">
        <v>0</v>
      </c>
      <c r="V29" s="131"/>
      <c r="W29" s="3"/>
      <c r="X29" s="3"/>
      <c r="Y29" s="132"/>
      <c r="Z29" s="3"/>
      <c r="AA29" s="3"/>
      <c r="AB29" s="3"/>
      <c r="AC29" s="3"/>
      <c r="AD29" s="8" t="s">
        <v>2833</v>
      </c>
      <c r="AE29" s="26">
        <v>43983.442430555559</v>
      </c>
      <c r="AF29" s="8" t="s">
        <v>4206</v>
      </c>
      <c r="AG29" s="26">
        <v>43860.56</v>
      </c>
      <c r="AH29" s="244">
        <f>COUNTIF('ENV Tract Status Report'!$A$6:$A$131,SP_EnvTract_DB[[#This Row],[Environmental Tract No.]])</f>
        <v>1</v>
      </c>
    </row>
    <row r="30" spans="1:34" ht="15" x14ac:dyDescent="0.2">
      <c r="A30" s="15" t="s">
        <v>2836</v>
      </c>
      <c r="B30" s="111" t="s">
        <v>80</v>
      </c>
      <c r="C30" s="1"/>
      <c r="D30" s="55" t="s">
        <v>2837</v>
      </c>
      <c r="E30" s="55" t="s">
        <v>2839</v>
      </c>
      <c r="F30" s="55" t="s">
        <v>2840</v>
      </c>
      <c r="G30" s="3"/>
      <c r="H30" s="3"/>
      <c r="I30" s="7" t="s">
        <v>1808</v>
      </c>
      <c r="J30" s="3"/>
      <c r="K30" s="3"/>
      <c r="L30" s="3"/>
      <c r="M30" s="3"/>
      <c r="N30" s="3"/>
      <c r="O30" s="3"/>
      <c r="P30" s="131"/>
      <c r="Q30" s="3"/>
      <c r="R30" s="3"/>
      <c r="S30" s="131"/>
      <c r="T30" s="4"/>
      <c r="U30" s="5">
        <v>0</v>
      </c>
      <c r="V30" s="131"/>
      <c r="W30" s="3"/>
      <c r="X30" s="3"/>
      <c r="Y30" s="132"/>
      <c r="Z30" s="3"/>
      <c r="AA30" s="3"/>
      <c r="AB30" s="3"/>
      <c r="AC30" s="3"/>
      <c r="AD30" s="8" t="s">
        <v>2838</v>
      </c>
      <c r="AE30" s="26">
        <v>43983.442430555559</v>
      </c>
      <c r="AF30" s="8" t="s">
        <v>4206</v>
      </c>
      <c r="AG30" s="26">
        <v>43860.560300925928</v>
      </c>
      <c r="AH30" s="244">
        <f>COUNTIF('ENV Tract Status Report'!$A$6:$A$131,SP_EnvTract_DB[[#This Row],[Environmental Tract No.]])</f>
        <v>1</v>
      </c>
    </row>
    <row r="31" spans="1:34" ht="15" x14ac:dyDescent="0.2">
      <c r="A31" s="15" t="s">
        <v>2841</v>
      </c>
      <c r="B31" s="111" t="s">
        <v>80</v>
      </c>
      <c r="C31" s="1"/>
      <c r="D31" s="55" t="s">
        <v>2842</v>
      </c>
      <c r="E31" s="55" t="s">
        <v>2844</v>
      </c>
      <c r="F31" s="55" t="s">
        <v>2845</v>
      </c>
      <c r="G31" s="3"/>
      <c r="H31" s="3"/>
      <c r="I31" s="7" t="s">
        <v>1808</v>
      </c>
      <c r="J31" s="3"/>
      <c r="K31" s="3"/>
      <c r="L31" s="3"/>
      <c r="M31" s="3"/>
      <c r="N31" s="3"/>
      <c r="O31" s="3"/>
      <c r="P31" s="131"/>
      <c r="Q31" s="3"/>
      <c r="R31" s="3"/>
      <c r="S31" s="131"/>
      <c r="T31" s="4"/>
      <c r="U31" s="5">
        <v>0</v>
      </c>
      <c r="V31" s="131"/>
      <c r="W31" s="3"/>
      <c r="X31" s="3"/>
      <c r="Y31" s="132"/>
      <c r="Z31" s="3"/>
      <c r="AA31" s="3"/>
      <c r="AB31" s="3"/>
      <c r="AC31" s="3"/>
      <c r="AD31" s="8" t="s">
        <v>2843</v>
      </c>
      <c r="AE31" s="26">
        <v>43983.442430555559</v>
      </c>
      <c r="AF31" s="8" t="s">
        <v>4206</v>
      </c>
      <c r="AG31" s="26">
        <v>43860.560520833336</v>
      </c>
      <c r="AH31" s="244">
        <f>COUNTIF('ENV Tract Status Report'!$A$6:$A$131,SP_EnvTract_DB[[#This Row],[Environmental Tract No.]])</f>
        <v>1</v>
      </c>
    </row>
    <row r="32" spans="1:34" ht="15" x14ac:dyDescent="0.2">
      <c r="A32" s="15" t="s">
        <v>2846</v>
      </c>
      <c r="B32" s="111" t="s">
        <v>80</v>
      </c>
      <c r="C32" s="1"/>
      <c r="D32" s="55" t="s">
        <v>2847</v>
      </c>
      <c r="E32" s="55" t="s">
        <v>2849</v>
      </c>
      <c r="F32" s="55" t="s">
        <v>2850</v>
      </c>
      <c r="G32" s="3"/>
      <c r="H32" s="3"/>
      <c r="I32" s="7" t="s">
        <v>1808</v>
      </c>
      <c r="J32" s="3"/>
      <c r="K32" s="3"/>
      <c r="L32" s="3"/>
      <c r="M32" s="3"/>
      <c r="N32" s="3"/>
      <c r="O32" s="3"/>
      <c r="P32" s="131"/>
      <c r="Q32" s="3"/>
      <c r="R32" s="3"/>
      <c r="S32" s="131"/>
      <c r="T32" s="4"/>
      <c r="U32" s="5">
        <v>0</v>
      </c>
      <c r="V32" s="131"/>
      <c r="W32" s="3"/>
      <c r="X32" s="3"/>
      <c r="Y32" s="132"/>
      <c r="Z32" s="3"/>
      <c r="AA32" s="3"/>
      <c r="AB32" s="3"/>
      <c r="AC32" s="3"/>
      <c r="AD32" s="8" t="s">
        <v>2848</v>
      </c>
      <c r="AE32" s="26">
        <v>43983.442430555559</v>
      </c>
      <c r="AF32" s="8" t="s">
        <v>4206</v>
      </c>
      <c r="AG32" s="26">
        <v>43860.560798611114</v>
      </c>
      <c r="AH32" s="244">
        <f>COUNTIF('ENV Tract Status Report'!$A$6:$A$131,SP_EnvTract_DB[[#This Row],[Environmental Tract No.]])</f>
        <v>1</v>
      </c>
    </row>
    <row r="33" spans="1:34" ht="15" x14ac:dyDescent="0.2">
      <c r="A33" s="15" t="s">
        <v>2851</v>
      </c>
      <c r="B33" s="111" t="s">
        <v>80</v>
      </c>
      <c r="C33" s="1"/>
      <c r="D33" s="55" t="s">
        <v>2852</v>
      </c>
      <c r="E33" s="55" t="s">
        <v>2854</v>
      </c>
      <c r="F33" s="55" t="s">
        <v>2855</v>
      </c>
      <c r="G33" s="3"/>
      <c r="H33" s="3"/>
      <c r="I33" s="7" t="s">
        <v>1808</v>
      </c>
      <c r="J33" s="3"/>
      <c r="K33" s="3"/>
      <c r="L33" s="3"/>
      <c r="M33" s="3"/>
      <c r="N33" s="3"/>
      <c r="O33" s="3"/>
      <c r="P33" s="131"/>
      <c r="Q33" s="3"/>
      <c r="R33" s="3"/>
      <c r="S33" s="131"/>
      <c r="T33" s="4"/>
      <c r="U33" s="5">
        <v>0</v>
      </c>
      <c r="V33" s="131"/>
      <c r="W33" s="3"/>
      <c r="X33" s="3"/>
      <c r="Y33" s="132"/>
      <c r="Z33" s="3"/>
      <c r="AA33" s="3"/>
      <c r="AB33" s="3"/>
      <c r="AC33" s="3"/>
      <c r="AD33" s="8" t="s">
        <v>2853</v>
      </c>
      <c r="AE33" s="26">
        <v>43983.442430555559</v>
      </c>
      <c r="AF33" s="8" t="s">
        <v>4206</v>
      </c>
      <c r="AG33" s="26">
        <v>43860.561041666668</v>
      </c>
      <c r="AH33" s="244">
        <f>COUNTIF('ENV Tract Status Report'!$A$6:$A$131,SP_EnvTract_DB[[#This Row],[Environmental Tract No.]])</f>
        <v>1</v>
      </c>
    </row>
    <row r="34" spans="1:34" ht="15" x14ac:dyDescent="0.2">
      <c r="A34" s="15" t="s">
        <v>2856</v>
      </c>
      <c r="B34" s="111" t="s">
        <v>80</v>
      </c>
      <c r="C34" s="1"/>
      <c r="D34" s="55" t="s">
        <v>2857</v>
      </c>
      <c r="E34" s="55" t="s">
        <v>2859</v>
      </c>
      <c r="F34" s="55" t="s">
        <v>2860</v>
      </c>
      <c r="G34" s="3"/>
      <c r="H34" s="3"/>
      <c r="I34" s="7" t="s">
        <v>1808</v>
      </c>
      <c r="J34" s="3"/>
      <c r="K34" s="3"/>
      <c r="L34" s="3"/>
      <c r="M34" s="3"/>
      <c r="N34" s="3"/>
      <c r="O34" s="3"/>
      <c r="P34" s="131"/>
      <c r="Q34" s="3"/>
      <c r="R34" s="3"/>
      <c r="S34" s="131"/>
      <c r="T34" s="4"/>
      <c r="U34" s="5">
        <v>0</v>
      </c>
      <c r="V34" s="131"/>
      <c r="W34" s="3"/>
      <c r="X34" s="3"/>
      <c r="Y34" s="132"/>
      <c r="Z34" s="3"/>
      <c r="AA34" s="3"/>
      <c r="AB34" s="3"/>
      <c r="AC34" s="3"/>
      <c r="AD34" s="8" t="s">
        <v>2858</v>
      </c>
      <c r="AE34" s="26">
        <v>43983.442430555559</v>
      </c>
      <c r="AF34" s="8" t="s">
        <v>4206</v>
      </c>
      <c r="AG34" s="26">
        <v>43860.561273148145</v>
      </c>
      <c r="AH34" s="244">
        <f>COUNTIF('ENV Tract Status Report'!$A$6:$A$131,SP_EnvTract_DB[[#This Row],[Environmental Tract No.]])</f>
        <v>1</v>
      </c>
    </row>
    <row r="35" spans="1:34" ht="15" x14ac:dyDescent="0.2">
      <c r="A35" s="15" t="s">
        <v>2861</v>
      </c>
      <c r="B35" s="111" t="s">
        <v>80</v>
      </c>
      <c r="C35" s="1"/>
      <c r="D35" s="55" t="s">
        <v>2862</v>
      </c>
      <c r="E35" s="55" t="s">
        <v>2864</v>
      </c>
      <c r="F35" s="55" t="s">
        <v>2865</v>
      </c>
      <c r="G35" s="3"/>
      <c r="H35" s="3"/>
      <c r="I35" s="7" t="s">
        <v>1808</v>
      </c>
      <c r="J35" s="3"/>
      <c r="K35" s="3"/>
      <c r="L35" s="3"/>
      <c r="M35" s="3"/>
      <c r="N35" s="3"/>
      <c r="O35" s="3"/>
      <c r="P35" s="131"/>
      <c r="Q35" s="3"/>
      <c r="R35" s="3"/>
      <c r="S35" s="131"/>
      <c r="T35" s="4"/>
      <c r="U35" s="5">
        <v>0</v>
      </c>
      <c r="V35" s="131"/>
      <c r="W35" s="3"/>
      <c r="X35" s="3"/>
      <c r="Y35" s="132"/>
      <c r="Z35" s="3"/>
      <c r="AA35" s="3"/>
      <c r="AB35" s="3"/>
      <c r="AC35" s="3"/>
      <c r="AD35" s="8" t="s">
        <v>2863</v>
      </c>
      <c r="AE35" s="26">
        <v>43983.442430555559</v>
      </c>
      <c r="AF35" s="8" t="s">
        <v>4206</v>
      </c>
      <c r="AG35" s="26">
        <v>43860.561481481483</v>
      </c>
      <c r="AH35" s="244">
        <f>COUNTIF('ENV Tract Status Report'!$A$6:$A$131,SP_EnvTract_DB[[#This Row],[Environmental Tract No.]])</f>
        <v>1</v>
      </c>
    </row>
    <row r="36" spans="1:34" ht="15" x14ac:dyDescent="0.2">
      <c r="A36" s="15" t="s">
        <v>2866</v>
      </c>
      <c r="B36" s="111" t="s">
        <v>80</v>
      </c>
      <c r="C36" s="1"/>
      <c r="D36" s="55" t="s">
        <v>2867</v>
      </c>
      <c r="E36" s="55" t="s">
        <v>2869</v>
      </c>
      <c r="F36" s="55" t="s">
        <v>2870</v>
      </c>
      <c r="G36" s="3"/>
      <c r="H36" s="3"/>
      <c r="I36" s="7" t="s">
        <v>1808</v>
      </c>
      <c r="J36" s="3"/>
      <c r="K36" s="3"/>
      <c r="L36" s="3"/>
      <c r="M36" s="3"/>
      <c r="N36" s="3"/>
      <c r="O36" s="3"/>
      <c r="P36" s="131"/>
      <c r="Q36" s="3"/>
      <c r="R36" s="3"/>
      <c r="S36" s="131"/>
      <c r="T36" s="4"/>
      <c r="U36" s="5">
        <v>0</v>
      </c>
      <c r="V36" s="131"/>
      <c r="W36" s="3"/>
      <c r="X36" s="3"/>
      <c r="Y36" s="132"/>
      <c r="Z36" s="3"/>
      <c r="AA36" s="3"/>
      <c r="AB36" s="3"/>
      <c r="AC36" s="3"/>
      <c r="AD36" s="8" t="s">
        <v>2868</v>
      </c>
      <c r="AE36" s="26">
        <v>43983.442430555559</v>
      </c>
      <c r="AF36" s="8" t="s">
        <v>4206</v>
      </c>
      <c r="AG36" s="26">
        <v>43860.561678240738</v>
      </c>
      <c r="AH36" s="244">
        <f>COUNTIF('ENV Tract Status Report'!$A$6:$A$131,SP_EnvTract_DB[[#This Row],[Environmental Tract No.]])</f>
        <v>1</v>
      </c>
    </row>
    <row r="37" spans="1:34" ht="15" x14ac:dyDescent="0.2">
      <c r="A37" s="15" t="s">
        <v>2871</v>
      </c>
      <c r="B37" s="111" t="s">
        <v>80</v>
      </c>
      <c r="C37" s="1"/>
      <c r="D37" s="55" t="s">
        <v>2872</v>
      </c>
      <c r="E37" s="55" t="s">
        <v>2874</v>
      </c>
      <c r="F37" s="55" t="s">
        <v>2875</v>
      </c>
      <c r="G37" s="3"/>
      <c r="H37" s="3"/>
      <c r="I37" s="7" t="s">
        <v>1808</v>
      </c>
      <c r="J37" s="3"/>
      <c r="K37" s="3"/>
      <c r="L37" s="3"/>
      <c r="M37" s="3"/>
      <c r="N37" s="3"/>
      <c r="O37" s="3"/>
      <c r="P37" s="131"/>
      <c r="Q37" s="3"/>
      <c r="R37" s="3"/>
      <c r="S37" s="131"/>
      <c r="T37" s="4"/>
      <c r="U37" s="5">
        <v>0</v>
      </c>
      <c r="V37" s="131"/>
      <c r="W37" s="3"/>
      <c r="X37" s="3"/>
      <c r="Y37" s="132"/>
      <c r="Z37" s="3"/>
      <c r="AA37" s="3"/>
      <c r="AB37" s="3"/>
      <c r="AC37" s="3"/>
      <c r="AD37" s="8" t="s">
        <v>2873</v>
      </c>
      <c r="AE37" s="26">
        <v>43983.442430555559</v>
      </c>
      <c r="AF37" s="8" t="s">
        <v>4206</v>
      </c>
      <c r="AG37" s="26">
        <v>43860.562037037038</v>
      </c>
      <c r="AH37" s="244">
        <f>COUNTIF('ENV Tract Status Report'!$A$6:$A$131,SP_EnvTract_DB[[#This Row],[Environmental Tract No.]])</f>
        <v>1</v>
      </c>
    </row>
    <row r="38" spans="1:34" ht="15" x14ac:dyDescent="0.2">
      <c r="A38" s="15" t="s">
        <v>2876</v>
      </c>
      <c r="B38" s="111" t="s">
        <v>80</v>
      </c>
      <c r="C38" s="1"/>
      <c r="D38" s="55" t="s">
        <v>2877</v>
      </c>
      <c r="E38" s="55" t="s">
        <v>2879</v>
      </c>
      <c r="F38" s="55" t="s">
        <v>2880</v>
      </c>
      <c r="G38" s="3"/>
      <c r="H38" s="3"/>
      <c r="I38" s="7" t="s">
        <v>1808</v>
      </c>
      <c r="J38" s="3"/>
      <c r="K38" s="3"/>
      <c r="L38" s="3"/>
      <c r="M38" s="3"/>
      <c r="N38" s="3"/>
      <c r="O38" s="3"/>
      <c r="P38" s="131"/>
      <c r="Q38" s="3"/>
      <c r="R38" s="3"/>
      <c r="S38" s="131"/>
      <c r="T38" s="4"/>
      <c r="U38" s="5">
        <v>0</v>
      </c>
      <c r="V38" s="131"/>
      <c r="W38" s="3"/>
      <c r="X38" s="3"/>
      <c r="Y38" s="132"/>
      <c r="Z38" s="3"/>
      <c r="AA38" s="3"/>
      <c r="AB38" s="3"/>
      <c r="AC38" s="3"/>
      <c r="AD38" s="8" t="s">
        <v>2878</v>
      </c>
      <c r="AE38" s="26">
        <v>43983.442430555559</v>
      </c>
      <c r="AF38" s="8" t="s">
        <v>4206</v>
      </c>
      <c r="AG38" s="26">
        <v>43860.562361111108</v>
      </c>
      <c r="AH38" s="244">
        <f>COUNTIF('ENV Tract Status Report'!$A$6:$A$131,SP_EnvTract_DB[[#This Row],[Environmental Tract No.]])</f>
        <v>1</v>
      </c>
    </row>
    <row r="39" spans="1:34" ht="15" x14ac:dyDescent="0.2">
      <c r="A39" s="15" t="s">
        <v>2881</v>
      </c>
      <c r="B39" s="111" t="s">
        <v>80</v>
      </c>
      <c r="C39" s="1"/>
      <c r="D39" s="55" t="s">
        <v>2882</v>
      </c>
      <c r="E39" s="55" t="s">
        <v>2884</v>
      </c>
      <c r="F39" s="55" t="s">
        <v>2885</v>
      </c>
      <c r="G39" s="3"/>
      <c r="H39" s="3"/>
      <c r="I39" s="7" t="s">
        <v>1808</v>
      </c>
      <c r="J39" s="3"/>
      <c r="K39" s="3"/>
      <c r="L39" s="3"/>
      <c r="M39" s="3"/>
      <c r="N39" s="3"/>
      <c r="O39" s="3"/>
      <c r="P39" s="131"/>
      <c r="Q39" s="3"/>
      <c r="R39" s="3"/>
      <c r="S39" s="131"/>
      <c r="T39" s="4"/>
      <c r="U39" s="5">
        <v>0</v>
      </c>
      <c r="V39" s="131"/>
      <c r="W39" s="3"/>
      <c r="X39" s="3"/>
      <c r="Y39" s="132"/>
      <c r="Z39" s="3"/>
      <c r="AA39" s="3"/>
      <c r="AB39" s="3"/>
      <c r="AC39" s="3"/>
      <c r="AD39" s="8" t="s">
        <v>2883</v>
      </c>
      <c r="AE39" s="26">
        <v>43983.442685185182</v>
      </c>
      <c r="AF39" s="8" t="s">
        <v>4206</v>
      </c>
      <c r="AG39" s="26">
        <v>43860.562627314815</v>
      </c>
      <c r="AH39" s="244">
        <f>COUNTIF('ENV Tract Status Report'!$A$6:$A$131,SP_EnvTract_DB[[#This Row],[Environmental Tract No.]])</f>
        <v>1</v>
      </c>
    </row>
    <row r="40" spans="1:34" ht="15" x14ac:dyDescent="0.2">
      <c r="A40" s="15" t="s">
        <v>2886</v>
      </c>
      <c r="B40" s="111" t="s">
        <v>80</v>
      </c>
      <c r="C40" s="1"/>
      <c r="D40" s="55" t="s">
        <v>2887</v>
      </c>
      <c r="E40" s="55" t="s">
        <v>2889</v>
      </c>
      <c r="F40" s="55" t="s">
        <v>2890</v>
      </c>
      <c r="G40" s="3"/>
      <c r="H40" s="3"/>
      <c r="I40" s="7" t="s">
        <v>1808</v>
      </c>
      <c r="J40" s="3"/>
      <c r="K40" s="3"/>
      <c r="L40" s="3"/>
      <c r="M40" s="3"/>
      <c r="N40" s="3"/>
      <c r="O40" s="3"/>
      <c r="P40" s="131"/>
      <c r="Q40" s="3"/>
      <c r="R40" s="3"/>
      <c r="S40" s="131"/>
      <c r="T40" s="4"/>
      <c r="U40" s="5">
        <v>0</v>
      </c>
      <c r="V40" s="131"/>
      <c r="W40" s="3"/>
      <c r="X40" s="3"/>
      <c r="Y40" s="132"/>
      <c r="Z40" s="3"/>
      <c r="AA40" s="3"/>
      <c r="AB40" s="3"/>
      <c r="AC40" s="3"/>
      <c r="AD40" s="8" t="s">
        <v>2888</v>
      </c>
      <c r="AE40" s="26">
        <v>43983.442685185182</v>
      </c>
      <c r="AF40" s="8" t="s">
        <v>4206</v>
      </c>
      <c r="AG40" s="26">
        <v>43860.562685185185</v>
      </c>
      <c r="AH40" s="244">
        <f>COUNTIF('ENV Tract Status Report'!$A$6:$A$131,SP_EnvTract_DB[[#This Row],[Environmental Tract No.]])</f>
        <v>1</v>
      </c>
    </row>
    <row r="41" spans="1:34" ht="15" x14ac:dyDescent="0.2">
      <c r="A41" s="15" t="s">
        <v>2891</v>
      </c>
      <c r="B41" s="111" t="s">
        <v>80</v>
      </c>
      <c r="C41" s="1"/>
      <c r="D41" s="55" t="s">
        <v>2892</v>
      </c>
      <c r="E41" s="55" t="s">
        <v>2894</v>
      </c>
      <c r="F41" s="55" t="s">
        <v>2895</v>
      </c>
      <c r="G41" s="3"/>
      <c r="H41" s="3"/>
      <c r="I41" s="7" t="s">
        <v>1808</v>
      </c>
      <c r="J41" s="3"/>
      <c r="K41" s="3"/>
      <c r="L41" s="3"/>
      <c r="M41" s="3"/>
      <c r="N41" s="3"/>
      <c r="O41" s="3"/>
      <c r="P41" s="131"/>
      <c r="Q41" s="3"/>
      <c r="R41" s="3"/>
      <c r="S41" s="131"/>
      <c r="T41" s="4"/>
      <c r="U41" s="5">
        <v>0</v>
      </c>
      <c r="V41" s="131"/>
      <c r="W41" s="3"/>
      <c r="X41" s="3"/>
      <c r="Y41" s="132"/>
      <c r="Z41" s="3"/>
      <c r="AA41" s="3"/>
      <c r="AB41" s="3"/>
      <c r="AC41" s="3"/>
      <c r="AD41" s="8" t="s">
        <v>2893</v>
      </c>
      <c r="AE41" s="26">
        <v>43983.442685185182</v>
      </c>
      <c r="AF41" s="8" t="s">
        <v>4206</v>
      </c>
      <c r="AG41" s="26">
        <v>43860.562708333331</v>
      </c>
      <c r="AH41" s="244">
        <f>COUNTIF('ENV Tract Status Report'!$A$6:$A$131,SP_EnvTract_DB[[#This Row],[Environmental Tract No.]])</f>
        <v>1</v>
      </c>
    </row>
    <row r="42" spans="1:34" ht="15" x14ac:dyDescent="0.2">
      <c r="A42" s="15" t="s">
        <v>2896</v>
      </c>
      <c r="B42" s="111" t="s">
        <v>80</v>
      </c>
      <c r="C42" s="1"/>
      <c r="D42" s="55" t="s">
        <v>2897</v>
      </c>
      <c r="E42" s="55" t="s">
        <v>2899</v>
      </c>
      <c r="F42" s="55" t="s">
        <v>2900</v>
      </c>
      <c r="G42" s="3"/>
      <c r="H42" s="3"/>
      <c r="I42" s="7" t="s">
        <v>1808</v>
      </c>
      <c r="J42" s="3"/>
      <c r="K42" s="3"/>
      <c r="L42" s="3"/>
      <c r="M42" s="3"/>
      <c r="N42" s="3"/>
      <c r="O42" s="3"/>
      <c r="P42" s="131"/>
      <c r="Q42" s="3"/>
      <c r="R42" s="3"/>
      <c r="S42" s="131"/>
      <c r="T42" s="4"/>
      <c r="U42" s="5">
        <v>0</v>
      </c>
      <c r="V42" s="131"/>
      <c r="W42" s="3"/>
      <c r="X42" s="3"/>
      <c r="Y42" s="132"/>
      <c r="Z42" s="3"/>
      <c r="AA42" s="3"/>
      <c r="AB42" s="3"/>
      <c r="AC42" s="3"/>
      <c r="AD42" s="8" t="s">
        <v>2898</v>
      </c>
      <c r="AE42" s="26">
        <v>43983.442685185182</v>
      </c>
      <c r="AF42" s="8" t="s">
        <v>4206</v>
      </c>
      <c r="AG42" s="26">
        <v>43860.562719907408</v>
      </c>
      <c r="AH42" s="244">
        <f>COUNTIF('ENV Tract Status Report'!$A$6:$A$131,SP_EnvTract_DB[[#This Row],[Environmental Tract No.]])</f>
        <v>1</v>
      </c>
    </row>
    <row r="43" spans="1:34" ht="15" x14ac:dyDescent="0.2">
      <c r="A43" s="15" t="s">
        <v>2901</v>
      </c>
      <c r="B43" s="111" t="s">
        <v>80</v>
      </c>
      <c r="C43" s="1"/>
      <c r="D43" s="55" t="s">
        <v>2902</v>
      </c>
      <c r="E43" s="55" t="s">
        <v>2904</v>
      </c>
      <c r="F43" s="55" t="s">
        <v>2905</v>
      </c>
      <c r="G43" s="3"/>
      <c r="H43" s="3"/>
      <c r="I43" s="7" t="s">
        <v>1808</v>
      </c>
      <c r="J43" s="3"/>
      <c r="K43" s="3"/>
      <c r="L43" s="3"/>
      <c r="M43" s="3"/>
      <c r="N43" s="3"/>
      <c r="O43" s="3"/>
      <c r="P43" s="131"/>
      <c r="Q43" s="3"/>
      <c r="R43" s="3"/>
      <c r="S43" s="131"/>
      <c r="T43" s="4"/>
      <c r="U43" s="5">
        <v>0</v>
      </c>
      <c r="V43" s="131"/>
      <c r="W43" s="3"/>
      <c r="X43" s="3"/>
      <c r="Y43" s="132"/>
      <c r="Z43" s="3"/>
      <c r="AA43" s="3"/>
      <c r="AB43" s="3"/>
      <c r="AC43" s="3"/>
      <c r="AD43" s="8" t="s">
        <v>2903</v>
      </c>
      <c r="AE43" s="26">
        <v>43983.442685185182</v>
      </c>
      <c r="AF43" s="8" t="s">
        <v>4206</v>
      </c>
      <c r="AG43" s="26">
        <v>43860.5627662037</v>
      </c>
      <c r="AH43" s="244">
        <f>COUNTIF('ENV Tract Status Report'!$A$6:$A$131,SP_EnvTract_DB[[#This Row],[Environmental Tract No.]])</f>
        <v>1</v>
      </c>
    </row>
    <row r="44" spans="1:34" ht="15" x14ac:dyDescent="0.2">
      <c r="A44" s="15" t="s">
        <v>2906</v>
      </c>
      <c r="B44" s="111" t="s">
        <v>80</v>
      </c>
      <c r="C44" s="1"/>
      <c r="D44" s="55" t="s">
        <v>2907</v>
      </c>
      <c r="E44" s="55" t="s">
        <v>2909</v>
      </c>
      <c r="F44" s="55" t="s">
        <v>2910</v>
      </c>
      <c r="G44" s="3"/>
      <c r="H44" s="3"/>
      <c r="I44" s="7" t="s">
        <v>1808</v>
      </c>
      <c r="J44" s="3"/>
      <c r="K44" s="3"/>
      <c r="L44" s="3"/>
      <c r="M44" s="3"/>
      <c r="N44" s="3"/>
      <c r="O44" s="3"/>
      <c r="P44" s="131"/>
      <c r="Q44" s="3"/>
      <c r="R44" s="3"/>
      <c r="S44" s="131"/>
      <c r="T44" s="4"/>
      <c r="U44" s="5">
        <v>0</v>
      </c>
      <c r="V44" s="131"/>
      <c r="W44" s="3"/>
      <c r="X44" s="3"/>
      <c r="Y44" s="132"/>
      <c r="Z44" s="3"/>
      <c r="AA44" s="3"/>
      <c r="AB44" s="3"/>
      <c r="AC44" s="3"/>
      <c r="AD44" s="8" t="s">
        <v>2908</v>
      </c>
      <c r="AE44" s="26">
        <v>43983.442685185182</v>
      </c>
      <c r="AF44" s="8" t="s">
        <v>4206</v>
      </c>
      <c r="AG44" s="26">
        <v>43860.562777777777</v>
      </c>
      <c r="AH44" s="244">
        <f>COUNTIF('ENV Tract Status Report'!$A$6:$A$131,SP_EnvTract_DB[[#This Row],[Environmental Tract No.]])</f>
        <v>1</v>
      </c>
    </row>
    <row r="45" spans="1:34" ht="15" x14ac:dyDescent="0.2">
      <c r="A45" s="15" t="s">
        <v>2911</v>
      </c>
      <c r="B45" s="111" t="s">
        <v>80</v>
      </c>
      <c r="C45" s="1"/>
      <c r="D45" s="55" t="s">
        <v>2912</v>
      </c>
      <c r="E45" s="55" t="s">
        <v>2914</v>
      </c>
      <c r="F45" s="55" t="s">
        <v>2915</v>
      </c>
      <c r="G45" s="3"/>
      <c r="H45" s="3"/>
      <c r="I45" s="7" t="s">
        <v>1808</v>
      </c>
      <c r="J45" s="3"/>
      <c r="K45" s="3"/>
      <c r="L45" s="3"/>
      <c r="M45" s="3"/>
      <c r="N45" s="3"/>
      <c r="O45" s="3"/>
      <c r="P45" s="131"/>
      <c r="Q45" s="3"/>
      <c r="R45" s="3"/>
      <c r="S45" s="131"/>
      <c r="T45" s="4"/>
      <c r="U45" s="5">
        <v>0</v>
      </c>
      <c r="V45" s="131"/>
      <c r="W45" s="3"/>
      <c r="X45" s="3"/>
      <c r="Y45" s="132"/>
      <c r="Z45" s="3"/>
      <c r="AA45" s="3"/>
      <c r="AB45" s="3"/>
      <c r="AC45" s="3"/>
      <c r="AD45" s="8" t="s">
        <v>2913</v>
      </c>
      <c r="AE45" s="26">
        <v>43983.442685185182</v>
      </c>
      <c r="AF45" s="8" t="s">
        <v>4206</v>
      </c>
      <c r="AG45" s="26">
        <v>43860.562800925924</v>
      </c>
      <c r="AH45" s="244">
        <f>COUNTIF('ENV Tract Status Report'!$A$6:$A$131,SP_EnvTract_DB[[#This Row],[Environmental Tract No.]])</f>
        <v>1</v>
      </c>
    </row>
    <row r="46" spans="1:34" ht="15" x14ac:dyDescent="0.2">
      <c r="A46" s="15" t="s">
        <v>2916</v>
      </c>
      <c r="B46" s="111" t="s">
        <v>80</v>
      </c>
      <c r="C46" s="1"/>
      <c r="D46" s="55" t="s">
        <v>2917</v>
      </c>
      <c r="E46" s="55" t="s">
        <v>2919</v>
      </c>
      <c r="F46" s="55" t="s">
        <v>2920</v>
      </c>
      <c r="G46" s="3"/>
      <c r="H46" s="3"/>
      <c r="I46" s="7" t="s">
        <v>1808</v>
      </c>
      <c r="J46" s="3"/>
      <c r="K46" s="3"/>
      <c r="L46" s="3"/>
      <c r="M46" s="3"/>
      <c r="N46" s="3"/>
      <c r="O46" s="3"/>
      <c r="P46" s="131"/>
      <c r="Q46" s="3"/>
      <c r="R46" s="3"/>
      <c r="S46" s="131"/>
      <c r="T46" s="4"/>
      <c r="U46" s="5">
        <v>0</v>
      </c>
      <c r="V46" s="131"/>
      <c r="W46" s="3"/>
      <c r="X46" s="3"/>
      <c r="Y46" s="132"/>
      <c r="Z46" s="3"/>
      <c r="AA46" s="3"/>
      <c r="AB46" s="3"/>
      <c r="AC46" s="3"/>
      <c r="AD46" s="8" t="s">
        <v>2918</v>
      </c>
      <c r="AE46" s="26">
        <v>43983.443043981482</v>
      </c>
      <c r="AF46" s="8" t="s">
        <v>4206</v>
      </c>
      <c r="AG46" s="26">
        <v>43860.563946759263</v>
      </c>
      <c r="AH46" s="244">
        <f>COUNTIF('ENV Tract Status Report'!$A$6:$A$131,SP_EnvTract_DB[[#This Row],[Environmental Tract No.]])</f>
        <v>1</v>
      </c>
    </row>
    <row r="47" spans="1:34" ht="15" x14ac:dyDescent="0.2">
      <c r="A47" s="15" t="s">
        <v>2921</v>
      </c>
      <c r="B47" s="111" t="s">
        <v>80</v>
      </c>
      <c r="C47" s="1"/>
      <c r="D47" s="55" t="s">
        <v>2922</v>
      </c>
      <c r="E47" s="55" t="s">
        <v>2924</v>
      </c>
      <c r="F47" s="55" t="s">
        <v>2925</v>
      </c>
      <c r="G47" s="3"/>
      <c r="H47" s="3"/>
      <c r="I47" s="7" t="s">
        <v>1808</v>
      </c>
      <c r="J47" s="3"/>
      <c r="K47" s="3"/>
      <c r="L47" s="3"/>
      <c r="M47" s="3"/>
      <c r="N47" s="3"/>
      <c r="O47" s="3"/>
      <c r="P47" s="131"/>
      <c r="Q47" s="3"/>
      <c r="R47" s="3"/>
      <c r="S47" s="131"/>
      <c r="T47" s="4"/>
      <c r="U47" s="5">
        <v>0</v>
      </c>
      <c r="V47" s="131"/>
      <c r="W47" s="3"/>
      <c r="X47" s="3"/>
      <c r="Y47" s="132"/>
      <c r="Z47" s="3"/>
      <c r="AA47" s="3"/>
      <c r="AB47" s="3"/>
      <c r="AC47" s="3"/>
      <c r="AD47" s="8" t="s">
        <v>2923</v>
      </c>
      <c r="AE47" s="26">
        <v>43983.443055555559</v>
      </c>
      <c r="AF47" s="8" t="s">
        <v>4206</v>
      </c>
      <c r="AG47" s="26">
        <v>43860.563958333332</v>
      </c>
      <c r="AH47" s="244">
        <f>COUNTIF('ENV Tract Status Report'!$A$6:$A$131,SP_EnvTract_DB[[#This Row],[Environmental Tract No.]])</f>
        <v>1</v>
      </c>
    </row>
    <row r="48" spans="1:34" ht="15" x14ac:dyDescent="0.2">
      <c r="A48" s="15" t="s">
        <v>2926</v>
      </c>
      <c r="B48" s="111" t="s">
        <v>80</v>
      </c>
      <c r="C48" s="1"/>
      <c r="D48" s="55" t="s">
        <v>2927</v>
      </c>
      <c r="E48" s="55" t="s">
        <v>2929</v>
      </c>
      <c r="F48" s="55" t="s">
        <v>2930</v>
      </c>
      <c r="G48" s="3"/>
      <c r="H48" s="3"/>
      <c r="I48" s="7" t="s">
        <v>1808</v>
      </c>
      <c r="J48" s="3"/>
      <c r="K48" s="3"/>
      <c r="L48" s="3"/>
      <c r="M48" s="3"/>
      <c r="N48" s="3"/>
      <c r="O48" s="3"/>
      <c r="P48" s="131"/>
      <c r="Q48" s="3"/>
      <c r="R48" s="3"/>
      <c r="S48" s="131"/>
      <c r="T48" s="4"/>
      <c r="U48" s="5">
        <v>0</v>
      </c>
      <c r="V48" s="131"/>
      <c r="W48" s="3"/>
      <c r="X48" s="3"/>
      <c r="Y48" s="132"/>
      <c r="Z48" s="3"/>
      <c r="AA48" s="3"/>
      <c r="AB48" s="3"/>
      <c r="AC48" s="3"/>
      <c r="AD48" s="8" t="s">
        <v>2928</v>
      </c>
      <c r="AE48" s="26">
        <v>43983.443055555559</v>
      </c>
      <c r="AF48" s="8" t="s">
        <v>4206</v>
      </c>
      <c r="AG48" s="26">
        <v>43860.565208333333</v>
      </c>
      <c r="AH48" s="244">
        <f>COUNTIF('ENV Tract Status Report'!$A$6:$A$131,SP_EnvTract_DB[[#This Row],[Environmental Tract No.]])</f>
        <v>1</v>
      </c>
    </row>
    <row r="49" spans="1:34" ht="15" x14ac:dyDescent="0.2">
      <c r="A49" s="15" t="s">
        <v>2939</v>
      </c>
      <c r="B49" s="111" t="s">
        <v>5643</v>
      </c>
      <c r="C49" s="1"/>
      <c r="D49" s="55" t="s">
        <v>2940</v>
      </c>
      <c r="E49" s="55" t="s">
        <v>2942</v>
      </c>
      <c r="F49" s="55" t="s">
        <v>2943</v>
      </c>
      <c r="G49" s="3"/>
      <c r="H49" s="3"/>
      <c r="I49" s="7" t="s">
        <v>1808</v>
      </c>
      <c r="J49" s="3"/>
      <c r="K49" s="3"/>
      <c r="L49" s="3"/>
      <c r="M49" s="3"/>
      <c r="N49" s="3"/>
      <c r="O49" s="3"/>
      <c r="P49" s="131"/>
      <c r="Q49" s="3"/>
      <c r="R49" s="3"/>
      <c r="S49" s="131"/>
      <c r="T49" s="4"/>
      <c r="U49" s="5">
        <v>0</v>
      </c>
      <c r="V49" s="131"/>
      <c r="W49" s="3"/>
      <c r="X49" s="3"/>
      <c r="Y49" s="132"/>
      <c r="Z49" s="3"/>
      <c r="AA49" s="3"/>
      <c r="AB49" s="3"/>
      <c r="AC49" s="3"/>
      <c r="AD49" s="8" t="s">
        <v>2941</v>
      </c>
      <c r="AE49" s="26">
        <v>43983.457337962966</v>
      </c>
      <c r="AF49" s="8" t="s">
        <v>4206</v>
      </c>
      <c r="AG49" s="26">
        <v>43860.565405092595</v>
      </c>
      <c r="AH49" s="244">
        <f>COUNTIF('ENV Tract Status Report'!$A$6:$A$131,SP_EnvTract_DB[[#This Row],[Environmental Tract No.]])</f>
        <v>1</v>
      </c>
    </row>
    <row r="50" spans="1:34" ht="15" x14ac:dyDescent="0.2">
      <c r="A50" s="15" t="s">
        <v>2944</v>
      </c>
      <c r="B50" s="111" t="s">
        <v>5643</v>
      </c>
      <c r="C50" s="1"/>
      <c r="D50" s="55" t="s">
        <v>2945</v>
      </c>
      <c r="E50" s="55" t="s">
        <v>2947</v>
      </c>
      <c r="F50" s="55" t="s">
        <v>2948</v>
      </c>
      <c r="G50" s="3"/>
      <c r="H50" s="3"/>
      <c r="I50" s="7" t="s">
        <v>1808</v>
      </c>
      <c r="J50" s="3"/>
      <c r="K50" s="3"/>
      <c r="L50" s="3"/>
      <c r="M50" s="3"/>
      <c r="N50" s="3"/>
      <c r="O50" s="3"/>
      <c r="P50" s="131"/>
      <c r="Q50" s="3"/>
      <c r="R50" s="3"/>
      <c r="S50" s="131"/>
      <c r="T50" s="4"/>
      <c r="U50" s="5">
        <v>0</v>
      </c>
      <c r="V50" s="131"/>
      <c r="W50" s="3"/>
      <c r="X50" s="3"/>
      <c r="Y50" s="132"/>
      <c r="Z50" s="3"/>
      <c r="AA50" s="3"/>
      <c r="AB50" s="3"/>
      <c r="AC50" s="3"/>
      <c r="AD50" s="8" t="s">
        <v>2946</v>
      </c>
      <c r="AE50" s="26">
        <v>43983.458321759259</v>
      </c>
      <c r="AF50" s="8" t="s">
        <v>4206</v>
      </c>
      <c r="AG50" s="26">
        <v>43860.565428240741</v>
      </c>
      <c r="AH50" s="244">
        <f>COUNTIF('ENV Tract Status Report'!$A$6:$A$131,SP_EnvTract_DB[[#This Row],[Environmental Tract No.]])</f>
        <v>1</v>
      </c>
    </row>
    <row r="51" spans="1:34" ht="15" x14ac:dyDescent="0.2">
      <c r="A51" s="15" t="s">
        <v>2949</v>
      </c>
      <c r="B51" s="111" t="s">
        <v>5643</v>
      </c>
      <c r="C51" s="1"/>
      <c r="D51" s="55" t="s">
        <v>2950</v>
      </c>
      <c r="E51" s="55" t="s">
        <v>2952</v>
      </c>
      <c r="F51" s="55" t="s">
        <v>2953</v>
      </c>
      <c r="G51" s="3"/>
      <c r="H51" s="3"/>
      <c r="I51" s="7" t="s">
        <v>1808</v>
      </c>
      <c r="J51" s="3"/>
      <c r="K51" s="3"/>
      <c r="L51" s="3"/>
      <c r="M51" s="3"/>
      <c r="N51" s="3"/>
      <c r="O51" s="3"/>
      <c r="P51" s="131"/>
      <c r="Q51" s="3"/>
      <c r="R51" s="3"/>
      <c r="S51" s="131"/>
      <c r="T51" s="4"/>
      <c r="U51" s="5">
        <v>0</v>
      </c>
      <c r="V51" s="131"/>
      <c r="W51" s="3"/>
      <c r="X51" s="3"/>
      <c r="Y51" s="132"/>
      <c r="Z51" s="3"/>
      <c r="AA51" s="3"/>
      <c r="AB51" s="3"/>
      <c r="AC51" s="3"/>
      <c r="AD51" s="8" t="s">
        <v>2951</v>
      </c>
      <c r="AE51" s="26">
        <v>43983.458333333336</v>
      </c>
      <c r="AF51" s="8" t="s">
        <v>4206</v>
      </c>
      <c r="AG51" s="26">
        <v>43860.565451388888</v>
      </c>
      <c r="AH51" s="244">
        <f>COUNTIF('ENV Tract Status Report'!$A$6:$A$131,SP_EnvTract_DB[[#This Row],[Environmental Tract No.]])</f>
        <v>1</v>
      </c>
    </row>
    <row r="52" spans="1:34" ht="15" x14ac:dyDescent="0.2">
      <c r="A52" s="15" t="s">
        <v>2954</v>
      </c>
      <c r="B52" s="111" t="s">
        <v>5643</v>
      </c>
      <c r="C52" s="1"/>
      <c r="D52" s="55" t="s">
        <v>2955</v>
      </c>
      <c r="E52" s="55" t="s">
        <v>2957</v>
      </c>
      <c r="F52" s="55" t="s">
        <v>2958</v>
      </c>
      <c r="G52" s="3"/>
      <c r="H52" s="3"/>
      <c r="I52" s="7" t="s">
        <v>1808</v>
      </c>
      <c r="J52" s="3"/>
      <c r="K52" s="3"/>
      <c r="L52" s="3"/>
      <c r="M52" s="3"/>
      <c r="N52" s="3"/>
      <c r="O52" s="3"/>
      <c r="P52" s="131"/>
      <c r="Q52" s="3"/>
      <c r="R52" s="3"/>
      <c r="S52" s="131"/>
      <c r="T52" s="4"/>
      <c r="U52" s="5">
        <v>0</v>
      </c>
      <c r="V52" s="131"/>
      <c r="W52" s="3"/>
      <c r="X52" s="3"/>
      <c r="Y52" s="132"/>
      <c r="Z52" s="3"/>
      <c r="AA52" s="3"/>
      <c r="AB52" s="3"/>
      <c r="AC52" s="3"/>
      <c r="AD52" s="8" t="s">
        <v>2956</v>
      </c>
      <c r="AE52" s="26">
        <v>43983.458402777775</v>
      </c>
      <c r="AF52" s="8" t="s">
        <v>4206</v>
      </c>
      <c r="AG52" s="26">
        <v>43860.565497685187</v>
      </c>
      <c r="AH52" s="244">
        <f>COUNTIF('ENV Tract Status Report'!$A$6:$A$131,SP_EnvTract_DB[[#This Row],[Environmental Tract No.]])</f>
        <v>1</v>
      </c>
    </row>
    <row r="53" spans="1:34" ht="15" x14ac:dyDescent="0.2">
      <c r="A53" s="15" t="s">
        <v>2959</v>
      </c>
      <c r="B53" s="111" t="s">
        <v>80</v>
      </c>
      <c r="C53" s="1"/>
      <c r="D53" s="55" t="s">
        <v>2960</v>
      </c>
      <c r="E53" s="55" t="s">
        <v>2962</v>
      </c>
      <c r="F53" s="55" t="s">
        <v>2963</v>
      </c>
      <c r="G53" s="3"/>
      <c r="H53" s="3"/>
      <c r="I53" s="7" t="s">
        <v>1808</v>
      </c>
      <c r="J53" s="3"/>
      <c r="K53" s="3"/>
      <c r="L53" s="3"/>
      <c r="M53" s="3"/>
      <c r="N53" s="3"/>
      <c r="O53" s="3"/>
      <c r="P53" s="131"/>
      <c r="Q53" s="3"/>
      <c r="R53" s="3"/>
      <c r="S53" s="131"/>
      <c r="T53" s="4"/>
      <c r="U53" s="5">
        <v>0</v>
      </c>
      <c r="V53" s="131"/>
      <c r="W53" s="3"/>
      <c r="X53" s="3"/>
      <c r="Y53" s="132"/>
      <c r="Z53" s="3"/>
      <c r="AA53" s="3"/>
      <c r="AB53" s="3"/>
      <c r="AC53" s="3"/>
      <c r="AD53" s="8" t="s">
        <v>2961</v>
      </c>
      <c r="AE53" s="26">
        <v>43983.443368055552</v>
      </c>
      <c r="AF53" s="8" t="s">
        <v>4206</v>
      </c>
      <c r="AG53" s="26">
        <v>43860.565520833334</v>
      </c>
      <c r="AH53" s="244">
        <f>COUNTIF('ENV Tract Status Report'!$A$6:$A$131,SP_EnvTract_DB[[#This Row],[Environmental Tract No.]])</f>
        <v>1</v>
      </c>
    </row>
    <row r="54" spans="1:34" ht="15" x14ac:dyDescent="0.2">
      <c r="A54" s="15" t="s">
        <v>2964</v>
      </c>
      <c r="B54" s="111" t="s">
        <v>80</v>
      </c>
      <c r="C54" s="1"/>
      <c r="D54" s="55" t="s">
        <v>2965</v>
      </c>
      <c r="E54" s="55" t="s">
        <v>2967</v>
      </c>
      <c r="F54" s="55" t="s">
        <v>2968</v>
      </c>
      <c r="G54" s="3"/>
      <c r="H54" s="3"/>
      <c r="I54" s="7" t="s">
        <v>1808</v>
      </c>
      <c r="J54" s="3"/>
      <c r="K54" s="3"/>
      <c r="L54" s="3"/>
      <c r="M54" s="3"/>
      <c r="N54" s="3"/>
      <c r="O54" s="3"/>
      <c r="P54" s="131"/>
      <c r="Q54" s="3"/>
      <c r="R54" s="3"/>
      <c r="S54" s="131"/>
      <c r="T54" s="4"/>
      <c r="U54" s="5">
        <v>0</v>
      </c>
      <c r="V54" s="131"/>
      <c r="W54" s="3"/>
      <c r="X54" s="3"/>
      <c r="Y54" s="132"/>
      <c r="Z54" s="3"/>
      <c r="AA54" s="3"/>
      <c r="AB54" s="3"/>
      <c r="AC54" s="3"/>
      <c r="AD54" s="8" t="s">
        <v>2966</v>
      </c>
      <c r="AE54" s="26">
        <v>43983.443368055552</v>
      </c>
      <c r="AF54" s="8" t="s">
        <v>4206</v>
      </c>
      <c r="AG54" s="26">
        <v>43860.56554398148</v>
      </c>
      <c r="AH54" s="244">
        <f>COUNTIF('ENV Tract Status Report'!$A$6:$A$131,SP_EnvTract_DB[[#This Row],[Environmental Tract No.]])</f>
        <v>1</v>
      </c>
    </row>
    <row r="55" spans="1:34" ht="15" x14ac:dyDescent="0.2">
      <c r="A55" s="15" t="s">
        <v>2969</v>
      </c>
      <c r="B55" s="111" t="s">
        <v>80</v>
      </c>
      <c r="C55" s="1"/>
      <c r="D55" s="55" t="s">
        <v>2970</v>
      </c>
      <c r="E55" s="55" t="s">
        <v>2972</v>
      </c>
      <c r="F55" s="55" t="s">
        <v>2973</v>
      </c>
      <c r="G55" s="3"/>
      <c r="H55" s="3"/>
      <c r="I55" s="7" t="s">
        <v>1808</v>
      </c>
      <c r="J55" s="3"/>
      <c r="K55" s="3"/>
      <c r="L55" s="3"/>
      <c r="M55" s="3"/>
      <c r="N55" s="3"/>
      <c r="O55" s="3"/>
      <c r="P55" s="131"/>
      <c r="Q55" s="3"/>
      <c r="R55" s="3"/>
      <c r="S55" s="131"/>
      <c r="T55" s="4"/>
      <c r="U55" s="5">
        <v>0</v>
      </c>
      <c r="V55" s="131"/>
      <c r="W55" s="3"/>
      <c r="X55" s="3"/>
      <c r="Y55" s="132"/>
      <c r="Z55" s="3"/>
      <c r="AA55" s="3"/>
      <c r="AB55" s="3"/>
      <c r="AC55" s="3"/>
      <c r="AD55" s="8" t="s">
        <v>2971</v>
      </c>
      <c r="AE55" s="26">
        <v>43983.443368055552</v>
      </c>
      <c r="AF55" s="8" t="s">
        <v>4206</v>
      </c>
      <c r="AG55" s="26">
        <v>43860.565567129626</v>
      </c>
      <c r="AH55" s="244">
        <f>COUNTIF('ENV Tract Status Report'!$A$6:$A$131,SP_EnvTract_DB[[#This Row],[Environmental Tract No.]])</f>
        <v>1</v>
      </c>
    </row>
    <row r="56" spans="1:34" ht="15" x14ac:dyDescent="0.2">
      <c r="A56" s="15" t="s">
        <v>2974</v>
      </c>
      <c r="B56" s="111" t="s">
        <v>80</v>
      </c>
      <c r="C56" s="1"/>
      <c r="D56" s="55" t="s">
        <v>2975</v>
      </c>
      <c r="E56" s="55" t="s">
        <v>2977</v>
      </c>
      <c r="F56" s="55" t="s">
        <v>2978</v>
      </c>
      <c r="G56" s="3"/>
      <c r="H56" s="3"/>
      <c r="I56" s="7" t="s">
        <v>1808</v>
      </c>
      <c r="J56" s="3"/>
      <c r="K56" s="3"/>
      <c r="L56" s="3"/>
      <c r="M56" s="3"/>
      <c r="N56" s="3"/>
      <c r="O56" s="3"/>
      <c r="P56" s="131"/>
      <c r="Q56" s="3"/>
      <c r="R56" s="3"/>
      <c r="S56" s="131"/>
      <c r="T56" s="4"/>
      <c r="U56" s="5">
        <v>0</v>
      </c>
      <c r="V56" s="131"/>
      <c r="W56" s="3"/>
      <c r="X56" s="3"/>
      <c r="Y56" s="132"/>
      <c r="Z56" s="3"/>
      <c r="AA56" s="3"/>
      <c r="AB56" s="3"/>
      <c r="AC56" s="3"/>
      <c r="AD56" s="8" t="s">
        <v>2976</v>
      </c>
      <c r="AE56" s="26">
        <v>43983.443379629629</v>
      </c>
      <c r="AF56" s="8" t="s">
        <v>4206</v>
      </c>
      <c r="AG56" s="26">
        <v>43860.565601851849</v>
      </c>
      <c r="AH56" s="244">
        <f>COUNTIF('ENV Tract Status Report'!$A$6:$A$131,SP_EnvTract_DB[[#This Row],[Environmental Tract No.]])</f>
        <v>1</v>
      </c>
    </row>
    <row r="57" spans="1:34" ht="15" x14ac:dyDescent="0.25">
      <c r="A57" s="130" t="s">
        <v>2979</v>
      </c>
      <c r="B57" s="111" t="s">
        <v>80</v>
      </c>
      <c r="C57" s="1"/>
      <c r="D57" s="55" t="s">
        <v>2980</v>
      </c>
      <c r="E57" s="55" t="s">
        <v>2982</v>
      </c>
      <c r="F57" s="55" t="s">
        <v>2983</v>
      </c>
      <c r="G57" s="3"/>
      <c r="H57" s="3"/>
      <c r="I57" s="7" t="s">
        <v>1808</v>
      </c>
      <c r="J57" s="3"/>
      <c r="K57" s="3"/>
      <c r="L57" s="3"/>
      <c r="M57" s="3"/>
      <c r="N57" s="3"/>
      <c r="O57" s="3"/>
      <c r="P57" s="131"/>
      <c r="Q57" s="3"/>
      <c r="R57" s="3"/>
      <c r="S57" s="131"/>
      <c r="T57" s="4"/>
      <c r="U57" s="5">
        <v>0</v>
      </c>
      <c r="V57" s="131"/>
      <c r="W57" s="3"/>
      <c r="X57" s="3"/>
      <c r="Y57" s="132"/>
      <c r="Z57" s="3"/>
      <c r="AA57" s="3"/>
      <c r="AB57" s="3"/>
      <c r="AC57" s="3"/>
      <c r="AD57" s="8" t="s">
        <v>2981</v>
      </c>
      <c r="AE57" s="26">
        <v>43983.443379629629</v>
      </c>
      <c r="AF57" s="8" t="s">
        <v>4206</v>
      </c>
      <c r="AG57" s="26">
        <v>43860.565625000003</v>
      </c>
      <c r="AH57" s="244">
        <f>COUNTIF('ENV Tract Status Report'!$A$6:$A$131,SP_EnvTract_DB[[#This Row],[Environmental Tract No.]])</f>
        <v>1</v>
      </c>
    </row>
    <row r="58" spans="1:34" ht="15" x14ac:dyDescent="0.25">
      <c r="A58" s="130" t="s">
        <v>2984</v>
      </c>
      <c r="B58" s="111" t="s">
        <v>5643</v>
      </c>
      <c r="C58" s="1"/>
      <c r="D58" s="55" t="s">
        <v>2985</v>
      </c>
      <c r="E58" s="55" t="s">
        <v>2987</v>
      </c>
      <c r="F58" s="55" t="s">
        <v>2988</v>
      </c>
      <c r="G58" s="3"/>
      <c r="H58" s="3"/>
      <c r="I58" s="7" t="s">
        <v>1808</v>
      </c>
      <c r="J58" s="3"/>
      <c r="K58" s="3"/>
      <c r="L58" s="3"/>
      <c r="M58" s="3"/>
      <c r="N58" s="3"/>
      <c r="O58" s="3"/>
      <c r="P58" s="131"/>
      <c r="Q58" s="3"/>
      <c r="R58" s="3"/>
      <c r="S58" s="131"/>
      <c r="T58" s="4"/>
      <c r="U58" s="5">
        <v>0</v>
      </c>
      <c r="V58" s="131"/>
      <c r="W58" s="3"/>
      <c r="X58" s="3"/>
      <c r="Y58" s="132"/>
      <c r="Z58" s="3"/>
      <c r="AA58" s="3"/>
      <c r="AB58" s="3"/>
      <c r="AC58" s="3"/>
      <c r="AD58" s="8" t="s">
        <v>2986</v>
      </c>
      <c r="AE58" s="26">
        <v>43983.458402777775</v>
      </c>
      <c r="AF58" s="8" t="s">
        <v>4206</v>
      </c>
      <c r="AG58" s="26">
        <v>43860.5703125</v>
      </c>
      <c r="AH58" s="244">
        <f>COUNTIF('ENV Tract Status Report'!$A$6:$A$131,SP_EnvTract_DB[[#This Row],[Environmental Tract No.]])</f>
        <v>1</v>
      </c>
    </row>
    <row r="59" spans="1:34" ht="15" x14ac:dyDescent="0.25">
      <c r="A59" s="130" t="s">
        <v>2990</v>
      </c>
      <c r="B59" s="111" t="s">
        <v>5643</v>
      </c>
      <c r="C59" s="1"/>
      <c r="D59" s="55" t="s">
        <v>2991</v>
      </c>
      <c r="E59" s="55" t="s">
        <v>2993</v>
      </c>
      <c r="F59" s="55" t="s">
        <v>2994</v>
      </c>
      <c r="G59" s="3"/>
      <c r="H59" s="3"/>
      <c r="I59" s="7" t="s">
        <v>1808</v>
      </c>
      <c r="J59" s="3"/>
      <c r="K59" s="3"/>
      <c r="L59" s="3"/>
      <c r="M59" s="3"/>
      <c r="N59" s="3"/>
      <c r="O59" s="3"/>
      <c r="P59" s="131"/>
      <c r="Q59" s="3"/>
      <c r="R59" s="3"/>
      <c r="S59" s="131"/>
      <c r="T59" s="4"/>
      <c r="U59" s="5">
        <v>0</v>
      </c>
      <c r="V59" s="131"/>
      <c r="W59" s="3"/>
      <c r="X59" s="3"/>
      <c r="Y59" s="132"/>
      <c r="Z59" s="3"/>
      <c r="AA59" s="3"/>
      <c r="AB59" s="3"/>
      <c r="AC59" s="3"/>
      <c r="AD59" s="8" t="s">
        <v>2992</v>
      </c>
      <c r="AE59" s="26">
        <v>43983.458402777775</v>
      </c>
      <c r="AF59" s="8" t="s">
        <v>4206</v>
      </c>
      <c r="AG59" s="26">
        <v>43860.570324074077</v>
      </c>
      <c r="AH59" s="244">
        <f>COUNTIF('ENV Tract Status Report'!$A$6:$A$131,SP_EnvTract_DB[[#This Row],[Environmental Tract No.]])</f>
        <v>1</v>
      </c>
    </row>
    <row r="60" spans="1:34" ht="15" x14ac:dyDescent="0.25">
      <c r="A60" s="130" t="s">
        <v>2995</v>
      </c>
      <c r="B60" s="111" t="s">
        <v>5643</v>
      </c>
      <c r="C60" s="1"/>
      <c r="D60" s="55" t="s">
        <v>2996</v>
      </c>
      <c r="E60" s="55" t="s">
        <v>2998</v>
      </c>
      <c r="F60" s="55" t="s">
        <v>2999</v>
      </c>
      <c r="G60" s="3"/>
      <c r="H60" s="3"/>
      <c r="I60" s="7" t="s">
        <v>1808</v>
      </c>
      <c r="J60" s="3"/>
      <c r="K60" s="3"/>
      <c r="L60" s="3"/>
      <c r="M60" s="3"/>
      <c r="N60" s="3"/>
      <c r="O60" s="3"/>
      <c r="P60" s="131"/>
      <c r="Q60" s="3"/>
      <c r="R60" s="3"/>
      <c r="S60" s="131"/>
      <c r="T60" s="4"/>
      <c r="U60" s="5">
        <v>0</v>
      </c>
      <c r="V60" s="131"/>
      <c r="W60" s="3"/>
      <c r="X60" s="3"/>
      <c r="Y60" s="132"/>
      <c r="Z60" s="3"/>
      <c r="AA60" s="3"/>
      <c r="AB60" s="3"/>
      <c r="AC60" s="3"/>
      <c r="AD60" s="8" t="s">
        <v>2997</v>
      </c>
      <c r="AE60" s="26">
        <v>43983.458402777775</v>
      </c>
      <c r="AF60" s="8" t="s">
        <v>4206</v>
      </c>
      <c r="AG60" s="26">
        <v>43860.570335648146</v>
      </c>
      <c r="AH60" s="244">
        <f>COUNTIF('ENV Tract Status Report'!$A$6:$A$131,SP_EnvTract_DB[[#This Row],[Environmental Tract No.]])</f>
        <v>1</v>
      </c>
    </row>
    <row r="61" spans="1:34" ht="15" x14ac:dyDescent="0.25">
      <c r="A61" s="130" t="s">
        <v>3000</v>
      </c>
      <c r="B61" s="111" t="s">
        <v>5643</v>
      </c>
      <c r="C61" s="1"/>
      <c r="D61" s="55" t="s">
        <v>3001</v>
      </c>
      <c r="E61" s="55" t="s">
        <v>3003</v>
      </c>
      <c r="F61" s="55" t="s">
        <v>3004</v>
      </c>
      <c r="G61" s="3"/>
      <c r="H61" s="3"/>
      <c r="I61" s="7" t="s">
        <v>1808</v>
      </c>
      <c r="J61" s="3"/>
      <c r="K61" s="3"/>
      <c r="L61" s="3"/>
      <c r="M61" s="3"/>
      <c r="N61" s="3"/>
      <c r="O61" s="3"/>
      <c r="P61" s="131"/>
      <c r="Q61" s="3"/>
      <c r="R61" s="3"/>
      <c r="S61" s="131"/>
      <c r="T61" s="4"/>
      <c r="U61" s="5">
        <v>0</v>
      </c>
      <c r="V61" s="131"/>
      <c r="W61" s="3"/>
      <c r="X61" s="3"/>
      <c r="Y61" s="132"/>
      <c r="Z61" s="3"/>
      <c r="AA61" s="3"/>
      <c r="AB61" s="3"/>
      <c r="AC61" s="3"/>
      <c r="AD61" s="8" t="s">
        <v>3002</v>
      </c>
      <c r="AE61" s="26">
        <v>43983.458437499998</v>
      </c>
      <c r="AF61" s="8" t="s">
        <v>4206</v>
      </c>
      <c r="AG61" s="26">
        <v>43860.5703587963</v>
      </c>
      <c r="AH61" s="244">
        <f>COUNTIF('ENV Tract Status Report'!$A$6:$A$131,SP_EnvTract_DB[[#This Row],[Environmental Tract No.]])</f>
        <v>1</v>
      </c>
    </row>
    <row r="62" spans="1:34" ht="15" x14ac:dyDescent="0.25">
      <c r="A62" s="130" t="s">
        <v>2707</v>
      </c>
      <c r="B62" s="111" t="s">
        <v>1809</v>
      </c>
      <c r="C62" s="1"/>
      <c r="D62" s="55" t="s">
        <v>3005</v>
      </c>
      <c r="E62" s="55" t="s">
        <v>3007</v>
      </c>
      <c r="F62" s="55" t="s">
        <v>3008</v>
      </c>
      <c r="G62" s="3"/>
      <c r="H62" s="3"/>
      <c r="I62" s="7" t="s">
        <v>1808</v>
      </c>
      <c r="J62" s="3"/>
      <c r="K62" s="3"/>
      <c r="L62" s="3"/>
      <c r="M62" s="3"/>
      <c r="N62" s="3"/>
      <c r="O62" s="3"/>
      <c r="P62" s="131"/>
      <c r="Q62" s="3"/>
      <c r="R62" s="3"/>
      <c r="S62" s="131"/>
      <c r="T62" s="4"/>
      <c r="U62" s="5">
        <v>0</v>
      </c>
      <c r="V62" s="131"/>
      <c r="W62" s="3"/>
      <c r="X62" s="3"/>
      <c r="Y62" s="132"/>
      <c r="Z62" s="3"/>
      <c r="AA62" s="3"/>
      <c r="AB62" s="3"/>
      <c r="AC62" s="3"/>
      <c r="AD62" s="8" t="s">
        <v>3006</v>
      </c>
      <c r="AE62" s="26">
        <v>43983.444201388891</v>
      </c>
      <c r="AF62" s="8" t="s">
        <v>4206</v>
      </c>
      <c r="AG62" s="26">
        <v>43860.570370370369</v>
      </c>
      <c r="AH62" s="244">
        <f>COUNTIF('ENV Tract Status Report'!$A$6:$A$131,SP_EnvTract_DB[[#This Row],[Environmental Tract No.]])</f>
        <v>1</v>
      </c>
    </row>
    <row r="63" spans="1:34" ht="15" x14ac:dyDescent="0.25">
      <c r="A63" s="130" t="s">
        <v>3009</v>
      </c>
      <c r="B63" s="111" t="s">
        <v>1809</v>
      </c>
      <c r="C63" s="1"/>
      <c r="D63" s="55" t="s">
        <v>3010</v>
      </c>
      <c r="E63" s="55" t="s">
        <v>3012</v>
      </c>
      <c r="F63" s="55" t="s">
        <v>3013</v>
      </c>
      <c r="G63" s="3"/>
      <c r="H63" s="3"/>
      <c r="I63" s="7" t="s">
        <v>1808</v>
      </c>
      <c r="J63" s="3"/>
      <c r="K63" s="3"/>
      <c r="L63" s="3"/>
      <c r="M63" s="3"/>
      <c r="N63" s="3"/>
      <c r="O63" s="3"/>
      <c r="P63" s="131"/>
      <c r="Q63" s="3"/>
      <c r="R63" s="3"/>
      <c r="S63" s="131"/>
      <c r="T63" s="4"/>
      <c r="U63" s="5">
        <v>0</v>
      </c>
      <c r="V63" s="131"/>
      <c r="W63" s="3"/>
      <c r="X63" s="3"/>
      <c r="Y63" s="132"/>
      <c r="Z63" s="3"/>
      <c r="AA63" s="3"/>
      <c r="AB63" s="3"/>
      <c r="AC63" s="3"/>
      <c r="AD63" s="8" t="s">
        <v>3011</v>
      </c>
      <c r="AE63" s="26">
        <v>43983.444293981483</v>
      </c>
      <c r="AF63" s="8" t="s">
        <v>4206</v>
      </c>
      <c r="AG63" s="26">
        <v>43860.570393518516</v>
      </c>
      <c r="AH63" s="244">
        <f>COUNTIF('ENV Tract Status Report'!$A$6:$A$131,SP_EnvTract_DB[[#This Row],[Environmental Tract No.]])</f>
        <v>1</v>
      </c>
    </row>
    <row r="64" spans="1:34" ht="15" x14ac:dyDescent="0.25">
      <c r="A64" s="130" t="s">
        <v>3014</v>
      </c>
      <c r="B64" s="111" t="s">
        <v>1809</v>
      </c>
      <c r="C64" s="1"/>
      <c r="D64" s="55" t="s">
        <v>3015</v>
      </c>
      <c r="E64" s="55" t="s">
        <v>3017</v>
      </c>
      <c r="F64" s="55" t="s">
        <v>3018</v>
      </c>
      <c r="G64" s="3"/>
      <c r="H64" s="3"/>
      <c r="I64" s="7" t="s">
        <v>1808</v>
      </c>
      <c r="J64" s="3"/>
      <c r="K64" s="3"/>
      <c r="L64" s="3"/>
      <c r="M64" s="3"/>
      <c r="N64" s="3"/>
      <c r="O64" s="3"/>
      <c r="P64" s="131"/>
      <c r="Q64" s="3"/>
      <c r="R64" s="3"/>
      <c r="S64" s="131"/>
      <c r="T64" s="4"/>
      <c r="U64" s="5">
        <v>0</v>
      </c>
      <c r="V64" s="131"/>
      <c r="W64" s="3"/>
      <c r="X64" s="3"/>
      <c r="Y64" s="132"/>
      <c r="Z64" s="3"/>
      <c r="AA64" s="3"/>
      <c r="AB64" s="3"/>
      <c r="AC64" s="3"/>
      <c r="AD64" s="8" t="s">
        <v>3016</v>
      </c>
      <c r="AE64" s="26">
        <v>43983.444293981483</v>
      </c>
      <c r="AF64" s="8" t="s">
        <v>4206</v>
      </c>
      <c r="AG64" s="26">
        <v>43860.570416666669</v>
      </c>
      <c r="AH64" s="244">
        <f>COUNTIF('ENV Tract Status Report'!$A$6:$A$131,SP_EnvTract_DB[[#This Row],[Environmental Tract No.]])</f>
        <v>1</v>
      </c>
    </row>
    <row r="65" spans="1:34" ht="15" x14ac:dyDescent="0.25">
      <c r="A65" s="130" t="s">
        <v>3019</v>
      </c>
      <c r="B65" s="111" t="s">
        <v>1809</v>
      </c>
      <c r="C65" s="1"/>
      <c r="D65" s="55" t="s">
        <v>3020</v>
      </c>
      <c r="E65" s="55" t="s">
        <v>3022</v>
      </c>
      <c r="F65" s="55" t="s">
        <v>3023</v>
      </c>
      <c r="G65" s="3"/>
      <c r="H65" s="3"/>
      <c r="I65" s="7" t="s">
        <v>1808</v>
      </c>
      <c r="J65" s="3"/>
      <c r="K65" s="3"/>
      <c r="L65" s="3"/>
      <c r="M65" s="3"/>
      <c r="N65" s="3"/>
      <c r="O65" s="3"/>
      <c r="P65" s="131"/>
      <c r="Q65" s="3"/>
      <c r="R65" s="3"/>
      <c r="S65" s="131"/>
      <c r="T65" s="4"/>
      <c r="U65" s="5">
        <v>0</v>
      </c>
      <c r="V65" s="131"/>
      <c r="W65" s="3"/>
      <c r="X65" s="3"/>
      <c r="Y65" s="132"/>
      <c r="Z65" s="3"/>
      <c r="AA65" s="3"/>
      <c r="AB65" s="3"/>
      <c r="AC65" s="3"/>
      <c r="AD65" s="8" t="s">
        <v>3021</v>
      </c>
      <c r="AE65" s="26">
        <v>43983.444293981483</v>
      </c>
      <c r="AF65" s="8" t="s">
        <v>4206</v>
      </c>
      <c r="AG65" s="26">
        <v>43860.570428240739</v>
      </c>
      <c r="AH65" s="244">
        <f>COUNTIF('ENV Tract Status Report'!$A$6:$A$131,SP_EnvTract_DB[[#This Row],[Environmental Tract No.]])</f>
        <v>1</v>
      </c>
    </row>
    <row r="66" spans="1:34" ht="15" x14ac:dyDescent="0.25">
      <c r="A66" s="130" t="s">
        <v>3024</v>
      </c>
      <c r="B66" s="111" t="s">
        <v>1809</v>
      </c>
      <c r="C66" s="1"/>
      <c r="D66" s="55" t="s">
        <v>97</v>
      </c>
      <c r="E66" s="55" t="s">
        <v>3026</v>
      </c>
      <c r="F66" s="55" t="s">
        <v>3027</v>
      </c>
      <c r="G66" s="3"/>
      <c r="H66" s="3"/>
      <c r="I66" s="7" t="s">
        <v>1808</v>
      </c>
      <c r="J66" s="3"/>
      <c r="K66" s="3"/>
      <c r="L66" s="3"/>
      <c r="M66" s="3"/>
      <c r="N66" s="3"/>
      <c r="O66" s="3"/>
      <c r="P66" s="131"/>
      <c r="Q66" s="3"/>
      <c r="R66" s="3"/>
      <c r="S66" s="131"/>
      <c r="T66" s="4"/>
      <c r="U66" s="5">
        <v>0</v>
      </c>
      <c r="V66" s="131"/>
      <c r="W66" s="3"/>
      <c r="X66" s="3"/>
      <c r="Y66" s="132"/>
      <c r="Z66" s="3"/>
      <c r="AA66" s="3"/>
      <c r="AB66" s="3"/>
      <c r="AC66" s="3"/>
      <c r="AD66" s="8" t="s">
        <v>3025</v>
      </c>
      <c r="AE66" s="26">
        <v>43983.444293981483</v>
      </c>
      <c r="AF66" s="8" t="s">
        <v>4206</v>
      </c>
      <c r="AG66" s="26">
        <v>43860.570451388892</v>
      </c>
      <c r="AH66" s="244">
        <f>COUNTIF('ENV Tract Status Report'!$A$6:$A$131,SP_EnvTract_DB[[#This Row],[Environmental Tract No.]])</f>
        <v>1</v>
      </c>
    </row>
    <row r="67" spans="1:34" ht="15" x14ac:dyDescent="0.25">
      <c r="A67" s="130" t="s">
        <v>3031</v>
      </c>
      <c r="B67" s="111" t="s">
        <v>1809</v>
      </c>
      <c r="C67" s="1"/>
      <c r="D67" s="55" t="s">
        <v>3032</v>
      </c>
      <c r="E67" s="55" t="s">
        <v>3034</v>
      </c>
      <c r="F67" s="55" t="s">
        <v>3035</v>
      </c>
      <c r="G67" s="3"/>
      <c r="H67" s="3"/>
      <c r="I67" s="7" t="s">
        <v>1808</v>
      </c>
      <c r="J67" s="3"/>
      <c r="K67" s="3"/>
      <c r="L67" s="3"/>
      <c r="M67" s="3"/>
      <c r="N67" s="3"/>
      <c r="O67" s="3"/>
      <c r="P67" s="131"/>
      <c r="Q67" s="3"/>
      <c r="R67" s="3"/>
      <c r="S67" s="131"/>
      <c r="T67" s="4"/>
      <c r="U67" s="5">
        <v>0</v>
      </c>
      <c r="V67" s="131"/>
      <c r="W67" s="3"/>
      <c r="X67" s="3"/>
      <c r="Y67" s="132"/>
      <c r="Z67" s="3"/>
      <c r="AA67" s="3"/>
      <c r="AB67" s="3"/>
      <c r="AC67" s="3"/>
      <c r="AD67" s="8" t="s">
        <v>3033</v>
      </c>
      <c r="AE67" s="26">
        <v>43983.44462962963</v>
      </c>
      <c r="AF67" s="8" t="s">
        <v>4206</v>
      </c>
      <c r="AG67" s="26">
        <v>43860.570532407408</v>
      </c>
      <c r="AH67" s="244">
        <f>COUNTIF('ENV Tract Status Report'!$A$6:$A$131,SP_EnvTract_DB[[#This Row],[Environmental Tract No.]])</f>
        <v>1</v>
      </c>
    </row>
    <row r="68" spans="1:34" ht="15" x14ac:dyDescent="0.25">
      <c r="A68" s="130" t="s">
        <v>3036</v>
      </c>
      <c r="B68" s="111" t="s">
        <v>1809</v>
      </c>
      <c r="C68" s="1"/>
      <c r="D68" s="55" t="s">
        <v>3037</v>
      </c>
      <c r="E68" s="55" t="s">
        <v>3039</v>
      </c>
      <c r="F68" s="55" t="s">
        <v>3040</v>
      </c>
      <c r="G68" s="3"/>
      <c r="H68" s="3"/>
      <c r="I68" s="7" t="s">
        <v>1808</v>
      </c>
      <c r="J68" s="3"/>
      <c r="K68" s="3"/>
      <c r="L68" s="3"/>
      <c r="M68" s="3"/>
      <c r="N68" s="3"/>
      <c r="O68" s="3"/>
      <c r="P68" s="131"/>
      <c r="Q68" s="3"/>
      <c r="R68" s="3"/>
      <c r="S68" s="131"/>
      <c r="T68" s="4"/>
      <c r="U68" s="5">
        <v>0</v>
      </c>
      <c r="V68" s="131"/>
      <c r="W68" s="3"/>
      <c r="X68" s="3"/>
      <c r="Y68" s="132"/>
      <c r="Z68" s="3"/>
      <c r="AA68" s="3"/>
      <c r="AB68" s="3"/>
      <c r="AC68" s="3"/>
      <c r="AD68" s="8" t="s">
        <v>3038</v>
      </c>
      <c r="AE68" s="26">
        <v>43983.444641203707</v>
      </c>
      <c r="AF68" s="8" t="s">
        <v>4206</v>
      </c>
      <c r="AG68" s="26">
        <v>43860.570555555554</v>
      </c>
      <c r="AH68" s="244">
        <f>COUNTIF('ENV Tract Status Report'!$A$6:$A$131,SP_EnvTract_DB[[#This Row],[Environmental Tract No.]])</f>
        <v>1</v>
      </c>
    </row>
    <row r="69" spans="1:34" ht="15" x14ac:dyDescent="0.25">
      <c r="A69" s="130" t="s">
        <v>3041</v>
      </c>
      <c r="B69" s="111" t="s">
        <v>1809</v>
      </c>
      <c r="C69" s="1"/>
      <c r="D69" s="55" t="s">
        <v>3042</v>
      </c>
      <c r="E69" s="55" t="s">
        <v>3044</v>
      </c>
      <c r="F69" s="55" t="s">
        <v>3045</v>
      </c>
      <c r="G69" s="3"/>
      <c r="H69" s="3"/>
      <c r="I69" s="7" t="s">
        <v>1808</v>
      </c>
      <c r="J69" s="3"/>
      <c r="K69" s="3"/>
      <c r="L69" s="3"/>
      <c r="M69" s="3"/>
      <c r="N69" s="3"/>
      <c r="O69" s="3"/>
      <c r="P69" s="131"/>
      <c r="Q69" s="3"/>
      <c r="R69" s="3"/>
      <c r="S69" s="131"/>
      <c r="T69" s="4"/>
      <c r="U69" s="5">
        <v>0</v>
      </c>
      <c r="V69" s="131"/>
      <c r="W69" s="3"/>
      <c r="X69" s="3"/>
      <c r="Y69" s="132"/>
      <c r="Z69" s="3"/>
      <c r="AA69" s="3"/>
      <c r="AB69" s="3"/>
      <c r="AC69" s="3"/>
      <c r="AD69" s="8" t="s">
        <v>3043</v>
      </c>
      <c r="AE69" s="26">
        <v>43983.444641203707</v>
      </c>
      <c r="AF69" s="8" t="s">
        <v>4206</v>
      </c>
      <c r="AG69" s="26">
        <v>43860.5705787037</v>
      </c>
      <c r="AH69" s="244">
        <f>COUNTIF('ENV Tract Status Report'!$A$6:$A$131,SP_EnvTract_DB[[#This Row],[Environmental Tract No.]])</f>
        <v>1</v>
      </c>
    </row>
    <row r="70" spans="1:34" ht="15" x14ac:dyDescent="0.25">
      <c r="A70" s="130" t="s">
        <v>3046</v>
      </c>
      <c r="B70" s="111" t="s">
        <v>1809</v>
      </c>
      <c r="C70" s="1"/>
      <c r="D70" s="55" t="s">
        <v>3047</v>
      </c>
      <c r="E70" s="55" t="s">
        <v>3049</v>
      </c>
      <c r="F70" s="55" t="s">
        <v>3050</v>
      </c>
      <c r="G70" s="3"/>
      <c r="H70" s="3"/>
      <c r="I70" s="7" t="s">
        <v>1808</v>
      </c>
      <c r="J70" s="3"/>
      <c r="K70" s="3"/>
      <c r="L70" s="3"/>
      <c r="M70" s="3"/>
      <c r="N70" s="3"/>
      <c r="O70" s="3"/>
      <c r="P70" s="131"/>
      <c r="Q70" s="3"/>
      <c r="R70" s="3"/>
      <c r="S70" s="131"/>
      <c r="T70" s="4"/>
      <c r="U70" s="5">
        <v>0</v>
      </c>
      <c r="V70" s="131"/>
      <c r="W70" s="3"/>
      <c r="X70" s="3"/>
      <c r="Y70" s="132"/>
      <c r="Z70" s="3"/>
      <c r="AA70" s="3"/>
      <c r="AB70" s="3"/>
      <c r="AC70" s="3"/>
      <c r="AD70" s="8" t="s">
        <v>3048</v>
      </c>
      <c r="AE70" s="26">
        <v>43983.444641203707</v>
      </c>
      <c r="AF70" s="8" t="s">
        <v>4206</v>
      </c>
      <c r="AG70" s="26">
        <v>43860.570601851854</v>
      </c>
      <c r="AH70" s="244">
        <f>COUNTIF('ENV Tract Status Report'!$A$6:$A$131,SP_EnvTract_DB[[#This Row],[Environmental Tract No.]])</f>
        <v>1</v>
      </c>
    </row>
    <row r="71" spans="1:34" ht="15" x14ac:dyDescent="0.25">
      <c r="A71" s="130" t="s">
        <v>3051</v>
      </c>
      <c r="B71" s="111" t="s">
        <v>1809</v>
      </c>
      <c r="C71" s="1"/>
      <c r="D71" s="55" t="s">
        <v>3052</v>
      </c>
      <c r="E71" s="55" t="s">
        <v>3054</v>
      </c>
      <c r="F71" s="55" t="s">
        <v>3055</v>
      </c>
      <c r="G71" s="3"/>
      <c r="H71" s="3"/>
      <c r="I71" s="7" t="s">
        <v>1808</v>
      </c>
      <c r="J71" s="3"/>
      <c r="K71" s="3"/>
      <c r="L71" s="3"/>
      <c r="M71" s="3"/>
      <c r="N71" s="3"/>
      <c r="O71" s="3"/>
      <c r="P71" s="131"/>
      <c r="Q71" s="3"/>
      <c r="R71" s="3"/>
      <c r="S71" s="131"/>
      <c r="T71" s="4"/>
      <c r="U71" s="5">
        <v>0</v>
      </c>
      <c r="V71" s="131"/>
      <c r="W71" s="3"/>
      <c r="X71" s="3"/>
      <c r="Y71" s="132"/>
      <c r="Z71" s="3"/>
      <c r="AA71" s="3"/>
      <c r="AB71" s="3"/>
      <c r="AC71" s="3"/>
      <c r="AD71" s="8" t="s">
        <v>3053</v>
      </c>
      <c r="AE71" s="26">
        <v>43983.444641203707</v>
      </c>
      <c r="AF71" s="8" t="s">
        <v>4206</v>
      </c>
      <c r="AG71" s="26">
        <v>43860.570625</v>
      </c>
      <c r="AH71" s="244">
        <f>COUNTIF('ENV Tract Status Report'!$A$6:$A$131,SP_EnvTract_DB[[#This Row],[Environmental Tract No.]])</f>
        <v>1</v>
      </c>
    </row>
    <row r="72" spans="1:34" ht="15" x14ac:dyDescent="0.25">
      <c r="A72" s="130" t="s">
        <v>3056</v>
      </c>
      <c r="B72" s="111" t="s">
        <v>1809</v>
      </c>
      <c r="C72" s="1"/>
      <c r="D72" s="55" t="s">
        <v>3057</v>
      </c>
      <c r="E72" s="55" t="s">
        <v>3059</v>
      </c>
      <c r="F72" s="55" t="s">
        <v>3060</v>
      </c>
      <c r="G72" s="3"/>
      <c r="H72" s="3"/>
      <c r="I72" s="7" t="s">
        <v>1808</v>
      </c>
      <c r="J72" s="3"/>
      <c r="K72" s="3"/>
      <c r="L72" s="3"/>
      <c r="M72" s="3"/>
      <c r="N72" s="3"/>
      <c r="O72" s="3"/>
      <c r="P72" s="131"/>
      <c r="Q72" s="3"/>
      <c r="R72" s="3"/>
      <c r="S72" s="131"/>
      <c r="T72" s="4"/>
      <c r="U72" s="5">
        <v>0</v>
      </c>
      <c r="V72" s="131"/>
      <c r="W72" s="3"/>
      <c r="X72" s="3"/>
      <c r="Y72" s="132"/>
      <c r="Z72" s="3"/>
      <c r="AA72" s="3"/>
      <c r="AB72" s="3"/>
      <c r="AC72" s="3"/>
      <c r="AD72" s="8" t="s">
        <v>3058</v>
      </c>
      <c r="AE72" s="26">
        <v>43983.444641203707</v>
      </c>
      <c r="AF72" s="8" t="s">
        <v>4206</v>
      </c>
      <c r="AG72" s="26">
        <v>43860.570648148147</v>
      </c>
      <c r="AH72" s="244">
        <f>COUNTIF('ENV Tract Status Report'!$A$6:$A$131,SP_EnvTract_DB[[#This Row],[Environmental Tract No.]])</f>
        <v>1</v>
      </c>
    </row>
    <row r="73" spans="1:34" ht="15" x14ac:dyDescent="0.25">
      <c r="A73" s="130" t="s">
        <v>3061</v>
      </c>
      <c r="B73" s="111" t="s">
        <v>1809</v>
      </c>
      <c r="C73" s="1"/>
      <c r="D73" s="55" t="s">
        <v>3062</v>
      </c>
      <c r="E73" s="55" t="s">
        <v>3064</v>
      </c>
      <c r="F73" s="55" t="s">
        <v>3065</v>
      </c>
      <c r="G73" s="3"/>
      <c r="H73" s="3"/>
      <c r="I73" s="7" t="s">
        <v>1808</v>
      </c>
      <c r="J73" s="3"/>
      <c r="K73" s="3"/>
      <c r="L73" s="3"/>
      <c r="M73" s="3"/>
      <c r="N73" s="3"/>
      <c r="O73" s="3"/>
      <c r="P73" s="131"/>
      <c r="Q73" s="3"/>
      <c r="R73" s="3"/>
      <c r="S73" s="131"/>
      <c r="T73" s="4"/>
      <c r="U73" s="5">
        <v>0</v>
      </c>
      <c r="V73" s="131"/>
      <c r="W73" s="3"/>
      <c r="X73" s="3"/>
      <c r="Y73" s="132"/>
      <c r="Z73" s="3"/>
      <c r="AA73" s="3"/>
      <c r="AB73" s="3"/>
      <c r="AC73" s="3"/>
      <c r="AD73" s="8" t="s">
        <v>3063</v>
      </c>
      <c r="AE73" s="26">
        <v>43983.444641203707</v>
      </c>
      <c r="AF73" s="8" t="s">
        <v>4206</v>
      </c>
      <c r="AG73" s="26">
        <v>43860.570671296293</v>
      </c>
      <c r="AH73" s="244">
        <f>COUNTIF('ENV Tract Status Report'!$A$6:$A$131,SP_EnvTract_DB[[#This Row],[Environmental Tract No.]])</f>
        <v>1</v>
      </c>
    </row>
    <row r="74" spans="1:34" ht="15" x14ac:dyDescent="0.25">
      <c r="A74" s="130" t="s">
        <v>3066</v>
      </c>
      <c r="B74" s="111" t="s">
        <v>1809</v>
      </c>
      <c r="C74" s="1"/>
      <c r="D74" s="55" t="s">
        <v>3067</v>
      </c>
      <c r="E74" s="55" t="s">
        <v>3069</v>
      </c>
      <c r="F74" s="55" t="s">
        <v>3070</v>
      </c>
      <c r="G74" s="3"/>
      <c r="H74" s="3"/>
      <c r="I74" s="7" t="s">
        <v>1808</v>
      </c>
      <c r="J74" s="3"/>
      <c r="K74" s="3"/>
      <c r="L74" s="3"/>
      <c r="M74" s="3"/>
      <c r="N74" s="3"/>
      <c r="O74" s="3"/>
      <c r="P74" s="131"/>
      <c r="Q74" s="3"/>
      <c r="R74" s="3"/>
      <c r="S74" s="131"/>
      <c r="T74" s="4"/>
      <c r="U74" s="5">
        <v>0</v>
      </c>
      <c r="V74" s="131"/>
      <c r="W74" s="3"/>
      <c r="X74" s="3"/>
      <c r="Y74" s="132"/>
      <c r="Z74" s="3"/>
      <c r="AA74" s="3"/>
      <c r="AB74" s="3"/>
      <c r="AC74" s="3"/>
      <c r="AD74" s="8" t="s">
        <v>3068</v>
      </c>
      <c r="AE74" s="26">
        <v>43983.444641203707</v>
      </c>
      <c r="AF74" s="8" t="s">
        <v>4206</v>
      </c>
      <c r="AG74" s="26">
        <v>43860.570694444446</v>
      </c>
      <c r="AH74" s="244">
        <f>COUNTIF('ENV Tract Status Report'!$A$6:$A$131,SP_EnvTract_DB[[#This Row],[Environmental Tract No.]])</f>
        <v>1</v>
      </c>
    </row>
    <row r="75" spans="1:34" ht="15" x14ac:dyDescent="0.25">
      <c r="A75" s="130" t="s">
        <v>3071</v>
      </c>
      <c r="B75" s="111" t="s">
        <v>1809</v>
      </c>
      <c r="C75" s="1"/>
      <c r="D75" s="55" t="s">
        <v>3072</v>
      </c>
      <c r="E75" s="55" t="s">
        <v>3074</v>
      </c>
      <c r="F75" s="55" t="s">
        <v>3075</v>
      </c>
      <c r="G75" s="3"/>
      <c r="H75" s="3"/>
      <c r="I75" s="7" t="s">
        <v>1808</v>
      </c>
      <c r="J75" s="3"/>
      <c r="K75" s="3"/>
      <c r="L75" s="3"/>
      <c r="M75" s="3"/>
      <c r="N75" s="3"/>
      <c r="O75" s="3"/>
      <c r="P75" s="131"/>
      <c r="Q75" s="3"/>
      <c r="R75" s="3"/>
      <c r="S75" s="131"/>
      <c r="T75" s="4"/>
      <c r="U75" s="5">
        <v>0</v>
      </c>
      <c r="V75" s="131"/>
      <c r="W75" s="3"/>
      <c r="X75" s="3"/>
      <c r="Y75" s="132"/>
      <c r="Z75" s="3"/>
      <c r="AA75" s="3"/>
      <c r="AB75" s="3"/>
      <c r="AC75" s="3"/>
      <c r="AD75" s="8" t="s">
        <v>3073</v>
      </c>
      <c r="AE75" s="26">
        <v>43983.444652777776</v>
      </c>
      <c r="AF75" s="8" t="s">
        <v>4206</v>
      </c>
      <c r="AG75" s="26">
        <v>43860.570717592593</v>
      </c>
      <c r="AH75" s="244">
        <f>COUNTIF('ENV Tract Status Report'!$A$6:$A$131,SP_EnvTract_DB[[#This Row],[Environmental Tract No.]])</f>
        <v>1</v>
      </c>
    </row>
    <row r="76" spans="1:34" ht="15" x14ac:dyDescent="0.25">
      <c r="A76" s="130" t="s">
        <v>3076</v>
      </c>
      <c r="B76" s="111" t="s">
        <v>1809</v>
      </c>
      <c r="C76" s="1"/>
      <c r="D76" s="55" t="s">
        <v>3077</v>
      </c>
      <c r="E76" s="55" t="s">
        <v>3079</v>
      </c>
      <c r="F76" s="55" t="s">
        <v>3080</v>
      </c>
      <c r="G76" s="3"/>
      <c r="H76" s="3"/>
      <c r="I76" s="7" t="s">
        <v>1808</v>
      </c>
      <c r="J76" s="3"/>
      <c r="K76" s="3"/>
      <c r="L76" s="3"/>
      <c r="M76" s="3"/>
      <c r="N76" s="3"/>
      <c r="O76" s="3"/>
      <c r="P76" s="131"/>
      <c r="Q76" s="3"/>
      <c r="R76" s="3"/>
      <c r="S76" s="131"/>
      <c r="T76" s="4"/>
      <c r="U76" s="5">
        <v>0</v>
      </c>
      <c r="V76" s="131"/>
      <c r="W76" s="3"/>
      <c r="X76" s="3"/>
      <c r="Y76" s="132"/>
      <c r="Z76" s="3"/>
      <c r="AA76" s="3"/>
      <c r="AB76" s="3"/>
      <c r="AC76" s="3"/>
      <c r="AD76" s="8" t="s">
        <v>3078</v>
      </c>
      <c r="AE76" s="26">
        <v>43983.444652777776</v>
      </c>
      <c r="AF76" s="8" t="s">
        <v>4206</v>
      </c>
      <c r="AG76" s="26">
        <v>43860.570740740739</v>
      </c>
      <c r="AH76" s="244">
        <f>COUNTIF('ENV Tract Status Report'!$A$6:$A$131,SP_EnvTract_DB[[#This Row],[Environmental Tract No.]])</f>
        <v>1</v>
      </c>
    </row>
    <row r="77" spans="1:34" ht="15" x14ac:dyDescent="0.25">
      <c r="A77" s="130" t="s">
        <v>3081</v>
      </c>
      <c r="B77" s="111" t="s">
        <v>1809</v>
      </c>
      <c r="C77" s="1"/>
      <c r="D77" s="55" t="s">
        <v>3082</v>
      </c>
      <c r="E77" s="55" t="s">
        <v>3084</v>
      </c>
      <c r="F77" s="55" t="s">
        <v>3085</v>
      </c>
      <c r="G77" s="3"/>
      <c r="H77" s="3"/>
      <c r="I77" s="7" t="s">
        <v>1808</v>
      </c>
      <c r="J77" s="3"/>
      <c r="K77" s="3"/>
      <c r="L77" s="3"/>
      <c r="M77" s="3"/>
      <c r="N77" s="3"/>
      <c r="O77" s="3"/>
      <c r="P77" s="131"/>
      <c r="Q77" s="3"/>
      <c r="R77" s="3"/>
      <c r="S77" s="131"/>
      <c r="T77" s="4"/>
      <c r="U77" s="5">
        <v>0</v>
      </c>
      <c r="V77" s="131"/>
      <c r="W77" s="3"/>
      <c r="X77" s="3"/>
      <c r="Y77" s="132"/>
      <c r="Z77" s="3"/>
      <c r="AA77" s="3"/>
      <c r="AB77" s="3"/>
      <c r="AC77" s="3"/>
      <c r="AD77" s="8" t="s">
        <v>3083</v>
      </c>
      <c r="AE77" s="26">
        <v>43983.444652777776</v>
      </c>
      <c r="AF77" s="8" t="s">
        <v>4206</v>
      </c>
      <c r="AG77" s="26">
        <v>43860.570763888885</v>
      </c>
      <c r="AH77" s="244">
        <f>COUNTIF('ENV Tract Status Report'!$A$6:$A$131,SP_EnvTract_DB[[#This Row],[Environmental Tract No.]])</f>
        <v>1</v>
      </c>
    </row>
    <row r="78" spans="1:34" ht="15" x14ac:dyDescent="0.25">
      <c r="A78" s="130" t="s">
        <v>3086</v>
      </c>
      <c r="B78" s="111" t="s">
        <v>1809</v>
      </c>
      <c r="C78" s="1"/>
      <c r="D78" s="55" t="s">
        <v>3087</v>
      </c>
      <c r="E78" s="55" t="s">
        <v>3089</v>
      </c>
      <c r="F78" s="55" t="s">
        <v>3090</v>
      </c>
      <c r="G78" s="3"/>
      <c r="H78" s="3"/>
      <c r="I78" s="7" t="s">
        <v>1808</v>
      </c>
      <c r="J78" s="3"/>
      <c r="K78" s="3"/>
      <c r="L78" s="3"/>
      <c r="M78" s="3"/>
      <c r="N78" s="3"/>
      <c r="O78" s="3"/>
      <c r="P78" s="131"/>
      <c r="Q78" s="3"/>
      <c r="R78" s="3"/>
      <c r="S78" s="131"/>
      <c r="T78" s="4"/>
      <c r="U78" s="5">
        <v>0</v>
      </c>
      <c r="V78" s="131"/>
      <c r="W78" s="3"/>
      <c r="X78" s="3"/>
      <c r="Y78" s="132"/>
      <c r="Z78" s="3"/>
      <c r="AA78" s="3"/>
      <c r="AB78" s="3"/>
      <c r="AC78" s="3"/>
      <c r="AD78" s="8" t="s">
        <v>3088</v>
      </c>
      <c r="AE78" s="26">
        <v>43983.444641203707</v>
      </c>
      <c r="AF78" s="8" t="s">
        <v>4206</v>
      </c>
      <c r="AG78" s="26">
        <v>43860.570775462962</v>
      </c>
      <c r="AH78" s="244">
        <f>COUNTIF('ENV Tract Status Report'!$A$6:$A$131,SP_EnvTract_DB[[#This Row],[Environmental Tract No.]])</f>
        <v>1</v>
      </c>
    </row>
    <row r="79" spans="1:34" ht="15" x14ac:dyDescent="0.25">
      <c r="A79" s="130" t="s">
        <v>3091</v>
      </c>
      <c r="B79" s="111" t="s">
        <v>1809</v>
      </c>
      <c r="C79" s="1"/>
      <c r="D79" s="55" t="s">
        <v>3092</v>
      </c>
      <c r="E79" s="55" t="s">
        <v>3094</v>
      </c>
      <c r="F79" s="55" t="s">
        <v>3095</v>
      </c>
      <c r="G79" s="3"/>
      <c r="H79" s="3"/>
      <c r="I79" s="7" t="s">
        <v>1808</v>
      </c>
      <c r="J79" s="3"/>
      <c r="K79" s="3"/>
      <c r="L79" s="3"/>
      <c r="M79" s="3"/>
      <c r="N79" s="3"/>
      <c r="O79" s="3"/>
      <c r="P79" s="131"/>
      <c r="Q79" s="3"/>
      <c r="R79" s="3"/>
      <c r="S79" s="131"/>
      <c r="T79" s="4"/>
      <c r="U79" s="5">
        <v>0</v>
      </c>
      <c r="V79" s="131"/>
      <c r="W79" s="3"/>
      <c r="X79" s="3"/>
      <c r="Y79" s="132"/>
      <c r="Z79" s="3"/>
      <c r="AA79" s="3"/>
      <c r="AB79" s="3"/>
      <c r="AC79" s="3"/>
      <c r="AD79" s="8" t="s">
        <v>3093</v>
      </c>
      <c r="AE79" s="26">
        <v>43983.444641203707</v>
      </c>
      <c r="AF79" s="8" t="s">
        <v>4206</v>
      </c>
      <c r="AG79" s="26">
        <v>43860.570798611108</v>
      </c>
      <c r="AH79" s="244">
        <f>COUNTIF('ENV Tract Status Report'!$A$6:$A$131,SP_EnvTract_DB[[#This Row],[Environmental Tract No.]])</f>
        <v>1</v>
      </c>
    </row>
    <row r="80" spans="1:34" ht="15" x14ac:dyDescent="0.25">
      <c r="A80" s="130" t="s">
        <v>3096</v>
      </c>
      <c r="B80" s="111" t="s">
        <v>1809</v>
      </c>
      <c r="C80" s="1"/>
      <c r="D80" s="55" t="s">
        <v>3097</v>
      </c>
      <c r="E80" s="55" t="s">
        <v>3099</v>
      </c>
      <c r="F80" s="55" t="s">
        <v>3100</v>
      </c>
      <c r="G80" s="3"/>
      <c r="H80" s="3"/>
      <c r="I80" s="7" t="s">
        <v>1808</v>
      </c>
      <c r="J80" s="3"/>
      <c r="K80" s="3"/>
      <c r="L80" s="3"/>
      <c r="M80" s="3"/>
      <c r="N80" s="3"/>
      <c r="O80" s="3"/>
      <c r="P80" s="131"/>
      <c r="Q80" s="3"/>
      <c r="R80" s="3"/>
      <c r="S80" s="131"/>
      <c r="T80" s="4"/>
      <c r="U80" s="5">
        <v>0</v>
      </c>
      <c r="V80" s="131"/>
      <c r="W80" s="3"/>
      <c r="X80" s="3"/>
      <c r="Y80" s="132"/>
      <c r="Z80" s="3"/>
      <c r="AA80" s="3"/>
      <c r="AB80" s="3"/>
      <c r="AC80" s="3"/>
      <c r="AD80" s="8" t="s">
        <v>3098</v>
      </c>
      <c r="AE80" s="26">
        <v>43983.444641203707</v>
      </c>
      <c r="AF80" s="8" t="s">
        <v>4206</v>
      </c>
      <c r="AG80" s="26">
        <v>43860.570821759262</v>
      </c>
      <c r="AH80" s="244">
        <f>COUNTIF('ENV Tract Status Report'!$A$6:$A$131,SP_EnvTract_DB[[#This Row],[Environmental Tract No.]])</f>
        <v>1</v>
      </c>
    </row>
    <row r="81" spans="1:34" ht="15" x14ac:dyDescent="0.25">
      <c r="A81" s="130" t="s">
        <v>3101</v>
      </c>
      <c r="B81" s="111" t="s">
        <v>1809</v>
      </c>
      <c r="C81" s="1"/>
      <c r="D81" s="55" t="s">
        <v>3102</v>
      </c>
      <c r="E81" s="55" t="s">
        <v>3104</v>
      </c>
      <c r="F81" s="55" t="s">
        <v>3105</v>
      </c>
      <c r="G81" s="3"/>
      <c r="H81" s="3"/>
      <c r="I81" s="7" t="s">
        <v>1808</v>
      </c>
      <c r="J81" s="3"/>
      <c r="K81" s="3"/>
      <c r="L81" s="3"/>
      <c r="M81" s="3"/>
      <c r="N81" s="3"/>
      <c r="O81" s="3"/>
      <c r="P81" s="131"/>
      <c r="Q81" s="3"/>
      <c r="R81" s="3"/>
      <c r="S81" s="131"/>
      <c r="T81" s="4"/>
      <c r="U81" s="5">
        <v>0</v>
      </c>
      <c r="V81" s="131"/>
      <c r="W81" s="3"/>
      <c r="X81" s="3"/>
      <c r="Y81" s="132"/>
      <c r="Z81" s="3"/>
      <c r="AA81" s="3"/>
      <c r="AB81" s="3"/>
      <c r="AC81" s="3"/>
      <c r="AD81" s="8" t="s">
        <v>3103</v>
      </c>
      <c r="AE81" s="26">
        <v>43983.444641203707</v>
      </c>
      <c r="AF81" s="8" t="s">
        <v>4206</v>
      </c>
      <c r="AG81" s="26">
        <v>43860.570868055554</v>
      </c>
      <c r="AH81" s="244">
        <f>COUNTIF('ENV Tract Status Report'!$A$6:$A$131,SP_EnvTract_DB[[#This Row],[Environmental Tract No.]])</f>
        <v>1</v>
      </c>
    </row>
    <row r="82" spans="1:34" ht="15" x14ac:dyDescent="0.25">
      <c r="A82" s="130" t="s">
        <v>3106</v>
      </c>
      <c r="B82" s="111" t="s">
        <v>1809</v>
      </c>
      <c r="C82" s="1"/>
      <c r="D82" s="55" t="s">
        <v>3107</v>
      </c>
      <c r="E82" s="55" t="s">
        <v>3109</v>
      </c>
      <c r="F82" s="55" t="s">
        <v>3110</v>
      </c>
      <c r="G82" s="3"/>
      <c r="H82" s="3"/>
      <c r="I82" s="7" t="s">
        <v>1808</v>
      </c>
      <c r="J82" s="3"/>
      <c r="K82" s="3"/>
      <c r="L82" s="3"/>
      <c r="M82" s="3"/>
      <c r="N82" s="3"/>
      <c r="O82" s="3"/>
      <c r="P82" s="131"/>
      <c r="Q82" s="3"/>
      <c r="R82" s="3"/>
      <c r="S82" s="131"/>
      <c r="T82" s="4"/>
      <c r="U82" s="5">
        <v>0</v>
      </c>
      <c r="V82" s="131"/>
      <c r="W82" s="3"/>
      <c r="X82" s="3"/>
      <c r="Y82" s="132"/>
      <c r="Z82" s="3"/>
      <c r="AA82" s="3"/>
      <c r="AB82" s="3"/>
      <c r="AC82" s="3"/>
      <c r="AD82" s="8" t="s">
        <v>3108</v>
      </c>
      <c r="AE82" s="26">
        <v>43983.444641203707</v>
      </c>
      <c r="AF82" s="8" t="s">
        <v>4206</v>
      </c>
      <c r="AG82" s="26">
        <v>43860.570891203701</v>
      </c>
      <c r="AH82" s="244">
        <f>COUNTIF('ENV Tract Status Report'!$A$6:$A$131,SP_EnvTract_DB[[#This Row],[Environmental Tract No.]])</f>
        <v>1</v>
      </c>
    </row>
    <row r="83" spans="1:34" ht="15" x14ac:dyDescent="0.25">
      <c r="A83" s="130" t="s">
        <v>3111</v>
      </c>
      <c r="B83" s="111" t="s">
        <v>1809</v>
      </c>
      <c r="C83" s="1"/>
      <c r="D83" s="55" t="s">
        <v>3112</v>
      </c>
      <c r="E83" s="55" t="s">
        <v>3114</v>
      </c>
      <c r="F83" s="55" t="s">
        <v>3115</v>
      </c>
      <c r="G83" s="3"/>
      <c r="H83" s="3"/>
      <c r="I83" s="7" t="s">
        <v>1808</v>
      </c>
      <c r="J83" s="3"/>
      <c r="K83" s="3"/>
      <c r="L83" s="3"/>
      <c r="M83" s="3"/>
      <c r="N83" s="3"/>
      <c r="O83" s="3"/>
      <c r="P83" s="131"/>
      <c r="Q83" s="3"/>
      <c r="R83" s="3"/>
      <c r="S83" s="131"/>
      <c r="T83" s="4"/>
      <c r="U83" s="5">
        <v>0</v>
      </c>
      <c r="V83" s="131"/>
      <c r="W83" s="3"/>
      <c r="X83" s="3"/>
      <c r="Y83" s="132"/>
      <c r="Z83" s="3"/>
      <c r="AA83" s="3"/>
      <c r="AB83" s="3"/>
      <c r="AC83" s="3"/>
      <c r="AD83" s="8" t="s">
        <v>3113</v>
      </c>
      <c r="AE83" s="26">
        <v>43983.444641203707</v>
      </c>
      <c r="AF83" s="8" t="s">
        <v>4206</v>
      </c>
      <c r="AG83" s="26">
        <v>43860.578136574077</v>
      </c>
      <c r="AH83" s="244">
        <f>COUNTIF('ENV Tract Status Report'!$A$6:$A$131,SP_EnvTract_DB[[#This Row],[Environmental Tract No.]])</f>
        <v>1</v>
      </c>
    </row>
    <row r="84" spans="1:34" ht="15" x14ac:dyDescent="0.25">
      <c r="A84" s="130" t="s">
        <v>3116</v>
      </c>
      <c r="B84" s="111" t="s">
        <v>1809</v>
      </c>
      <c r="C84" s="1"/>
      <c r="D84" s="55" t="s">
        <v>3117</v>
      </c>
      <c r="E84" s="55" t="s">
        <v>3119</v>
      </c>
      <c r="F84" s="55" t="s">
        <v>3120</v>
      </c>
      <c r="G84" s="3"/>
      <c r="H84" s="3"/>
      <c r="I84" s="7" t="s">
        <v>1808</v>
      </c>
      <c r="J84" s="3"/>
      <c r="K84" s="3"/>
      <c r="L84" s="3"/>
      <c r="M84" s="3"/>
      <c r="N84" s="3"/>
      <c r="O84" s="3"/>
      <c r="P84" s="131"/>
      <c r="Q84" s="3"/>
      <c r="R84" s="3"/>
      <c r="S84" s="131"/>
      <c r="T84" s="4"/>
      <c r="U84" s="5">
        <v>0</v>
      </c>
      <c r="V84" s="131"/>
      <c r="W84" s="3"/>
      <c r="X84" s="3"/>
      <c r="Y84" s="132"/>
      <c r="Z84" s="3"/>
      <c r="AA84" s="3"/>
      <c r="AB84" s="3"/>
      <c r="AC84" s="3"/>
      <c r="AD84" s="8" t="s">
        <v>3118</v>
      </c>
      <c r="AE84" s="26">
        <v>43983.444918981484</v>
      </c>
      <c r="AF84" s="8" t="s">
        <v>4206</v>
      </c>
      <c r="AG84" s="26">
        <v>43860.578148148146</v>
      </c>
      <c r="AH84" s="244">
        <f>COUNTIF('ENV Tract Status Report'!$A$6:$A$131,SP_EnvTract_DB[[#This Row],[Environmental Tract No.]])</f>
        <v>1</v>
      </c>
    </row>
    <row r="85" spans="1:34" ht="15" x14ac:dyDescent="0.25">
      <c r="A85" s="130" t="s">
        <v>3121</v>
      </c>
      <c r="B85" s="111" t="s">
        <v>1809</v>
      </c>
      <c r="C85" s="1"/>
      <c r="D85" s="55" t="s">
        <v>3122</v>
      </c>
      <c r="E85" s="55" t="s">
        <v>3124</v>
      </c>
      <c r="F85" s="55" t="s">
        <v>3125</v>
      </c>
      <c r="G85" s="3"/>
      <c r="H85" s="3"/>
      <c r="I85" s="7" t="s">
        <v>1808</v>
      </c>
      <c r="J85" s="3"/>
      <c r="K85" s="3"/>
      <c r="L85" s="3"/>
      <c r="M85" s="3"/>
      <c r="N85" s="3"/>
      <c r="O85" s="3"/>
      <c r="P85" s="131"/>
      <c r="Q85" s="3"/>
      <c r="R85" s="3"/>
      <c r="S85" s="131"/>
      <c r="T85" s="4"/>
      <c r="U85" s="5">
        <v>0</v>
      </c>
      <c r="V85" s="131"/>
      <c r="W85" s="3"/>
      <c r="X85" s="3"/>
      <c r="Y85" s="132"/>
      <c r="Z85" s="3"/>
      <c r="AA85" s="3"/>
      <c r="AB85" s="3"/>
      <c r="AC85" s="3"/>
      <c r="AD85" s="8" t="s">
        <v>3123</v>
      </c>
      <c r="AE85" s="26">
        <v>43983.444918981484</v>
      </c>
      <c r="AF85" s="8" t="s">
        <v>4206</v>
      </c>
      <c r="AG85" s="26">
        <v>43860.5781712963</v>
      </c>
      <c r="AH85" s="244">
        <f>COUNTIF('ENV Tract Status Report'!$A$6:$A$131,SP_EnvTract_DB[[#This Row],[Environmental Tract No.]])</f>
        <v>1</v>
      </c>
    </row>
    <row r="86" spans="1:34" ht="15" x14ac:dyDescent="0.25">
      <c r="A86" s="130" t="s">
        <v>3126</v>
      </c>
      <c r="B86" s="111" t="s">
        <v>5643</v>
      </c>
      <c r="C86" s="1"/>
      <c r="D86" s="55" t="s">
        <v>3127</v>
      </c>
      <c r="E86" s="55" t="s">
        <v>3129</v>
      </c>
      <c r="F86" s="55" t="s">
        <v>3130</v>
      </c>
      <c r="G86" s="3"/>
      <c r="H86" s="3"/>
      <c r="I86" s="7" t="s">
        <v>1808</v>
      </c>
      <c r="J86" s="3"/>
      <c r="K86" s="3"/>
      <c r="L86" s="3"/>
      <c r="M86" s="3"/>
      <c r="N86" s="3"/>
      <c r="O86" s="3"/>
      <c r="P86" s="131"/>
      <c r="Q86" s="3"/>
      <c r="R86" s="3"/>
      <c r="S86" s="131"/>
      <c r="T86" s="4"/>
      <c r="U86" s="5">
        <v>0</v>
      </c>
      <c r="V86" s="131"/>
      <c r="W86" s="3"/>
      <c r="X86" s="3"/>
      <c r="Y86" s="132"/>
      <c r="Z86" s="3"/>
      <c r="AA86" s="3"/>
      <c r="AB86" s="3"/>
      <c r="AC86" s="3"/>
      <c r="AD86" s="8" t="s">
        <v>3128</v>
      </c>
      <c r="AE86" s="26">
        <v>43983.458495370367</v>
      </c>
      <c r="AF86" s="8" t="s">
        <v>4206</v>
      </c>
      <c r="AG86" s="26">
        <v>43860.578182870369</v>
      </c>
      <c r="AH86" s="244">
        <f>COUNTIF('ENV Tract Status Report'!$A$6:$A$131,SP_EnvTract_DB[[#This Row],[Environmental Tract No.]])</f>
        <v>1</v>
      </c>
    </row>
    <row r="87" spans="1:34" ht="15" x14ac:dyDescent="0.25">
      <c r="A87" s="130" t="s">
        <v>3131</v>
      </c>
      <c r="B87" s="111" t="s">
        <v>5643</v>
      </c>
      <c r="C87" s="1"/>
      <c r="D87" s="55" t="s">
        <v>3132</v>
      </c>
      <c r="E87" s="55" t="s">
        <v>3134</v>
      </c>
      <c r="F87" s="55" t="s">
        <v>3135</v>
      </c>
      <c r="G87" s="3"/>
      <c r="H87" s="3"/>
      <c r="I87" s="7" t="s">
        <v>1808</v>
      </c>
      <c r="J87" s="3"/>
      <c r="K87" s="3"/>
      <c r="L87" s="3"/>
      <c r="M87" s="3"/>
      <c r="N87" s="3"/>
      <c r="O87" s="3"/>
      <c r="P87" s="131"/>
      <c r="Q87" s="3"/>
      <c r="R87" s="3"/>
      <c r="S87" s="131"/>
      <c r="T87" s="4"/>
      <c r="U87" s="5">
        <v>0</v>
      </c>
      <c r="V87" s="131"/>
      <c r="W87" s="3"/>
      <c r="X87" s="3"/>
      <c r="Y87" s="132"/>
      <c r="Z87" s="3"/>
      <c r="AA87" s="3"/>
      <c r="AB87" s="3"/>
      <c r="AC87" s="3"/>
      <c r="AD87" s="8" t="s">
        <v>3133</v>
      </c>
      <c r="AE87" s="26">
        <v>43983.458518518521</v>
      </c>
      <c r="AF87" s="8" t="s">
        <v>4206</v>
      </c>
      <c r="AG87" s="26">
        <v>43860.578194444446</v>
      </c>
      <c r="AH87" s="244">
        <f>COUNTIF('ENV Tract Status Report'!$A$6:$A$131,SP_EnvTract_DB[[#This Row],[Environmental Tract No.]])</f>
        <v>1</v>
      </c>
    </row>
    <row r="88" spans="1:34" ht="15" x14ac:dyDescent="0.25">
      <c r="A88" s="130" t="s">
        <v>3136</v>
      </c>
      <c r="B88" s="111" t="s">
        <v>5643</v>
      </c>
      <c r="C88" s="1"/>
      <c r="D88" s="55" t="s">
        <v>3137</v>
      </c>
      <c r="E88" s="55" t="s">
        <v>3139</v>
      </c>
      <c r="F88" s="55" t="s">
        <v>3140</v>
      </c>
      <c r="G88" s="3"/>
      <c r="H88" s="3"/>
      <c r="I88" s="7" t="s">
        <v>1808</v>
      </c>
      <c r="J88" s="3"/>
      <c r="K88" s="3"/>
      <c r="L88" s="3"/>
      <c r="M88" s="3"/>
      <c r="N88" s="3"/>
      <c r="O88" s="3"/>
      <c r="P88" s="131"/>
      <c r="Q88" s="3"/>
      <c r="R88" s="3"/>
      <c r="S88" s="131"/>
      <c r="T88" s="4"/>
      <c r="U88" s="5">
        <v>0</v>
      </c>
      <c r="V88" s="131"/>
      <c r="W88" s="3"/>
      <c r="X88" s="3"/>
      <c r="Y88" s="132"/>
      <c r="Z88" s="3"/>
      <c r="AA88" s="3"/>
      <c r="AB88" s="3"/>
      <c r="AC88" s="3"/>
      <c r="AD88" s="8" t="s">
        <v>3138</v>
      </c>
      <c r="AE88" s="26">
        <v>43983.458541666667</v>
      </c>
      <c r="AF88" s="8" t="s">
        <v>4206</v>
      </c>
      <c r="AG88" s="26">
        <v>43860.578217592592</v>
      </c>
      <c r="AH88" s="244">
        <f>COUNTIF('ENV Tract Status Report'!$A$6:$A$131,SP_EnvTract_DB[[#This Row],[Environmental Tract No.]])</f>
        <v>1</v>
      </c>
    </row>
    <row r="89" spans="1:34" ht="15" x14ac:dyDescent="0.25">
      <c r="A89" s="130" t="s">
        <v>3141</v>
      </c>
      <c r="B89" s="111" t="s">
        <v>5643</v>
      </c>
      <c r="C89" s="1"/>
      <c r="D89" s="55" t="s">
        <v>3142</v>
      </c>
      <c r="E89" s="55" t="s">
        <v>3144</v>
      </c>
      <c r="F89" s="55" t="s">
        <v>3145</v>
      </c>
      <c r="G89" s="3"/>
      <c r="H89" s="3"/>
      <c r="I89" s="7" t="s">
        <v>1808</v>
      </c>
      <c r="J89" s="3"/>
      <c r="K89" s="3"/>
      <c r="L89" s="3"/>
      <c r="M89" s="3"/>
      <c r="N89" s="3"/>
      <c r="O89" s="3"/>
      <c r="P89" s="131"/>
      <c r="Q89" s="3"/>
      <c r="R89" s="3"/>
      <c r="S89" s="131"/>
      <c r="T89" s="4"/>
      <c r="U89" s="5">
        <v>0</v>
      </c>
      <c r="V89" s="131"/>
      <c r="W89" s="3"/>
      <c r="X89" s="3"/>
      <c r="Y89" s="132"/>
      <c r="Z89" s="3"/>
      <c r="AA89" s="3"/>
      <c r="AB89" s="3"/>
      <c r="AC89" s="3"/>
      <c r="AD89" s="8" t="s">
        <v>3143</v>
      </c>
      <c r="AE89" s="26">
        <v>43983.458541666667</v>
      </c>
      <c r="AF89" s="8" t="s">
        <v>4206</v>
      </c>
      <c r="AG89" s="26">
        <v>43860.578229166669</v>
      </c>
      <c r="AH89" s="244">
        <f>COUNTIF('ENV Tract Status Report'!$A$6:$A$131,SP_EnvTract_DB[[#This Row],[Environmental Tract No.]])</f>
        <v>1</v>
      </c>
    </row>
    <row r="90" spans="1:34" ht="15" x14ac:dyDescent="0.25">
      <c r="A90" s="130" t="s">
        <v>3146</v>
      </c>
      <c r="B90" s="111" t="s">
        <v>1809</v>
      </c>
      <c r="C90" s="1"/>
      <c r="D90" s="55" t="s">
        <v>3147</v>
      </c>
      <c r="E90" s="55" t="s">
        <v>3149</v>
      </c>
      <c r="F90" s="55" t="s">
        <v>3150</v>
      </c>
      <c r="G90" s="3"/>
      <c r="H90" s="3"/>
      <c r="I90" s="7" t="s">
        <v>1808</v>
      </c>
      <c r="J90" s="3"/>
      <c r="K90" s="3"/>
      <c r="L90" s="3"/>
      <c r="M90" s="3"/>
      <c r="N90" s="3"/>
      <c r="O90" s="3"/>
      <c r="P90" s="131"/>
      <c r="Q90" s="3"/>
      <c r="R90" s="3"/>
      <c r="S90" s="131"/>
      <c r="T90" s="4"/>
      <c r="U90" s="5">
        <v>0</v>
      </c>
      <c r="V90" s="131"/>
      <c r="W90" s="3"/>
      <c r="X90" s="3"/>
      <c r="Y90" s="132"/>
      <c r="Z90" s="3"/>
      <c r="AA90" s="3"/>
      <c r="AB90" s="3"/>
      <c r="AC90" s="3"/>
      <c r="AD90" s="8" t="s">
        <v>3148</v>
      </c>
      <c r="AE90" s="26">
        <v>43983.448229166665</v>
      </c>
      <c r="AF90" s="8" t="s">
        <v>4206</v>
      </c>
      <c r="AG90" s="26">
        <v>43860.578252314815</v>
      </c>
      <c r="AH90" s="244">
        <f>COUNTIF('ENV Tract Status Report'!$A$6:$A$131,SP_EnvTract_DB[[#This Row],[Environmental Tract No.]])</f>
        <v>1</v>
      </c>
    </row>
    <row r="91" spans="1:34" ht="15" x14ac:dyDescent="0.25">
      <c r="A91" s="130" t="s">
        <v>3151</v>
      </c>
      <c r="B91" s="111" t="s">
        <v>1809</v>
      </c>
      <c r="C91" s="1"/>
      <c r="D91" s="55" t="s">
        <v>1742</v>
      </c>
      <c r="E91" s="55" t="s">
        <v>3153</v>
      </c>
      <c r="F91" s="55" t="s">
        <v>3154</v>
      </c>
      <c r="G91" s="3"/>
      <c r="H91" s="3"/>
      <c r="I91" s="7" t="s">
        <v>1808</v>
      </c>
      <c r="J91" s="3"/>
      <c r="K91" s="3"/>
      <c r="L91" s="3"/>
      <c r="M91" s="3"/>
      <c r="N91" s="3"/>
      <c r="O91" s="3"/>
      <c r="P91" s="131"/>
      <c r="Q91" s="3"/>
      <c r="R91" s="3"/>
      <c r="S91" s="131"/>
      <c r="T91" s="4"/>
      <c r="U91" s="5">
        <v>0</v>
      </c>
      <c r="V91" s="131"/>
      <c r="W91" s="3"/>
      <c r="X91" s="3"/>
      <c r="Y91" s="132"/>
      <c r="Z91" s="3"/>
      <c r="AA91" s="3"/>
      <c r="AB91" s="3"/>
      <c r="AC91" s="3"/>
      <c r="AD91" s="8" t="s">
        <v>3152</v>
      </c>
      <c r="AE91" s="26">
        <v>43983.448229166665</v>
      </c>
      <c r="AF91" s="8" t="s">
        <v>4206</v>
      </c>
      <c r="AG91" s="26">
        <v>43860.578275462962</v>
      </c>
      <c r="AH91" s="244">
        <f>COUNTIF('ENV Tract Status Report'!$A$6:$A$131,SP_EnvTract_DB[[#This Row],[Environmental Tract No.]])</f>
        <v>1</v>
      </c>
    </row>
    <row r="92" spans="1:34" ht="15" x14ac:dyDescent="0.25">
      <c r="A92" s="130" t="s">
        <v>2700</v>
      </c>
      <c r="B92" s="111" t="s">
        <v>1809</v>
      </c>
      <c r="C92" s="1"/>
      <c r="D92" s="55" t="s">
        <v>2699</v>
      </c>
      <c r="E92" s="55" t="s">
        <v>3156</v>
      </c>
      <c r="F92" s="55" t="s">
        <v>3157</v>
      </c>
      <c r="G92" s="3"/>
      <c r="H92" s="3"/>
      <c r="I92" s="7" t="s">
        <v>1808</v>
      </c>
      <c r="J92" s="3"/>
      <c r="K92" s="3"/>
      <c r="L92" s="3"/>
      <c r="M92" s="3"/>
      <c r="N92" s="3"/>
      <c r="O92" s="3"/>
      <c r="P92" s="131"/>
      <c r="Q92" s="3"/>
      <c r="R92" s="3"/>
      <c r="S92" s="131"/>
      <c r="T92" s="4"/>
      <c r="U92" s="5">
        <v>0</v>
      </c>
      <c r="V92" s="131"/>
      <c r="W92" s="3"/>
      <c r="X92" s="3"/>
      <c r="Y92" s="132"/>
      <c r="Z92" s="3"/>
      <c r="AA92" s="3"/>
      <c r="AB92" s="3"/>
      <c r="AC92" s="3"/>
      <c r="AD92" s="8" t="s">
        <v>3155</v>
      </c>
      <c r="AE92" s="26">
        <v>43983.448229166665</v>
      </c>
      <c r="AF92" s="8" t="s">
        <v>4206</v>
      </c>
      <c r="AG92" s="26">
        <v>43860.578287037039</v>
      </c>
      <c r="AH92" s="244">
        <f>COUNTIF('ENV Tract Status Report'!$A$6:$A$131,SP_EnvTract_DB[[#This Row],[Environmental Tract No.]])</f>
        <v>1</v>
      </c>
    </row>
    <row r="93" spans="1:34" ht="15" x14ac:dyDescent="0.25">
      <c r="A93" s="130" t="s">
        <v>2702</v>
      </c>
      <c r="B93" s="111" t="s">
        <v>1809</v>
      </c>
      <c r="C93" s="1"/>
      <c r="D93" s="55" t="s">
        <v>2701</v>
      </c>
      <c r="E93" s="55" t="s">
        <v>3159</v>
      </c>
      <c r="F93" s="55" t="s">
        <v>3160</v>
      </c>
      <c r="G93" s="3"/>
      <c r="H93" s="3"/>
      <c r="I93" s="7" t="s">
        <v>1808</v>
      </c>
      <c r="J93" s="3"/>
      <c r="K93" s="3"/>
      <c r="L93" s="3"/>
      <c r="M93" s="3"/>
      <c r="N93" s="3"/>
      <c r="O93" s="3"/>
      <c r="P93" s="131"/>
      <c r="Q93" s="3"/>
      <c r="R93" s="3"/>
      <c r="S93" s="131"/>
      <c r="T93" s="4"/>
      <c r="U93" s="5">
        <v>0</v>
      </c>
      <c r="V93" s="131"/>
      <c r="W93" s="3"/>
      <c r="X93" s="3"/>
      <c r="Y93" s="132"/>
      <c r="Z93" s="3"/>
      <c r="AA93" s="3"/>
      <c r="AB93" s="3"/>
      <c r="AC93" s="3"/>
      <c r="AD93" s="8" t="s">
        <v>3158</v>
      </c>
      <c r="AE93" s="26">
        <v>43983.448229166665</v>
      </c>
      <c r="AF93" s="8" t="s">
        <v>4206</v>
      </c>
      <c r="AG93" s="26">
        <v>43860.580972222226</v>
      </c>
      <c r="AH93" s="244">
        <f>COUNTIF('ENV Tract Status Report'!$A$6:$A$131,SP_EnvTract_DB[[#This Row],[Environmental Tract No.]])</f>
        <v>1</v>
      </c>
    </row>
    <row r="94" spans="1:34" ht="15" x14ac:dyDescent="0.25">
      <c r="A94" s="130" t="s">
        <v>2704</v>
      </c>
      <c r="B94" s="111" t="s">
        <v>1809</v>
      </c>
      <c r="C94" s="1"/>
      <c r="D94" s="55" t="s">
        <v>2703</v>
      </c>
      <c r="E94" s="55" t="s">
        <v>3162</v>
      </c>
      <c r="F94" s="55" t="s">
        <v>3163</v>
      </c>
      <c r="G94" s="3"/>
      <c r="H94" s="3"/>
      <c r="I94" s="7" t="s">
        <v>1808</v>
      </c>
      <c r="J94" s="3"/>
      <c r="K94" s="3"/>
      <c r="L94" s="3"/>
      <c r="M94" s="3"/>
      <c r="N94" s="3"/>
      <c r="O94" s="3"/>
      <c r="P94" s="131"/>
      <c r="Q94" s="3"/>
      <c r="R94" s="3"/>
      <c r="S94" s="131"/>
      <c r="T94" s="4"/>
      <c r="U94" s="5">
        <v>0</v>
      </c>
      <c r="V94" s="131"/>
      <c r="W94" s="3"/>
      <c r="X94" s="3"/>
      <c r="Y94" s="132"/>
      <c r="Z94" s="3"/>
      <c r="AA94" s="3"/>
      <c r="AB94" s="3"/>
      <c r="AC94" s="3"/>
      <c r="AD94" s="8" t="s">
        <v>3161</v>
      </c>
      <c r="AE94" s="26">
        <v>43983.448240740741</v>
      </c>
      <c r="AF94" s="8" t="s">
        <v>4206</v>
      </c>
      <c r="AG94" s="26">
        <v>43860.580995370372</v>
      </c>
      <c r="AH94" s="244">
        <f>COUNTIF('ENV Tract Status Report'!$A$6:$A$131,SP_EnvTract_DB[[#This Row],[Environmental Tract No.]])</f>
        <v>1</v>
      </c>
    </row>
    <row r="95" spans="1:34" ht="15" x14ac:dyDescent="0.25">
      <c r="A95" s="130" t="s">
        <v>2708</v>
      </c>
      <c r="B95" s="111" t="s">
        <v>1809</v>
      </c>
      <c r="C95" s="1"/>
      <c r="D95" s="55" t="s">
        <v>3164</v>
      </c>
      <c r="E95" s="55" t="s">
        <v>3166</v>
      </c>
      <c r="F95" s="55" t="s">
        <v>3167</v>
      </c>
      <c r="G95" s="3"/>
      <c r="H95" s="3"/>
      <c r="I95" s="7" t="s">
        <v>1808</v>
      </c>
      <c r="J95" s="3"/>
      <c r="K95" s="3"/>
      <c r="L95" s="3"/>
      <c r="M95" s="3"/>
      <c r="N95" s="3"/>
      <c r="O95" s="3"/>
      <c r="P95" s="131"/>
      <c r="Q95" s="3"/>
      <c r="R95" s="3"/>
      <c r="S95" s="131"/>
      <c r="T95" s="4"/>
      <c r="U95" s="5">
        <v>0</v>
      </c>
      <c r="V95" s="131"/>
      <c r="W95" s="3"/>
      <c r="X95" s="3"/>
      <c r="Y95" s="132"/>
      <c r="Z95" s="3"/>
      <c r="AA95" s="3"/>
      <c r="AB95" s="3"/>
      <c r="AC95" s="3"/>
      <c r="AD95" s="8" t="s">
        <v>3165</v>
      </c>
      <c r="AE95" s="26">
        <v>43983.448240740741</v>
      </c>
      <c r="AF95" s="8" t="s">
        <v>4206</v>
      </c>
      <c r="AG95" s="26">
        <v>43860.581006944441</v>
      </c>
      <c r="AH95" s="244">
        <f>COUNTIF('ENV Tract Status Report'!$A$6:$A$131,SP_EnvTract_DB[[#This Row],[Environmental Tract No.]])</f>
        <v>1</v>
      </c>
    </row>
    <row r="96" spans="1:34" ht="15" x14ac:dyDescent="0.25">
      <c r="A96" s="130" t="s">
        <v>2709</v>
      </c>
      <c r="B96" s="111" t="s">
        <v>1809</v>
      </c>
      <c r="C96" s="1"/>
      <c r="D96" s="55" t="s">
        <v>3168</v>
      </c>
      <c r="E96" s="55" t="s">
        <v>3170</v>
      </c>
      <c r="F96" s="55" t="s">
        <v>3171</v>
      </c>
      <c r="G96" s="3"/>
      <c r="H96" s="3"/>
      <c r="I96" s="7" t="s">
        <v>1808</v>
      </c>
      <c r="J96" s="3"/>
      <c r="K96" s="3"/>
      <c r="L96" s="3"/>
      <c r="M96" s="3"/>
      <c r="N96" s="3"/>
      <c r="O96" s="3"/>
      <c r="P96" s="131"/>
      <c r="Q96" s="3"/>
      <c r="R96" s="3"/>
      <c r="S96" s="131"/>
      <c r="T96" s="4"/>
      <c r="U96" s="5">
        <v>0</v>
      </c>
      <c r="V96" s="131"/>
      <c r="W96" s="3"/>
      <c r="X96" s="3"/>
      <c r="Y96" s="132"/>
      <c r="Z96" s="3"/>
      <c r="AA96" s="3"/>
      <c r="AB96" s="3"/>
      <c r="AC96" s="3"/>
      <c r="AD96" s="8" t="s">
        <v>3169</v>
      </c>
      <c r="AE96" s="26">
        <v>43983.448240740741</v>
      </c>
      <c r="AF96" s="8" t="s">
        <v>4206</v>
      </c>
      <c r="AG96" s="26">
        <v>43860.581030092595</v>
      </c>
      <c r="AH96" s="244">
        <f>COUNTIF('ENV Tract Status Report'!$A$6:$A$131,SP_EnvTract_DB[[#This Row],[Environmental Tract No.]])</f>
        <v>1</v>
      </c>
    </row>
    <row r="97" spans="1:34" ht="15" x14ac:dyDescent="0.25">
      <c r="A97" s="130" t="s">
        <v>2710</v>
      </c>
      <c r="B97" s="111" t="s">
        <v>5643</v>
      </c>
      <c r="C97" s="1"/>
      <c r="D97" s="55" t="s">
        <v>3172</v>
      </c>
      <c r="E97" s="55" t="s">
        <v>3174</v>
      </c>
      <c r="F97" s="55" t="s">
        <v>3175</v>
      </c>
      <c r="G97" s="3"/>
      <c r="H97" s="3"/>
      <c r="I97" s="7" t="s">
        <v>1808</v>
      </c>
      <c r="J97" s="3"/>
      <c r="K97" s="3"/>
      <c r="L97" s="3"/>
      <c r="M97" s="3"/>
      <c r="N97" s="3"/>
      <c r="O97" s="3"/>
      <c r="P97" s="131"/>
      <c r="Q97" s="3"/>
      <c r="R97" s="3"/>
      <c r="S97" s="131"/>
      <c r="T97" s="4"/>
      <c r="U97" s="5">
        <v>0</v>
      </c>
      <c r="V97" s="131"/>
      <c r="W97" s="3"/>
      <c r="X97" s="3"/>
      <c r="Y97" s="132"/>
      <c r="Z97" s="3"/>
      <c r="AA97" s="3"/>
      <c r="AB97" s="3"/>
      <c r="AC97" s="3"/>
      <c r="AD97" s="8" t="s">
        <v>3173</v>
      </c>
      <c r="AE97" s="26">
        <v>43983.459374999999</v>
      </c>
      <c r="AF97" s="8" t="s">
        <v>4206</v>
      </c>
      <c r="AG97" s="26">
        <v>43860.581041666665</v>
      </c>
      <c r="AH97" s="244">
        <f>COUNTIF('ENV Tract Status Report'!$A$6:$A$131,SP_EnvTract_DB[[#This Row],[Environmental Tract No.]])</f>
        <v>1</v>
      </c>
    </row>
    <row r="98" spans="1:34" ht="15" x14ac:dyDescent="0.25">
      <c r="A98" s="130" t="s">
        <v>2711</v>
      </c>
      <c r="B98" s="111" t="s">
        <v>1809</v>
      </c>
      <c r="C98" s="1"/>
      <c r="D98" s="55" t="s">
        <v>3176</v>
      </c>
      <c r="E98" s="55" t="s">
        <v>3178</v>
      </c>
      <c r="F98" s="55" t="s">
        <v>3179</v>
      </c>
      <c r="G98" s="3"/>
      <c r="H98" s="3"/>
      <c r="I98" s="7" t="s">
        <v>1808</v>
      </c>
      <c r="J98" s="3"/>
      <c r="K98" s="3"/>
      <c r="L98" s="3"/>
      <c r="M98" s="3"/>
      <c r="N98" s="3"/>
      <c r="O98" s="3"/>
      <c r="P98" s="131"/>
      <c r="Q98" s="3"/>
      <c r="R98" s="3"/>
      <c r="S98" s="131"/>
      <c r="T98" s="4"/>
      <c r="U98" s="5">
        <v>0</v>
      </c>
      <c r="V98" s="131"/>
      <c r="W98" s="3"/>
      <c r="X98" s="3"/>
      <c r="Y98" s="132"/>
      <c r="Z98" s="3"/>
      <c r="AA98" s="3"/>
      <c r="AB98" s="3"/>
      <c r="AC98" s="3"/>
      <c r="AD98" s="8" t="s">
        <v>3177</v>
      </c>
      <c r="AE98" s="26">
        <v>43983.448449074072</v>
      </c>
      <c r="AF98" s="8" t="s">
        <v>4206</v>
      </c>
      <c r="AG98" s="26">
        <v>43860.581064814818</v>
      </c>
      <c r="AH98" s="244">
        <f>COUNTIF('ENV Tract Status Report'!$A$6:$A$131,SP_EnvTract_DB[[#This Row],[Environmental Tract No.]])</f>
        <v>1</v>
      </c>
    </row>
    <row r="99" spans="1:34" ht="15" x14ac:dyDescent="0.25">
      <c r="A99" s="130" t="s">
        <v>2712</v>
      </c>
      <c r="B99" s="111" t="s">
        <v>1809</v>
      </c>
      <c r="C99" s="1"/>
      <c r="D99" s="55" t="s">
        <v>3180</v>
      </c>
      <c r="E99" s="55" t="s">
        <v>3182</v>
      </c>
      <c r="F99" s="55" t="s">
        <v>3183</v>
      </c>
      <c r="G99" s="3"/>
      <c r="H99" s="3"/>
      <c r="I99" s="7" t="s">
        <v>1808</v>
      </c>
      <c r="J99" s="3"/>
      <c r="K99" s="3"/>
      <c r="L99" s="3"/>
      <c r="M99" s="3"/>
      <c r="N99" s="3"/>
      <c r="O99" s="3"/>
      <c r="P99" s="131"/>
      <c r="Q99" s="3"/>
      <c r="R99" s="3"/>
      <c r="S99" s="131"/>
      <c r="T99" s="4"/>
      <c r="U99" s="5">
        <v>0</v>
      </c>
      <c r="V99" s="131"/>
      <c r="W99" s="3"/>
      <c r="X99" s="3"/>
      <c r="Y99" s="132"/>
      <c r="Z99" s="3"/>
      <c r="AA99" s="3"/>
      <c r="AB99" s="3"/>
      <c r="AC99" s="3"/>
      <c r="AD99" s="8" t="s">
        <v>3181</v>
      </c>
      <c r="AE99" s="26">
        <v>43983.448460648149</v>
      </c>
      <c r="AF99" s="8" t="s">
        <v>4206</v>
      </c>
      <c r="AG99" s="26">
        <v>43860.581087962964</v>
      </c>
      <c r="AH99" s="244">
        <f>COUNTIF('ENV Tract Status Report'!$A$6:$A$131,SP_EnvTract_DB[[#This Row],[Environmental Tract No.]])</f>
        <v>1</v>
      </c>
    </row>
    <row r="100" spans="1:34" ht="15" x14ac:dyDescent="0.25">
      <c r="A100" s="130" t="s">
        <v>2713</v>
      </c>
      <c r="B100" s="111" t="s">
        <v>1809</v>
      </c>
      <c r="C100" s="1"/>
      <c r="D100" s="55" t="s">
        <v>3184</v>
      </c>
      <c r="E100" s="55" t="s">
        <v>3186</v>
      </c>
      <c r="F100" s="55" t="s">
        <v>3187</v>
      </c>
      <c r="G100" s="3"/>
      <c r="H100" s="3"/>
      <c r="I100" s="7" t="s">
        <v>1808</v>
      </c>
      <c r="J100" s="3"/>
      <c r="K100" s="3"/>
      <c r="L100" s="3"/>
      <c r="M100" s="3"/>
      <c r="N100" s="3"/>
      <c r="O100" s="3"/>
      <c r="P100" s="131"/>
      <c r="Q100" s="3"/>
      <c r="R100" s="3"/>
      <c r="S100" s="131"/>
      <c r="T100" s="4"/>
      <c r="U100" s="5">
        <v>0</v>
      </c>
      <c r="V100" s="131"/>
      <c r="W100" s="3"/>
      <c r="X100" s="3"/>
      <c r="Y100" s="132"/>
      <c r="Z100" s="3"/>
      <c r="AA100" s="3"/>
      <c r="AB100" s="3"/>
      <c r="AC100" s="3"/>
      <c r="AD100" s="8" t="s">
        <v>3185</v>
      </c>
      <c r="AE100" s="26">
        <v>43983.448460648149</v>
      </c>
      <c r="AF100" s="8" t="s">
        <v>4206</v>
      </c>
      <c r="AG100" s="26">
        <v>43860.581111111111</v>
      </c>
      <c r="AH100" s="244">
        <f>COUNTIF('ENV Tract Status Report'!$A$6:$A$131,SP_EnvTract_DB[[#This Row],[Environmental Tract No.]])</f>
        <v>1</v>
      </c>
    </row>
    <row r="101" spans="1:34" ht="15" x14ac:dyDescent="0.25">
      <c r="A101" s="130" t="s">
        <v>2714</v>
      </c>
      <c r="B101" s="111" t="s">
        <v>1809</v>
      </c>
      <c r="C101" s="1"/>
      <c r="D101" s="55" t="s">
        <v>3188</v>
      </c>
      <c r="E101" s="55" t="s">
        <v>3190</v>
      </c>
      <c r="F101" s="55" t="s">
        <v>3191</v>
      </c>
      <c r="G101" s="3"/>
      <c r="H101" s="3"/>
      <c r="I101" s="7" t="s">
        <v>1808</v>
      </c>
      <c r="J101" s="3"/>
      <c r="K101" s="3"/>
      <c r="L101" s="3"/>
      <c r="M101" s="3"/>
      <c r="N101" s="3"/>
      <c r="O101" s="3"/>
      <c r="P101" s="131"/>
      <c r="Q101" s="3"/>
      <c r="R101" s="3"/>
      <c r="S101" s="131"/>
      <c r="T101" s="4"/>
      <c r="U101" s="5">
        <v>0</v>
      </c>
      <c r="V101" s="131"/>
      <c r="W101" s="3"/>
      <c r="X101" s="3"/>
      <c r="Y101" s="132"/>
      <c r="Z101" s="3"/>
      <c r="AA101" s="3"/>
      <c r="AB101" s="3"/>
      <c r="AC101" s="3"/>
      <c r="AD101" s="8" t="s">
        <v>3189</v>
      </c>
      <c r="AE101" s="26">
        <v>43983.448460648149</v>
      </c>
      <c r="AF101" s="8" t="s">
        <v>4206</v>
      </c>
      <c r="AG101" s="26">
        <v>43860.581134259257</v>
      </c>
      <c r="AH101" s="244">
        <f>COUNTIF('ENV Tract Status Report'!$A$6:$A$131,SP_EnvTract_DB[[#This Row],[Environmental Tract No.]])</f>
        <v>1</v>
      </c>
    </row>
    <row r="102" spans="1:34" ht="15" x14ac:dyDescent="0.25">
      <c r="A102" s="130" t="s">
        <v>2715</v>
      </c>
      <c r="B102" s="111" t="s">
        <v>1809</v>
      </c>
      <c r="C102" s="1"/>
      <c r="D102" s="55" t="s">
        <v>3192</v>
      </c>
      <c r="E102" s="55" t="s">
        <v>3194</v>
      </c>
      <c r="F102" s="55" t="s">
        <v>3195</v>
      </c>
      <c r="G102" s="3"/>
      <c r="H102" s="3"/>
      <c r="I102" s="7" t="s">
        <v>1808</v>
      </c>
      <c r="J102" s="3"/>
      <c r="K102" s="3"/>
      <c r="L102" s="3"/>
      <c r="M102" s="3"/>
      <c r="N102" s="3"/>
      <c r="O102" s="3"/>
      <c r="P102" s="131"/>
      <c r="Q102" s="3"/>
      <c r="R102" s="3"/>
      <c r="S102" s="131"/>
      <c r="T102" s="4"/>
      <c r="U102" s="5">
        <v>0</v>
      </c>
      <c r="V102" s="131"/>
      <c r="W102" s="3"/>
      <c r="X102" s="3"/>
      <c r="Y102" s="132"/>
      <c r="Z102" s="3"/>
      <c r="AA102" s="3"/>
      <c r="AB102" s="3"/>
      <c r="AC102" s="3"/>
      <c r="AD102" s="8" t="s">
        <v>3193</v>
      </c>
      <c r="AE102" s="26">
        <v>43983.448460648149</v>
      </c>
      <c r="AF102" s="8" t="s">
        <v>4206</v>
      </c>
      <c r="AG102" s="26">
        <v>43860.581157407411</v>
      </c>
      <c r="AH102" s="244">
        <f>COUNTIF('ENV Tract Status Report'!$A$6:$A$131,SP_EnvTract_DB[[#This Row],[Environmental Tract No.]])</f>
        <v>1</v>
      </c>
    </row>
    <row r="103" spans="1:34" ht="15" x14ac:dyDescent="0.25">
      <c r="A103" s="130" t="s">
        <v>2716</v>
      </c>
      <c r="B103" s="111" t="s">
        <v>1809</v>
      </c>
      <c r="C103" s="1"/>
      <c r="D103" s="55" t="s">
        <v>3196</v>
      </c>
      <c r="E103" s="55" t="s">
        <v>3198</v>
      </c>
      <c r="F103" s="55" t="s">
        <v>3199</v>
      </c>
      <c r="G103" s="3"/>
      <c r="H103" s="3"/>
      <c r="I103" s="7" t="s">
        <v>1808</v>
      </c>
      <c r="J103" s="3"/>
      <c r="K103" s="3"/>
      <c r="L103" s="3"/>
      <c r="M103" s="3"/>
      <c r="N103" s="3"/>
      <c r="O103" s="3"/>
      <c r="P103" s="131"/>
      <c r="Q103" s="3"/>
      <c r="R103" s="3"/>
      <c r="S103" s="131"/>
      <c r="T103" s="4"/>
      <c r="U103" s="5">
        <v>0</v>
      </c>
      <c r="V103" s="131"/>
      <c r="W103" s="3"/>
      <c r="X103" s="3"/>
      <c r="Y103" s="132"/>
      <c r="Z103" s="3"/>
      <c r="AA103" s="3"/>
      <c r="AB103" s="3"/>
      <c r="AC103" s="3"/>
      <c r="AD103" s="8" t="s">
        <v>3197</v>
      </c>
      <c r="AE103" s="26">
        <v>43983.448460648149</v>
      </c>
      <c r="AF103" s="8" t="s">
        <v>4206</v>
      </c>
      <c r="AG103" s="26">
        <v>43860.58116898148</v>
      </c>
      <c r="AH103" s="244">
        <f>COUNTIF('ENV Tract Status Report'!$A$6:$A$131,SP_EnvTract_DB[[#This Row],[Environmental Tract No.]])</f>
        <v>1</v>
      </c>
    </row>
    <row r="104" spans="1:34" ht="15" x14ac:dyDescent="0.25">
      <c r="A104" s="130" t="s">
        <v>2717</v>
      </c>
      <c r="B104" s="111" t="s">
        <v>80</v>
      </c>
      <c r="C104" s="1"/>
      <c r="D104" s="55" t="s">
        <v>3200</v>
      </c>
      <c r="E104" s="55" t="s">
        <v>3202</v>
      </c>
      <c r="F104" s="55" t="s">
        <v>3203</v>
      </c>
      <c r="G104" s="3"/>
      <c r="H104" s="3"/>
      <c r="I104" s="7" t="s">
        <v>1808</v>
      </c>
      <c r="J104" s="3"/>
      <c r="K104" s="3"/>
      <c r="L104" s="3"/>
      <c r="M104" s="3"/>
      <c r="N104" s="3"/>
      <c r="O104" s="3"/>
      <c r="P104" s="131"/>
      <c r="Q104" s="3"/>
      <c r="R104" s="3"/>
      <c r="S104" s="131"/>
      <c r="T104" s="4"/>
      <c r="U104" s="5">
        <v>0</v>
      </c>
      <c r="V104" s="131"/>
      <c r="W104" s="3"/>
      <c r="X104" s="3"/>
      <c r="Y104" s="132"/>
      <c r="Z104" s="3"/>
      <c r="AA104" s="3"/>
      <c r="AB104" s="3"/>
      <c r="AC104" s="3"/>
      <c r="AD104" s="8" t="s">
        <v>3201</v>
      </c>
      <c r="AE104" s="26">
        <v>43983.443530092591</v>
      </c>
      <c r="AF104" s="8" t="s">
        <v>4206</v>
      </c>
      <c r="AG104" s="26">
        <v>43860.581192129626</v>
      </c>
      <c r="AH104" s="244">
        <f>COUNTIF('ENV Tract Status Report'!$A$6:$A$131,SP_EnvTract_DB[[#This Row],[Environmental Tract No.]])</f>
        <v>1</v>
      </c>
    </row>
    <row r="105" spans="1:34" ht="15" x14ac:dyDescent="0.25">
      <c r="A105" s="130" t="s">
        <v>2718</v>
      </c>
      <c r="B105" s="111" t="s">
        <v>1809</v>
      </c>
      <c r="C105" s="1"/>
      <c r="D105" s="55" t="s">
        <v>3207</v>
      </c>
      <c r="E105" s="55" t="s">
        <v>3209</v>
      </c>
      <c r="F105" s="55" t="s">
        <v>3210</v>
      </c>
      <c r="G105" s="3"/>
      <c r="H105" s="3"/>
      <c r="I105" s="7" t="s">
        <v>1808</v>
      </c>
      <c r="J105" s="3"/>
      <c r="K105" s="3"/>
      <c r="L105" s="3"/>
      <c r="M105" s="3"/>
      <c r="N105" s="3"/>
      <c r="O105" s="3"/>
      <c r="P105" s="131"/>
      <c r="Q105" s="3"/>
      <c r="R105" s="3"/>
      <c r="S105" s="131"/>
      <c r="T105" s="4"/>
      <c r="U105" s="5">
        <v>0</v>
      </c>
      <c r="V105" s="131"/>
      <c r="W105" s="3"/>
      <c r="X105" s="3"/>
      <c r="Y105" s="132"/>
      <c r="Z105" s="3"/>
      <c r="AA105" s="3"/>
      <c r="AB105" s="3"/>
      <c r="AC105" s="3"/>
      <c r="AD105" s="8" t="s">
        <v>3208</v>
      </c>
      <c r="AE105" s="26">
        <v>43983.448773148149</v>
      </c>
      <c r="AF105" s="8" t="s">
        <v>4206</v>
      </c>
      <c r="AG105" s="26">
        <v>43860.581284722219</v>
      </c>
      <c r="AH105" s="244">
        <f>COUNTIF('ENV Tract Status Report'!$A$6:$A$131,SP_EnvTract_DB[[#This Row],[Environmental Tract No.]])</f>
        <v>1</v>
      </c>
    </row>
    <row r="106" spans="1:34" ht="15" x14ac:dyDescent="0.25">
      <c r="A106" s="130" t="s">
        <v>3214</v>
      </c>
      <c r="B106" s="111" t="s">
        <v>5643</v>
      </c>
      <c r="C106" s="1"/>
      <c r="D106" s="55" t="s">
        <v>3215</v>
      </c>
      <c r="E106" s="55" t="s">
        <v>3217</v>
      </c>
      <c r="F106" s="55" t="s">
        <v>3218</v>
      </c>
      <c r="G106" s="3"/>
      <c r="H106" s="3"/>
      <c r="I106" s="7" t="s">
        <v>1808</v>
      </c>
      <c r="J106" s="3"/>
      <c r="K106" s="3"/>
      <c r="L106" s="3"/>
      <c r="M106" s="3"/>
      <c r="N106" s="3"/>
      <c r="O106" s="3"/>
      <c r="P106" s="131"/>
      <c r="Q106" s="3"/>
      <c r="R106" s="3"/>
      <c r="S106" s="131"/>
      <c r="T106" s="4"/>
      <c r="U106" s="5">
        <v>0</v>
      </c>
      <c r="V106" s="131"/>
      <c r="W106" s="3"/>
      <c r="X106" s="3"/>
      <c r="Y106" s="132"/>
      <c r="Z106" s="3"/>
      <c r="AA106" s="3"/>
      <c r="AB106" s="3"/>
      <c r="AC106" s="3"/>
      <c r="AD106" s="8" t="s">
        <v>3216</v>
      </c>
      <c r="AE106" s="26">
        <v>43983.459432870368</v>
      </c>
      <c r="AF106" s="8" t="s">
        <v>4206</v>
      </c>
      <c r="AG106" s="26">
        <v>43860.585925925923</v>
      </c>
      <c r="AH106" s="244">
        <f>COUNTIF('ENV Tract Status Report'!$A$6:$A$131,SP_EnvTract_DB[[#This Row],[Environmental Tract No.]])</f>
        <v>1</v>
      </c>
    </row>
    <row r="107" spans="1:34" ht="15" x14ac:dyDescent="0.25">
      <c r="A107" s="130" t="s">
        <v>3222</v>
      </c>
      <c r="B107" s="111" t="s">
        <v>1809</v>
      </c>
      <c r="C107" s="1"/>
      <c r="D107" s="55" t="s">
        <v>3223</v>
      </c>
      <c r="E107" s="55" t="s">
        <v>3225</v>
      </c>
      <c r="F107" s="55" t="s">
        <v>3226</v>
      </c>
      <c r="G107" s="3"/>
      <c r="H107" s="3"/>
      <c r="I107" s="7" t="s">
        <v>1808</v>
      </c>
      <c r="J107" s="3"/>
      <c r="K107" s="3"/>
      <c r="L107" s="3"/>
      <c r="M107" s="3"/>
      <c r="N107" s="3"/>
      <c r="O107" s="3"/>
      <c r="P107" s="131"/>
      <c r="Q107" s="3"/>
      <c r="R107" s="3"/>
      <c r="S107" s="131"/>
      <c r="T107" s="4"/>
      <c r="U107" s="5">
        <v>0</v>
      </c>
      <c r="V107" s="131"/>
      <c r="W107" s="3"/>
      <c r="X107" s="3"/>
      <c r="Y107" s="132"/>
      <c r="Z107" s="3"/>
      <c r="AA107" s="3"/>
      <c r="AB107" s="3"/>
      <c r="AC107" s="3"/>
      <c r="AD107" s="8" t="s">
        <v>3224</v>
      </c>
      <c r="AE107" s="26">
        <v>43983.460555555554</v>
      </c>
      <c r="AF107" s="8" t="s">
        <v>4206</v>
      </c>
      <c r="AG107" s="26">
        <v>43860.586030092592</v>
      </c>
      <c r="AH107" s="244">
        <f>COUNTIF('ENV Tract Status Report'!$A$6:$A$131,SP_EnvTract_DB[[#This Row],[Environmental Tract No.]])</f>
        <v>1</v>
      </c>
    </row>
    <row r="108" spans="1:34" ht="15" x14ac:dyDescent="0.25">
      <c r="A108" s="130" t="s">
        <v>3227</v>
      </c>
      <c r="B108" s="111" t="s">
        <v>1809</v>
      </c>
      <c r="C108" s="1"/>
      <c r="D108" s="55" t="s">
        <v>3228</v>
      </c>
      <c r="E108" s="55" t="s">
        <v>3230</v>
      </c>
      <c r="F108" s="55" t="s">
        <v>3231</v>
      </c>
      <c r="G108" s="3"/>
      <c r="H108" s="3"/>
      <c r="I108" s="7" t="s">
        <v>1808</v>
      </c>
      <c r="J108" s="3"/>
      <c r="K108" s="3"/>
      <c r="L108" s="3"/>
      <c r="M108" s="3"/>
      <c r="N108" s="3"/>
      <c r="O108" s="3"/>
      <c r="P108" s="131"/>
      <c r="Q108" s="3"/>
      <c r="R108" s="3"/>
      <c r="S108" s="131"/>
      <c r="T108" s="4"/>
      <c r="U108" s="5">
        <v>0</v>
      </c>
      <c r="V108" s="131"/>
      <c r="W108" s="3"/>
      <c r="X108" s="3"/>
      <c r="Y108" s="132"/>
      <c r="Z108" s="3"/>
      <c r="AA108" s="3"/>
      <c r="AB108" s="3"/>
      <c r="AC108" s="3"/>
      <c r="AD108" s="8" t="s">
        <v>3229</v>
      </c>
      <c r="AE108" s="26">
        <v>43983.460578703707</v>
      </c>
      <c r="AF108" s="8" t="s">
        <v>4206</v>
      </c>
      <c r="AG108" s="26">
        <v>43860.586053240739</v>
      </c>
      <c r="AH108" s="244">
        <f>COUNTIF('ENV Tract Status Report'!$A$6:$A$131,SP_EnvTract_DB[[#This Row],[Environmental Tract No.]])</f>
        <v>1</v>
      </c>
    </row>
    <row r="109" spans="1:34" ht="15" x14ac:dyDescent="0.25">
      <c r="A109" s="130" t="s">
        <v>3232</v>
      </c>
      <c r="B109" s="111" t="s">
        <v>5644</v>
      </c>
      <c r="C109" s="1"/>
      <c r="D109" s="55" t="s">
        <v>3233</v>
      </c>
      <c r="E109" s="55" t="s">
        <v>3235</v>
      </c>
      <c r="F109" s="55" t="s">
        <v>3236</v>
      </c>
      <c r="G109" s="3"/>
      <c r="H109" s="3"/>
      <c r="I109" s="7" t="s">
        <v>1808</v>
      </c>
      <c r="J109" s="3"/>
      <c r="K109" s="3"/>
      <c r="L109" s="3"/>
      <c r="M109" s="3"/>
      <c r="N109" s="3"/>
      <c r="O109" s="3"/>
      <c r="P109" s="131"/>
      <c r="Q109" s="3"/>
      <c r="R109" s="3"/>
      <c r="S109" s="131"/>
      <c r="T109" s="4"/>
      <c r="U109" s="5">
        <v>0</v>
      </c>
      <c r="V109" s="131"/>
      <c r="W109" s="3"/>
      <c r="X109" s="3"/>
      <c r="Y109" s="132"/>
      <c r="Z109" s="3"/>
      <c r="AA109" s="3"/>
      <c r="AB109" s="3"/>
      <c r="AC109" s="3"/>
      <c r="AD109" s="8" t="s">
        <v>3234</v>
      </c>
      <c r="AE109" s="26">
        <v>43983.450648148151</v>
      </c>
      <c r="AF109" s="8" t="s">
        <v>4206</v>
      </c>
      <c r="AG109" s="26">
        <v>43860.586076388892</v>
      </c>
      <c r="AH109" s="244">
        <f>COUNTIF('ENV Tract Status Report'!$A$6:$A$131,SP_EnvTract_DB[[#This Row],[Environmental Tract No.]])</f>
        <v>1</v>
      </c>
    </row>
    <row r="110" spans="1:34" ht="15" x14ac:dyDescent="0.25">
      <c r="A110" s="130" t="s">
        <v>3237</v>
      </c>
      <c r="B110" s="111" t="s">
        <v>1809</v>
      </c>
      <c r="C110" s="1"/>
      <c r="D110" s="55" t="s">
        <v>3238</v>
      </c>
      <c r="E110" s="55" t="s">
        <v>3240</v>
      </c>
      <c r="F110" s="55" t="s">
        <v>3241</v>
      </c>
      <c r="G110" s="3"/>
      <c r="H110" s="3"/>
      <c r="I110" s="7" t="s">
        <v>1808</v>
      </c>
      <c r="J110" s="3"/>
      <c r="K110" s="3"/>
      <c r="L110" s="3"/>
      <c r="M110" s="3"/>
      <c r="N110" s="3"/>
      <c r="O110" s="3"/>
      <c r="P110" s="131"/>
      <c r="Q110" s="3"/>
      <c r="R110" s="3"/>
      <c r="S110" s="131"/>
      <c r="T110" s="4"/>
      <c r="U110" s="5">
        <v>0</v>
      </c>
      <c r="V110" s="131"/>
      <c r="W110" s="3"/>
      <c r="X110" s="3"/>
      <c r="Y110" s="132"/>
      <c r="Z110" s="3"/>
      <c r="AA110" s="3"/>
      <c r="AB110" s="3"/>
      <c r="AC110" s="3"/>
      <c r="AD110" s="8" t="s">
        <v>3239</v>
      </c>
      <c r="AE110" s="26">
        <v>43983.460636574076</v>
      </c>
      <c r="AF110" s="8" t="s">
        <v>4206</v>
      </c>
      <c r="AG110" s="26">
        <v>43860.586099537039</v>
      </c>
      <c r="AH110" s="244">
        <f>COUNTIF('ENV Tract Status Report'!$A$6:$A$131,SP_EnvTract_DB[[#This Row],[Environmental Tract No.]])</f>
        <v>1</v>
      </c>
    </row>
    <row r="111" spans="1:34" ht="15" x14ac:dyDescent="0.25">
      <c r="A111" s="130" t="s">
        <v>3255</v>
      </c>
      <c r="B111" s="111" t="s">
        <v>5644</v>
      </c>
      <c r="C111" s="1"/>
      <c r="D111" s="55" t="s">
        <v>3256</v>
      </c>
      <c r="E111" s="55" t="s">
        <v>3258</v>
      </c>
      <c r="F111" s="55" t="s">
        <v>3259</v>
      </c>
      <c r="G111" s="3"/>
      <c r="H111" s="3"/>
      <c r="I111" s="7" t="s">
        <v>2493</v>
      </c>
      <c r="J111" s="3"/>
      <c r="K111" s="3"/>
      <c r="L111" s="3"/>
      <c r="M111" s="3"/>
      <c r="N111" s="3"/>
      <c r="O111" s="3"/>
      <c r="P111" s="131"/>
      <c r="Q111" s="3"/>
      <c r="R111" s="3"/>
      <c r="S111" s="131"/>
      <c r="T111" s="4"/>
      <c r="U111" s="5">
        <v>0</v>
      </c>
      <c r="V111" s="131"/>
      <c r="W111" s="3"/>
      <c r="X111" s="3"/>
      <c r="Y111" s="132"/>
      <c r="Z111" s="3"/>
      <c r="AA111" s="3"/>
      <c r="AB111" s="3"/>
      <c r="AC111" s="3"/>
      <c r="AD111" s="8" t="s">
        <v>3257</v>
      </c>
      <c r="AE111" s="26">
        <v>44020.493923611109</v>
      </c>
      <c r="AF111" s="8" t="s">
        <v>4206</v>
      </c>
      <c r="AG111" s="26">
        <v>43860.592094907406</v>
      </c>
      <c r="AH111" s="244">
        <f>COUNTIF('ENV Tract Status Report'!$A$6:$A$131,SP_EnvTract_DB[[#This Row],[Environmental Tract No.]])</f>
        <v>1</v>
      </c>
    </row>
    <row r="112" spans="1:34" ht="15" x14ac:dyDescent="0.25">
      <c r="A112" s="130" t="s">
        <v>3261</v>
      </c>
      <c r="B112" s="111"/>
      <c r="C112" s="1"/>
      <c r="D112" s="55" t="s">
        <v>609</v>
      </c>
      <c r="E112" s="55" t="s">
        <v>3263</v>
      </c>
      <c r="F112" s="55" t="s">
        <v>3264</v>
      </c>
      <c r="G112" s="3"/>
      <c r="H112" s="3"/>
      <c r="I112" s="7" t="s">
        <v>1808</v>
      </c>
      <c r="J112" s="3"/>
      <c r="K112" s="3"/>
      <c r="L112" s="3"/>
      <c r="M112" s="3"/>
      <c r="N112" s="3"/>
      <c r="O112" s="3"/>
      <c r="P112" s="131"/>
      <c r="Q112" s="3"/>
      <c r="R112" s="3"/>
      <c r="S112" s="131"/>
      <c r="T112" s="4"/>
      <c r="U112" s="5">
        <v>0</v>
      </c>
      <c r="V112" s="131"/>
      <c r="W112" s="3"/>
      <c r="X112" s="3"/>
      <c r="Y112" s="132"/>
      <c r="Z112" s="3"/>
      <c r="AA112" s="3"/>
      <c r="AB112" s="3"/>
      <c r="AC112" s="3"/>
      <c r="AD112" s="8" t="s">
        <v>3262</v>
      </c>
      <c r="AE112" s="26">
        <v>43860.594837962963</v>
      </c>
      <c r="AF112" s="8" t="s">
        <v>4207</v>
      </c>
      <c r="AG112" s="26">
        <v>43860.592164351852</v>
      </c>
      <c r="AH112" s="244">
        <f>COUNTIF('ENV Tract Status Report'!$A$6:$A$131,SP_EnvTract_DB[[#This Row],[Environmental Tract No.]])</f>
        <v>1</v>
      </c>
    </row>
    <row r="113" spans="1:34" ht="15" x14ac:dyDescent="0.25">
      <c r="A113" s="130" t="s">
        <v>31</v>
      </c>
      <c r="B113" s="111" t="s">
        <v>5645</v>
      </c>
      <c r="C113" s="1"/>
      <c r="D113" s="55" t="s">
        <v>3265</v>
      </c>
      <c r="E113" s="55" t="s">
        <v>3266</v>
      </c>
      <c r="F113" s="55" t="s">
        <v>3267</v>
      </c>
      <c r="G113" s="3"/>
      <c r="H113" s="3"/>
      <c r="I113" s="7" t="s">
        <v>1808</v>
      </c>
      <c r="J113" s="3"/>
      <c r="K113" s="3"/>
      <c r="L113" s="3"/>
      <c r="M113" s="3"/>
      <c r="N113" s="3"/>
      <c r="O113" s="3"/>
      <c r="P113" s="131"/>
      <c r="Q113" s="3"/>
      <c r="R113" s="3"/>
      <c r="S113" s="131"/>
      <c r="T113" s="4"/>
      <c r="U113" s="5">
        <v>0</v>
      </c>
      <c r="V113" s="131"/>
      <c r="W113" s="3"/>
      <c r="X113" s="3"/>
      <c r="Y113" s="132"/>
      <c r="Z113" s="3"/>
      <c r="AA113" s="3"/>
      <c r="AB113" s="3"/>
      <c r="AC113" s="3"/>
      <c r="AD113" s="8" t="s">
        <v>1302</v>
      </c>
      <c r="AE113" s="26">
        <v>43983.456701388888</v>
      </c>
      <c r="AF113" s="8" t="s">
        <v>4206</v>
      </c>
      <c r="AG113" s="26">
        <v>43860.592187499999</v>
      </c>
      <c r="AH113" s="244">
        <f>COUNTIF('ENV Tract Status Report'!$A$6:$A$131,SP_EnvTract_DB[[#This Row],[Environmental Tract No.]])</f>
        <v>1</v>
      </c>
    </row>
    <row r="114" spans="1:34" ht="15" x14ac:dyDescent="0.25">
      <c r="A114" s="130" t="s">
        <v>32</v>
      </c>
      <c r="B114" s="111" t="s">
        <v>5643</v>
      </c>
      <c r="C114" s="1"/>
      <c r="D114" s="55" t="s">
        <v>3268</v>
      </c>
      <c r="E114" s="55" t="s">
        <v>3269</v>
      </c>
      <c r="F114" s="55" t="s">
        <v>3270</v>
      </c>
      <c r="G114" s="3"/>
      <c r="H114" s="3"/>
      <c r="I114" s="7" t="s">
        <v>1808</v>
      </c>
      <c r="J114" s="3"/>
      <c r="K114" s="3"/>
      <c r="L114" s="3"/>
      <c r="M114" s="3"/>
      <c r="N114" s="3"/>
      <c r="O114" s="3"/>
      <c r="P114" s="131"/>
      <c r="Q114" s="3"/>
      <c r="R114" s="3"/>
      <c r="S114" s="131"/>
      <c r="T114" s="4"/>
      <c r="U114" s="5">
        <v>0</v>
      </c>
      <c r="V114" s="131"/>
      <c r="W114" s="3"/>
      <c r="X114" s="3"/>
      <c r="Y114" s="132"/>
      <c r="Z114" s="3"/>
      <c r="AA114" s="3"/>
      <c r="AB114" s="3"/>
      <c r="AC114" s="3"/>
      <c r="AD114" s="8" t="s">
        <v>1303</v>
      </c>
      <c r="AE114" s="26">
        <v>43983.459583333337</v>
      </c>
      <c r="AF114" s="8" t="s">
        <v>4206</v>
      </c>
      <c r="AG114" s="26">
        <v>43860.592210648145</v>
      </c>
      <c r="AH114" s="244">
        <f>COUNTIF('ENV Tract Status Report'!$A$6:$A$131,SP_EnvTract_DB[[#This Row],[Environmental Tract No.]])</f>
        <v>1</v>
      </c>
    </row>
    <row r="115" spans="1:34" ht="15" x14ac:dyDescent="0.25">
      <c r="A115" s="130" t="s">
        <v>41</v>
      </c>
      <c r="B115" s="111" t="s">
        <v>1809</v>
      </c>
      <c r="C115" s="1"/>
      <c r="D115" s="55" t="s">
        <v>3278</v>
      </c>
      <c r="E115" s="55" t="s">
        <v>3279</v>
      </c>
      <c r="F115" s="55" t="s">
        <v>3280</v>
      </c>
      <c r="G115" s="3"/>
      <c r="H115" s="3"/>
      <c r="I115" s="7" t="s">
        <v>1808</v>
      </c>
      <c r="J115" s="3"/>
      <c r="K115" s="3"/>
      <c r="L115" s="3"/>
      <c r="M115" s="3"/>
      <c r="N115" s="3"/>
      <c r="O115" s="3"/>
      <c r="P115" s="131"/>
      <c r="Q115" s="3"/>
      <c r="R115" s="3"/>
      <c r="S115" s="131"/>
      <c r="T115" s="4"/>
      <c r="U115" s="5">
        <v>0</v>
      </c>
      <c r="V115" s="131"/>
      <c r="W115" s="3"/>
      <c r="X115" s="3"/>
      <c r="Y115" s="132"/>
      <c r="Z115" s="3"/>
      <c r="AA115" s="3"/>
      <c r="AB115" s="3"/>
      <c r="AC115" s="3"/>
      <c r="AD115" s="8" t="s">
        <v>1314</v>
      </c>
      <c r="AE115" s="26">
        <v>43983.460925925923</v>
      </c>
      <c r="AF115" s="8" t="s">
        <v>4206</v>
      </c>
      <c r="AG115" s="26">
        <v>43860.59238425926</v>
      </c>
      <c r="AH115" s="244">
        <f>COUNTIF('ENV Tract Status Report'!$A$6:$A$131,SP_EnvTract_DB[[#This Row],[Environmental Tract No.]])</f>
        <v>1</v>
      </c>
    </row>
    <row r="116" spans="1:34" ht="15" x14ac:dyDescent="0.25">
      <c r="A116" s="130" t="s">
        <v>141</v>
      </c>
      <c r="B116" s="111" t="s">
        <v>1809</v>
      </c>
      <c r="C116" s="1"/>
      <c r="D116" s="55" t="s">
        <v>3282</v>
      </c>
      <c r="E116" s="55" t="s">
        <v>3283</v>
      </c>
      <c r="F116" s="55" t="s">
        <v>3284</v>
      </c>
      <c r="G116" s="3"/>
      <c r="H116" s="3"/>
      <c r="I116" s="7" t="s">
        <v>1808</v>
      </c>
      <c r="J116" s="3"/>
      <c r="K116" s="3"/>
      <c r="L116" s="3"/>
      <c r="M116" s="3"/>
      <c r="N116" s="3"/>
      <c r="O116" s="3"/>
      <c r="P116" s="131"/>
      <c r="Q116" s="3"/>
      <c r="R116" s="3"/>
      <c r="S116" s="131"/>
      <c r="T116" s="4"/>
      <c r="U116" s="5">
        <v>0</v>
      </c>
      <c r="V116" s="131"/>
      <c r="W116" s="3"/>
      <c r="X116" s="3"/>
      <c r="Y116" s="132"/>
      <c r="Z116" s="3"/>
      <c r="AA116" s="3"/>
      <c r="AB116" s="3"/>
      <c r="AC116" s="3"/>
      <c r="AD116" s="8" t="s">
        <v>1319</v>
      </c>
      <c r="AE116" s="26">
        <v>43983.460925925923</v>
      </c>
      <c r="AF116" s="8" t="s">
        <v>4206</v>
      </c>
      <c r="AG116" s="26">
        <v>43860.592453703706</v>
      </c>
      <c r="AH116" s="244">
        <f>COUNTIF('ENV Tract Status Report'!$A$6:$A$131,SP_EnvTract_DB[[#This Row],[Environmental Tract No.]])</f>
        <v>1</v>
      </c>
    </row>
    <row r="117" spans="1:34" ht="15" x14ac:dyDescent="0.25">
      <c r="A117" s="130" t="s">
        <v>147</v>
      </c>
      <c r="B117" s="111" t="s">
        <v>1809</v>
      </c>
      <c r="C117" s="1"/>
      <c r="D117" s="55" t="s">
        <v>3285</v>
      </c>
      <c r="E117" s="55" t="s">
        <v>3286</v>
      </c>
      <c r="F117" s="55" t="s">
        <v>3287</v>
      </c>
      <c r="G117" s="3"/>
      <c r="H117" s="3"/>
      <c r="I117" s="7" t="s">
        <v>1808</v>
      </c>
      <c r="J117" s="3"/>
      <c r="K117" s="3"/>
      <c r="L117" s="3"/>
      <c r="M117" s="3"/>
      <c r="N117" s="3"/>
      <c r="O117" s="3"/>
      <c r="P117" s="131"/>
      <c r="Q117" s="3"/>
      <c r="R117" s="3"/>
      <c r="S117" s="131"/>
      <c r="T117" s="4"/>
      <c r="U117" s="5">
        <v>0</v>
      </c>
      <c r="V117" s="131"/>
      <c r="W117" s="3"/>
      <c r="X117" s="3"/>
      <c r="Y117" s="132"/>
      <c r="Z117" s="3"/>
      <c r="AA117" s="3"/>
      <c r="AB117" s="3"/>
      <c r="AC117" s="3"/>
      <c r="AD117" s="8" t="s">
        <v>1320</v>
      </c>
      <c r="AE117" s="26">
        <v>43983.4609375</v>
      </c>
      <c r="AF117" s="8" t="s">
        <v>4206</v>
      </c>
      <c r="AG117" s="26">
        <v>43860.592476851853</v>
      </c>
      <c r="AH117" s="244">
        <f>COUNTIF('ENV Tract Status Report'!$A$6:$A$131,SP_EnvTract_DB[[#This Row],[Environmental Tract No.]])</f>
        <v>1</v>
      </c>
    </row>
    <row r="118" spans="1:34" ht="15" x14ac:dyDescent="0.25">
      <c r="A118" s="130" t="s">
        <v>3289</v>
      </c>
      <c r="B118" s="111" t="s">
        <v>80</v>
      </c>
      <c r="C118" s="1"/>
      <c r="D118" s="55" t="s">
        <v>3290</v>
      </c>
      <c r="E118" s="55" t="s">
        <v>3292</v>
      </c>
      <c r="F118" s="55" t="s">
        <v>3293</v>
      </c>
      <c r="G118" s="3"/>
      <c r="H118" s="3"/>
      <c r="I118" s="7" t="s">
        <v>1808</v>
      </c>
      <c r="J118" s="3"/>
      <c r="K118" s="3"/>
      <c r="L118" s="3"/>
      <c r="M118" s="3"/>
      <c r="N118" s="3"/>
      <c r="O118" s="3"/>
      <c r="P118" s="131"/>
      <c r="Q118" s="3"/>
      <c r="R118" s="3"/>
      <c r="S118" s="131"/>
      <c r="T118" s="4"/>
      <c r="U118" s="5">
        <v>0</v>
      </c>
      <c r="V118" s="131"/>
      <c r="W118" s="3"/>
      <c r="X118" s="3"/>
      <c r="Y118" s="132"/>
      <c r="Z118" s="3"/>
      <c r="AA118" s="3"/>
      <c r="AB118" s="3"/>
      <c r="AC118" s="3"/>
      <c r="AD118" s="8" t="s">
        <v>3291</v>
      </c>
      <c r="AE118" s="26">
        <v>43983.443668981483</v>
      </c>
      <c r="AF118" s="8" t="s">
        <v>4206</v>
      </c>
      <c r="AG118" s="26">
        <v>43860.592569444445</v>
      </c>
      <c r="AH118" s="244">
        <f>COUNTIF('ENV Tract Status Report'!$A$6:$A$131,SP_EnvTract_DB[[#This Row],[Environmental Tract No.]])</f>
        <v>1</v>
      </c>
    </row>
    <row r="119" spans="1:34" ht="15" x14ac:dyDescent="0.25">
      <c r="A119" s="130" t="s">
        <v>3294</v>
      </c>
      <c r="B119" s="111" t="s">
        <v>80</v>
      </c>
      <c r="C119" s="1"/>
      <c r="D119" s="55" t="s">
        <v>3295</v>
      </c>
      <c r="E119" s="55" t="s">
        <v>3297</v>
      </c>
      <c r="F119" s="55" t="s">
        <v>3298</v>
      </c>
      <c r="G119" s="3"/>
      <c r="H119" s="3"/>
      <c r="I119" s="7" t="s">
        <v>1808</v>
      </c>
      <c r="J119" s="3"/>
      <c r="K119" s="3"/>
      <c r="L119" s="3"/>
      <c r="M119" s="3"/>
      <c r="N119" s="3"/>
      <c r="O119" s="3"/>
      <c r="P119" s="131"/>
      <c r="Q119" s="3"/>
      <c r="R119" s="3"/>
      <c r="S119" s="131"/>
      <c r="T119" s="4"/>
      <c r="U119" s="5">
        <v>0</v>
      </c>
      <c r="V119" s="131"/>
      <c r="W119" s="3"/>
      <c r="X119" s="3"/>
      <c r="Y119" s="132"/>
      <c r="Z119" s="3"/>
      <c r="AA119" s="3"/>
      <c r="AB119" s="3"/>
      <c r="AC119" s="3"/>
      <c r="AD119" s="8" t="s">
        <v>3296</v>
      </c>
      <c r="AE119" s="26">
        <v>43983.443668981483</v>
      </c>
      <c r="AF119" s="8" t="s">
        <v>4206</v>
      </c>
      <c r="AG119" s="26">
        <v>43860.592592592591</v>
      </c>
      <c r="AH119" s="244">
        <f>COUNTIF('ENV Tract Status Report'!$A$6:$A$131,SP_EnvTract_DB[[#This Row],[Environmental Tract No.]])</f>
        <v>1</v>
      </c>
    </row>
    <row r="120" spans="1:34" ht="15" x14ac:dyDescent="0.25">
      <c r="A120" s="130" t="s">
        <v>3305</v>
      </c>
      <c r="B120" s="111" t="s">
        <v>1809</v>
      </c>
      <c r="C120" s="1"/>
      <c r="D120" s="55" t="s">
        <v>3306</v>
      </c>
      <c r="E120" s="55" t="s">
        <v>3308</v>
      </c>
      <c r="F120" s="55" t="s">
        <v>3309</v>
      </c>
      <c r="G120" s="3"/>
      <c r="H120" s="3"/>
      <c r="I120" s="7" t="s">
        <v>1808</v>
      </c>
      <c r="J120" s="3"/>
      <c r="K120" s="3"/>
      <c r="L120" s="3"/>
      <c r="M120" s="3"/>
      <c r="N120" s="3"/>
      <c r="O120" s="3"/>
      <c r="P120" s="131"/>
      <c r="Q120" s="3"/>
      <c r="R120" s="3"/>
      <c r="S120" s="131"/>
      <c r="T120" s="4"/>
      <c r="U120" s="5">
        <v>0</v>
      </c>
      <c r="V120" s="131"/>
      <c r="W120" s="3"/>
      <c r="X120" s="3"/>
      <c r="Y120" s="132"/>
      <c r="Z120" s="3"/>
      <c r="AA120" s="3"/>
      <c r="AB120" s="3"/>
      <c r="AC120" s="3"/>
      <c r="AD120" s="8" t="s">
        <v>3307</v>
      </c>
      <c r="AE120" s="26">
        <v>43983.461018518516</v>
      </c>
      <c r="AF120" s="8" t="s">
        <v>4206</v>
      </c>
      <c r="AG120" s="26">
        <v>43860.592650462961</v>
      </c>
      <c r="AH120" s="244">
        <f>COUNTIF('ENV Tract Status Report'!$A$6:$A$131,SP_EnvTract_DB[[#This Row],[Environmental Tract No.]])</f>
        <v>1</v>
      </c>
    </row>
    <row r="121" spans="1:34" ht="15" x14ac:dyDescent="0.25">
      <c r="A121" s="130" t="s">
        <v>3310</v>
      </c>
      <c r="B121" s="111" t="s">
        <v>5644</v>
      </c>
      <c r="C121" s="1"/>
      <c r="D121" s="55" t="s">
        <v>3311</v>
      </c>
      <c r="E121" s="55" t="s">
        <v>3313</v>
      </c>
      <c r="F121" s="55" t="s">
        <v>3314</v>
      </c>
      <c r="G121" s="3"/>
      <c r="H121" s="3"/>
      <c r="I121" s="7" t="s">
        <v>1808</v>
      </c>
      <c r="J121" s="3"/>
      <c r="K121" s="3"/>
      <c r="L121" s="3"/>
      <c r="M121" s="3"/>
      <c r="N121" s="3"/>
      <c r="O121" s="3"/>
      <c r="P121" s="131"/>
      <c r="Q121" s="3"/>
      <c r="R121" s="3"/>
      <c r="S121" s="131"/>
      <c r="T121" s="4"/>
      <c r="U121" s="5">
        <v>0</v>
      </c>
      <c r="V121" s="131"/>
      <c r="W121" s="3"/>
      <c r="X121" s="3"/>
      <c r="Y121" s="132"/>
      <c r="Z121" s="3"/>
      <c r="AA121" s="3"/>
      <c r="AB121" s="3"/>
      <c r="AC121" s="3"/>
      <c r="AD121" s="8" t="s">
        <v>3312</v>
      </c>
      <c r="AE121" s="26">
        <v>43983.452118055553</v>
      </c>
      <c r="AF121" s="8" t="s">
        <v>4206</v>
      </c>
      <c r="AG121" s="26">
        <v>43860.592673611114</v>
      </c>
      <c r="AH121" s="244">
        <f>COUNTIF('ENV Tract Status Report'!$A$6:$A$131,SP_EnvTract_DB[[#This Row],[Environmental Tract No.]])</f>
        <v>1</v>
      </c>
    </row>
    <row r="122" spans="1:34" ht="15" x14ac:dyDescent="0.25">
      <c r="A122" s="130" t="s">
        <v>3315</v>
      </c>
      <c r="B122" s="111" t="s">
        <v>1809</v>
      </c>
      <c r="C122" s="1"/>
      <c r="D122" s="55" t="s">
        <v>3316</v>
      </c>
      <c r="E122" s="55" t="s">
        <v>3318</v>
      </c>
      <c r="F122" s="55" t="s">
        <v>3319</v>
      </c>
      <c r="G122" s="3"/>
      <c r="H122" s="3"/>
      <c r="I122" s="7" t="s">
        <v>1808</v>
      </c>
      <c r="J122" s="3"/>
      <c r="K122" s="3"/>
      <c r="L122" s="3"/>
      <c r="M122" s="3"/>
      <c r="N122" s="3"/>
      <c r="O122" s="3"/>
      <c r="P122" s="131"/>
      <c r="Q122" s="3"/>
      <c r="R122" s="3"/>
      <c r="S122" s="131"/>
      <c r="T122" s="4"/>
      <c r="U122" s="5">
        <v>0</v>
      </c>
      <c r="V122" s="131"/>
      <c r="W122" s="3"/>
      <c r="X122" s="3"/>
      <c r="Y122" s="132"/>
      <c r="Z122" s="3"/>
      <c r="AA122" s="3"/>
      <c r="AB122" s="3"/>
      <c r="AC122" s="3"/>
      <c r="AD122" s="8" t="s">
        <v>3317</v>
      </c>
      <c r="AE122" s="26">
        <v>43983.461018518516</v>
      </c>
      <c r="AF122" s="8" t="s">
        <v>4206</v>
      </c>
      <c r="AG122" s="26">
        <v>43860.592685185184</v>
      </c>
      <c r="AH122" s="244">
        <f>COUNTIF('ENV Tract Status Report'!$A$6:$A$131,SP_EnvTract_DB[[#This Row],[Environmental Tract No.]])</f>
        <v>1</v>
      </c>
    </row>
    <row r="123" spans="1:34" ht="15" x14ac:dyDescent="0.25">
      <c r="A123" s="130" t="s">
        <v>3320</v>
      </c>
      <c r="B123" s="111" t="s">
        <v>5644</v>
      </c>
      <c r="C123" s="1"/>
      <c r="D123" s="55" t="s">
        <v>3321</v>
      </c>
      <c r="E123" s="55" t="s">
        <v>3323</v>
      </c>
      <c r="F123" s="55" t="s">
        <v>3324</v>
      </c>
      <c r="G123" s="3"/>
      <c r="H123" s="3"/>
      <c r="I123" s="7" t="s">
        <v>1808</v>
      </c>
      <c r="J123" s="3"/>
      <c r="K123" s="3"/>
      <c r="L123" s="3"/>
      <c r="M123" s="3"/>
      <c r="N123" s="3"/>
      <c r="O123" s="3"/>
      <c r="P123" s="131"/>
      <c r="Q123" s="3"/>
      <c r="R123" s="3"/>
      <c r="S123" s="131"/>
      <c r="T123" s="4"/>
      <c r="U123" s="5">
        <v>0</v>
      </c>
      <c r="V123" s="131"/>
      <c r="W123" s="3"/>
      <c r="X123" s="3"/>
      <c r="Y123" s="132"/>
      <c r="Z123" s="3"/>
      <c r="AA123" s="3"/>
      <c r="AB123" s="3"/>
      <c r="AC123" s="3"/>
      <c r="AD123" s="8" t="s">
        <v>3322</v>
      </c>
      <c r="AE123" s="26">
        <v>43983.452222222222</v>
      </c>
      <c r="AF123" s="8" t="s">
        <v>4206</v>
      </c>
      <c r="AG123" s="26">
        <v>43860.59270833333</v>
      </c>
      <c r="AH123" s="244">
        <f>COUNTIF('ENV Tract Status Report'!$A$6:$A$131,SP_EnvTract_DB[[#This Row],[Environmental Tract No.]])</f>
        <v>1</v>
      </c>
    </row>
    <row r="124" spans="1:34" ht="15" x14ac:dyDescent="0.25">
      <c r="A124" s="130" t="s">
        <v>3325</v>
      </c>
      <c r="B124" s="111" t="s">
        <v>5644</v>
      </c>
      <c r="C124" s="1"/>
      <c r="D124" s="55" t="s">
        <v>3326</v>
      </c>
      <c r="E124" s="55" t="s">
        <v>3328</v>
      </c>
      <c r="F124" s="55" t="s">
        <v>3329</v>
      </c>
      <c r="G124" s="3"/>
      <c r="H124" s="3"/>
      <c r="I124" s="7" t="s">
        <v>1808</v>
      </c>
      <c r="J124" s="3"/>
      <c r="K124" s="3"/>
      <c r="L124" s="3"/>
      <c r="M124" s="3"/>
      <c r="N124" s="3"/>
      <c r="O124" s="3"/>
      <c r="P124" s="131"/>
      <c r="Q124" s="3"/>
      <c r="R124" s="3"/>
      <c r="S124" s="131"/>
      <c r="T124" s="4"/>
      <c r="U124" s="5">
        <v>0</v>
      </c>
      <c r="V124" s="131"/>
      <c r="W124" s="3"/>
      <c r="X124" s="3"/>
      <c r="Y124" s="132"/>
      <c r="Z124" s="3"/>
      <c r="AA124" s="3"/>
      <c r="AB124" s="3"/>
      <c r="AC124" s="3"/>
      <c r="AD124" s="8" t="s">
        <v>3327</v>
      </c>
      <c r="AE124" s="26">
        <v>43983.452222222222</v>
      </c>
      <c r="AF124" s="8" t="s">
        <v>4206</v>
      </c>
      <c r="AG124" s="26">
        <v>43860.592731481483</v>
      </c>
      <c r="AH124" s="244">
        <f>COUNTIF('ENV Tract Status Report'!$A$6:$A$131,SP_EnvTract_DB[[#This Row],[Environmental Tract No.]])</f>
        <v>1</v>
      </c>
    </row>
    <row r="125" spans="1:34" ht="15" x14ac:dyDescent="0.25">
      <c r="A125" s="130" t="s">
        <v>3337</v>
      </c>
      <c r="B125" s="111" t="s">
        <v>5643</v>
      </c>
      <c r="C125" s="1"/>
      <c r="D125" s="55" t="s">
        <v>3338</v>
      </c>
      <c r="E125" s="55" t="s">
        <v>3340</v>
      </c>
      <c r="F125" s="55" t="s">
        <v>3341</v>
      </c>
      <c r="G125" s="3"/>
      <c r="H125" s="3"/>
      <c r="I125" s="7" t="s">
        <v>1808</v>
      </c>
      <c r="J125" s="3"/>
      <c r="K125" s="3"/>
      <c r="L125" s="3"/>
      <c r="M125" s="3"/>
      <c r="N125" s="3"/>
      <c r="O125" s="3"/>
      <c r="P125" s="131"/>
      <c r="Q125" s="3"/>
      <c r="R125" s="3"/>
      <c r="S125" s="131"/>
      <c r="T125" s="4"/>
      <c r="U125" s="5">
        <v>0</v>
      </c>
      <c r="V125" s="131"/>
      <c r="W125" s="3"/>
      <c r="X125" s="3"/>
      <c r="Y125" s="132"/>
      <c r="Z125" s="3"/>
      <c r="AA125" s="3"/>
      <c r="AB125" s="3"/>
      <c r="AC125" s="3"/>
      <c r="AD125" s="8" t="s">
        <v>3339</v>
      </c>
      <c r="AE125" s="26">
        <v>43983.459699074076</v>
      </c>
      <c r="AF125" s="8" t="s">
        <v>4206</v>
      </c>
      <c r="AG125" s="26">
        <v>43860.592893518522</v>
      </c>
      <c r="AH125" s="244">
        <f>COUNTIF('ENV Tract Status Report'!$A$6:$A$131,SP_EnvTract_DB[[#This Row],[Environmental Tract No.]])</f>
        <v>1</v>
      </c>
    </row>
    <row r="126" spans="1:34" ht="15" x14ac:dyDescent="0.25">
      <c r="A126" s="130" t="s">
        <v>3342</v>
      </c>
      <c r="B126" s="111" t="s">
        <v>5644</v>
      </c>
      <c r="C126" s="1"/>
      <c r="D126" s="55" t="s">
        <v>3343</v>
      </c>
      <c r="E126" s="55" t="s">
        <v>3345</v>
      </c>
      <c r="F126" s="55" t="s">
        <v>3346</v>
      </c>
      <c r="G126" s="3"/>
      <c r="H126" s="3"/>
      <c r="I126" s="7" t="s">
        <v>1808</v>
      </c>
      <c r="J126" s="3"/>
      <c r="K126" s="3"/>
      <c r="L126" s="3"/>
      <c r="M126" s="3"/>
      <c r="N126" s="3"/>
      <c r="O126" s="3"/>
      <c r="P126" s="131"/>
      <c r="Q126" s="3"/>
      <c r="R126" s="3"/>
      <c r="S126" s="131"/>
      <c r="T126" s="4"/>
      <c r="U126" s="5">
        <v>0</v>
      </c>
      <c r="V126" s="131"/>
      <c r="W126" s="3"/>
      <c r="X126" s="3"/>
      <c r="Y126" s="132"/>
      <c r="Z126" s="3"/>
      <c r="AA126" s="3"/>
      <c r="AB126" s="3"/>
      <c r="AC126" s="3"/>
      <c r="AD126" s="8" t="s">
        <v>3344</v>
      </c>
      <c r="AE126" s="26">
        <v>43983.461238425924</v>
      </c>
      <c r="AF126" s="8" t="s">
        <v>4206</v>
      </c>
      <c r="AG126" s="26">
        <v>43860.592916666668</v>
      </c>
      <c r="AH126" s="244">
        <f>COUNTIF('ENV Tract Status Report'!$A$6:$A$131,SP_EnvTract_DB[[#This Row],[Environmental Tract No.]])</f>
        <v>1</v>
      </c>
    </row>
    <row r="127" spans="1:34" ht="15" x14ac:dyDescent="0.25">
      <c r="A127" s="130" t="s">
        <v>3348</v>
      </c>
      <c r="B127" s="111" t="s">
        <v>5643</v>
      </c>
      <c r="C127" s="1"/>
      <c r="D127" s="55" t="s">
        <v>3349</v>
      </c>
      <c r="E127" s="55" t="s">
        <v>3351</v>
      </c>
      <c r="F127" s="55" t="s">
        <v>3352</v>
      </c>
      <c r="G127" s="3"/>
      <c r="H127" s="3"/>
      <c r="I127" s="7" t="s">
        <v>1808</v>
      </c>
      <c r="J127" s="3"/>
      <c r="K127" s="3"/>
      <c r="L127" s="3"/>
      <c r="M127" s="3"/>
      <c r="N127" s="3"/>
      <c r="O127" s="3"/>
      <c r="P127" s="233"/>
      <c r="Q127" s="3"/>
      <c r="R127" s="3"/>
      <c r="S127" s="233"/>
      <c r="T127" s="4"/>
      <c r="U127" s="5">
        <v>0</v>
      </c>
      <c r="V127" s="233"/>
      <c r="W127" s="3"/>
      <c r="X127" s="3"/>
      <c r="Y127" s="132"/>
      <c r="Z127" s="3"/>
      <c r="AA127" s="3"/>
      <c r="AB127" s="3"/>
      <c r="AC127" s="3"/>
      <c r="AD127" s="8" t="s">
        <v>3350</v>
      </c>
      <c r="AE127" s="26">
        <v>43983.459722222222</v>
      </c>
      <c r="AF127" s="8" t="s">
        <v>4206</v>
      </c>
      <c r="AG127" s="26">
        <v>43860.593078703707</v>
      </c>
      <c r="AH127" s="244">
        <f>COUNTIF('ENV Tract Status Report'!$A$6:$A$131,SP_EnvTract_DB[[#This Row],[Environmental Tract No.]])</f>
        <v>1</v>
      </c>
    </row>
    <row r="128" spans="1:34" ht="15" x14ac:dyDescent="0.2">
      <c r="A128" s="260">
        <f>SUBTOTAL(103,SP_EnvTract_DB[Environmental Tract No.])</f>
        <v>126</v>
      </c>
      <c r="B128" s="259"/>
      <c r="C128" s="265"/>
      <c r="D128" s="259"/>
      <c r="E128" s="259"/>
      <c r="F128" s="259"/>
      <c r="G128" s="259"/>
      <c r="H128" s="259"/>
      <c r="I128" s="259"/>
      <c r="J128" s="259"/>
      <c r="K128" s="259"/>
      <c r="L128" s="259"/>
      <c r="M128" s="259"/>
      <c r="N128" s="259"/>
      <c r="O128" s="259"/>
      <c r="P128" s="259"/>
      <c r="Q128" s="259"/>
      <c r="R128" s="259"/>
      <c r="S128" s="259"/>
      <c r="T128" s="259"/>
      <c r="U128" s="259"/>
      <c r="V128" s="259"/>
      <c r="W128" s="259"/>
      <c r="X128" s="259"/>
      <c r="Y128" s="265"/>
      <c r="Z128" s="259"/>
      <c r="AA128" s="259"/>
      <c r="AB128" s="259"/>
      <c r="AC128" s="259"/>
      <c r="AD128" s="259"/>
      <c r="AE128" s="259"/>
      <c r="AF128" s="259"/>
      <c r="AG128" s="259"/>
      <c r="AH128" s="266">
        <f>SUBTOTAL(109,SP_EnvTract_DB[Count in Env Tract Status Report])</f>
        <v>126</v>
      </c>
    </row>
  </sheetData>
  <pageMargins left="0.7" right="0.7" top="0.75" bottom="0.75" header="0.3" footer="0.3"/>
  <pageSetup orientation="portrait" horizontalDpi="1200" verticalDpi="1200" r:id="rId1"/>
  <tableParts count="1">
    <tablePart r:id="rId2"/>
  </tableParts>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5">
    <tabColor theme="4" tint="-0.249977111117893"/>
  </sheetPr>
  <dimension ref="A1:CN141"/>
  <sheetViews>
    <sheetView workbookViewId="0">
      <pane xSplit="3" ySplit="1" topLeftCell="D26" activePane="bottomRight" state="frozen"/>
      <selection pane="topRight" activeCell="D1" sqref="D1"/>
      <selection pane="bottomLeft" activeCell="A2" sqref="A2"/>
      <selection pane="bottomRight" activeCell="B95" sqref="B95:R95"/>
    </sheetView>
  </sheetViews>
  <sheetFormatPr defaultRowHeight="19.5" customHeight="1" outlineLevelCol="1" x14ac:dyDescent="0.2"/>
  <cols>
    <col min="1" max="1" width="13.5703125" customWidth="1"/>
    <col min="2" max="2" width="15.5703125" customWidth="1"/>
    <col min="3" max="3" width="7.140625" customWidth="1"/>
    <col min="4" max="4" width="10.85546875" customWidth="1" outlineLevel="1"/>
    <col min="5" max="5" width="10.85546875" customWidth="1"/>
    <col min="7" max="7" width="15.42578125" customWidth="1"/>
    <col min="8" max="8" width="9.5703125" customWidth="1"/>
    <col min="9" max="9" width="16.42578125" customWidth="1"/>
    <col min="10" max="10" width="26.5703125" customWidth="1"/>
    <col min="11" max="11" width="23.5703125" customWidth="1" outlineLevel="1"/>
    <col min="12" max="12" width="12.5703125" customWidth="1" outlineLevel="1"/>
    <col min="13" max="13" width="9.42578125" customWidth="1" outlineLevel="1"/>
    <col min="14" max="14" width="12.85546875" customWidth="1"/>
    <col min="15" max="15" width="8.42578125" customWidth="1" outlineLevel="1"/>
    <col min="16" max="16" width="8.5703125" customWidth="1" outlineLevel="1"/>
    <col min="17" max="17" width="9.42578125" customWidth="1"/>
    <col min="18" max="18" width="12.7109375" customWidth="1" outlineLevel="1"/>
    <col min="19" max="19" width="9.140625" customWidth="1" outlineLevel="1"/>
    <col min="20" max="20" width="10.140625" customWidth="1"/>
    <col min="21" max="24" width="10.5703125" customWidth="1" outlineLevel="1"/>
    <col min="25" max="25" width="10.42578125" customWidth="1" outlineLevel="1"/>
    <col min="26" max="26" width="8" customWidth="1" outlineLevel="1"/>
    <col min="27" max="27" width="7.5703125" customWidth="1" outlineLevel="1"/>
    <col min="28" max="28" width="9.85546875" customWidth="1" outlineLevel="1"/>
    <col min="29" max="29" width="18.5703125" customWidth="1"/>
    <col min="30" max="30" width="10.42578125" customWidth="1" outlineLevel="1"/>
    <col min="31" max="31" width="12.42578125" customWidth="1"/>
    <col min="32" max="32" width="10.42578125" customWidth="1" outlineLevel="1"/>
    <col min="33" max="33" width="13" customWidth="1"/>
    <col min="34" max="34" width="85.42578125" customWidth="1" outlineLevel="1"/>
    <col min="35" max="35" width="6.42578125" customWidth="1"/>
    <col min="36" max="36" width="5" customWidth="1"/>
    <col min="37" max="37" width="11.5703125" customWidth="1"/>
    <col min="38" max="38" width="13.28515625" customWidth="1"/>
    <col min="39" max="39" width="16.42578125" customWidth="1"/>
    <col min="40" max="40" width="13.28515625" customWidth="1"/>
    <col min="41" max="43" width="11" bestFit="1" customWidth="1"/>
    <col min="44" max="44" width="13.5703125" bestFit="1" customWidth="1"/>
    <col min="45" max="45" width="9.85546875" customWidth="1"/>
    <col min="46" max="46" width="12" customWidth="1"/>
    <col min="47" max="47" width="6.85546875" customWidth="1"/>
    <col min="48" max="48" width="7.140625" customWidth="1"/>
    <col min="49" max="49" width="6.28515625" customWidth="1"/>
    <col min="50" max="50" width="7.28515625" customWidth="1"/>
    <col min="51" max="51" width="8" customWidth="1"/>
    <col min="52" max="52" width="15.5703125" customWidth="1" collapsed="1"/>
    <col min="53" max="53" width="7" customWidth="1"/>
    <col min="54" max="54" width="14.42578125" bestFit="1" customWidth="1"/>
    <col min="55" max="55" width="33.42578125" bestFit="1" customWidth="1"/>
    <col min="56" max="56" width="22.42578125" bestFit="1" customWidth="1"/>
    <col min="57" max="57" width="14.7109375" bestFit="1" customWidth="1"/>
    <col min="58" max="60" width="33.42578125" bestFit="1" customWidth="1"/>
    <col min="61" max="61" width="19.85546875" bestFit="1" customWidth="1"/>
    <col min="62" max="62" width="21" bestFit="1" customWidth="1"/>
    <col min="63" max="63" width="8.85546875" bestFit="1" customWidth="1"/>
    <col min="64" max="67" width="33.42578125" bestFit="1" customWidth="1"/>
    <col min="68" max="68" width="30" bestFit="1" customWidth="1"/>
    <col min="69" max="69" width="33.42578125" bestFit="1" customWidth="1"/>
    <col min="70" max="70" width="15.42578125" bestFit="1" customWidth="1"/>
    <col min="71" max="71" width="13.5703125" bestFit="1" customWidth="1"/>
    <col min="72" max="72" width="14" bestFit="1" customWidth="1"/>
    <col min="73" max="73" width="20" bestFit="1" customWidth="1"/>
    <col min="74" max="74" width="14.42578125" bestFit="1" customWidth="1"/>
    <col min="75" max="75" width="15.28515625" bestFit="1" customWidth="1"/>
    <col min="76" max="76" width="21.42578125" bestFit="1" customWidth="1"/>
    <col min="77" max="77" width="25.85546875" bestFit="1" customWidth="1"/>
    <col min="78" max="78" width="22.28515625" bestFit="1" customWidth="1"/>
    <col min="79" max="79" width="19.5703125" bestFit="1" customWidth="1"/>
    <col min="80" max="80" width="15" bestFit="1" customWidth="1"/>
    <col min="81" max="81" width="33.42578125" bestFit="1" customWidth="1"/>
    <col min="82" max="82" width="16.42578125" bestFit="1" customWidth="1"/>
    <col min="83" max="83" width="14.140625" bestFit="1" customWidth="1"/>
    <col min="84" max="84" width="29.28515625" bestFit="1" customWidth="1"/>
    <col min="85" max="85" width="9.5703125" bestFit="1" customWidth="1"/>
    <col min="86" max="86" width="6.7109375" bestFit="1" customWidth="1"/>
    <col min="87" max="87" width="22.7109375" bestFit="1" customWidth="1"/>
    <col min="88" max="88" width="14.7109375" bestFit="1" customWidth="1"/>
    <col min="89" max="89" width="17" bestFit="1" customWidth="1"/>
    <col min="90" max="90" width="15.85546875" bestFit="1" customWidth="1"/>
    <col min="91" max="94" width="33.42578125" bestFit="1" customWidth="1"/>
    <col min="95" max="95" width="12.28515625" bestFit="1" customWidth="1"/>
    <col min="96" max="96" width="30" bestFit="1" customWidth="1"/>
  </cols>
  <sheetData>
    <row r="1" spans="1:92" ht="57.75" customHeight="1" x14ac:dyDescent="0.2">
      <c r="A1" s="10" t="s">
        <v>1281</v>
      </c>
      <c r="B1" s="2" t="s">
        <v>1258</v>
      </c>
      <c r="C1" s="2" t="s">
        <v>70</v>
      </c>
      <c r="D1" s="2" t="s">
        <v>68</v>
      </c>
      <c r="E1" s="2" t="s">
        <v>69</v>
      </c>
      <c r="F1" s="2" t="s">
        <v>9</v>
      </c>
      <c r="G1" s="2" t="s">
        <v>1</v>
      </c>
      <c r="H1" s="2" t="s">
        <v>71</v>
      </c>
      <c r="I1" s="2" t="s">
        <v>1295</v>
      </c>
      <c r="J1" s="2" t="s">
        <v>2</v>
      </c>
      <c r="K1" s="51" t="s">
        <v>1733</v>
      </c>
      <c r="L1" s="2" t="s">
        <v>1296</v>
      </c>
      <c r="M1" s="2" t="s">
        <v>10</v>
      </c>
      <c r="N1" s="2" t="s">
        <v>11</v>
      </c>
      <c r="O1" s="58" t="s">
        <v>1389</v>
      </c>
      <c r="P1" s="51" t="s">
        <v>1724</v>
      </c>
      <c r="Q1" s="51" t="s">
        <v>14</v>
      </c>
      <c r="R1" s="51" t="s">
        <v>12</v>
      </c>
      <c r="S1" s="51" t="s">
        <v>16</v>
      </c>
      <c r="T1" s="51" t="s">
        <v>15</v>
      </c>
      <c r="U1" s="51" t="s">
        <v>1388</v>
      </c>
      <c r="V1" s="2" t="s">
        <v>13</v>
      </c>
      <c r="W1" s="2" t="s">
        <v>4931</v>
      </c>
      <c r="X1" s="2" t="s">
        <v>4932</v>
      </c>
      <c r="Y1" s="51" t="s">
        <v>1728</v>
      </c>
      <c r="Z1" s="51" t="s">
        <v>1277</v>
      </c>
      <c r="AA1" s="51" t="s">
        <v>8</v>
      </c>
      <c r="AB1" s="51" t="s">
        <v>7</v>
      </c>
      <c r="AC1" s="2" t="s">
        <v>3361</v>
      </c>
      <c r="AD1" s="51" t="s">
        <v>18</v>
      </c>
      <c r="AE1" s="51" t="s">
        <v>19</v>
      </c>
      <c r="AF1" s="51" t="s">
        <v>17</v>
      </c>
      <c r="AG1" s="51" t="s">
        <v>20</v>
      </c>
      <c r="AH1" s="2" t="s">
        <v>0</v>
      </c>
      <c r="AI1" s="212" t="s">
        <v>588</v>
      </c>
      <c r="AJ1" s="212" t="s">
        <v>21</v>
      </c>
      <c r="AK1" s="212" t="s">
        <v>3511</v>
      </c>
      <c r="AL1" s="212" t="s">
        <v>4747</v>
      </c>
      <c r="AM1" s="212" t="s">
        <v>4749</v>
      </c>
      <c r="AN1" s="212" t="s">
        <v>4941</v>
      </c>
      <c r="AO1" s="212" t="s">
        <v>4942</v>
      </c>
      <c r="AP1" s="212" t="s">
        <v>5874</v>
      </c>
      <c r="AQ1" s="217" t="s">
        <v>5875</v>
      </c>
      <c r="AR1" s="162" t="s">
        <v>3500</v>
      </c>
      <c r="AS1" s="51" t="s">
        <v>1384</v>
      </c>
      <c r="AT1" s="51" t="s">
        <v>1383</v>
      </c>
      <c r="AU1" s="51" t="s">
        <v>4694</v>
      </c>
    </row>
    <row r="2" spans="1:92" ht="25.5" x14ac:dyDescent="0.2">
      <c r="A2" s="6" t="s">
        <v>24</v>
      </c>
      <c r="B2" s="12" t="s">
        <v>5876</v>
      </c>
      <c r="C2" s="7" t="s">
        <v>1811</v>
      </c>
      <c r="D2" s="52" t="s">
        <v>1255</v>
      </c>
      <c r="E2" s="52" t="s">
        <v>5012</v>
      </c>
      <c r="F2" s="52" t="s">
        <v>4940</v>
      </c>
      <c r="G2" s="8" t="s">
        <v>74</v>
      </c>
      <c r="H2" s="8"/>
      <c r="I2" s="8" t="s">
        <v>75</v>
      </c>
      <c r="J2" s="8" t="s">
        <v>4516</v>
      </c>
      <c r="K2" s="8" t="s">
        <v>1353</v>
      </c>
      <c r="L2" s="8" t="s">
        <v>79</v>
      </c>
      <c r="M2" s="8" t="s">
        <v>81</v>
      </c>
      <c r="N2" s="8" t="s">
        <v>82</v>
      </c>
      <c r="O2" s="57">
        <v>43670</v>
      </c>
      <c r="P2" s="7" t="s">
        <v>1665</v>
      </c>
      <c r="Q2" s="3" t="s">
        <v>5013</v>
      </c>
      <c r="R2" s="16">
        <v>43957</v>
      </c>
      <c r="S2" s="5">
        <v>61.080004591368201</v>
      </c>
      <c r="T2" s="4">
        <v>2660645</v>
      </c>
      <c r="U2" s="57">
        <v>43693</v>
      </c>
      <c r="V2" s="8" t="s">
        <v>1725</v>
      </c>
      <c r="W2" s="8"/>
      <c r="X2" s="8"/>
      <c r="Y2" s="8" t="s">
        <v>1736</v>
      </c>
      <c r="Z2" s="8" t="s">
        <v>1278</v>
      </c>
      <c r="AA2" s="7"/>
      <c r="AB2" s="7" t="s">
        <v>4343</v>
      </c>
      <c r="AC2" s="8" t="s">
        <v>1298</v>
      </c>
      <c r="AD2" s="8" t="s">
        <v>4206</v>
      </c>
      <c r="AE2" s="26">
        <v>43991.511550925927</v>
      </c>
      <c r="AF2" s="8" t="s">
        <v>23</v>
      </c>
      <c r="AG2" s="26">
        <v>43682.623194444444</v>
      </c>
      <c r="AH2" s="1" t="s">
        <v>5877</v>
      </c>
      <c r="AI2" s="216">
        <v>1</v>
      </c>
      <c r="AJ2" s="216" t="s">
        <v>4939</v>
      </c>
      <c r="AK2" s="216" t="s">
        <v>3512</v>
      </c>
      <c r="AL2" s="216" t="s">
        <v>4869</v>
      </c>
      <c r="AM2" s="216" t="s">
        <v>27</v>
      </c>
      <c r="AN2" s="216">
        <v>6</v>
      </c>
      <c r="AO2" s="230"/>
      <c r="AP2" s="230"/>
      <c r="AQ2" s="230"/>
      <c r="AR2" s="188" t="str">
        <f>IF(SP_AcqTract_DB[[#This Row],[Count '# in TaxID]]=1,LEFT(SP_AcqTract_DB[[#This Row],[WCAD Tax Parcel ID]],7),IF(SP_AcqTract_DB[[#This Row],[Count '# in TaxID]]=2,CONCATENATE(LEFT(SP_AcqTract_DB[[#This Row],[WCAD Tax Parcel ID]],7),";",MID(SP_AcqTract_DB[[#This Row],[WCAD Tax Parcel ID]],FIND("#",SP_AcqTract_DB[[#This Row],[WCAD Tax Parcel ID]],10)+1,7)),IF(SP_AcqTract_DB[[#This Row],[Count '# in TaxID]]&gt;2,CONCATENATE(LEFT(SP_AcqTract_DB[[#This Row],[WCAD Tax Parcel ID]],7),";",MID(SP_AcqTract_DB[[#This Row],[WCAD Tax Parcel ID]],FIND("#",SP_AcqTract_DB[[#This Row],[WCAD Tax Parcel ID]],10)+1,7),";",MID(SP_AcqTract_DB[[#This Row],[WCAD Tax Parcel ID]],FIND("#",SP_AcqTract_DB[[#This Row],[WCAD Tax Parcel ID]],23)+1,7)),"")))</f>
        <v>R068875;R068876</v>
      </c>
      <c r="AS2" s="54">
        <f>IF(SP_AcqTract_DB[[#This Row],[WCAD Tax Parcel ID]]="",0,(LEN(SP_AcqTract_DB[[#This Row],[WCAD Tax Parcel ID]])-LEN(SUBSTITUTE(SP_AcqTract_DB[[#This Row],[WCAD Tax Parcel ID]],"#",""))+1)/2)</f>
        <v>2</v>
      </c>
      <c r="AT2" s="190">
        <f>IF(SP_AcqTract_DB[[#This Row],[WCAD Tax Parcel ID]]="",0,COUNTIF(SP_TaxPar_DB[Acquisition Tract No.],SP_AcqTract_DB[[#This Row],[Acquisition Tract No.]]))</f>
        <v>2</v>
      </c>
      <c r="AU2" s="189">
        <f>COUNTIF(ACQStatus_ACQTNo.,SP_AcqTract_DB[[#This Row],[Acquisition Tract No.]])</f>
        <v>1</v>
      </c>
      <c r="AX2" s="111"/>
      <c r="AY2" s="1"/>
      <c r="AZ2" s="111"/>
      <c r="BA2" s="211"/>
      <c r="BE2" s="111"/>
      <c r="BF2" s="111"/>
      <c r="BG2" s="111"/>
      <c r="BH2" s="111"/>
      <c r="BI2" s="111"/>
      <c r="BJ2" s="111"/>
      <c r="BK2" s="111"/>
      <c r="BL2" s="111"/>
      <c r="BM2" s="111"/>
      <c r="BN2" s="213"/>
      <c r="BO2" s="111"/>
      <c r="BP2" s="111"/>
      <c r="BQ2" s="213"/>
      <c r="BR2" s="173"/>
      <c r="BS2" s="214"/>
      <c r="BV2" s="213"/>
      <c r="BW2" s="111"/>
      <c r="BX2" s="111"/>
      <c r="BY2" s="1"/>
      <c r="BZ2" s="111"/>
      <c r="CA2" s="111"/>
      <c r="CC2" s="111"/>
      <c r="CD2" s="111"/>
      <c r="CE2" s="111"/>
      <c r="CF2" s="215"/>
      <c r="CG2" s="211"/>
      <c r="CH2" s="215"/>
      <c r="CM2" s="111"/>
      <c r="CN2" s="111"/>
    </row>
    <row r="3" spans="1:92" ht="15" x14ac:dyDescent="0.2">
      <c r="A3" s="6" t="s">
        <v>4635</v>
      </c>
      <c r="B3" s="12" t="s">
        <v>22</v>
      </c>
      <c r="C3" s="7" t="s">
        <v>1811</v>
      </c>
      <c r="D3" s="52" t="s">
        <v>1255</v>
      </c>
      <c r="E3" s="52" t="s">
        <v>5014</v>
      </c>
      <c r="F3" s="52"/>
      <c r="G3" s="8" t="s">
        <v>4636</v>
      </c>
      <c r="H3" s="8" t="s">
        <v>4636</v>
      </c>
      <c r="I3" s="8" t="s">
        <v>4636</v>
      </c>
      <c r="J3" s="8"/>
      <c r="K3" s="8"/>
      <c r="L3" s="8"/>
      <c r="M3" s="8"/>
      <c r="N3" s="8" t="s">
        <v>6428</v>
      </c>
      <c r="O3" s="57"/>
      <c r="P3" s="7"/>
      <c r="Q3" s="3" t="s">
        <v>5013</v>
      </c>
      <c r="R3" s="16"/>
      <c r="S3" s="5">
        <v>0</v>
      </c>
      <c r="T3" s="4"/>
      <c r="U3" s="57">
        <v>43922</v>
      </c>
      <c r="V3" s="8" t="s">
        <v>1725</v>
      </c>
      <c r="W3" s="8"/>
      <c r="X3" s="8"/>
      <c r="Y3" s="8"/>
      <c r="Z3" s="8"/>
      <c r="AA3" s="7"/>
      <c r="AB3" s="7"/>
      <c r="AC3" s="8" t="s">
        <v>4637</v>
      </c>
      <c r="AD3" s="8" t="s">
        <v>4206</v>
      </c>
      <c r="AE3" s="26">
        <v>44004.451018518521</v>
      </c>
      <c r="AF3" s="8" t="s">
        <v>4205</v>
      </c>
      <c r="AG3" s="26">
        <v>43910.665219907409</v>
      </c>
      <c r="AH3" s="1" t="s">
        <v>4644</v>
      </c>
      <c r="AI3" s="216">
        <v>61</v>
      </c>
      <c r="AJ3" s="216" t="s">
        <v>4939</v>
      </c>
      <c r="AK3" s="216" t="s">
        <v>3512</v>
      </c>
      <c r="AL3" s="216" t="s">
        <v>4869</v>
      </c>
      <c r="AM3" s="216" t="s">
        <v>27</v>
      </c>
      <c r="AN3" s="216">
        <v>3</v>
      </c>
      <c r="AO3" s="230"/>
      <c r="AP3" s="230"/>
      <c r="AQ3" s="230"/>
      <c r="AR3" s="188" t="str">
        <f>IF(SP_AcqTract_DB[[#This Row],[Count '# in TaxID]]=1,LEFT(SP_AcqTract_DB[[#This Row],[WCAD Tax Parcel ID]],7),IF(SP_AcqTract_DB[[#This Row],[Count '# in TaxID]]=2,CONCATENATE(LEFT(SP_AcqTract_DB[[#This Row],[WCAD Tax Parcel ID]],7),";",MID(SP_AcqTract_DB[[#This Row],[WCAD Tax Parcel ID]],FIND("#",SP_AcqTract_DB[[#This Row],[WCAD Tax Parcel ID]],10)+1,7)),IF(SP_AcqTract_DB[[#This Row],[Count '# in TaxID]]&gt;2,CONCATENATE(LEFT(SP_AcqTract_DB[[#This Row],[WCAD Tax Parcel ID]],7),";",MID(SP_AcqTract_DB[[#This Row],[WCAD Tax Parcel ID]],FIND("#",SP_AcqTract_DB[[#This Row],[WCAD Tax Parcel ID]],10)+1,7),";",MID(SP_AcqTract_DB[[#This Row],[WCAD Tax Parcel ID]],FIND("#",SP_AcqTract_DB[[#This Row],[WCAD Tax Parcel ID]],23)+1,7)),"")))</f>
        <v/>
      </c>
      <c r="AS3" s="54">
        <f>IF(SP_AcqTract_DB[[#This Row],[WCAD Tax Parcel ID]]="",0,(LEN(SP_AcqTract_DB[[#This Row],[WCAD Tax Parcel ID]])-LEN(SUBSTITUTE(SP_AcqTract_DB[[#This Row],[WCAD Tax Parcel ID]],"#",""))+1)/2)</f>
        <v>0</v>
      </c>
      <c r="AT3" s="190">
        <f>IF(SP_AcqTract_DB[[#This Row],[WCAD Tax Parcel ID]]="",0,COUNTIF(SP_TaxPar_DB[Acquisition Tract No.],SP_AcqTract_DB[[#This Row],[Acquisition Tract No.]]))</f>
        <v>0</v>
      </c>
      <c r="AU3" s="189">
        <f>COUNTIF(ACQStatus_ACQTNo.,SP_AcqTract_DB[[#This Row],[Acquisition Tract No.]])</f>
        <v>1</v>
      </c>
      <c r="AX3" s="111"/>
      <c r="AY3" s="1"/>
      <c r="AZ3" s="111"/>
      <c r="BA3" s="211"/>
      <c r="BE3" s="111"/>
      <c r="BF3" s="111"/>
      <c r="BG3" s="111"/>
      <c r="BH3" s="111"/>
      <c r="BI3" s="111"/>
      <c r="BJ3" s="111"/>
      <c r="BK3" s="111"/>
      <c r="BL3" s="111"/>
      <c r="BM3" s="111"/>
      <c r="BN3" s="213"/>
      <c r="BO3" s="111"/>
      <c r="BP3" s="111"/>
      <c r="BQ3" s="213"/>
      <c r="BR3" s="173"/>
      <c r="BS3" s="214"/>
      <c r="BV3" s="213"/>
      <c r="BW3" s="111"/>
      <c r="BX3" s="111"/>
      <c r="BY3" s="1"/>
      <c r="BZ3" s="111"/>
      <c r="CA3" s="111"/>
      <c r="CC3" s="111"/>
      <c r="CD3" s="111"/>
      <c r="CE3" s="111"/>
      <c r="CF3" s="215"/>
      <c r="CG3" s="211"/>
      <c r="CH3" s="215"/>
      <c r="CM3" s="111"/>
      <c r="CN3" s="111"/>
    </row>
    <row r="4" spans="1:92" ht="15" x14ac:dyDescent="0.2">
      <c r="A4" s="6" t="s">
        <v>3028</v>
      </c>
      <c r="B4" s="12" t="s">
        <v>22</v>
      </c>
      <c r="C4" s="7" t="s">
        <v>1811</v>
      </c>
      <c r="D4" s="52" t="s">
        <v>1255</v>
      </c>
      <c r="E4" s="52" t="s">
        <v>5015</v>
      </c>
      <c r="F4" s="52"/>
      <c r="G4" s="8" t="s">
        <v>4636</v>
      </c>
      <c r="H4" s="8" t="s">
        <v>4636</v>
      </c>
      <c r="I4" s="8" t="s">
        <v>4636</v>
      </c>
      <c r="J4" s="8"/>
      <c r="K4" s="8"/>
      <c r="L4" s="8"/>
      <c r="M4" s="8"/>
      <c r="N4" s="8"/>
      <c r="O4" s="57"/>
      <c r="P4" s="7"/>
      <c r="Q4" s="3" t="s">
        <v>5013</v>
      </c>
      <c r="R4" s="16">
        <v>43994</v>
      </c>
      <c r="S4" s="5">
        <v>4.7910927456382001E-2</v>
      </c>
      <c r="T4" s="4">
        <v>2087</v>
      </c>
      <c r="U4" s="57">
        <v>43922</v>
      </c>
      <c r="V4" s="8" t="s">
        <v>1725</v>
      </c>
      <c r="W4" s="8"/>
      <c r="X4" s="8"/>
      <c r="Y4" s="8"/>
      <c r="Z4" s="8"/>
      <c r="AA4" s="7"/>
      <c r="AB4" s="7"/>
      <c r="AC4" s="8" t="s">
        <v>4715</v>
      </c>
      <c r="AD4" s="8" t="s">
        <v>4206</v>
      </c>
      <c r="AE4" s="26">
        <v>43994.564895833333</v>
      </c>
      <c r="AF4" s="8" t="s">
        <v>4206</v>
      </c>
      <c r="AG4" s="26">
        <v>43930.689166666663</v>
      </c>
      <c r="AH4" s="1" t="s">
        <v>79</v>
      </c>
      <c r="AI4" s="216">
        <v>67</v>
      </c>
      <c r="AJ4" s="216" t="s">
        <v>4939</v>
      </c>
      <c r="AK4" s="216" t="s">
        <v>3512</v>
      </c>
      <c r="AL4" s="216" t="s">
        <v>4869</v>
      </c>
      <c r="AM4" s="216" t="s">
        <v>27</v>
      </c>
      <c r="AN4" s="216">
        <v>1</v>
      </c>
      <c r="AO4" s="230"/>
      <c r="AP4" s="230"/>
      <c r="AQ4" s="230"/>
      <c r="AR4" s="188" t="str">
        <f>IF(SP_AcqTract_DB[[#This Row],[Count '# in TaxID]]=1,LEFT(SP_AcqTract_DB[[#This Row],[WCAD Tax Parcel ID]],7),IF(SP_AcqTract_DB[[#This Row],[Count '# in TaxID]]=2,CONCATENATE(LEFT(SP_AcqTract_DB[[#This Row],[WCAD Tax Parcel ID]],7),";",MID(SP_AcqTract_DB[[#This Row],[WCAD Tax Parcel ID]],FIND("#",SP_AcqTract_DB[[#This Row],[WCAD Tax Parcel ID]],10)+1,7)),IF(SP_AcqTract_DB[[#This Row],[Count '# in TaxID]]&gt;2,CONCATENATE(LEFT(SP_AcqTract_DB[[#This Row],[WCAD Tax Parcel ID]],7),";",MID(SP_AcqTract_DB[[#This Row],[WCAD Tax Parcel ID]],FIND("#",SP_AcqTract_DB[[#This Row],[WCAD Tax Parcel ID]],10)+1,7),";",MID(SP_AcqTract_DB[[#This Row],[WCAD Tax Parcel ID]],FIND("#",SP_AcqTract_DB[[#This Row],[WCAD Tax Parcel ID]],23)+1,7)),"")))</f>
        <v/>
      </c>
      <c r="AS4" s="54">
        <f>IF(SP_AcqTract_DB[[#This Row],[WCAD Tax Parcel ID]]="",0,(LEN(SP_AcqTract_DB[[#This Row],[WCAD Tax Parcel ID]])-LEN(SUBSTITUTE(SP_AcqTract_DB[[#This Row],[WCAD Tax Parcel ID]],"#",""))+1)/2)</f>
        <v>0</v>
      </c>
      <c r="AT4" s="190">
        <f>IF(SP_AcqTract_DB[[#This Row],[WCAD Tax Parcel ID]]="",0,COUNTIF(SP_TaxPar_DB[Acquisition Tract No.],SP_AcqTract_DB[[#This Row],[Acquisition Tract No.]]))</f>
        <v>0</v>
      </c>
      <c r="AU4" s="189">
        <f>COUNTIF(ACQStatus_ACQTNo.,SP_AcqTract_DB[[#This Row],[Acquisition Tract No.]])</f>
        <v>1</v>
      </c>
      <c r="AX4" s="111"/>
      <c r="AY4" s="1"/>
      <c r="AZ4" s="111"/>
      <c r="BA4" s="211"/>
      <c r="BE4" s="111"/>
      <c r="BF4" s="111"/>
      <c r="BG4" s="111"/>
      <c r="BH4" s="111"/>
      <c r="BI4" s="111"/>
      <c r="BJ4" s="111"/>
      <c r="BK4" s="111"/>
      <c r="BL4" s="111"/>
      <c r="BM4" s="111"/>
      <c r="BN4" s="213"/>
      <c r="BO4" s="111"/>
      <c r="BP4" s="111"/>
      <c r="BQ4" s="213"/>
      <c r="BR4" s="173"/>
      <c r="BS4" s="214"/>
      <c r="BV4" s="213"/>
      <c r="BW4" s="111"/>
      <c r="BX4" s="111"/>
      <c r="BY4" s="1"/>
      <c r="BZ4" s="111"/>
      <c r="CA4" s="111"/>
      <c r="CC4" s="111"/>
      <c r="CD4" s="111"/>
      <c r="CE4" s="111"/>
      <c r="CF4" s="215"/>
      <c r="CG4" s="211"/>
      <c r="CH4" s="215"/>
      <c r="CM4" s="111"/>
      <c r="CN4" s="111"/>
    </row>
    <row r="5" spans="1:92" ht="15" x14ac:dyDescent="0.2">
      <c r="A5" s="6" t="s">
        <v>28</v>
      </c>
      <c r="B5" s="12" t="s">
        <v>85</v>
      </c>
      <c r="C5" s="7" t="s">
        <v>1811</v>
      </c>
      <c r="D5" s="52" t="s">
        <v>1255</v>
      </c>
      <c r="E5" s="52" t="s">
        <v>5016</v>
      </c>
      <c r="F5" s="52" t="s">
        <v>1809</v>
      </c>
      <c r="G5" s="8" t="s">
        <v>83</v>
      </c>
      <c r="H5" s="8"/>
      <c r="I5" s="8" t="s">
        <v>4716</v>
      </c>
      <c r="J5" s="8" t="s">
        <v>4717</v>
      </c>
      <c r="K5" s="8" t="s">
        <v>4718</v>
      </c>
      <c r="L5" s="8" t="s">
        <v>86</v>
      </c>
      <c r="M5" s="8" t="s">
        <v>81</v>
      </c>
      <c r="N5" s="8" t="s">
        <v>87</v>
      </c>
      <c r="O5" s="57">
        <v>43670</v>
      </c>
      <c r="P5" s="7" t="s">
        <v>1299</v>
      </c>
      <c r="Q5" s="3" t="s">
        <v>4344</v>
      </c>
      <c r="R5" s="16">
        <v>43914</v>
      </c>
      <c r="S5" s="5">
        <v>26.5839990817264</v>
      </c>
      <c r="T5" s="4">
        <v>1157999</v>
      </c>
      <c r="U5" s="57">
        <v>43689</v>
      </c>
      <c r="V5" s="8" t="s">
        <v>1726</v>
      </c>
      <c r="W5" s="8"/>
      <c r="X5" s="8"/>
      <c r="Y5" s="8" t="s">
        <v>1737</v>
      </c>
      <c r="Z5" s="8" t="s">
        <v>1278</v>
      </c>
      <c r="AA5" s="7"/>
      <c r="AB5" s="7" t="s">
        <v>4342</v>
      </c>
      <c r="AC5" s="8" t="s">
        <v>1300</v>
      </c>
      <c r="AD5" s="8" t="s">
        <v>4206</v>
      </c>
      <c r="AE5" s="26">
        <v>43994.555185185185</v>
      </c>
      <c r="AF5" s="8" t="s">
        <v>23</v>
      </c>
      <c r="AG5" s="26">
        <v>43682.623194444444</v>
      </c>
      <c r="AH5" s="1" t="s">
        <v>234</v>
      </c>
      <c r="AI5" s="216">
        <v>2</v>
      </c>
      <c r="AJ5" s="216" t="s">
        <v>4939</v>
      </c>
      <c r="AK5" s="216" t="s">
        <v>3512</v>
      </c>
      <c r="AL5" s="216" t="s">
        <v>4869</v>
      </c>
      <c r="AM5" s="216" t="s">
        <v>27</v>
      </c>
      <c r="AN5" s="216">
        <v>3</v>
      </c>
      <c r="AO5" s="230">
        <v>43935</v>
      </c>
      <c r="AP5" s="230">
        <v>43994</v>
      </c>
      <c r="AQ5" s="230"/>
      <c r="AR5" s="188" t="str">
        <f>IF(SP_AcqTract_DB[[#This Row],[Count '# in TaxID]]=1,LEFT(SP_AcqTract_DB[[#This Row],[WCAD Tax Parcel ID]],7),IF(SP_AcqTract_DB[[#This Row],[Count '# in TaxID]]=2,CONCATENATE(LEFT(SP_AcqTract_DB[[#This Row],[WCAD Tax Parcel ID]],7),";",MID(SP_AcqTract_DB[[#This Row],[WCAD Tax Parcel ID]],FIND("#",SP_AcqTract_DB[[#This Row],[WCAD Tax Parcel ID]],10)+1,7)),IF(SP_AcqTract_DB[[#This Row],[Count '# in TaxID]]&gt;2,CONCATENATE(LEFT(SP_AcqTract_DB[[#This Row],[WCAD Tax Parcel ID]],7),";",MID(SP_AcqTract_DB[[#This Row],[WCAD Tax Parcel ID]],FIND("#",SP_AcqTract_DB[[#This Row],[WCAD Tax Parcel ID]],10)+1,7),";",MID(SP_AcqTract_DB[[#This Row],[WCAD Tax Parcel ID]],FIND("#",SP_AcqTract_DB[[#This Row],[WCAD Tax Parcel ID]],23)+1,7)),"")))</f>
        <v>R061083</v>
      </c>
      <c r="AS5" s="54">
        <f>IF(SP_AcqTract_DB[[#This Row],[WCAD Tax Parcel ID]]="",0,(LEN(SP_AcqTract_DB[[#This Row],[WCAD Tax Parcel ID]])-LEN(SUBSTITUTE(SP_AcqTract_DB[[#This Row],[WCAD Tax Parcel ID]],"#",""))+1)/2)</f>
        <v>1</v>
      </c>
      <c r="AT5" s="190">
        <f>IF(SP_AcqTract_DB[[#This Row],[WCAD Tax Parcel ID]]="",0,COUNTIF(SP_TaxPar_DB[Acquisition Tract No.],SP_AcqTract_DB[[#This Row],[Acquisition Tract No.]]))</f>
        <v>1</v>
      </c>
      <c r="AU5" s="189">
        <f>COUNTIF(ACQStatus_ACQTNo.,SP_AcqTract_DB[[#This Row],[Acquisition Tract No.]])</f>
        <v>1</v>
      </c>
      <c r="AX5" s="111"/>
      <c r="AY5" s="1"/>
      <c r="AZ5" s="111"/>
      <c r="BA5" s="211"/>
      <c r="BE5" s="111"/>
      <c r="BF5" s="111"/>
      <c r="BG5" s="111"/>
      <c r="BH5" s="111"/>
      <c r="BI5" s="111"/>
      <c r="BJ5" s="111"/>
      <c r="BK5" s="111"/>
      <c r="BL5" s="111"/>
      <c r="BM5" s="111"/>
      <c r="BN5" s="213"/>
      <c r="BO5" s="111"/>
      <c r="BP5" s="111"/>
      <c r="BQ5" s="213"/>
      <c r="BR5" s="173"/>
      <c r="BS5" s="214"/>
      <c r="BV5" s="213"/>
      <c r="BW5" s="111"/>
      <c r="BX5" s="111"/>
      <c r="BY5" s="1"/>
      <c r="BZ5" s="111"/>
      <c r="CA5" s="111"/>
      <c r="CC5" s="111"/>
      <c r="CD5" s="111"/>
      <c r="CE5" s="111"/>
      <c r="CF5" s="215"/>
      <c r="CG5" s="211"/>
      <c r="CH5" s="215"/>
      <c r="CM5" s="111"/>
      <c r="CN5" s="111"/>
    </row>
    <row r="6" spans="1:92" ht="15" x14ac:dyDescent="0.2">
      <c r="A6" s="6" t="s">
        <v>30</v>
      </c>
      <c r="B6" s="12" t="s">
        <v>88</v>
      </c>
      <c r="C6" s="7" t="s">
        <v>1811</v>
      </c>
      <c r="D6" s="52" t="s">
        <v>1255</v>
      </c>
      <c r="E6" s="52" t="s">
        <v>5017</v>
      </c>
      <c r="F6" s="52" t="s">
        <v>1809</v>
      </c>
      <c r="G6" s="8" t="s">
        <v>1812</v>
      </c>
      <c r="H6" s="8"/>
      <c r="I6" s="8" t="s">
        <v>1812</v>
      </c>
      <c r="J6" s="8" t="s">
        <v>1813</v>
      </c>
      <c r="K6" s="8" t="s">
        <v>1814</v>
      </c>
      <c r="L6" s="8" t="s">
        <v>1666</v>
      </c>
      <c r="M6" s="8" t="s">
        <v>81</v>
      </c>
      <c r="N6" s="8" t="s">
        <v>89</v>
      </c>
      <c r="O6" s="57">
        <v>43670</v>
      </c>
      <c r="P6" s="7" t="s">
        <v>1299</v>
      </c>
      <c r="Q6" s="3" t="s">
        <v>5013</v>
      </c>
      <c r="R6" s="16">
        <v>43994</v>
      </c>
      <c r="S6" s="5">
        <v>7.7747015610651999</v>
      </c>
      <c r="T6" s="4">
        <v>338666</v>
      </c>
      <c r="U6" s="57">
        <v>43704</v>
      </c>
      <c r="V6" s="8" t="s">
        <v>1726</v>
      </c>
      <c r="W6" s="8"/>
      <c r="X6" s="8"/>
      <c r="Y6" s="8"/>
      <c r="Z6" s="8" t="s">
        <v>1278</v>
      </c>
      <c r="AA6" s="7"/>
      <c r="AB6" s="7" t="s">
        <v>4342</v>
      </c>
      <c r="AC6" s="8" t="s">
        <v>1301</v>
      </c>
      <c r="AD6" s="8" t="s">
        <v>4206</v>
      </c>
      <c r="AE6" s="26">
        <v>43997.460694444446</v>
      </c>
      <c r="AF6" s="8" t="s">
        <v>23</v>
      </c>
      <c r="AG6" s="26">
        <v>43682.623194444444</v>
      </c>
      <c r="AH6" s="1" t="s">
        <v>1819</v>
      </c>
      <c r="AI6" s="216">
        <v>3</v>
      </c>
      <c r="AJ6" s="216" t="s">
        <v>4939</v>
      </c>
      <c r="AK6" s="216" t="s">
        <v>3512</v>
      </c>
      <c r="AL6" s="216" t="s">
        <v>27</v>
      </c>
      <c r="AM6" s="216" t="s">
        <v>27</v>
      </c>
      <c r="AN6" s="216">
        <v>4</v>
      </c>
      <c r="AO6" s="230"/>
      <c r="AP6" s="230"/>
      <c r="AQ6" s="230"/>
      <c r="AR6" s="188" t="str">
        <f>IF(SP_AcqTract_DB[[#This Row],[Count '# in TaxID]]=1,LEFT(SP_AcqTract_DB[[#This Row],[WCAD Tax Parcel ID]],7),IF(SP_AcqTract_DB[[#This Row],[Count '# in TaxID]]=2,CONCATENATE(LEFT(SP_AcqTract_DB[[#This Row],[WCAD Tax Parcel ID]],7),";",MID(SP_AcqTract_DB[[#This Row],[WCAD Tax Parcel ID]],FIND("#",SP_AcqTract_DB[[#This Row],[WCAD Tax Parcel ID]],10)+1,7)),IF(SP_AcqTract_DB[[#This Row],[Count '# in TaxID]]&gt;2,CONCATENATE(LEFT(SP_AcqTract_DB[[#This Row],[WCAD Tax Parcel ID]],7),";",MID(SP_AcqTract_DB[[#This Row],[WCAD Tax Parcel ID]],FIND("#",SP_AcqTract_DB[[#This Row],[WCAD Tax Parcel ID]],10)+1,7),";",MID(SP_AcqTract_DB[[#This Row],[WCAD Tax Parcel ID]],FIND("#",SP_AcqTract_DB[[#This Row],[WCAD Tax Parcel ID]],23)+1,7)),"")))</f>
        <v>R015961</v>
      </c>
      <c r="AS6" s="54">
        <f>IF(SP_AcqTract_DB[[#This Row],[WCAD Tax Parcel ID]]="",0,(LEN(SP_AcqTract_DB[[#This Row],[WCAD Tax Parcel ID]])-LEN(SUBSTITUTE(SP_AcqTract_DB[[#This Row],[WCAD Tax Parcel ID]],"#",""))+1)/2)</f>
        <v>1</v>
      </c>
      <c r="AT6" s="190">
        <f>IF(SP_AcqTract_DB[[#This Row],[WCAD Tax Parcel ID]]="",0,COUNTIF(SP_TaxPar_DB[Acquisition Tract No.],SP_AcqTract_DB[[#This Row],[Acquisition Tract No.]]))</f>
        <v>1</v>
      </c>
      <c r="AU6" s="189">
        <f>COUNTIF(ACQStatus_ACQTNo.,SP_AcqTract_DB[[#This Row],[Acquisition Tract No.]])</f>
        <v>1</v>
      </c>
      <c r="AX6" s="111"/>
      <c r="AY6" s="1"/>
      <c r="AZ6" s="111"/>
      <c r="BA6" s="211"/>
      <c r="BE6" s="111"/>
      <c r="BF6" s="111"/>
      <c r="BG6" s="111"/>
      <c r="BH6" s="111"/>
      <c r="BI6" s="111"/>
      <c r="BJ6" s="111"/>
      <c r="BK6" s="111"/>
      <c r="BL6" s="111"/>
      <c r="BM6" s="111"/>
      <c r="BN6" s="213"/>
      <c r="BO6" s="111"/>
      <c r="BP6" s="111"/>
      <c r="BQ6" s="213"/>
      <c r="BR6" s="173"/>
      <c r="BS6" s="214"/>
      <c r="BV6" s="213"/>
      <c r="BW6" s="111"/>
      <c r="BX6" s="111"/>
      <c r="BY6" s="1"/>
      <c r="BZ6" s="111"/>
      <c r="CA6" s="111"/>
      <c r="CC6" s="111"/>
      <c r="CD6" s="111"/>
      <c r="CE6" s="111"/>
      <c r="CF6" s="215"/>
      <c r="CG6" s="211"/>
      <c r="CH6" s="215"/>
      <c r="CM6" s="111"/>
      <c r="CN6" s="111"/>
    </row>
    <row r="7" spans="1:92" ht="15" x14ac:dyDescent="0.2">
      <c r="A7" s="6" t="s">
        <v>31</v>
      </c>
      <c r="B7" s="12" t="s">
        <v>620</v>
      </c>
      <c r="C7" s="7" t="s">
        <v>1811</v>
      </c>
      <c r="D7" s="52" t="s">
        <v>1255</v>
      </c>
      <c r="E7" s="52" t="s">
        <v>5018</v>
      </c>
      <c r="F7" s="52" t="s">
        <v>4940</v>
      </c>
      <c r="G7" s="8" t="s">
        <v>90</v>
      </c>
      <c r="H7" s="8" t="s">
        <v>1667</v>
      </c>
      <c r="I7" s="8" t="s">
        <v>1667</v>
      </c>
      <c r="J7" s="8" t="s">
        <v>488</v>
      </c>
      <c r="K7" s="8" t="s">
        <v>1729</v>
      </c>
      <c r="L7" s="8" t="s">
        <v>489</v>
      </c>
      <c r="M7" s="8" t="s">
        <v>81</v>
      </c>
      <c r="N7" s="8" t="s">
        <v>92</v>
      </c>
      <c r="O7" s="57">
        <v>43670</v>
      </c>
      <c r="P7" s="7" t="s">
        <v>1668</v>
      </c>
      <c r="Q7" s="3" t="s">
        <v>4344</v>
      </c>
      <c r="R7" s="16">
        <v>43927</v>
      </c>
      <c r="S7" s="5">
        <v>31.880004591368198</v>
      </c>
      <c r="T7" s="4">
        <v>1388693</v>
      </c>
      <c r="U7" s="57">
        <v>43693</v>
      </c>
      <c r="V7" s="8" t="s">
        <v>1727</v>
      </c>
      <c r="W7" s="8"/>
      <c r="X7" s="8"/>
      <c r="Y7" s="8" t="s">
        <v>1738</v>
      </c>
      <c r="Z7" s="8" t="s">
        <v>1278</v>
      </c>
      <c r="AA7" s="7"/>
      <c r="AB7" s="7" t="s">
        <v>4343</v>
      </c>
      <c r="AC7" s="8" t="s">
        <v>1302</v>
      </c>
      <c r="AD7" s="8" t="s">
        <v>4206</v>
      </c>
      <c r="AE7" s="26">
        <v>44006.626261574071</v>
      </c>
      <c r="AF7" s="8" t="s">
        <v>23</v>
      </c>
      <c r="AG7" s="26">
        <v>43682.623194444444</v>
      </c>
      <c r="AH7" s="1" t="s">
        <v>67</v>
      </c>
      <c r="AI7" s="216">
        <v>4</v>
      </c>
      <c r="AJ7" s="216" t="s">
        <v>4939</v>
      </c>
      <c r="AK7" s="216" t="s">
        <v>3512</v>
      </c>
      <c r="AL7" s="216" t="s">
        <v>27</v>
      </c>
      <c r="AM7" s="216" t="s">
        <v>27</v>
      </c>
      <c r="AN7" s="216">
        <v>3</v>
      </c>
      <c r="AO7" s="230">
        <v>43979</v>
      </c>
      <c r="AP7" s="230">
        <v>43984</v>
      </c>
      <c r="AQ7" s="230"/>
      <c r="AR7" s="188" t="str">
        <f>IF(SP_AcqTract_DB[[#This Row],[Count '# in TaxID]]=1,LEFT(SP_AcqTract_DB[[#This Row],[WCAD Tax Parcel ID]],7),IF(SP_AcqTract_DB[[#This Row],[Count '# in TaxID]]=2,CONCATENATE(LEFT(SP_AcqTract_DB[[#This Row],[WCAD Tax Parcel ID]],7),";",MID(SP_AcqTract_DB[[#This Row],[WCAD Tax Parcel ID]],FIND("#",SP_AcqTract_DB[[#This Row],[WCAD Tax Parcel ID]],10)+1,7)),IF(SP_AcqTract_DB[[#This Row],[Count '# in TaxID]]&gt;2,CONCATENATE(LEFT(SP_AcqTract_DB[[#This Row],[WCAD Tax Parcel ID]],7),";",MID(SP_AcqTract_DB[[#This Row],[WCAD Tax Parcel ID]],FIND("#",SP_AcqTract_DB[[#This Row],[WCAD Tax Parcel ID]],10)+1,7),";",MID(SP_AcqTract_DB[[#This Row],[WCAD Tax Parcel ID]],FIND("#",SP_AcqTract_DB[[#This Row],[WCAD Tax Parcel ID]],23)+1,7)),"")))</f>
        <v>R031245</v>
      </c>
      <c r="AS7" s="54">
        <f>IF(SP_AcqTract_DB[[#This Row],[WCAD Tax Parcel ID]]="",0,(LEN(SP_AcqTract_DB[[#This Row],[WCAD Tax Parcel ID]])-LEN(SUBSTITUTE(SP_AcqTract_DB[[#This Row],[WCAD Tax Parcel ID]],"#",""))+1)/2)</f>
        <v>1</v>
      </c>
      <c r="AT7" s="190">
        <f>IF(SP_AcqTract_DB[[#This Row],[WCAD Tax Parcel ID]]="",0,COUNTIF(SP_TaxPar_DB[Acquisition Tract No.],SP_AcqTract_DB[[#This Row],[Acquisition Tract No.]]))</f>
        <v>1</v>
      </c>
      <c r="AU7" s="189">
        <f>COUNTIF(ACQStatus_ACQTNo.,SP_AcqTract_DB[[#This Row],[Acquisition Tract No.]])</f>
        <v>1</v>
      </c>
      <c r="AX7" s="111"/>
      <c r="AY7" s="1"/>
      <c r="AZ7" s="111"/>
      <c r="BA7" s="211"/>
      <c r="BE7" s="111"/>
      <c r="BF7" s="111"/>
      <c r="BG7" s="111"/>
      <c r="BH7" s="111"/>
      <c r="BI7" s="111"/>
      <c r="BJ7" s="111"/>
      <c r="BK7" s="111"/>
      <c r="BL7" s="111"/>
      <c r="BM7" s="111"/>
      <c r="BN7" s="213"/>
      <c r="BO7" s="111"/>
      <c r="BP7" s="111"/>
      <c r="BQ7" s="213"/>
      <c r="BR7" s="173"/>
      <c r="BS7" s="214"/>
      <c r="BV7" s="213"/>
      <c r="BW7" s="111"/>
      <c r="BX7" s="111"/>
      <c r="BY7" s="1"/>
      <c r="BZ7" s="111"/>
      <c r="CA7" s="111"/>
      <c r="CC7" s="111"/>
      <c r="CD7" s="111"/>
      <c r="CE7" s="111"/>
      <c r="CF7" s="215"/>
      <c r="CG7" s="211"/>
      <c r="CH7" s="215"/>
      <c r="CM7" s="111"/>
      <c r="CN7" s="111"/>
    </row>
    <row r="8" spans="1:92" ht="15" x14ac:dyDescent="0.2">
      <c r="A8" s="6" t="s">
        <v>32</v>
      </c>
      <c r="B8" s="12" t="s">
        <v>97</v>
      </c>
      <c r="C8" s="7" t="s">
        <v>1811</v>
      </c>
      <c r="D8" s="52" t="s">
        <v>1255</v>
      </c>
      <c r="E8" s="52" t="s">
        <v>5019</v>
      </c>
      <c r="F8" s="52" t="s">
        <v>1809</v>
      </c>
      <c r="G8" s="8" t="s">
        <v>93</v>
      </c>
      <c r="H8" s="8" t="s">
        <v>94</v>
      </c>
      <c r="I8" s="8" t="s">
        <v>94</v>
      </c>
      <c r="J8" s="8" t="s">
        <v>95</v>
      </c>
      <c r="K8" s="8" t="s">
        <v>1730</v>
      </c>
      <c r="L8" s="8" t="s">
        <v>98</v>
      </c>
      <c r="M8" s="8" t="s">
        <v>81</v>
      </c>
      <c r="N8" s="8" t="s">
        <v>99</v>
      </c>
      <c r="O8" s="57">
        <v>43670</v>
      </c>
      <c r="P8" s="7" t="s">
        <v>1665</v>
      </c>
      <c r="Q8" s="3" t="s">
        <v>5013</v>
      </c>
      <c r="R8" s="16"/>
      <c r="S8" s="5">
        <v>0</v>
      </c>
      <c r="T8" s="4"/>
      <c r="U8" s="57">
        <v>43697</v>
      </c>
      <c r="V8" s="8" t="s">
        <v>1725</v>
      </c>
      <c r="W8" s="8"/>
      <c r="X8" s="8"/>
      <c r="Y8" s="8" t="s">
        <v>1739</v>
      </c>
      <c r="Z8" s="8" t="s">
        <v>1278</v>
      </c>
      <c r="AA8" s="7"/>
      <c r="AB8" s="7"/>
      <c r="AC8" s="8" t="s">
        <v>1303</v>
      </c>
      <c r="AD8" s="8" t="s">
        <v>4206</v>
      </c>
      <c r="AE8" s="26">
        <v>43994.552407407406</v>
      </c>
      <c r="AF8" s="8" t="s">
        <v>23</v>
      </c>
      <c r="AG8" s="26">
        <v>43682.623194444444</v>
      </c>
      <c r="AH8" s="1" t="s">
        <v>67</v>
      </c>
      <c r="AI8" s="216">
        <v>5</v>
      </c>
      <c r="AJ8" s="216" t="s">
        <v>4939</v>
      </c>
      <c r="AK8" s="216" t="s">
        <v>3512</v>
      </c>
      <c r="AL8" s="216" t="s">
        <v>27</v>
      </c>
      <c r="AM8" s="216" t="s">
        <v>27</v>
      </c>
      <c r="AN8" s="216">
        <v>8</v>
      </c>
      <c r="AO8" s="230"/>
      <c r="AP8" s="230"/>
      <c r="AQ8" s="230"/>
      <c r="AR8" s="188" t="str">
        <f>IF(SP_AcqTract_DB[[#This Row],[Count '# in TaxID]]=1,LEFT(SP_AcqTract_DB[[#This Row],[WCAD Tax Parcel ID]],7),IF(SP_AcqTract_DB[[#This Row],[Count '# in TaxID]]=2,CONCATENATE(LEFT(SP_AcqTract_DB[[#This Row],[WCAD Tax Parcel ID]],7),";",MID(SP_AcqTract_DB[[#This Row],[WCAD Tax Parcel ID]],FIND("#",SP_AcqTract_DB[[#This Row],[WCAD Tax Parcel ID]],10)+1,7)),IF(SP_AcqTract_DB[[#This Row],[Count '# in TaxID]]&gt;2,CONCATENATE(LEFT(SP_AcqTract_DB[[#This Row],[WCAD Tax Parcel ID]],7),";",MID(SP_AcqTract_DB[[#This Row],[WCAD Tax Parcel ID]],FIND("#",SP_AcqTract_DB[[#This Row],[WCAD Tax Parcel ID]],10)+1,7),";",MID(SP_AcqTract_DB[[#This Row],[WCAD Tax Parcel ID]],FIND("#",SP_AcqTract_DB[[#This Row],[WCAD Tax Parcel ID]],23)+1,7)),"")))</f>
        <v>R023653</v>
      </c>
      <c r="AS8" s="54">
        <f>IF(SP_AcqTract_DB[[#This Row],[WCAD Tax Parcel ID]]="",0,(LEN(SP_AcqTract_DB[[#This Row],[WCAD Tax Parcel ID]])-LEN(SUBSTITUTE(SP_AcqTract_DB[[#This Row],[WCAD Tax Parcel ID]],"#",""))+1)/2)</f>
        <v>1</v>
      </c>
      <c r="AT8" s="190">
        <f>IF(SP_AcqTract_DB[[#This Row],[WCAD Tax Parcel ID]]="",0,COUNTIF(SP_TaxPar_DB[Acquisition Tract No.],SP_AcqTract_DB[[#This Row],[Acquisition Tract No.]]))</f>
        <v>1</v>
      </c>
      <c r="AU8" s="189">
        <f>COUNTIF(ACQStatus_ACQTNo.,SP_AcqTract_DB[[#This Row],[Acquisition Tract No.]])</f>
        <v>1</v>
      </c>
      <c r="AX8" s="111"/>
      <c r="AY8" s="1"/>
      <c r="AZ8" s="111"/>
      <c r="BA8" s="211"/>
      <c r="BE8" s="111"/>
      <c r="BF8" s="111"/>
      <c r="BG8" s="111"/>
      <c r="BH8" s="111"/>
      <c r="BI8" s="111"/>
      <c r="BJ8" s="111"/>
      <c r="BK8" s="111"/>
      <c r="BL8" s="111"/>
      <c r="BM8" s="111"/>
      <c r="BN8" s="213"/>
      <c r="BO8" s="111"/>
      <c r="BP8" s="111"/>
      <c r="BQ8" s="213"/>
      <c r="BR8" s="173"/>
      <c r="BS8" s="214"/>
      <c r="BV8" s="213"/>
      <c r="BW8" s="111"/>
      <c r="BX8" s="111"/>
      <c r="BY8" s="1"/>
      <c r="BZ8" s="111"/>
      <c r="CA8" s="111"/>
      <c r="CC8" s="111"/>
      <c r="CD8" s="111"/>
      <c r="CE8" s="111"/>
      <c r="CF8" s="215"/>
      <c r="CG8" s="211"/>
      <c r="CH8" s="215"/>
      <c r="CM8" s="111"/>
      <c r="CN8" s="111"/>
    </row>
    <row r="9" spans="1:92" ht="15" x14ac:dyDescent="0.2">
      <c r="A9" s="6" t="s">
        <v>1286</v>
      </c>
      <c r="B9" s="12" t="s">
        <v>1669</v>
      </c>
      <c r="C9" s="7" t="s">
        <v>1811</v>
      </c>
      <c r="D9" s="52" t="s">
        <v>4638</v>
      </c>
      <c r="E9" s="52"/>
      <c r="F9" s="52"/>
      <c r="G9" s="8" t="s">
        <v>114</v>
      </c>
      <c r="H9" s="8"/>
      <c r="I9" s="8" t="s">
        <v>114</v>
      </c>
      <c r="J9" s="8"/>
      <c r="K9" s="8"/>
      <c r="L9" s="8" t="s">
        <v>1288</v>
      </c>
      <c r="M9" s="8"/>
      <c r="N9" s="8"/>
      <c r="O9" s="57">
        <v>43670</v>
      </c>
      <c r="P9" s="7" t="s">
        <v>1670</v>
      </c>
      <c r="Q9" s="3"/>
      <c r="R9" s="16"/>
      <c r="S9" s="5">
        <v>0</v>
      </c>
      <c r="T9" s="4"/>
      <c r="U9" s="57"/>
      <c r="V9" s="8"/>
      <c r="W9" s="8"/>
      <c r="X9" s="8"/>
      <c r="Y9" s="8"/>
      <c r="Z9" s="8"/>
      <c r="AA9" s="7"/>
      <c r="AB9" s="7"/>
      <c r="AC9" s="8" t="s">
        <v>1304</v>
      </c>
      <c r="AD9" s="8" t="s">
        <v>4206</v>
      </c>
      <c r="AE9" s="26">
        <v>43991.511597222219</v>
      </c>
      <c r="AF9" s="8" t="s">
        <v>4207</v>
      </c>
      <c r="AG9" s="26">
        <v>43767.329756944448</v>
      </c>
      <c r="AH9" s="1" t="s">
        <v>4645</v>
      </c>
      <c r="AI9" s="216">
        <v>50</v>
      </c>
      <c r="AJ9" s="216" t="s">
        <v>4939</v>
      </c>
      <c r="AK9" s="216" t="s">
        <v>3512</v>
      </c>
      <c r="AL9" s="216" t="s">
        <v>4869</v>
      </c>
      <c r="AM9" s="216" t="s">
        <v>27</v>
      </c>
      <c r="AN9" s="216"/>
      <c r="AO9" s="230"/>
      <c r="AP9" s="230"/>
      <c r="AQ9" s="230"/>
      <c r="AR9" s="188" t="str">
        <f>IF(SP_AcqTract_DB[[#This Row],[Count '# in TaxID]]=1,LEFT(SP_AcqTract_DB[[#This Row],[WCAD Tax Parcel ID]],7),IF(SP_AcqTract_DB[[#This Row],[Count '# in TaxID]]=2,CONCATENATE(LEFT(SP_AcqTract_DB[[#This Row],[WCAD Tax Parcel ID]],7),";",MID(SP_AcqTract_DB[[#This Row],[WCAD Tax Parcel ID]],FIND("#",SP_AcqTract_DB[[#This Row],[WCAD Tax Parcel ID]],10)+1,7)),IF(SP_AcqTract_DB[[#This Row],[Count '# in TaxID]]&gt;2,CONCATENATE(LEFT(SP_AcqTract_DB[[#This Row],[WCAD Tax Parcel ID]],7),";",MID(SP_AcqTract_DB[[#This Row],[WCAD Tax Parcel ID]],FIND("#",SP_AcqTract_DB[[#This Row],[WCAD Tax Parcel ID]],10)+1,7),";",MID(SP_AcqTract_DB[[#This Row],[WCAD Tax Parcel ID]],FIND("#",SP_AcqTract_DB[[#This Row],[WCAD Tax Parcel ID]],23)+1,7)),"")))</f>
        <v>UNKN001</v>
      </c>
      <c r="AS9" s="54">
        <f>IF(SP_AcqTract_DB[[#This Row],[WCAD Tax Parcel ID]]="",0,(LEN(SP_AcqTract_DB[[#This Row],[WCAD Tax Parcel ID]])-LEN(SUBSTITUTE(SP_AcqTract_DB[[#This Row],[WCAD Tax Parcel ID]],"#",""))+1)/2)</f>
        <v>1</v>
      </c>
      <c r="AT9" s="190">
        <f>IF(SP_AcqTract_DB[[#This Row],[WCAD Tax Parcel ID]]="",0,COUNTIF(SP_TaxPar_DB[Acquisition Tract No.],SP_AcqTract_DB[[#This Row],[Acquisition Tract No.]]))</f>
        <v>1</v>
      </c>
      <c r="AU9" s="189">
        <f>COUNTIF(ACQStatus_ACQTNo.,SP_AcqTract_DB[[#This Row],[Acquisition Tract No.]])</f>
        <v>1</v>
      </c>
      <c r="AX9" s="111"/>
      <c r="AY9" s="1"/>
      <c r="AZ9" s="111"/>
      <c r="BA9" s="211"/>
      <c r="BE9" s="111"/>
      <c r="BF9" s="111"/>
      <c r="BG9" s="111"/>
      <c r="BH9" s="111"/>
      <c r="BI9" s="111"/>
      <c r="BJ9" s="111"/>
      <c r="BK9" s="111"/>
      <c r="BL9" s="111"/>
      <c r="BM9" s="111"/>
      <c r="BN9" s="213"/>
      <c r="BO9" s="111"/>
      <c r="BP9" s="111"/>
      <c r="BQ9" s="213"/>
      <c r="BR9" s="173"/>
      <c r="BS9" s="214"/>
      <c r="BV9" s="213"/>
      <c r="BW9" s="111"/>
      <c r="BX9" s="111"/>
      <c r="BY9" s="1"/>
      <c r="BZ9" s="111"/>
      <c r="CA9" s="111"/>
      <c r="CC9" s="111"/>
      <c r="CD9" s="111"/>
      <c r="CE9" s="111"/>
      <c r="CF9" s="215"/>
      <c r="CG9" s="211"/>
      <c r="CH9" s="215"/>
      <c r="CM9" s="111"/>
      <c r="CN9" s="111"/>
    </row>
    <row r="10" spans="1:92" ht="15" x14ac:dyDescent="0.2">
      <c r="A10" s="6" t="s">
        <v>33</v>
      </c>
      <c r="B10" s="12" t="s">
        <v>101</v>
      </c>
      <c r="C10" s="7" t="s">
        <v>1811</v>
      </c>
      <c r="D10" s="52" t="s">
        <v>1255</v>
      </c>
      <c r="E10" s="52" t="s">
        <v>5020</v>
      </c>
      <c r="F10" s="52" t="s">
        <v>80</v>
      </c>
      <c r="G10" s="8" t="s">
        <v>100</v>
      </c>
      <c r="H10" s="8"/>
      <c r="I10" s="8" t="s">
        <v>100</v>
      </c>
      <c r="J10" s="8" t="s">
        <v>1671</v>
      </c>
      <c r="K10" s="8" t="s">
        <v>1729</v>
      </c>
      <c r="L10" s="8" t="s">
        <v>1671</v>
      </c>
      <c r="M10" s="8" t="s">
        <v>81</v>
      </c>
      <c r="N10" s="8" t="s">
        <v>102</v>
      </c>
      <c r="O10" s="57">
        <v>43670</v>
      </c>
      <c r="P10" s="7" t="s">
        <v>1299</v>
      </c>
      <c r="Q10" s="3" t="s">
        <v>4344</v>
      </c>
      <c r="R10" s="16">
        <v>43927</v>
      </c>
      <c r="S10" s="5">
        <v>0.13810835629017401</v>
      </c>
      <c r="T10" s="4">
        <v>6016</v>
      </c>
      <c r="U10" s="57">
        <v>43693</v>
      </c>
      <c r="V10" s="8" t="s">
        <v>1726</v>
      </c>
      <c r="W10" s="8"/>
      <c r="X10" s="8"/>
      <c r="Y10" s="8"/>
      <c r="Z10" s="8"/>
      <c r="AA10" s="7" t="s">
        <v>27</v>
      </c>
      <c r="AB10" s="7" t="s">
        <v>29</v>
      </c>
      <c r="AC10" s="8" t="s">
        <v>1305</v>
      </c>
      <c r="AD10" s="8" t="s">
        <v>4206</v>
      </c>
      <c r="AE10" s="26">
        <v>43998.378969907404</v>
      </c>
      <c r="AF10" s="8" t="s">
        <v>23</v>
      </c>
      <c r="AG10" s="26">
        <v>43682.623194444444</v>
      </c>
      <c r="AH10" s="1" t="s">
        <v>67</v>
      </c>
      <c r="AI10" s="216">
        <v>6</v>
      </c>
      <c r="AJ10" s="216" t="s">
        <v>4939</v>
      </c>
      <c r="AK10" s="216" t="s">
        <v>3512</v>
      </c>
      <c r="AL10" s="216" t="s">
        <v>27</v>
      </c>
      <c r="AM10" s="216" t="s">
        <v>27</v>
      </c>
      <c r="AN10" s="216">
        <v>1</v>
      </c>
      <c r="AO10" s="230">
        <v>43985</v>
      </c>
      <c r="AP10" s="230">
        <v>43991</v>
      </c>
      <c r="AQ10" s="230"/>
      <c r="AR10" s="188" t="str">
        <f>IF(SP_AcqTract_DB[[#This Row],[Count '# in TaxID]]=1,LEFT(SP_AcqTract_DB[[#This Row],[WCAD Tax Parcel ID]],7),IF(SP_AcqTract_DB[[#This Row],[Count '# in TaxID]]=2,CONCATENATE(LEFT(SP_AcqTract_DB[[#This Row],[WCAD Tax Parcel ID]],7),";",MID(SP_AcqTract_DB[[#This Row],[WCAD Tax Parcel ID]],FIND("#",SP_AcqTract_DB[[#This Row],[WCAD Tax Parcel ID]],10)+1,7)),IF(SP_AcqTract_DB[[#This Row],[Count '# in TaxID]]&gt;2,CONCATENATE(LEFT(SP_AcqTract_DB[[#This Row],[WCAD Tax Parcel ID]],7),";",MID(SP_AcqTract_DB[[#This Row],[WCAD Tax Parcel ID]],FIND("#",SP_AcqTract_DB[[#This Row],[WCAD Tax Parcel ID]],10)+1,7),";",MID(SP_AcqTract_DB[[#This Row],[WCAD Tax Parcel ID]],FIND("#",SP_AcqTract_DB[[#This Row],[WCAD Tax Parcel ID]],23)+1,7)),"")))</f>
        <v>R023654</v>
      </c>
      <c r="AS10" s="54">
        <f>IF(SP_AcqTract_DB[[#This Row],[WCAD Tax Parcel ID]]="",0,(LEN(SP_AcqTract_DB[[#This Row],[WCAD Tax Parcel ID]])-LEN(SUBSTITUTE(SP_AcqTract_DB[[#This Row],[WCAD Tax Parcel ID]],"#",""))+1)/2)</f>
        <v>1</v>
      </c>
      <c r="AT10" s="190">
        <f>IF(SP_AcqTract_DB[[#This Row],[WCAD Tax Parcel ID]]="",0,COUNTIF(SP_TaxPar_DB[Acquisition Tract No.],SP_AcqTract_DB[[#This Row],[Acquisition Tract No.]]))</f>
        <v>1</v>
      </c>
      <c r="AU10" s="189">
        <f>COUNTIF(ACQStatus_ACQTNo.,SP_AcqTract_DB[[#This Row],[Acquisition Tract No.]])</f>
        <v>1</v>
      </c>
      <c r="AX10" s="111"/>
      <c r="AY10" s="1"/>
      <c r="AZ10" s="111"/>
      <c r="BA10" s="211"/>
      <c r="BE10" s="111"/>
      <c r="BF10" s="111"/>
      <c r="BG10" s="111"/>
      <c r="BH10" s="111"/>
      <c r="BI10" s="111"/>
      <c r="BJ10" s="111"/>
      <c r="BK10" s="111"/>
      <c r="BL10" s="111"/>
      <c r="BM10" s="111"/>
      <c r="BN10" s="213"/>
      <c r="BO10" s="111"/>
      <c r="BP10" s="111"/>
      <c r="BQ10" s="213"/>
      <c r="BR10" s="173"/>
      <c r="BS10" s="214"/>
      <c r="BV10" s="213"/>
      <c r="BW10" s="111"/>
      <c r="BX10" s="111"/>
      <c r="BY10" s="1"/>
      <c r="BZ10" s="111"/>
      <c r="CA10" s="111"/>
      <c r="CC10" s="111"/>
      <c r="CD10" s="111"/>
      <c r="CE10" s="111"/>
      <c r="CF10" s="215"/>
      <c r="CG10" s="211"/>
      <c r="CH10" s="215"/>
      <c r="CM10" s="111"/>
      <c r="CN10" s="111"/>
    </row>
    <row r="11" spans="1:92" ht="15" x14ac:dyDescent="0.2">
      <c r="A11" s="6" t="s">
        <v>1275</v>
      </c>
      <c r="B11" s="12" t="s">
        <v>1672</v>
      </c>
      <c r="C11" s="7" t="s">
        <v>1811</v>
      </c>
      <c r="D11" s="52" t="s">
        <v>1255</v>
      </c>
      <c r="E11" s="52" t="s">
        <v>5020</v>
      </c>
      <c r="F11" s="52"/>
      <c r="G11" s="8" t="s">
        <v>114</v>
      </c>
      <c r="H11" s="8"/>
      <c r="I11" s="8" t="s">
        <v>114</v>
      </c>
      <c r="J11" s="8" t="s">
        <v>224</v>
      </c>
      <c r="K11" s="8" t="s">
        <v>1354</v>
      </c>
      <c r="L11" s="8"/>
      <c r="M11" s="8"/>
      <c r="N11" s="8"/>
      <c r="O11" s="57">
        <v>43670</v>
      </c>
      <c r="P11" s="7" t="s">
        <v>1670</v>
      </c>
      <c r="Q11" s="3"/>
      <c r="R11" s="16"/>
      <c r="S11" s="5">
        <v>0.377800734618916</v>
      </c>
      <c r="T11" s="4">
        <v>16457</v>
      </c>
      <c r="U11" s="57"/>
      <c r="V11" s="8"/>
      <c r="W11" s="8"/>
      <c r="X11" s="8"/>
      <c r="Y11" s="8"/>
      <c r="Z11" s="8"/>
      <c r="AA11" s="7"/>
      <c r="AB11" s="7"/>
      <c r="AC11" s="8" t="s">
        <v>1306</v>
      </c>
      <c r="AD11" s="8" t="s">
        <v>4206</v>
      </c>
      <c r="AE11" s="26">
        <v>43994.393020833333</v>
      </c>
      <c r="AF11" s="8" t="s">
        <v>4325</v>
      </c>
      <c r="AG11" s="26">
        <v>43763.57603009259</v>
      </c>
      <c r="AH11" s="1" t="s">
        <v>4646</v>
      </c>
      <c r="AI11" s="216">
        <v>49</v>
      </c>
      <c r="AJ11" s="216" t="s">
        <v>4939</v>
      </c>
      <c r="AK11" s="216" t="s">
        <v>3512</v>
      </c>
      <c r="AL11" s="216" t="s">
        <v>4869</v>
      </c>
      <c r="AM11" s="216" t="s">
        <v>27</v>
      </c>
      <c r="AN11" s="216">
        <v>1</v>
      </c>
      <c r="AO11" s="230"/>
      <c r="AP11" s="230"/>
      <c r="AQ11" s="230"/>
      <c r="AR11" s="188" t="str">
        <f>IF(SP_AcqTract_DB[[#This Row],[Count '# in TaxID]]=1,LEFT(SP_AcqTract_DB[[#This Row],[WCAD Tax Parcel ID]],7),IF(SP_AcqTract_DB[[#This Row],[Count '# in TaxID]]=2,CONCATENATE(LEFT(SP_AcqTract_DB[[#This Row],[WCAD Tax Parcel ID]],7),";",MID(SP_AcqTract_DB[[#This Row],[WCAD Tax Parcel ID]],FIND("#",SP_AcqTract_DB[[#This Row],[WCAD Tax Parcel ID]],10)+1,7)),IF(SP_AcqTract_DB[[#This Row],[Count '# in TaxID]]&gt;2,CONCATENATE(LEFT(SP_AcqTract_DB[[#This Row],[WCAD Tax Parcel ID]],7),";",MID(SP_AcqTract_DB[[#This Row],[WCAD Tax Parcel ID]],FIND("#",SP_AcqTract_DB[[#This Row],[WCAD Tax Parcel ID]],10)+1,7),";",MID(SP_AcqTract_DB[[#This Row],[WCAD Tax Parcel ID]],FIND("#",SP_AcqTract_DB[[#This Row],[WCAD Tax Parcel ID]],23)+1,7)),"")))</f>
        <v>UNKN002</v>
      </c>
      <c r="AS11" s="54">
        <f>IF(SP_AcqTract_DB[[#This Row],[WCAD Tax Parcel ID]]="",0,(LEN(SP_AcqTract_DB[[#This Row],[WCAD Tax Parcel ID]])-LEN(SUBSTITUTE(SP_AcqTract_DB[[#This Row],[WCAD Tax Parcel ID]],"#",""))+1)/2)</f>
        <v>1</v>
      </c>
      <c r="AT11" s="190">
        <f>IF(SP_AcqTract_DB[[#This Row],[WCAD Tax Parcel ID]]="",0,COUNTIF(SP_TaxPar_DB[Acquisition Tract No.],SP_AcqTract_DB[[#This Row],[Acquisition Tract No.]]))</f>
        <v>1</v>
      </c>
      <c r="AU11" s="189">
        <f>COUNTIF(ACQStatus_ACQTNo.,SP_AcqTract_DB[[#This Row],[Acquisition Tract No.]])</f>
        <v>1</v>
      </c>
      <c r="AX11" s="111"/>
      <c r="AY11" s="1"/>
      <c r="AZ11" s="111"/>
      <c r="BA11" s="211"/>
      <c r="BE11" s="111"/>
      <c r="BF11" s="111"/>
      <c r="BG11" s="111"/>
      <c r="BH11" s="111"/>
      <c r="BI11" s="111"/>
      <c r="BJ11" s="111"/>
      <c r="BK11" s="111"/>
      <c r="BL11" s="111"/>
      <c r="BM11" s="111"/>
      <c r="BN11" s="213"/>
      <c r="BO11" s="111"/>
      <c r="BP11" s="111"/>
      <c r="BQ11" s="213"/>
      <c r="BR11" s="173"/>
      <c r="BS11" s="214"/>
      <c r="BV11" s="213"/>
      <c r="BW11" s="111"/>
      <c r="BX11" s="111"/>
      <c r="BY11" s="1"/>
      <c r="BZ11" s="111"/>
      <c r="CA11" s="111"/>
      <c r="CC11" s="111"/>
      <c r="CD11" s="111"/>
      <c r="CE11" s="111"/>
      <c r="CF11" s="215"/>
      <c r="CG11" s="211"/>
      <c r="CH11" s="215"/>
      <c r="CM11" s="111"/>
      <c r="CN11" s="111"/>
    </row>
    <row r="12" spans="1:92" ht="15" x14ac:dyDescent="0.2">
      <c r="A12" s="6" t="s">
        <v>34</v>
      </c>
      <c r="B12" s="12" t="s">
        <v>623</v>
      </c>
      <c r="C12" s="7" t="s">
        <v>1811</v>
      </c>
      <c r="D12" s="52" t="s">
        <v>1255</v>
      </c>
      <c r="E12" s="52" t="s">
        <v>5020</v>
      </c>
      <c r="F12" s="52" t="s">
        <v>80</v>
      </c>
      <c r="G12" s="8" t="s">
        <v>1673</v>
      </c>
      <c r="H12" s="8"/>
      <c r="I12" s="8" t="s">
        <v>1673</v>
      </c>
      <c r="J12" s="8" t="s">
        <v>104</v>
      </c>
      <c r="K12" s="8" t="s">
        <v>1354</v>
      </c>
      <c r="L12" s="8" t="s">
        <v>1674</v>
      </c>
      <c r="M12" s="8" t="s">
        <v>81</v>
      </c>
      <c r="N12" s="8" t="s">
        <v>105</v>
      </c>
      <c r="O12" s="57">
        <v>43670</v>
      </c>
      <c r="P12" s="7" t="s">
        <v>1299</v>
      </c>
      <c r="Q12" s="3" t="s">
        <v>4344</v>
      </c>
      <c r="R12" s="16">
        <v>43937</v>
      </c>
      <c r="S12" s="5">
        <v>0.99956382001836597</v>
      </c>
      <c r="T12" s="4">
        <v>43541</v>
      </c>
      <c r="U12" s="57">
        <v>43693</v>
      </c>
      <c r="V12" s="8" t="s">
        <v>1726</v>
      </c>
      <c r="W12" s="8"/>
      <c r="X12" s="8"/>
      <c r="Y12" s="8"/>
      <c r="Z12" s="8"/>
      <c r="AA12" s="7"/>
      <c r="AB12" s="7" t="s">
        <v>29</v>
      </c>
      <c r="AC12" s="8" t="s">
        <v>1307</v>
      </c>
      <c r="AD12" s="8" t="s">
        <v>4206</v>
      </c>
      <c r="AE12" s="26">
        <v>43999.539675925924</v>
      </c>
      <c r="AF12" s="8" t="s">
        <v>23</v>
      </c>
      <c r="AG12" s="26">
        <v>43682.623194444444</v>
      </c>
      <c r="AH12" s="1" t="s">
        <v>67</v>
      </c>
      <c r="AI12" s="216">
        <v>7</v>
      </c>
      <c r="AJ12" s="216" t="s">
        <v>4939</v>
      </c>
      <c r="AK12" s="216" t="s">
        <v>3512</v>
      </c>
      <c r="AL12" s="216" t="s">
        <v>27</v>
      </c>
      <c r="AM12" s="216" t="s">
        <v>27</v>
      </c>
      <c r="AN12" s="216">
        <v>1</v>
      </c>
      <c r="AO12" s="230">
        <v>43994</v>
      </c>
      <c r="AP12" s="230">
        <v>43999</v>
      </c>
      <c r="AQ12" s="230"/>
      <c r="AR12" s="188" t="str">
        <f>IF(SP_AcqTract_DB[[#This Row],[Count '# in TaxID]]=1,LEFT(SP_AcqTract_DB[[#This Row],[WCAD Tax Parcel ID]],7),IF(SP_AcqTract_DB[[#This Row],[Count '# in TaxID]]=2,CONCATENATE(LEFT(SP_AcqTract_DB[[#This Row],[WCAD Tax Parcel ID]],7),";",MID(SP_AcqTract_DB[[#This Row],[WCAD Tax Parcel ID]],FIND("#",SP_AcqTract_DB[[#This Row],[WCAD Tax Parcel ID]],10)+1,7)),IF(SP_AcqTract_DB[[#This Row],[Count '# in TaxID]]&gt;2,CONCATENATE(LEFT(SP_AcqTract_DB[[#This Row],[WCAD Tax Parcel ID]],7),";",MID(SP_AcqTract_DB[[#This Row],[WCAD Tax Parcel ID]],FIND("#",SP_AcqTract_DB[[#This Row],[WCAD Tax Parcel ID]],10)+1,7),";",MID(SP_AcqTract_DB[[#This Row],[WCAD Tax Parcel ID]],FIND("#",SP_AcqTract_DB[[#This Row],[WCAD Tax Parcel ID]],23)+1,7)),"")))</f>
        <v>R023702;R023703;R023704</v>
      </c>
      <c r="AS12" s="54">
        <f>IF(SP_AcqTract_DB[[#This Row],[WCAD Tax Parcel ID]]="",0,(LEN(SP_AcqTract_DB[[#This Row],[WCAD Tax Parcel ID]])-LEN(SUBSTITUTE(SP_AcqTract_DB[[#This Row],[WCAD Tax Parcel ID]],"#",""))+1)/2)</f>
        <v>6</v>
      </c>
      <c r="AT12" s="190">
        <f>IF(SP_AcqTract_DB[[#This Row],[WCAD Tax Parcel ID]]="",0,COUNTIF(SP_TaxPar_DB[Acquisition Tract No.],SP_AcqTract_DB[[#This Row],[Acquisition Tract No.]]))</f>
        <v>6</v>
      </c>
      <c r="AU12" s="189">
        <f>COUNTIF(ACQStatus_ACQTNo.,SP_AcqTract_DB[[#This Row],[Acquisition Tract No.]])</f>
        <v>1</v>
      </c>
      <c r="AX12" s="111"/>
      <c r="AY12" s="1"/>
      <c r="AZ12" s="111"/>
      <c r="BA12" s="211"/>
      <c r="BE12" s="111"/>
      <c r="BF12" s="111"/>
      <c r="BG12" s="111"/>
      <c r="BH12" s="111"/>
      <c r="BI12" s="111"/>
      <c r="BJ12" s="111"/>
      <c r="BK12" s="111"/>
      <c r="BL12" s="111"/>
      <c r="BM12" s="111"/>
      <c r="BN12" s="213"/>
      <c r="BO12" s="111"/>
      <c r="BP12" s="111"/>
      <c r="BQ12" s="213"/>
      <c r="BR12" s="173"/>
      <c r="BS12" s="214"/>
      <c r="BV12" s="213"/>
      <c r="BW12" s="111"/>
      <c r="BX12" s="111"/>
      <c r="BY12" s="1"/>
      <c r="BZ12" s="111"/>
      <c r="CA12" s="111"/>
      <c r="CC12" s="111"/>
      <c r="CD12" s="111"/>
      <c r="CE12" s="111"/>
      <c r="CF12" s="215"/>
      <c r="CG12" s="211"/>
      <c r="CH12" s="215"/>
      <c r="CM12" s="111"/>
      <c r="CN12" s="111"/>
    </row>
    <row r="13" spans="1:92" ht="15" x14ac:dyDescent="0.2">
      <c r="A13" s="6" t="s">
        <v>35</v>
      </c>
      <c r="B13" s="12" t="s">
        <v>625</v>
      </c>
      <c r="C13" s="7" t="s">
        <v>1811</v>
      </c>
      <c r="D13" s="52" t="s">
        <v>1255</v>
      </c>
      <c r="E13" s="52" t="s">
        <v>5020</v>
      </c>
      <c r="F13" s="52" t="s">
        <v>80</v>
      </c>
      <c r="G13" s="8" t="s">
        <v>106</v>
      </c>
      <c r="H13" s="8"/>
      <c r="I13" s="8" t="s">
        <v>106</v>
      </c>
      <c r="J13" s="8" t="s">
        <v>1675</v>
      </c>
      <c r="K13" s="8" t="s">
        <v>1729</v>
      </c>
      <c r="L13" s="8" t="s">
        <v>1712</v>
      </c>
      <c r="M13" s="8" t="s">
        <v>81</v>
      </c>
      <c r="N13" s="8" t="s">
        <v>109</v>
      </c>
      <c r="O13" s="57">
        <v>43670</v>
      </c>
      <c r="P13" s="7" t="s">
        <v>1299</v>
      </c>
      <c r="Q13" s="3" t="s">
        <v>5013</v>
      </c>
      <c r="R13" s="16">
        <v>43994</v>
      </c>
      <c r="S13" s="5">
        <v>1.2039944903581301</v>
      </c>
      <c r="T13" s="4">
        <v>52446</v>
      </c>
      <c r="U13" s="57">
        <v>43693</v>
      </c>
      <c r="V13" s="8" t="s">
        <v>1726</v>
      </c>
      <c r="W13" s="8"/>
      <c r="X13" s="8"/>
      <c r="Y13" s="8"/>
      <c r="Z13" s="8" t="s">
        <v>1278</v>
      </c>
      <c r="AA13" s="7"/>
      <c r="AB13" s="7" t="s">
        <v>4517</v>
      </c>
      <c r="AC13" s="8" t="s">
        <v>1308</v>
      </c>
      <c r="AD13" s="8" t="s">
        <v>4206</v>
      </c>
      <c r="AE13" s="26">
        <v>43997.466469907406</v>
      </c>
      <c r="AF13" s="8" t="s">
        <v>23</v>
      </c>
      <c r="AG13" s="26">
        <v>43682.623194444444</v>
      </c>
      <c r="AH13" s="1"/>
      <c r="AI13" s="216">
        <v>8</v>
      </c>
      <c r="AJ13" s="216" t="s">
        <v>4939</v>
      </c>
      <c r="AK13" s="216" t="s">
        <v>3512</v>
      </c>
      <c r="AL13" s="216" t="s">
        <v>27</v>
      </c>
      <c r="AM13" s="216" t="s">
        <v>27</v>
      </c>
      <c r="AN13" s="216">
        <v>1</v>
      </c>
      <c r="AO13" s="230"/>
      <c r="AP13" s="230"/>
      <c r="AQ13" s="230"/>
      <c r="AR13" s="188" t="str">
        <f>IF(SP_AcqTract_DB[[#This Row],[Count '# in TaxID]]=1,LEFT(SP_AcqTract_DB[[#This Row],[WCAD Tax Parcel ID]],7),IF(SP_AcqTract_DB[[#This Row],[Count '# in TaxID]]=2,CONCATENATE(LEFT(SP_AcqTract_DB[[#This Row],[WCAD Tax Parcel ID]],7),";",MID(SP_AcqTract_DB[[#This Row],[WCAD Tax Parcel ID]],FIND("#",SP_AcqTract_DB[[#This Row],[WCAD Tax Parcel ID]],10)+1,7)),IF(SP_AcqTract_DB[[#This Row],[Count '# in TaxID]]&gt;2,CONCATENATE(LEFT(SP_AcqTract_DB[[#This Row],[WCAD Tax Parcel ID]],7),";",MID(SP_AcqTract_DB[[#This Row],[WCAD Tax Parcel ID]],FIND("#",SP_AcqTract_DB[[#This Row],[WCAD Tax Parcel ID]],10)+1,7),";",MID(SP_AcqTract_DB[[#This Row],[WCAD Tax Parcel ID]],FIND("#",SP_AcqTract_DB[[#This Row],[WCAD Tax Parcel ID]],23)+1,7)),"")))</f>
        <v>R023708;R023709;R023710</v>
      </c>
      <c r="AS13" s="54">
        <f>IF(SP_AcqTract_DB[[#This Row],[WCAD Tax Parcel ID]]="",0,(LEN(SP_AcqTract_DB[[#This Row],[WCAD Tax Parcel ID]])-LEN(SUBSTITUTE(SP_AcqTract_DB[[#This Row],[WCAD Tax Parcel ID]],"#",""))+1)/2)</f>
        <v>4</v>
      </c>
      <c r="AT13" s="190">
        <f>IF(SP_AcqTract_DB[[#This Row],[WCAD Tax Parcel ID]]="",0,COUNTIF(SP_TaxPar_DB[Acquisition Tract No.],SP_AcqTract_DB[[#This Row],[Acquisition Tract No.]]))</f>
        <v>4</v>
      </c>
      <c r="AU13" s="189">
        <f>COUNTIF(ACQStatus_ACQTNo.,SP_AcqTract_DB[[#This Row],[Acquisition Tract No.]])</f>
        <v>1</v>
      </c>
      <c r="AX13" s="111"/>
      <c r="AY13" s="1"/>
      <c r="AZ13" s="111"/>
      <c r="BA13" s="211"/>
      <c r="BE13" s="111"/>
      <c r="BF13" s="111"/>
      <c r="BG13" s="111"/>
      <c r="BH13" s="111"/>
      <c r="BI13" s="111"/>
      <c r="BJ13" s="111"/>
      <c r="BK13" s="111"/>
      <c r="BL13" s="111"/>
      <c r="BM13" s="111"/>
      <c r="BN13" s="213"/>
      <c r="BO13" s="111"/>
      <c r="BP13" s="111"/>
      <c r="BQ13" s="213"/>
      <c r="BR13" s="173"/>
      <c r="BS13" s="214"/>
      <c r="BV13" s="213"/>
      <c r="BW13" s="111"/>
      <c r="BX13" s="111"/>
      <c r="BY13" s="1"/>
      <c r="BZ13" s="111"/>
      <c r="CA13" s="111"/>
      <c r="CC13" s="111"/>
      <c r="CD13" s="111"/>
      <c r="CE13" s="111"/>
      <c r="CF13" s="215"/>
      <c r="CG13" s="211"/>
      <c r="CH13" s="215"/>
      <c r="CM13" s="111"/>
      <c r="CN13" s="111"/>
    </row>
    <row r="14" spans="1:92" ht="25.5" x14ac:dyDescent="0.2">
      <c r="A14" s="6" t="s">
        <v>36</v>
      </c>
      <c r="B14" s="12" t="s">
        <v>1676</v>
      </c>
      <c r="C14" s="7" t="s">
        <v>1811</v>
      </c>
      <c r="D14" s="52" t="s">
        <v>1255</v>
      </c>
      <c r="E14" s="52" t="s">
        <v>5021</v>
      </c>
      <c r="F14" s="52"/>
      <c r="G14" s="8" t="s">
        <v>223</v>
      </c>
      <c r="H14" s="8" t="s">
        <v>114</v>
      </c>
      <c r="I14" s="8" t="s">
        <v>114</v>
      </c>
      <c r="J14" s="8" t="s">
        <v>224</v>
      </c>
      <c r="K14" s="8" t="s">
        <v>1729</v>
      </c>
      <c r="L14" s="8" t="s">
        <v>366</v>
      </c>
      <c r="M14" s="8"/>
      <c r="N14" s="8"/>
      <c r="O14" s="57">
        <v>43670</v>
      </c>
      <c r="P14" s="7" t="s">
        <v>1670</v>
      </c>
      <c r="Q14" s="3"/>
      <c r="R14" s="16"/>
      <c r="S14" s="5">
        <v>2.12</v>
      </c>
      <c r="T14" s="4">
        <v>92347.199999999997</v>
      </c>
      <c r="U14" s="57"/>
      <c r="V14" s="8"/>
      <c r="W14" s="8"/>
      <c r="X14" s="8"/>
      <c r="Y14" s="8"/>
      <c r="Z14" s="8"/>
      <c r="AA14" s="7"/>
      <c r="AB14" s="7"/>
      <c r="AC14" s="8" t="s">
        <v>1309</v>
      </c>
      <c r="AD14" s="8" t="s">
        <v>4206</v>
      </c>
      <c r="AE14" s="26">
        <v>43994.39534722222</v>
      </c>
      <c r="AF14" s="8" t="s">
        <v>23</v>
      </c>
      <c r="AG14" s="26">
        <v>43682.623194444444</v>
      </c>
      <c r="AH14" s="1" t="s">
        <v>4647</v>
      </c>
      <c r="AI14" s="216">
        <v>9</v>
      </c>
      <c r="AJ14" s="216" t="s">
        <v>4939</v>
      </c>
      <c r="AK14" s="216" t="s">
        <v>3512</v>
      </c>
      <c r="AL14" s="216" t="s">
        <v>4869</v>
      </c>
      <c r="AM14" s="216" t="s">
        <v>27</v>
      </c>
      <c r="AN14" s="216">
        <v>2</v>
      </c>
      <c r="AO14" s="230"/>
      <c r="AP14" s="230"/>
      <c r="AQ14" s="230"/>
      <c r="AR14" s="188" t="str">
        <f>IF(SP_AcqTract_DB[[#This Row],[Count '# in TaxID]]=1,LEFT(SP_AcqTract_DB[[#This Row],[WCAD Tax Parcel ID]],7),IF(SP_AcqTract_DB[[#This Row],[Count '# in TaxID]]=2,CONCATENATE(LEFT(SP_AcqTract_DB[[#This Row],[WCAD Tax Parcel ID]],7),";",MID(SP_AcqTract_DB[[#This Row],[WCAD Tax Parcel ID]],FIND("#",SP_AcqTract_DB[[#This Row],[WCAD Tax Parcel ID]],10)+1,7)),IF(SP_AcqTract_DB[[#This Row],[Count '# in TaxID]]&gt;2,CONCATENATE(LEFT(SP_AcqTract_DB[[#This Row],[WCAD Tax Parcel ID]],7),";",MID(SP_AcqTract_DB[[#This Row],[WCAD Tax Parcel ID]],FIND("#",SP_AcqTract_DB[[#This Row],[WCAD Tax Parcel ID]],10)+1,7),";",MID(SP_AcqTract_DB[[#This Row],[WCAD Tax Parcel ID]],FIND("#",SP_AcqTract_DB[[#This Row],[WCAD Tax Parcel ID]],23)+1,7)),"")))</f>
        <v>UNKN003</v>
      </c>
      <c r="AS14" s="54">
        <f>IF(SP_AcqTract_DB[[#This Row],[WCAD Tax Parcel ID]]="",0,(LEN(SP_AcqTract_DB[[#This Row],[WCAD Tax Parcel ID]])-LEN(SUBSTITUTE(SP_AcqTract_DB[[#This Row],[WCAD Tax Parcel ID]],"#",""))+1)/2)</f>
        <v>1</v>
      </c>
      <c r="AT14" s="190">
        <f>IF(SP_AcqTract_DB[[#This Row],[WCAD Tax Parcel ID]]="",0,COUNTIF(SP_TaxPar_DB[Acquisition Tract No.],SP_AcqTract_DB[[#This Row],[Acquisition Tract No.]]))</f>
        <v>1</v>
      </c>
      <c r="AU14" s="189">
        <f>COUNTIF(ACQStatus_ACQTNo.,SP_AcqTract_DB[[#This Row],[Acquisition Tract No.]])</f>
        <v>1</v>
      </c>
      <c r="AX14" s="111"/>
      <c r="AY14" s="1"/>
      <c r="AZ14" s="111"/>
      <c r="BA14" s="211"/>
      <c r="BE14" s="111"/>
      <c r="BF14" s="111"/>
      <c r="BG14" s="111"/>
      <c r="BH14" s="111"/>
      <c r="BI14" s="111"/>
      <c r="BJ14" s="111"/>
      <c r="BK14" s="111"/>
      <c r="BL14" s="111"/>
      <c r="BM14" s="111"/>
      <c r="BN14" s="213"/>
      <c r="BO14" s="111"/>
      <c r="BP14" s="111"/>
      <c r="BQ14" s="213"/>
      <c r="BR14" s="173"/>
      <c r="BS14" s="214"/>
      <c r="BV14" s="213"/>
      <c r="BW14" s="111"/>
      <c r="BX14" s="111"/>
      <c r="BY14" s="1"/>
      <c r="BZ14" s="111"/>
      <c r="CA14" s="111"/>
      <c r="CC14" s="111"/>
      <c r="CD14" s="111"/>
      <c r="CE14" s="111"/>
      <c r="CF14" s="215"/>
      <c r="CG14" s="211"/>
      <c r="CH14" s="215"/>
      <c r="CM14" s="111"/>
      <c r="CN14" s="111"/>
    </row>
    <row r="15" spans="1:92" ht="15" x14ac:dyDescent="0.2">
      <c r="A15" s="6" t="s">
        <v>37</v>
      </c>
      <c r="B15" s="12" t="s">
        <v>626</v>
      </c>
      <c r="C15" s="7" t="s">
        <v>1811</v>
      </c>
      <c r="D15" s="52" t="s">
        <v>1255</v>
      </c>
      <c r="E15" s="52" t="s">
        <v>5022</v>
      </c>
      <c r="F15" s="52" t="s">
        <v>80</v>
      </c>
      <c r="G15" s="8" t="s">
        <v>106</v>
      </c>
      <c r="H15" s="8"/>
      <c r="I15" s="8" t="s">
        <v>106</v>
      </c>
      <c r="J15" s="8" t="s">
        <v>108</v>
      </c>
      <c r="K15" s="8" t="s">
        <v>1729</v>
      </c>
      <c r="L15" s="8" t="s">
        <v>110</v>
      </c>
      <c r="M15" s="8" t="s">
        <v>81</v>
      </c>
      <c r="N15" s="8" t="s">
        <v>109</v>
      </c>
      <c r="O15" s="57">
        <v>43670</v>
      </c>
      <c r="P15" s="7" t="s">
        <v>1299</v>
      </c>
      <c r="Q15" s="3" t="s">
        <v>5013</v>
      </c>
      <c r="R15" s="16">
        <v>43937</v>
      </c>
      <c r="S15" s="5">
        <v>0.62766299357208399</v>
      </c>
      <c r="T15" s="4">
        <v>27341</v>
      </c>
      <c r="U15" s="57">
        <v>43693</v>
      </c>
      <c r="V15" s="8" t="s">
        <v>1726</v>
      </c>
      <c r="W15" s="8"/>
      <c r="X15" s="8"/>
      <c r="Y15" s="8"/>
      <c r="Z15" s="8" t="s">
        <v>1278</v>
      </c>
      <c r="AA15" s="7"/>
      <c r="AB15" s="7" t="s">
        <v>4342</v>
      </c>
      <c r="AC15" s="8" t="s">
        <v>1310</v>
      </c>
      <c r="AD15" s="8" t="s">
        <v>4206</v>
      </c>
      <c r="AE15" s="26">
        <v>44006.429259259261</v>
      </c>
      <c r="AF15" s="8" t="s">
        <v>23</v>
      </c>
      <c r="AG15" s="26">
        <v>43682.623194444444</v>
      </c>
      <c r="AH15" s="1"/>
      <c r="AI15" s="216">
        <v>10</v>
      </c>
      <c r="AJ15" s="216" t="s">
        <v>4939</v>
      </c>
      <c r="AK15" s="216" t="s">
        <v>3512</v>
      </c>
      <c r="AL15" s="216" t="s">
        <v>27</v>
      </c>
      <c r="AM15" s="216" t="s">
        <v>27</v>
      </c>
      <c r="AN15" s="216">
        <v>2</v>
      </c>
      <c r="AO15" s="230">
        <v>44001</v>
      </c>
      <c r="AP15" s="230">
        <v>44006</v>
      </c>
      <c r="AQ15" s="230"/>
      <c r="AR15" s="188" t="str">
        <f>IF(SP_AcqTract_DB[[#This Row],[Count '# in TaxID]]=1,LEFT(SP_AcqTract_DB[[#This Row],[WCAD Tax Parcel ID]],7),IF(SP_AcqTract_DB[[#This Row],[Count '# in TaxID]]=2,CONCATENATE(LEFT(SP_AcqTract_DB[[#This Row],[WCAD Tax Parcel ID]],7),";",MID(SP_AcqTract_DB[[#This Row],[WCAD Tax Parcel ID]],FIND("#",SP_AcqTract_DB[[#This Row],[WCAD Tax Parcel ID]],10)+1,7)),IF(SP_AcqTract_DB[[#This Row],[Count '# in TaxID]]&gt;2,CONCATENATE(LEFT(SP_AcqTract_DB[[#This Row],[WCAD Tax Parcel ID]],7),";",MID(SP_AcqTract_DB[[#This Row],[WCAD Tax Parcel ID]],FIND("#",SP_AcqTract_DB[[#This Row],[WCAD Tax Parcel ID]],10)+1,7),";",MID(SP_AcqTract_DB[[#This Row],[WCAD Tax Parcel ID]],FIND("#",SP_AcqTract_DB[[#This Row],[WCAD Tax Parcel ID]],23)+1,7)),"")))</f>
        <v>R023712</v>
      </c>
      <c r="AS15" s="54">
        <f>IF(SP_AcqTract_DB[[#This Row],[WCAD Tax Parcel ID]]="",0,(LEN(SP_AcqTract_DB[[#This Row],[WCAD Tax Parcel ID]])-LEN(SUBSTITUTE(SP_AcqTract_DB[[#This Row],[WCAD Tax Parcel ID]],"#",""))+1)/2)</f>
        <v>1</v>
      </c>
      <c r="AT15" s="190">
        <f>IF(SP_AcqTract_DB[[#This Row],[WCAD Tax Parcel ID]]="",0,COUNTIF(SP_TaxPar_DB[Acquisition Tract No.],SP_AcqTract_DB[[#This Row],[Acquisition Tract No.]]))</f>
        <v>1</v>
      </c>
      <c r="AU15" s="189">
        <f>COUNTIF(ACQStatus_ACQTNo.,SP_AcqTract_DB[[#This Row],[Acquisition Tract No.]])</f>
        <v>1</v>
      </c>
      <c r="AX15" s="111"/>
      <c r="AY15" s="1"/>
      <c r="AZ15" s="111"/>
      <c r="BA15" s="211"/>
      <c r="BE15" s="111"/>
      <c r="BF15" s="111"/>
      <c r="BG15" s="111"/>
      <c r="BH15" s="111"/>
      <c r="BI15" s="111"/>
      <c r="BJ15" s="111"/>
      <c r="BK15" s="111"/>
      <c r="BL15" s="111"/>
      <c r="BM15" s="111"/>
      <c r="BN15" s="213"/>
      <c r="BO15" s="111"/>
      <c r="BP15" s="111"/>
      <c r="BQ15" s="213"/>
      <c r="BR15" s="173"/>
      <c r="BS15" s="214"/>
      <c r="BV15" s="213"/>
      <c r="BW15" s="111"/>
      <c r="BX15" s="111"/>
      <c r="BY15" s="1"/>
      <c r="BZ15" s="111"/>
      <c r="CA15" s="111"/>
      <c r="CC15" s="111"/>
      <c r="CD15" s="111"/>
      <c r="CE15" s="111"/>
      <c r="CF15" s="215"/>
      <c r="CG15" s="211"/>
      <c r="CH15" s="215"/>
      <c r="CM15" s="111"/>
      <c r="CN15" s="111"/>
    </row>
    <row r="16" spans="1:92" ht="15" x14ac:dyDescent="0.2">
      <c r="A16" s="6" t="s">
        <v>38</v>
      </c>
      <c r="B16" s="12" t="s">
        <v>627</v>
      </c>
      <c r="C16" s="7" t="s">
        <v>1811</v>
      </c>
      <c r="D16" s="52" t="s">
        <v>1255</v>
      </c>
      <c r="E16" s="52" t="s">
        <v>5023</v>
      </c>
      <c r="F16" s="52" t="s">
        <v>4940</v>
      </c>
      <c r="G16" s="8" t="s">
        <v>1677</v>
      </c>
      <c r="H16" s="8" t="s">
        <v>1677</v>
      </c>
      <c r="I16" s="8" t="s">
        <v>1677</v>
      </c>
      <c r="J16" s="8" t="s">
        <v>483</v>
      </c>
      <c r="K16" s="8" t="s">
        <v>1731</v>
      </c>
      <c r="L16" s="8" t="s">
        <v>112</v>
      </c>
      <c r="M16" s="8" t="s">
        <v>81</v>
      </c>
      <c r="N16" s="8" t="s">
        <v>113</v>
      </c>
      <c r="O16" s="57">
        <v>43670</v>
      </c>
      <c r="P16" s="7" t="s">
        <v>1668</v>
      </c>
      <c r="Q16" s="3" t="s">
        <v>5013</v>
      </c>
      <c r="R16" s="16">
        <v>43994</v>
      </c>
      <c r="S16" s="5">
        <v>27.7300045913682</v>
      </c>
      <c r="T16" s="4">
        <v>1207919</v>
      </c>
      <c r="U16" s="57">
        <v>43693</v>
      </c>
      <c r="V16" s="8" t="s">
        <v>1727</v>
      </c>
      <c r="W16" s="8"/>
      <c r="X16" s="8"/>
      <c r="Y16" s="8"/>
      <c r="Z16" s="8"/>
      <c r="AA16" s="7"/>
      <c r="AB16" s="7" t="s">
        <v>4343</v>
      </c>
      <c r="AC16" s="8" t="s">
        <v>1311</v>
      </c>
      <c r="AD16" s="8" t="s">
        <v>4206</v>
      </c>
      <c r="AE16" s="26">
        <v>43997.465879629628</v>
      </c>
      <c r="AF16" s="8" t="s">
        <v>23</v>
      </c>
      <c r="AG16" s="26">
        <v>43682.623194444444</v>
      </c>
      <c r="AH16" s="1" t="s">
        <v>235</v>
      </c>
      <c r="AI16" s="216">
        <v>11</v>
      </c>
      <c r="AJ16" s="216" t="s">
        <v>4939</v>
      </c>
      <c r="AK16" s="216" t="s">
        <v>3512</v>
      </c>
      <c r="AL16" s="216" t="s">
        <v>27</v>
      </c>
      <c r="AM16" s="216" t="s">
        <v>27</v>
      </c>
      <c r="AN16" s="216">
        <v>2</v>
      </c>
      <c r="AO16" s="230"/>
      <c r="AP16" s="230"/>
      <c r="AQ16" s="230"/>
      <c r="AR16" s="188" t="str">
        <f>IF(SP_AcqTract_DB[[#This Row],[Count '# in TaxID]]=1,LEFT(SP_AcqTract_DB[[#This Row],[WCAD Tax Parcel ID]],7),IF(SP_AcqTract_DB[[#This Row],[Count '# in TaxID]]=2,CONCATENATE(LEFT(SP_AcqTract_DB[[#This Row],[WCAD Tax Parcel ID]],7),";",MID(SP_AcqTract_DB[[#This Row],[WCAD Tax Parcel ID]],FIND("#",SP_AcqTract_DB[[#This Row],[WCAD Tax Parcel ID]],10)+1,7)),IF(SP_AcqTract_DB[[#This Row],[Count '# in TaxID]]&gt;2,CONCATENATE(LEFT(SP_AcqTract_DB[[#This Row],[WCAD Tax Parcel ID]],7),";",MID(SP_AcqTract_DB[[#This Row],[WCAD Tax Parcel ID]],FIND("#",SP_AcqTract_DB[[#This Row],[WCAD Tax Parcel ID]],10)+1,7),";",MID(SP_AcqTract_DB[[#This Row],[WCAD Tax Parcel ID]],FIND("#",SP_AcqTract_DB[[#This Row],[WCAD Tax Parcel ID]],23)+1,7)),"")))</f>
        <v>R031204</v>
      </c>
      <c r="AS16" s="54">
        <f>IF(SP_AcqTract_DB[[#This Row],[WCAD Tax Parcel ID]]="",0,(LEN(SP_AcqTract_DB[[#This Row],[WCAD Tax Parcel ID]])-LEN(SUBSTITUTE(SP_AcqTract_DB[[#This Row],[WCAD Tax Parcel ID]],"#",""))+1)/2)</f>
        <v>1</v>
      </c>
      <c r="AT16" s="190">
        <f>IF(SP_AcqTract_DB[[#This Row],[WCAD Tax Parcel ID]]="",0,COUNTIF(SP_TaxPar_DB[Acquisition Tract No.],SP_AcqTract_DB[[#This Row],[Acquisition Tract No.]]))</f>
        <v>1</v>
      </c>
      <c r="AU16" s="189">
        <f>COUNTIF(ACQStatus_ACQTNo.,SP_AcqTract_DB[[#This Row],[Acquisition Tract No.]])</f>
        <v>1</v>
      </c>
      <c r="AX16" s="111"/>
      <c r="AY16" s="1"/>
      <c r="AZ16" s="111"/>
      <c r="BA16" s="211"/>
      <c r="BE16" s="111"/>
      <c r="BF16" s="111"/>
      <c r="BG16" s="111"/>
      <c r="BH16" s="111"/>
      <c r="BI16" s="111"/>
      <c r="BJ16" s="111"/>
      <c r="BK16" s="111"/>
      <c r="BL16" s="111"/>
      <c r="BM16" s="111"/>
      <c r="BN16" s="213"/>
      <c r="BO16" s="111"/>
      <c r="BP16" s="111"/>
      <c r="BQ16" s="213"/>
      <c r="BR16" s="173"/>
      <c r="BS16" s="214"/>
      <c r="BV16" s="213"/>
      <c r="BW16" s="111"/>
      <c r="BX16" s="111"/>
      <c r="BY16" s="1"/>
      <c r="BZ16" s="111"/>
      <c r="CA16" s="111"/>
      <c r="CC16" s="111"/>
      <c r="CD16" s="111"/>
      <c r="CE16" s="111"/>
      <c r="CF16" s="215"/>
      <c r="CG16" s="211"/>
      <c r="CH16" s="215"/>
      <c r="CM16" s="111"/>
      <c r="CN16" s="111"/>
    </row>
    <row r="17" spans="1:92" ht="38.25" x14ac:dyDescent="0.2">
      <c r="A17" s="6" t="s">
        <v>39</v>
      </c>
      <c r="B17" s="12" t="s">
        <v>985</v>
      </c>
      <c r="C17" s="7" t="s">
        <v>1811</v>
      </c>
      <c r="D17" s="52" t="s">
        <v>1255</v>
      </c>
      <c r="E17" s="52" t="s">
        <v>5024</v>
      </c>
      <c r="F17" s="52"/>
      <c r="G17" s="8" t="s">
        <v>223</v>
      </c>
      <c r="H17" s="8" t="s">
        <v>114</v>
      </c>
      <c r="I17" s="8" t="s">
        <v>114</v>
      </c>
      <c r="J17" s="8" t="s">
        <v>224</v>
      </c>
      <c r="K17" s="8" t="s">
        <v>1729</v>
      </c>
      <c r="L17" s="8" t="s">
        <v>115</v>
      </c>
      <c r="M17" s="8" t="s">
        <v>81</v>
      </c>
      <c r="N17" s="8" t="s">
        <v>3501</v>
      </c>
      <c r="O17" s="57">
        <v>43670</v>
      </c>
      <c r="P17" s="7" t="s">
        <v>1670</v>
      </c>
      <c r="Q17" s="3"/>
      <c r="R17" s="16"/>
      <c r="S17" s="5">
        <v>13.541700000000001</v>
      </c>
      <c r="T17" s="4">
        <v>589876.45200000005</v>
      </c>
      <c r="U17" s="57"/>
      <c r="V17" s="8"/>
      <c r="W17" s="8"/>
      <c r="X17" s="8"/>
      <c r="Y17" s="8"/>
      <c r="Z17" s="8"/>
      <c r="AA17" s="7"/>
      <c r="AB17" s="7"/>
      <c r="AC17" s="8" t="s">
        <v>1312</v>
      </c>
      <c r="AD17" s="8" t="s">
        <v>4206</v>
      </c>
      <c r="AE17" s="26">
        <v>43994.397037037037</v>
      </c>
      <c r="AF17" s="8" t="s">
        <v>23</v>
      </c>
      <c r="AG17" s="26">
        <v>43682.623194444444</v>
      </c>
      <c r="AH17" s="1" t="s">
        <v>4648</v>
      </c>
      <c r="AI17" s="216">
        <v>12</v>
      </c>
      <c r="AJ17" s="216" t="s">
        <v>4939</v>
      </c>
      <c r="AK17" s="216" t="s">
        <v>3512</v>
      </c>
      <c r="AL17" s="216" t="s">
        <v>4869</v>
      </c>
      <c r="AM17" s="216" t="s">
        <v>27</v>
      </c>
      <c r="AN17" s="216">
        <v>4</v>
      </c>
      <c r="AO17" s="230"/>
      <c r="AP17" s="230"/>
      <c r="AQ17" s="230"/>
      <c r="AR17" s="188" t="str">
        <f>IF(SP_AcqTract_DB[[#This Row],[Count '# in TaxID]]=1,LEFT(SP_AcqTract_DB[[#This Row],[WCAD Tax Parcel ID]],7),IF(SP_AcqTract_DB[[#This Row],[Count '# in TaxID]]=2,CONCATENATE(LEFT(SP_AcqTract_DB[[#This Row],[WCAD Tax Parcel ID]],7),";",MID(SP_AcqTract_DB[[#This Row],[WCAD Tax Parcel ID]],FIND("#",SP_AcqTract_DB[[#This Row],[WCAD Tax Parcel ID]],10)+1,7)),IF(SP_AcqTract_DB[[#This Row],[Count '# in TaxID]]&gt;2,CONCATENATE(LEFT(SP_AcqTract_DB[[#This Row],[WCAD Tax Parcel ID]],7),";",MID(SP_AcqTract_DB[[#This Row],[WCAD Tax Parcel ID]],FIND("#",SP_AcqTract_DB[[#This Row],[WCAD Tax Parcel ID]],10)+1,7),";",MID(SP_AcqTract_DB[[#This Row],[WCAD Tax Parcel ID]],FIND("#",SP_AcqTract_DB[[#This Row],[WCAD Tax Parcel ID]],23)+1,7)),"")))</f>
        <v>R018520</v>
      </c>
      <c r="AS17" s="54">
        <f>IF(SP_AcqTract_DB[[#This Row],[WCAD Tax Parcel ID]]="",0,(LEN(SP_AcqTract_DB[[#This Row],[WCAD Tax Parcel ID]])-LEN(SUBSTITUTE(SP_AcqTract_DB[[#This Row],[WCAD Tax Parcel ID]],"#",""))+1)/2)</f>
        <v>1</v>
      </c>
      <c r="AT17" s="190">
        <f>IF(SP_AcqTract_DB[[#This Row],[WCAD Tax Parcel ID]]="",0,COUNTIF(SP_TaxPar_DB[Acquisition Tract No.],SP_AcqTract_DB[[#This Row],[Acquisition Tract No.]]))</f>
        <v>1</v>
      </c>
      <c r="AU17" s="189">
        <f>COUNTIF(ACQStatus_ACQTNo.,SP_AcqTract_DB[[#This Row],[Acquisition Tract No.]])</f>
        <v>1</v>
      </c>
      <c r="AX17" s="111"/>
      <c r="AY17" s="1"/>
      <c r="AZ17" s="111"/>
      <c r="BA17" s="211"/>
      <c r="BE17" s="111"/>
      <c r="BF17" s="111"/>
      <c r="BG17" s="111"/>
      <c r="BH17" s="111"/>
      <c r="BI17" s="111"/>
      <c r="BJ17" s="111"/>
      <c r="BK17" s="111"/>
      <c r="BL17" s="111"/>
      <c r="BM17" s="111"/>
      <c r="BN17" s="213"/>
      <c r="BO17" s="111"/>
      <c r="BP17" s="111"/>
      <c r="BQ17" s="213"/>
      <c r="BR17" s="173"/>
      <c r="BS17" s="214"/>
      <c r="BV17" s="213"/>
      <c r="BW17" s="111"/>
      <c r="BX17" s="111"/>
      <c r="BY17" s="1"/>
      <c r="BZ17" s="111"/>
      <c r="CA17" s="111"/>
      <c r="CC17" s="111"/>
      <c r="CD17" s="111"/>
      <c r="CE17" s="111"/>
      <c r="CF17" s="215"/>
      <c r="CG17" s="211"/>
      <c r="CH17" s="215"/>
      <c r="CM17" s="111"/>
      <c r="CN17" s="111"/>
    </row>
    <row r="18" spans="1:92" ht="15" x14ac:dyDescent="0.2">
      <c r="A18" s="6" t="s">
        <v>40</v>
      </c>
      <c r="B18" s="12" t="s">
        <v>628</v>
      </c>
      <c r="C18" s="7" t="s">
        <v>1811</v>
      </c>
      <c r="D18" s="52" t="s">
        <v>1255</v>
      </c>
      <c r="E18" s="52" t="s">
        <v>5020</v>
      </c>
      <c r="F18" s="52" t="s">
        <v>80</v>
      </c>
      <c r="G18" s="8" t="s">
        <v>116</v>
      </c>
      <c r="H18" s="8"/>
      <c r="I18" s="8" t="s">
        <v>116</v>
      </c>
      <c r="J18" s="8" t="s">
        <v>117</v>
      </c>
      <c r="K18" s="8" t="s">
        <v>1355</v>
      </c>
      <c r="L18" s="8" t="s">
        <v>1678</v>
      </c>
      <c r="M18" s="8" t="s">
        <v>81</v>
      </c>
      <c r="N18" s="8" t="s">
        <v>119</v>
      </c>
      <c r="O18" s="57">
        <v>43670</v>
      </c>
      <c r="P18" s="7" t="s">
        <v>1299</v>
      </c>
      <c r="Q18" s="3" t="s">
        <v>4344</v>
      </c>
      <c r="R18" s="16">
        <v>43937</v>
      </c>
      <c r="S18" s="5">
        <v>0.51154729109274599</v>
      </c>
      <c r="T18" s="4">
        <v>22283</v>
      </c>
      <c r="U18" s="57">
        <v>43693</v>
      </c>
      <c r="V18" s="8" t="s">
        <v>1726</v>
      </c>
      <c r="W18" s="8"/>
      <c r="X18" s="8"/>
      <c r="Y18" s="8"/>
      <c r="Z18" s="8" t="s">
        <v>1278</v>
      </c>
      <c r="AA18" s="7"/>
      <c r="AB18" s="7" t="s">
        <v>29</v>
      </c>
      <c r="AC18" s="8" t="s">
        <v>1313</v>
      </c>
      <c r="AD18" s="8" t="s">
        <v>4206</v>
      </c>
      <c r="AE18" s="26">
        <v>43999.539826388886</v>
      </c>
      <c r="AF18" s="8" t="s">
        <v>23</v>
      </c>
      <c r="AG18" s="26">
        <v>43682.623194444444</v>
      </c>
      <c r="AH18" s="1"/>
      <c r="AI18" s="216">
        <v>13</v>
      </c>
      <c r="AJ18" s="216" t="s">
        <v>4939</v>
      </c>
      <c r="AK18" s="216" t="s">
        <v>3512</v>
      </c>
      <c r="AL18" s="216" t="s">
        <v>27</v>
      </c>
      <c r="AM18" s="216" t="s">
        <v>27</v>
      </c>
      <c r="AN18" s="216">
        <v>1</v>
      </c>
      <c r="AO18" s="230">
        <v>43992</v>
      </c>
      <c r="AP18" s="230">
        <v>43999</v>
      </c>
      <c r="AQ18" s="230"/>
      <c r="AR18" s="188" t="str">
        <f>IF(SP_AcqTract_DB[[#This Row],[Count '# in TaxID]]=1,LEFT(SP_AcqTract_DB[[#This Row],[WCAD Tax Parcel ID]],7),IF(SP_AcqTract_DB[[#This Row],[Count '# in TaxID]]=2,CONCATENATE(LEFT(SP_AcqTract_DB[[#This Row],[WCAD Tax Parcel ID]],7),";",MID(SP_AcqTract_DB[[#This Row],[WCAD Tax Parcel ID]],FIND("#",SP_AcqTract_DB[[#This Row],[WCAD Tax Parcel ID]],10)+1,7)),IF(SP_AcqTract_DB[[#This Row],[Count '# in TaxID]]&gt;2,CONCATENATE(LEFT(SP_AcqTract_DB[[#This Row],[WCAD Tax Parcel ID]],7),";",MID(SP_AcqTract_DB[[#This Row],[WCAD Tax Parcel ID]],FIND("#",SP_AcqTract_DB[[#This Row],[WCAD Tax Parcel ID]],10)+1,7),";",MID(SP_AcqTract_DB[[#This Row],[WCAD Tax Parcel ID]],FIND("#",SP_AcqTract_DB[[#This Row],[WCAD Tax Parcel ID]],23)+1,7)),"")))</f>
        <v>R019378;R050285</v>
      </c>
      <c r="AS18" s="54">
        <f>IF(SP_AcqTract_DB[[#This Row],[WCAD Tax Parcel ID]]="",0,(LEN(SP_AcqTract_DB[[#This Row],[WCAD Tax Parcel ID]])-LEN(SUBSTITUTE(SP_AcqTract_DB[[#This Row],[WCAD Tax Parcel ID]],"#",""))+1)/2)</f>
        <v>2</v>
      </c>
      <c r="AT18" s="190">
        <f>IF(SP_AcqTract_DB[[#This Row],[WCAD Tax Parcel ID]]="",0,COUNTIF(SP_TaxPar_DB[Acquisition Tract No.],SP_AcqTract_DB[[#This Row],[Acquisition Tract No.]]))</f>
        <v>2</v>
      </c>
      <c r="AU18" s="189">
        <f>COUNTIF(ACQStatus_ACQTNo.,SP_AcqTract_DB[[#This Row],[Acquisition Tract No.]])</f>
        <v>1</v>
      </c>
      <c r="AX18" s="111"/>
      <c r="AY18" s="1"/>
      <c r="AZ18" s="111"/>
      <c r="BA18" s="211"/>
      <c r="BE18" s="111"/>
      <c r="BF18" s="111"/>
      <c r="BG18" s="111"/>
      <c r="BH18" s="111"/>
      <c r="BI18" s="111"/>
      <c r="BJ18" s="111"/>
      <c r="BK18" s="111"/>
      <c r="BL18" s="111"/>
      <c r="BM18" s="111"/>
      <c r="BN18" s="213"/>
      <c r="BO18" s="111"/>
      <c r="BP18" s="111"/>
      <c r="BQ18" s="213"/>
      <c r="BR18" s="173"/>
      <c r="BS18" s="214"/>
      <c r="BV18" s="213"/>
      <c r="BW18" s="111"/>
      <c r="BX18" s="111"/>
      <c r="BY18" s="1"/>
      <c r="BZ18" s="111"/>
      <c r="CA18" s="111"/>
      <c r="CC18" s="111"/>
      <c r="CD18" s="111"/>
      <c r="CE18" s="111"/>
      <c r="CF18" s="215"/>
      <c r="CG18" s="211"/>
      <c r="CH18" s="215"/>
      <c r="CM18" s="111"/>
      <c r="CN18" s="111"/>
    </row>
    <row r="19" spans="1:92" ht="15" x14ac:dyDescent="0.2">
      <c r="A19" s="6" t="s">
        <v>41</v>
      </c>
      <c r="B19" s="12" t="s">
        <v>629</v>
      </c>
      <c r="C19" s="7" t="s">
        <v>1811</v>
      </c>
      <c r="D19" s="52" t="s">
        <v>1255</v>
      </c>
      <c r="E19" s="52" t="s">
        <v>5021</v>
      </c>
      <c r="F19" s="52" t="s">
        <v>80</v>
      </c>
      <c r="G19" s="8" t="s">
        <v>120</v>
      </c>
      <c r="H19" s="8"/>
      <c r="I19" s="8" t="s">
        <v>120</v>
      </c>
      <c r="J19" s="8" t="s">
        <v>121</v>
      </c>
      <c r="K19" s="8" t="s">
        <v>1354</v>
      </c>
      <c r="L19" s="8" t="s">
        <v>121</v>
      </c>
      <c r="M19" s="8" t="s">
        <v>81</v>
      </c>
      <c r="N19" s="8" t="s">
        <v>123</v>
      </c>
      <c r="O19" s="57">
        <v>43670</v>
      </c>
      <c r="P19" s="7" t="s">
        <v>1299</v>
      </c>
      <c r="Q19" s="3" t="s">
        <v>4344</v>
      </c>
      <c r="R19" s="16">
        <v>43937</v>
      </c>
      <c r="S19" s="5">
        <v>0.173025711662075</v>
      </c>
      <c r="T19" s="4">
        <v>7537</v>
      </c>
      <c r="U19" s="57">
        <v>43693</v>
      </c>
      <c r="V19" s="8" t="s">
        <v>1726</v>
      </c>
      <c r="W19" s="8"/>
      <c r="X19" s="8"/>
      <c r="Y19" s="8"/>
      <c r="Z19" s="8"/>
      <c r="AA19" s="7"/>
      <c r="AB19" s="7" t="s">
        <v>29</v>
      </c>
      <c r="AC19" s="8" t="s">
        <v>1314</v>
      </c>
      <c r="AD19" s="8" t="s">
        <v>4206</v>
      </c>
      <c r="AE19" s="26">
        <v>43998.379120370373</v>
      </c>
      <c r="AF19" s="8" t="s">
        <v>23</v>
      </c>
      <c r="AG19" s="26">
        <v>43682.623194444444</v>
      </c>
      <c r="AH19" s="1"/>
      <c r="AI19" s="216">
        <v>14</v>
      </c>
      <c r="AJ19" s="216" t="s">
        <v>4939</v>
      </c>
      <c r="AK19" s="216" t="s">
        <v>3512</v>
      </c>
      <c r="AL19" s="216" t="s">
        <v>27</v>
      </c>
      <c r="AM19" s="216" t="s">
        <v>27</v>
      </c>
      <c r="AN19" s="216">
        <v>2</v>
      </c>
      <c r="AO19" s="230">
        <v>43986</v>
      </c>
      <c r="AP19" s="230">
        <v>43991</v>
      </c>
      <c r="AQ19" s="230"/>
      <c r="AR19" s="188" t="str">
        <f>IF(SP_AcqTract_DB[[#This Row],[Count '# in TaxID]]=1,LEFT(SP_AcqTract_DB[[#This Row],[WCAD Tax Parcel ID]],7),IF(SP_AcqTract_DB[[#This Row],[Count '# in TaxID]]=2,CONCATENATE(LEFT(SP_AcqTract_DB[[#This Row],[WCAD Tax Parcel ID]],7),";",MID(SP_AcqTract_DB[[#This Row],[WCAD Tax Parcel ID]],FIND("#",SP_AcqTract_DB[[#This Row],[WCAD Tax Parcel ID]],10)+1,7)),IF(SP_AcqTract_DB[[#This Row],[Count '# in TaxID]]&gt;2,CONCATENATE(LEFT(SP_AcqTract_DB[[#This Row],[WCAD Tax Parcel ID]],7),";",MID(SP_AcqTract_DB[[#This Row],[WCAD Tax Parcel ID]],FIND("#",SP_AcqTract_DB[[#This Row],[WCAD Tax Parcel ID]],10)+1,7),";",MID(SP_AcqTract_DB[[#This Row],[WCAD Tax Parcel ID]],FIND("#",SP_AcqTract_DB[[#This Row],[WCAD Tax Parcel ID]],23)+1,7)),"")))</f>
        <v>R019377</v>
      </c>
      <c r="AS19" s="54">
        <f>IF(SP_AcqTract_DB[[#This Row],[WCAD Tax Parcel ID]]="",0,(LEN(SP_AcqTract_DB[[#This Row],[WCAD Tax Parcel ID]])-LEN(SUBSTITUTE(SP_AcqTract_DB[[#This Row],[WCAD Tax Parcel ID]],"#",""))+1)/2)</f>
        <v>1</v>
      </c>
      <c r="AT19" s="190">
        <f>IF(SP_AcqTract_DB[[#This Row],[WCAD Tax Parcel ID]]="",0,COUNTIF(SP_TaxPar_DB[Acquisition Tract No.],SP_AcqTract_DB[[#This Row],[Acquisition Tract No.]]))</f>
        <v>1</v>
      </c>
      <c r="AU19" s="189">
        <f>COUNTIF(ACQStatus_ACQTNo.,SP_AcqTract_DB[[#This Row],[Acquisition Tract No.]])</f>
        <v>1</v>
      </c>
      <c r="AX19" s="111"/>
      <c r="AY19" s="1"/>
      <c r="AZ19" s="111"/>
      <c r="BA19" s="211"/>
      <c r="BE19" s="111"/>
      <c r="BF19" s="111"/>
      <c r="BG19" s="111"/>
      <c r="BH19" s="111"/>
      <c r="BI19" s="111"/>
      <c r="BJ19" s="111"/>
      <c r="BK19" s="111"/>
      <c r="BL19" s="111"/>
      <c r="BM19" s="111"/>
      <c r="BN19" s="213"/>
      <c r="BO19" s="111"/>
      <c r="BP19" s="111"/>
      <c r="BQ19" s="213"/>
      <c r="BR19" s="173"/>
      <c r="BS19" s="214"/>
      <c r="BV19" s="213"/>
      <c r="BW19" s="111"/>
      <c r="BX19" s="111"/>
      <c r="BY19" s="1"/>
      <c r="BZ19" s="111"/>
      <c r="CA19" s="111"/>
      <c r="CC19" s="111"/>
      <c r="CD19" s="111"/>
      <c r="CE19" s="111"/>
      <c r="CF19" s="215"/>
      <c r="CG19" s="211"/>
      <c r="CH19" s="215"/>
      <c r="CM19" s="111"/>
      <c r="CN19" s="111"/>
    </row>
    <row r="20" spans="1:92" ht="15" x14ac:dyDescent="0.2">
      <c r="A20" s="6" t="s">
        <v>42</v>
      </c>
      <c r="B20" s="12" t="s">
        <v>630</v>
      </c>
      <c r="C20" s="7" t="s">
        <v>1811</v>
      </c>
      <c r="D20" s="52" t="s">
        <v>1255</v>
      </c>
      <c r="E20" s="52" t="s">
        <v>5021</v>
      </c>
      <c r="F20" s="52" t="s">
        <v>80</v>
      </c>
      <c r="G20" s="8" t="s">
        <v>1679</v>
      </c>
      <c r="H20" s="8"/>
      <c r="I20" s="8"/>
      <c r="J20" s="8" t="s">
        <v>124</v>
      </c>
      <c r="K20" s="8" t="s">
        <v>1354</v>
      </c>
      <c r="L20" s="8" t="s">
        <v>124</v>
      </c>
      <c r="M20" s="8" t="s">
        <v>81</v>
      </c>
      <c r="N20" s="8" t="s">
        <v>126</v>
      </c>
      <c r="O20" s="57">
        <v>43670</v>
      </c>
      <c r="P20" s="7" t="s">
        <v>1299</v>
      </c>
      <c r="Q20" s="3" t="s">
        <v>4344</v>
      </c>
      <c r="R20" s="16">
        <v>43994</v>
      </c>
      <c r="S20" s="5">
        <v>0.17431129476584001</v>
      </c>
      <c r="T20" s="4">
        <v>7593</v>
      </c>
      <c r="U20" s="57">
        <v>43693</v>
      </c>
      <c r="V20" s="8" t="s">
        <v>1726</v>
      </c>
      <c r="W20" s="8"/>
      <c r="X20" s="8"/>
      <c r="Y20" s="8"/>
      <c r="Z20" s="8"/>
      <c r="AA20" s="7"/>
      <c r="AB20" s="7" t="s">
        <v>29</v>
      </c>
      <c r="AC20" s="8" t="s">
        <v>1315</v>
      </c>
      <c r="AD20" s="8" t="s">
        <v>4206</v>
      </c>
      <c r="AE20" s="26">
        <v>43997.467187499999</v>
      </c>
      <c r="AF20" s="8" t="s">
        <v>23</v>
      </c>
      <c r="AG20" s="26">
        <v>43682.623194444444</v>
      </c>
      <c r="AH20" s="1" t="s">
        <v>67</v>
      </c>
      <c r="AI20" s="216">
        <v>15</v>
      </c>
      <c r="AJ20" s="216" t="s">
        <v>4939</v>
      </c>
      <c r="AK20" s="216" t="s">
        <v>3512</v>
      </c>
      <c r="AL20" s="216" t="s">
        <v>27</v>
      </c>
      <c r="AM20" s="216" t="s">
        <v>27</v>
      </c>
      <c r="AN20" s="216">
        <v>2</v>
      </c>
      <c r="AO20" s="230"/>
      <c r="AP20" s="230"/>
      <c r="AQ20" s="230"/>
      <c r="AR20" s="188" t="str">
        <f>IF(SP_AcqTract_DB[[#This Row],[Count '# in TaxID]]=1,LEFT(SP_AcqTract_DB[[#This Row],[WCAD Tax Parcel ID]],7),IF(SP_AcqTract_DB[[#This Row],[Count '# in TaxID]]=2,CONCATENATE(LEFT(SP_AcqTract_DB[[#This Row],[WCAD Tax Parcel ID]],7),";",MID(SP_AcqTract_DB[[#This Row],[WCAD Tax Parcel ID]],FIND("#",SP_AcqTract_DB[[#This Row],[WCAD Tax Parcel ID]],10)+1,7)),IF(SP_AcqTract_DB[[#This Row],[Count '# in TaxID]]&gt;2,CONCATENATE(LEFT(SP_AcqTract_DB[[#This Row],[WCAD Tax Parcel ID]],7),";",MID(SP_AcqTract_DB[[#This Row],[WCAD Tax Parcel ID]],FIND("#",SP_AcqTract_DB[[#This Row],[WCAD Tax Parcel ID]],10)+1,7),";",MID(SP_AcqTract_DB[[#This Row],[WCAD Tax Parcel ID]],FIND("#",SP_AcqTract_DB[[#This Row],[WCAD Tax Parcel ID]],23)+1,7)),"")))</f>
        <v>R019376</v>
      </c>
      <c r="AS20" s="54">
        <f>IF(SP_AcqTract_DB[[#This Row],[WCAD Tax Parcel ID]]="",0,(LEN(SP_AcqTract_DB[[#This Row],[WCAD Tax Parcel ID]])-LEN(SUBSTITUTE(SP_AcqTract_DB[[#This Row],[WCAD Tax Parcel ID]],"#",""))+1)/2)</f>
        <v>1</v>
      </c>
      <c r="AT20" s="190">
        <f>IF(SP_AcqTract_DB[[#This Row],[WCAD Tax Parcel ID]]="",0,COUNTIF(SP_TaxPar_DB[Acquisition Tract No.],SP_AcqTract_DB[[#This Row],[Acquisition Tract No.]]))</f>
        <v>1</v>
      </c>
      <c r="AU20" s="189">
        <f>COUNTIF(ACQStatus_ACQTNo.,SP_AcqTract_DB[[#This Row],[Acquisition Tract No.]])</f>
        <v>1</v>
      </c>
      <c r="AX20" s="111"/>
      <c r="AY20" s="1"/>
      <c r="AZ20" s="111"/>
      <c r="BA20" s="211"/>
      <c r="BE20" s="111"/>
      <c r="BF20" s="111"/>
      <c r="BG20" s="111"/>
      <c r="BH20" s="111"/>
      <c r="BI20" s="111"/>
      <c r="BJ20" s="111"/>
      <c r="BK20" s="111"/>
      <c r="BL20" s="111"/>
      <c r="BM20" s="111"/>
      <c r="BN20" s="213"/>
      <c r="BO20" s="111"/>
      <c r="BP20" s="111"/>
      <c r="BQ20" s="213"/>
      <c r="BR20" s="173"/>
      <c r="BS20" s="214"/>
      <c r="BV20" s="213"/>
      <c r="BW20" s="111"/>
      <c r="BX20" s="111"/>
      <c r="BY20" s="1"/>
      <c r="BZ20" s="111"/>
      <c r="CA20" s="111"/>
      <c r="CC20" s="111"/>
      <c r="CD20" s="111"/>
      <c r="CE20" s="111"/>
      <c r="CF20" s="215"/>
      <c r="CG20" s="211"/>
      <c r="CH20" s="215"/>
      <c r="CM20" s="111"/>
      <c r="CN20" s="111"/>
    </row>
    <row r="21" spans="1:92" ht="15" x14ac:dyDescent="0.2">
      <c r="A21" s="6" t="s">
        <v>43</v>
      </c>
      <c r="B21" s="12" t="s">
        <v>631</v>
      </c>
      <c r="C21" s="7" t="s">
        <v>1811</v>
      </c>
      <c r="D21" s="52" t="s">
        <v>1255</v>
      </c>
      <c r="E21" s="52" t="s">
        <v>5021</v>
      </c>
      <c r="F21" s="52" t="s">
        <v>1809</v>
      </c>
      <c r="G21" s="8" t="s">
        <v>127</v>
      </c>
      <c r="H21" s="8"/>
      <c r="I21" s="8" t="s">
        <v>127</v>
      </c>
      <c r="J21" s="8" t="s">
        <v>128</v>
      </c>
      <c r="K21" s="8" t="s">
        <v>1354</v>
      </c>
      <c r="L21" s="8" t="s">
        <v>130</v>
      </c>
      <c r="M21" s="8" t="s">
        <v>81</v>
      </c>
      <c r="N21" s="8" t="s">
        <v>131</v>
      </c>
      <c r="O21" s="57">
        <v>43670</v>
      </c>
      <c r="P21" s="7" t="s">
        <v>1668</v>
      </c>
      <c r="Q21" s="3" t="s">
        <v>4344</v>
      </c>
      <c r="R21" s="16">
        <v>43950</v>
      </c>
      <c r="S21" s="5">
        <v>0.17552800734618901</v>
      </c>
      <c r="T21" s="4">
        <v>7646</v>
      </c>
      <c r="U21" s="57">
        <v>43704</v>
      </c>
      <c r="V21" s="8" t="s">
        <v>1727</v>
      </c>
      <c r="W21" s="8"/>
      <c r="X21" s="8"/>
      <c r="Y21" s="8"/>
      <c r="Z21" s="8"/>
      <c r="AA21" s="7"/>
      <c r="AB21" s="7" t="s">
        <v>4342</v>
      </c>
      <c r="AC21" s="8" t="s">
        <v>1316</v>
      </c>
      <c r="AD21" s="8" t="s">
        <v>4206</v>
      </c>
      <c r="AE21" s="26">
        <v>43994.552395833336</v>
      </c>
      <c r="AF21" s="8" t="s">
        <v>23</v>
      </c>
      <c r="AG21" s="26">
        <v>43682.623194444444</v>
      </c>
      <c r="AH21" s="1" t="s">
        <v>67</v>
      </c>
      <c r="AI21" s="216">
        <v>16</v>
      </c>
      <c r="AJ21" s="216" t="s">
        <v>4939</v>
      </c>
      <c r="AK21" s="216" t="s">
        <v>3512</v>
      </c>
      <c r="AL21" s="216" t="s">
        <v>27</v>
      </c>
      <c r="AM21" s="216" t="s">
        <v>27</v>
      </c>
      <c r="AN21" s="216">
        <v>2</v>
      </c>
      <c r="AO21" s="230">
        <v>43971</v>
      </c>
      <c r="AP21" s="230">
        <v>43991</v>
      </c>
      <c r="AQ21" s="230"/>
      <c r="AR21" s="188" t="str">
        <f>IF(SP_AcqTract_DB[[#This Row],[Count '# in TaxID]]=1,LEFT(SP_AcqTract_DB[[#This Row],[WCAD Tax Parcel ID]],7),IF(SP_AcqTract_DB[[#This Row],[Count '# in TaxID]]=2,CONCATENATE(LEFT(SP_AcqTract_DB[[#This Row],[WCAD Tax Parcel ID]],7),";",MID(SP_AcqTract_DB[[#This Row],[WCAD Tax Parcel ID]],FIND("#",SP_AcqTract_DB[[#This Row],[WCAD Tax Parcel ID]],10)+1,7)),IF(SP_AcqTract_DB[[#This Row],[Count '# in TaxID]]&gt;2,CONCATENATE(LEFT(SP_AcqTract_DB[[#This Row],[WCAD Tax Parcel ID]],7),";",MID(SP_AcqTract_DB[[#This Row],[WCAD Tax Parcel ID]],FIND("#",SP_AcqTract_DB[[#This Row],[WCAD Tax Parcel ID]],10)+1,7),";",MID(SP_AcqTract_DB[[#This Row],[WCAD Tax Parcel ID]],FIND("#",SP_AcqTract_DB[[#This Row],[WCAD Tax Parcel ID]],23)+1,7)),"")))</f>
        <v>R019375</v>
      </c>
      <c r="AS21" s="54">
        <f>IF(SP_AcqTract_DB[[#This Row],[WCAD Tax Parcel ID]]="",0,(LEN(SP_AcqTract_DB[[#This Row],[WCAD Tax Parcel ID]])-LEN(SUBSTITUTE(SP_AcqTract_DB[[#This Row],[WCAD Tax Parcel ID]],"#",""))+1)/2)</f>
        <v>1</v>
      </c>
      <c r="AT21" s="190">
        <f>IF(SP_AcqTract_DB[[#This Row],[WCAD Tax Parcel ID]]="",0,COUNTIF(SP_TaxPar_DB[Acquisition Tract No.],SP_AcqTract_DB[[#This Row],[Acquisition Tract No.]]))</f>
        <v>1</v>
      </c>
      <c r="AU21" s="189">
        <f>COUNTIF(ACQStatus_ACQTNo.,SP_AcqTract_DB[[#This Row],[Acquisition Tract No.]])</f>
        <v>1</v>
      </c>
      <c r="AX21" s="111"/>
      <c r="AY21" s="1"/>
      <c r="AZ21" s="111"/>
      <c r="BA21" s="211"/>
      <c r="BE21" s="111"/>
      <c r="BF21" s="111"/>
      <c r="BG21" s="111"/>
      <c r="BH21" s="111"/>
      <c r="BI21" s="111"/>
      <c r="BJ21" s="111"/>
      <c r="BK21" s="111"/>
      <c r="BL21" s="111"/>
      <c r="BM21" s="111"/>
      <c r="BN21" s="213"/>
      <c r="BO21" s="111"/>
      <c r="BP21" s="111"/>
      <c r="BQ21" s="213"/>
      <c r="BR21" s="173"/>
      <c r="BS21" s="214"/>
      <c r="BV21" s="213"/>
      <c r="BW21" s="111"/>
      <c r="BX21" s="111"/>
      <c r="BY21" s="1"/>
      <c r="BZ21" s="111"/>
      <c r="CA21" s="111"/>
      <c r="CC21" s="111"/>
      <c r="CD21" s="111"/>
      <c r="CE21" s="111"/>
      <c r="CF21" s="215"/>
      <c r="CG21" s="211"/>
      <c r="CH21" s="215"/>
      <c r="CM21" s="111"/>
      <c r="CN21" s="111"/>
    </row>
    <row r="22" spans="1:92" ht="15" x14ac:dyDescent="0.2">
      <c r="A22" s="6" t="s">
        <v>132</v>
      </c>
      <c r="B22" s="12" t="s">
        <v>632</v>
      </c>
      <c r="C22" s="7" t="s">
        <v>1811</v>
      </c>
      <c r="D22" s="52" t="s">
        <v>1255</v>
      </c>
      <c r="E22" s="52" t="s">
        <v>5025</v>
      </c>
      <c r="F22" s="52" t="s">
        <v>80</v>
      </c>
      <c r="G22" s="8" t="s">
        <v>1680</v>
      </c>
      <c r="H22" s="8"/>
      <c r="I22" s="8" t="s">
        <v>1680</v>
      </c>
      <c r="J22" s="8" t="s">
        <v>133</v>
      </c>
      <c r="K22" s="8" t="s">
        <v>1354</v>
      </c>
      <c r="L22" s="8" t="s">
        <v>133</v>
      </c>
      <c r="M22" s="8" t="s">
        <v>81</v>
      </c>
      <c r="N22" s="8" t="s">
        <v>135</v>
      </c>
      <c r="O22" s="57">
        <v>43670</v>
      </c>
      <c r="P22" s="7" t="s">
        <v>1299</v>
      </c>
      <c r="Q22" s="3" t="s">
        <v>5013</v>
      </c>
      <c r="R22" s="16">
        <v>43950</v>
      </c>
      <c r="S22" s="5">
        <v>0.23748852157943101</v>
      </c>
      <c r="T22" s="4">
        <v>10345</v>
      </c>
      <c r="U22" s="57">
        <v>43693</v>
      </c>
      <c r="V22" s="8" t="s">
        <v>1726</v>
      </c>
      <c r="W22" s="8"/>
      <c r="X22" s="8"/>
      <c r="Y22" s="8" t="s">
        <v>1279</v>
      </c>
      <c r="Z22" s="8" t="s">
        <v>1278</v>
      </c>
      <c r="AA22" s="7"/>
      <c r="AB22" s="7" t="s">
        <v>29</v>
      </c>
      <c r="AC22" s="8" t="s">
        <v>1317</v>
      </c>
      <c r="AD22" s="8" t="s">
        <v>4206</v>
      </c>
      <c r="AE22" s="26">
        <v>44006.429722222223</v>
      </c>
      <c r="AF22" s="8" t="s">
        <v>23</v>
      </c>
      <c r="AG22" s="26">
        <v>43682.623194444444</v>
      </c>
      <c r="AH22" s="1" t="s">
        <v>67</v>
      </c>
      <c r="AI22" s="216">
        <v>17</v>
      </c>
      <c r="AJ22" s="216" t="s">
        <v>4939</v>
      </c>
      <c r="AK22" s="216" t="s">
        <v>3512</v>
      </c>
      <c r="AL22" s="216" t="s">
        <v>27</v>
      </c>
      <c r="AM22" s="216" t="s">
        <v>27</v>
      </c>
      <c r="AN22" s="216">
        <v>1</v>
      </c>
      <c r="AO22" s="230">
        <v>44001</v>
      </c>
      <c r="AP22" s="230">
        <v>44006</v>
      </c>
      <c r="AQ22" s="230"/>
      <c r="AR22" s="188" t="str">
        <f>IF(SP_AcqTract_DB[[#This Row],[Count '# in TaxID]]=1,LEFT(SP_AcqTract_DB[[#This Row],[WCAD Tax Parcel ID]],7),IF(SP_AcqTract_DB[[#This Row],[Count '# in TaxID]]=2,CONCATENATE(LEFT(SP_AcqTract_DB[[#This Row],[WCAD Tax Parcel ID]],7),";",MID(SP_AcqTract_DB[[#This Row],[WCAD Tax Parcel ID]],FIND("#",SP_AcqTract_DB[[#This Row],[WCAD Tax Parcel ID]],10)+1,7)),IF(SP_AcqTract_DB[[#This Row],[Count '# in TaxID]]&gt;2,CONCATENATE(LEFT(SP_AcqTract_DB[[#This Row],[WCAD Tax Parcel ID]],7),";",MID(SP_AcqTract_DB[[#This Row],[WCAD Tax Parcel ID]],FIND("#",SP_AcqTract_DB[[#This Row],[WCAD Tax Parcel ID]],10)+1,7),";",MID(SP_AcqTract_DB[[#This Row],[WCAD Tax Parcel ID]],FIND("#",SP_AcqTract_DB[[#This Row],[WCAD Tax Parcel ID]],23)+1,7)),"")))</f>
        <v>R061992</v>
      </c>
      <c r="AS22" s="54">
        <f>IF(SP_AcqTract_DB[[#This Row],[WCAD Tax Parcel ID]]="",0,(LEN(SP_AcqTract_DB[[#This Row],[WCAD Tax Parcel ID]])-LEN(SUBSTITUTE(SP_AcqTract_DB[[#This Row],[WCAD Tax Parcel ID]],"#",""))+1)/2)</f>
        <v>1</v>
      </c>
      <c r="AT22" s="190">
        <f>IF(SP_AcqTract_DB[[#This Row],[WCAD Tax Parcel ID]]="",0,COUNTIF(SP_TaxPar_DB[Acquisition Tract No.],SP_AcqTract_DB[[#This Row],[Acquisition Tract No.]]))</f>
        <v>1</v>
      </c>
      <c r="AU22" s="189">
        <f>COUNTIF(ACQStatus_ACQTNo.,SP_AcqTract_DB[[#This Row],[Acquisition Tract No.]])</f>
        <v>1</v>
      </c>
      <c r="AX22" s="111"/>
      <c r="AY22" s="1"/>
      <c r="AZ22" s="111"/>
      <c r="BA22" s="211"/>
      <c r="BE22" s="111"/>
      <c r="BF22" s="111"/>
      <c r="BG22" s="111"/>
      <c r="BH22" s="111"/>
      <c r="BI22" s="111"/>
      <c r="BJ22" s="111"/>
      <c r="BK22" s="111"/>
      <c r="BL22" s="111"/>
      <c r="BM22" s="111"/>
      <c r="BN22" s="213"/>
      <c r="BO22" s="111"/>
      <c r="BP22" s="111"/>
      <c r="BQ22" s="213"/>
      <c r="BR22" s="173"/>
      <c r="BS22" s="214"/>
      <c r="BV22" s="213"/>
      <c r="BW22" s="111"/>
      <c r="BX22" s="111"/>
      <c r="BY22" s="1"/>
      <c r="BZ22" s="111"/>
      <c r="CA22" s="111"/>
      <c r="CC22" s="111"/>
      <c r="CD22" s="111"/>
      <c r="CE22" s="111"/>
      <c r="CF22" s="215"/>
      <c r="CG22" s="211"/>
      <c r="CH22" s="215"/>
      <c r="CM22" s="111"/>
      <c r="CN22" s="111"/>
    </row>
    <row r="23" spans="1:92" ht="15" x14ac:dyDescent="0.2">
      <c r="A23" s="6" t="s">
        <v>136</v>
      </c>
      <c r="B23" s="12" t="s">
        <v>633</v>
      </c>
      <c r="C23" s="7" t="s">
        <v>1811</v>
      </c>
      <c r="D23" s="52" t="s">
        <v>4638</v>
      </c>
      <c r="E23" s="52"/>
      <c r="F23" s="52" t="s">
        <v>80</v>
      </c>
      <c r="G23" s="8" t="s">
        <v>137</v>
      </c>
      <c r="H23" s="8"/>
      <c r="I23" s="8" t="s">
        <v>137</v>
      </c>
      <c r="J23" s="8" t="s">
        <v>138</v>
      </c>
      <c r="K23" s="8" t="s">
        <v>1354</v>
      </c>
      <c r="L23" s="8" t="s">
        <v>138</v>
      </c>
      <c r="M23" s="8" t="s">
        <v>81</v>
      </c>
      <c r="N23" s="8" t="s">
        <v>140</v>
      </c>
      <c r="O23" s="57">
        <v>43670</v>
      </c>
      <c r="P23" s="7" t="s">
        <v>1299</v>
      </c>
      <c r="Q23" s="3"/>
      <c r="R23" s="16"/>
      <c r="S23" s="5">
        <v>0.239348025711662</v>
      </c>
      <c r="T23" s="4">
        <v>10426</v>
      </c>
      <c r="U23" s="57">
        <v>43693</v>
      </c>
      <c r="V23" s="8" t="s">
        <v>1726</v>
      </c>
      <c r="W23" s="8"/>
      <c r="X23" s="8"/>
      <c r="Y23" s="8" t="s">
        <v>1279</v>
      </c>
      <c r="Z23" s="8" t="s">
        <v>1278</v>
      </c>
      <c r="AA23" s="7"/>
      <c r="AB23" s="7" t="s">
        <v>29</v>
      </c>
      <c r="AC23" s="8" t="s">
        <v>1318</v>
      </c>
      <c r="AD23" s="8" t="s">
        <v>4206</v>
      </c>
      <c r="AE23" s="26">
        <v>43994.552407407406</v>
      </c>
      <c r="AF23" s="8" t="s">
        <v>23</v>
      </c>
      <c r="AG23" s="26">
        <v>43682.623194444444</v>
      </c>
      <c r="AH23" s="1" t="s">
        <v>67</v>
      </c>
      <c r="AI23" s="216">
        <v>18</v>
      </c>
      <c r="AJ23" s="216" t="s">
        <v>4939</v>
      </c>
      <c r="AK23" s="216" t="s">
        <v>3512</v>
      </c>
      <c r="AL23" s="216" t="s">
        <v>27</v>
      </c>
      <c r="AM23" s="216" t="s">
        <v>4869</v>
      </c>
      <c r="AN23" s="216"/>
      <c r="AO23" s="230"/>
      <c r="AP23" s="230"/>
      <c r="AQ23" s="230"/>
      <c r="AR23" s="188" t="str">
        <f>IF(SP_AcqTract_DB[[#This Row],[Count '# in TaxID]]=1,LEFT(SP_AcqTract_DB[[#This Row],[WCAD Tax Parcel ID]],7),IF(SP_AcqTract_DB[[#This Row],[Count '# in TaxID]]=2,CONCATENATE(LEFT(SP_AcqTract_DB[[#This Row],[WCAD Tax Parcel ID]],7),";",MID(SP_AcqTract_DB[[#This Row],[WCAD Tax Parcel ID]],FIND("#",SP_AcqTract_DB[[#This Row],[WCAD Tax Parcel ID]],10)+1,7)),IF(SP_AcqTract_DB[[#This Row],[Count '# in TaxID]]&gt;2,CONCATENATE(LEFT(SP_AcqTract_DB[[#This Row],[WCAD Tax Parcel ID]],7),";",MID(SP_AcqTract_DB[[#This Row],[WCAD Tax Parcel ID]],FIND("#",SP_AcqTract_DB[[#This Row],[WCAD Tax Parcel ID]],10)+1,7),";",MID(SP_AcqTract_DB[[#This Row],[WCAD Tax Parcel ID]],FIND("#",SP_AcqTract_DB[[#This Row],[WCAD Tax Parcel ID]],23)+1,7)),"")))</f>
        <v>R062541</v>
      </c>
      <c r="AS23" s="54">
        <f>IF(SP_AcqTract_DB[[#This Row],[WCAD Tax Parcel ID]]="",0,(LEN(SP_AcqTract_DB[[#This Row],[WCAD Tax Parcel ID]])-LEN(SUBSTITUTE(SP_AcqTract_DB[[#This Row],[WCAD Tax Parcel ID]],"#",""))+1)/2)</f>
        <v>1</v>
      </c>
      <c r="AT23" s="190">
        <f>IF(SP_AcqTract_DB[[#This Row],[WCAD Tax Parcel ID]]="",0,COUNTIF(SP_TaxPar_DB[Acquisition Tract No.],SP_AcqTract_DB[[#This Row],[Acquisition Tract No.]]))</f>
        <v>1</v>
      </c>
      <c r="AU23" s="189">
        <f>COUNTIF(ACQStatus_ACQTNo.,SP_AcqTract_DB[[#This Row],[Acquisition Tract No.]])</f>
        <v>1</v>
      </c>
      <c r="AX23" s="111"/>
      <c r="AY23" s="1"/>
      <c r="AZ23" s="111"/>
      <c r="BA23" s="211"/>
      <c r="BE23" s="111"/>
      <c r="BF23" s="111"/>
      <c r="BG23" s="111"/>
      <c r="BH23" s="111"/>
      <c r="BI23" s="111"/>
      <c r="BJ23" s="111"/>
      <c r="BK23" s="111"/>
      <c r="BL23" s="111"/>
      <c r="BM23" s="111"/>
      <c r="BN23" s="213"/>
      <c r="BO23" s="111"/>
      <c r="BP23" s="111"/>
      <c r="BQ23" s="213"/>
      <c r="BR23" s="173"/>
      <c r="BS23" s="214"/>
      <c r="BV23" s="213"/>
      <c r="BW23" s="111"/>
      <c r="BX23" s="111"/>
      <c r="BY23" s="1"/>
      <c r="BZ23" s="111"/>
      <c r="CA23" s="111"/>
      <c r="CC23" s="111"/>
      <c r="CD23" s="111"/>
      <c r="CE23" s="111"/>
      <c r="CF23" s="215"/>
      <c r="CG23" s="211"/>
      <c r="CH23" s="215"/>
      <c r="CM23" s="111"/>
      <c r="CN23" s="111"/>
    </row>
    <row r="24" spans="1:92" ht="15" x14ac:dyDescent="0.2">
      <c r="A24" s="6" t="s">
        <v>141</v>
      </c>
      <c r="B24" s="12" t="s">
        <v>6288</v>
      </c>
      <c r="C24" s="7" t="s">
        <v>1811</v>
      </c>
      <c r="D24" s="52" t="s">
        <v>1255</v>
      </c>
      <c r="E24" s="52" t="s">
        <v>5021</v>
      </c>
      <c r="F24" s="52" t="s">
        <v>80</v>
      </c>
      <c r="G24" s="8" t="s">
        <v>142</v>
      </c>
      <c r="H24" s="8"/>
      <c r="I24" s="8" t="s">
        <v>142</v>
      </c>
      <c r="J24" s="8" t="s">
        <v>143</v>
      </c>
      <c r="K24" s="8" t="s">
        <v>1731</v>
      </c>
      <c r="L24" s="8" t="s">
        <v>145</v>
      </c>
      <c r="M24" s="8" t="s">
        <v>81</v>
      </c>
      <c r="N24" s="8" t="s">
        <v>146</v>
      </c>
      <c r="O24" s="57">
        <v>43670</v>
      </c>
      <c r="P24" s="7" t="s">
        <v>1668</v>
      </c>
      <c r="Q24" s="3" t="s">
        <v>5013</v>
      </c>
      <c r="R24" s="16">
        <v>43950</v>
      </c>
      <c r="S24" s="5">
        <v>0.27890266299357203</v>
      </c>
      <c r="T24" s="4">
        <v>12149</v>
      </c>
      <c r="U24" s="57">
        <v>43704</v>
      </c>
      <c r="V24" s="8" t="s">
        <v>1727</v>
      </c>
      <c r="W24" s="8"/>
      <c r="X24" s="8"/>
      <c r="Y24" s="8"/>
      <c r="Z24" s="8" t="s">
        <v>1278</v>
      </c>
      <c r="AA24" s="7"/>
      <c r="AB24" s="7" t="s">
        <v>4342</v>
      </c>
      <c r="AC24" s="8" t="s">
        <v>1319</v>
      </c>
      <c r="AD24" s="8" t="s">
        <v>4206</v>
      </c>
      <c r="AE24" s="26">
        <v>44007.508252314816</v>
      </c>
      <c r="AF24" s="8" t="s">
        <v>23</v>
      </c>
      <c r="AG24" s="26">
        <v>43682.623194444444</v>
      </c>
      <c r="AH24" s="1" t="s">
        <v>67</v>
      </c>
      <c r="AI24" s="216">
        <v>19</v>
      </c>
      <c r="AJ24" s="216" t="s">
        <v>4939</v>
      </c>
      <c r="AK24" s="216" t="s">
        <v>3512</v>
      </c>
      <c r="AL24" s="216" t="s">
        <v>27</v>
      </c>
      <c r="AM24" s="216" t="s">
        <v>27</v>
      </c>
      <c r="AN24" s="216">
        <v>2</v>
      </c>
      <c r="AO24" s="230">
        <v>44000</v>
      </c>
      <c r="AP24" s="230">
        <v>44006</v>
      </c>
      <c r="AQ24" s="230"/>
      <c r="AR24" s="188" t="str">
        <f>IF(SP_AcqTract_DB[[#This Row],[Count '# in TaxID]]=1,LEFT(SP_AcqTract_DB[[#This Row],[WCAD Tax Parcel ID]],7),IF(SP_AcqTract_DB[[#This Row],[Count '# in TaxID]]=2,CONCATENATE(LEFT(SP_AcqTract_DB[[#This Row],[WCAD Tax Parcel ID]],7),";",MID(SP_AcqTract_DB[[#This Row],[WCAD Tax Parcel ID]],FIND("#",SP_AcqTract_DB[[#This Row],[WCAD Tax Parcel ID]],10)+1,7)),IF(SP_AcqTract_DB[[#This Row],[Count '# in TaxID]]&gt;2,CONCATENATE(LEFT(SP_AcqTract_DB[[#This Row],[WCAD Tax Parcel ID]],7),";",MID(SP_AcqTract_DB[[#This Row],[WCAD Tax Parcel ID]],FIND("#",SP_AcqTract_DB[[#This Row],[WCAD Tax Parcel ID]],10)+1,7),";",MID(SP_AcqTract_DB[[#This Row],[WCAD Tax Parcel ID]],FIND("#",SP_AcqTract_DB[[#This Row],[WCAD Tax Parcel ID]],23)+1,7)),"")))</f>
        <v>R023700</v>
      </c>
      <c r="AS24" s="54">
        <f>IF(SP_AcqTract_DB[[#This Row],[WCAD Tax Parcel ID]]="",0,(LEN(SP_AcqTract_DB[[#This Row],[WCAD Tax Parcel ID]])-LEN(SUBSTITUTE(SP_AcqTract_DB[[#This Row],[WCAD Tax Parcel ID]],"#",""))+1)/2)</f>
        <v>1</v>
      </c>
      <c r="AT24" s="190">
        <f>IF(SP_AcqTract_DB[[#This Row],[WCAD Tax Parcel ID]]="",0,COUNTIF(SP_TaxPar_DB[Acquisition Tract No.],SP_AcqTract_DB[[#This Row],[Acquisition Tract No.]]))</f>
        <v>1</v>
      </c>
      <c r="AU24" s="189">
        <f>COUNTIF(ACQStatus_ACQTNo.,SP_AcqTract_DB[[#This Row],[Acquisition Tract No.]])</f>
        <v>1</v>
      </c>
      <c r="AX24" s="111"/>
      <c r="AY24" s="1"/>
      <c r="AZ24" s="111"/>
      <c r="BA24" s="211"/>
      <c r="BE24" s="111"/>
      <c r="BF24" s="111"/>
      <c r="BG24" s="111"/>
      <c r="BH24" s="111"/>
      <c r="BI24" s="111"/>
      <c r="BJ24" s="111"/>
      <c r="BK24" s="111"/>
      <c r="BL24" s="111"/>
      <c r="BM24" s="111"/>
      <c r="BN24" s="213"/>
      <c r="BO24" s="111"/>
      <c r="BP24" s="111"/>
      <c r="BQ24" s="213"/>
      <c r="BR24" s="173"/>
      <c r="BS24" s="214"/>
      <c r="BV24" s="213"/>
      <c r="BW24" s="111"/>
      <c r="BX24" s="111"/>
      <c r="BY24" s="1"/>
      <c r="BZ24" s="111"/>
      <c r="CA24" s="111"/>
      <c r="CC24" s="111"/>
      <c r="CD24" s="111"/>
      <c r="CE24" s="111"/>
      <c r="CF24" s="215"/>
      <c r="CG24" s="211"/>
      <c r="CH24" s="215"/>
      <c r="CM24" s="111"/>
      <c r="CN24" s="111"/>
    </row>
    <row r="25" spans="1:92" ht="15" x14ac:dyDescent="0.2">
      <c r="A25" s="6" t="s">
        <v>147</v>
      </c>
      <c r="B25" s="12" t="s">
        <v>635</v>
      </c>
      <c r="C25" s="7" t="s">
        <v>1811</v>
      </c>
      <c r="D25" s="52" t="s">
        <v>1255</v>
      </c>
      <c r="E25" s="52" t="s">
        <v>5021</v>
      </c>
      <c r="F25" s="52" t="s">
        <v>80</v>
      </c>
      <c r="G25" s="8" t="s">
        <v>106</v>
      </c>
      <c r="H25" s="8"/>
      <c r="I25" s="8" t="s">
        <v>106</v>
      </c>
      <c r="J25" s="8" t="s">
        <v>108</v>
      </c>
      <c r="K25" s="8" t="s">
        <v>1729</v>
      </c>
      <c r="L25" s="8" t="s">
        <v>148</v>
      </c>
      <c r="M25" s="8" t="s">
        <v>81</v>
      </c>
      <c r="N25" s="8" t="s">
        <v>109</v>
      </c>
      <c r="O25" s="57">
        <v>43670</v>
      </c>
      <c r="P25" s="7" t="s">
        <v>1299</v>
      </c>
      <c r="Q25" s="3" t="s">
        <v>5013</v>
      </c>
      <c r="R25" s="16">
        <v>43950</v>
      </c>
      <c r="S25" s="5">
        <v>0.80739210284664797</v>
      </c>
      <c r="T25" s="4">
        <v>35170</v>
      </c>
      <c r="U25" s="57">
        <v>43693</v>
      </c>
      <c r="V25" s="8" t="s">
        <v>1726</v>
      </c>
      <c r="W25" s="8"/>
      <c r="X25" s="8"/>
      <c r="Y25" s="8"/>
      <c r="Z25" s="8" t="s">
        <v>1278</v>
      </c>
      <c r="AA25" s="7" t="s">
        <v>4518</v>
      </c>
      <c r="AB25" s="7" t="s">
        <v>4342</v>
      </c>
      <c r="AC25" s="8" t="s">
        <v>1320</v>
      </c>
      <c r="AD25" s="8" t="s">
        <v>4206</v>
      </c>
      <c r="AE25" s="26">
        <v>44008.325960648152</v>
      </c>
      <c r="AF25" s="8" t="s">
        <v>23</v>
      </c>
      <c r="AG25" s="26">
        <v>43682.623194444444</v>
      </c>
      <c r="AH25" s="1" t="s">
        <v>67</v>
      </c>
      <c r="AI25" s="216">
        <v>20</v>
      </c>
      <c r="AJ25" s="216" t="s">
        <v>4939</v>
      </c>
      <c r="AK25" s="216" t="s">
        <v>3512</v>
      </c>
      <c r="AL25" s="216" t="s">
        <v>27</v>
      </c>
      <c r="AM25" s="216" t="s">
        <v>27</v>
      </c>
      <c r="AN25" s="216">
        <v>2</v>
      </c>
      <c r="AO25" s="230">
        <v>44007</v>
      </c>
      <c r="AP25" s="230"/>
      <c r="AQ25" s="230"/>
      <c r="AR25" s="188" t="str">
        <f>IF(SP_AcqTract_DB[[#This Row],[Count '# in TaxID]]=1,LEFT(SP_AcqTract_DB[[#This Row],[WCAD Tax Parcel ID]],7),IF(SP_AcqTract_DB[[#This Row],[Count '# in TaxID]]=2,CONCATENATE(LEFT(SP_AcqTract_DB[[#This Row],[WCAD Tax Parcel ID]],7),";",MID(SP_AcqTract_DB[[#This Row],[WCAD Tax Parcel ID]],FIND("#",SP_AcqTract_DB[[#This Row],[WCAD Tax Parcel ID]],10)+1,7)),IF(SP_AcqTract_DB[[#This Row],[Count '# in TaxID]]&gt;2,CONCATENATE(LEFT(SP_AcqTract_DB[[#This Row],[WCAD Tax Parcel ID]],7),";",MID(SP_AcqTract_DB[[#This Row],[WCAD Tax Parcel ID]],FIND("#",SP_AcqTract_DB[[#This Row],[WCAD Tax Parcel ID]],10)+1,7),";",MID(SP_AcqTract_DB[[#This Row],[WCAD Tax Parcel ID]],FIND("#",SP_AcqTract_DB[[#This Row],[WCAD Tax Parcel ID]],23)+1,7)),"")))</f>
        <v>R023696;R053131</v>
      </c>
      <c r="AS25" s="54">
        <f>IF(SP_AcqTract_DB[[#This Row],[WCAD Tax Parcel ID]]="",0,(LEN(SP_AcqTract_DB[[#This Row],[WCAD Tax Parcel ID]])-LEN(SUBSTITUTE(SP_AcqTract_DB[[#This Row],[WCAD Tax Parcel ID]],"#",""))+1)/2)</f>
        <v>2</v>
      </c>
      <c r="AT25" s="190">
        <f>IF(SP_AcqTract_DB[[#This Row],[WCAD Tax Parcel ID]]="",0,COUNTIF(SP_TaxPar_DB[Acquisition Tract No.],SP_AcqTract_DB[[#This Row],[Acquisition Tract No.]]))</f>
        <v>2</v>
      </c>
      <c r="AU25" s="189">
        <f>COUNTIF(ACQStatus_ACQTNo.,SP_AcqTract_DB[[#This Row],[Acquisition Tract No.]])</f>
        <v>1</v>
      </c>
      <c r="AX25" s="111"/>
      <c r="AY25" s="1"/>
      <c r="AZ25" s="111"/>
      <c r="BA25" s="211"/>
      <c r="BE25" s="111"/>
      <c r="BF25" s="111"/>
      <c r="BG25" s="111"/>
      <c r="BH25" s="111"/>
      <c r="BI25" s="111"/>
      <c r="BJ25" s="111"/>
      <c r="BK25" s="111"/>
      <c r="BL25" s="111"/>
      <c r="BM25" s="111"/>
      <c r="BN25" s="213"/>
      <c r="BO25" s="111"/>
      <c r="BP25" s="111"/>
      <c r="BQ25" s="213"/>
      <c r="BR25" s="173"/>
      <c r="BS25" s="214"/>
      <c r="BV25" s="213"/>
      <c r="BW25" s="111"/>
      <c r="BX25" s="111"/>
      <c r="BY25" s="1"/>
      <c r="BZ25" s="111"/>
      <c r="CA25" s="111"/>
      <c r="CC25" s="111"/>
      <c r="CD25" s="111"/>
      <c r="CE25" s="111"/>
      <c r="CF25" s="215"/>
      <c r="CG25" s="211"/>
      <c r="CH25" s="215"/>
      <c r="CM25" s="111"/>
      <c r="CN25" s="111"/>
    </row>
    <row r="26" spans="1:92" ht="15" x14ac:dyDescent="0.2">
      <c r="A26" s="6" t="s">
        <v>149</v>
      </c>
      <c r="B26" s="12" t="s">
        <v>636</v>
      </c>
      <c r="C26" s="7" t="s">
        <v>1811</v>
      </c>
      <c r="D26" s="52" t="s">
        <v>1255</v>
      </c>
      <c r="E26" s="52" t="s">
        <v>5025</v>
      </c>
      <c r="F26" s="52" t="s">
        <v>1809</v>
      </c>
      <c r="G26" s="8" t="s">
        <v>150</v>
      </c>
      <c r="H26" s="8"/>
      <c r="I26" s="8" t="s">
        <v>150</v>
      </c>
      <c r="J26" s="8" t="s">
        <v>1681</v>
      </c>
      <c r="K26" s="8" t="s">
        <v>1732</v>
      </c>
      <c r="L26" s="8" t="s">
        <v>110</v>
      </c>
      <c r="M26" s="8" t="s">
        <v>81</v>
      </c>
      <c r="N26" s="8" t="s">
        <v>153</v>
      </c>
      <c r="O26" s="57">
        <v>43670</v>
      </c>
      <c r="P26" s="7" t="s">
        <v>1668</v>
      </c>
      <c r="Q26" s="3" t="s">
        <v>5013</v>
      </c>
      <c r="R26" s="16">
        <v>43950</v>
      </c>
      <c r="S26" s="5">
        <v>3.3723599632690497E-2</v>
      </c>
      <c r="T26" s="4">
        <v>1469</v>
      </c>
      <c r="U26" s="57">
        <v>44105</v>
      </c>
      <c r="V26" s="8" t="s">
        <v>1727</v>
      </c>
      <c r="W26" s="8"/>
      <c r="X26" s="8"/>
      <c r="Y26" s="8"/>
      <c r="Z26" s="8" t="s">
        <v>1278</v>
      </c>
      <c r="AA26" s="7"/>
      <c r="AB26" s="7" t="s">
        <v>4342</v>
      </c>
      <c r="AC26" s="8" t="s">
        <v>1321</v>
      </c>
      <c r="AD26" s="8" t="s">
        <v>4206</v>
      </c>
      <c r="AE26" s="26">
        <v>44006.428564814814</v>
      </c>
      <c r="AF26" s="8" t="s">
        <v>23</v>
      </c>
      <c r="AG26" s="26">
        <v>43682.623194444444</v>
      </c>
      <c r="AH26" s="1" t="s">
        <v>67</v>
      </c>
      <c r="AI26" s="216">
        <v>21</v>
      </c>
      <c r="AJ26" s="216" t="s">
        <v>4939</v>
      </c>
      <c r="AK26" s="216" t="s">
        <v>3512</v>
      </c>
      <c r="AL26" s="216" t="s">
        <v>27</v>
      </c>
      <c r="AM26" s="216" t="s">
        <v>27</v>
      </c>
      <c r="AN26" s="216">
        <v>1</v>
      </c>
      <c r="AO26" s="230">
        <v>44000</v>
      </c>
      <c r="AP26" s="230">
        <v>44006</v>
      </c>
      <c r="AQ26" s="230"/>
      <c r="AR26" s="188" t="str">
        <f>IF(SP_AcqTract_DB[[#This Row],[Count '# in TaxID]]=1,LEFT(SP_AcqTract_DB[[#This Row],[WCAD Tax Parcel ID]],7),IF(SP_AcqTract_DB[[#This Row],[Count '# in TaxID]]=2,CONCATENATE(LEFT(SP_AcqTract_DB[[#This Row],[WCAD Tax Parcel ID]],7),";",MID(SP_AcqTract_DB[[#This Row],[WCAD Tax Parcel ID]],FIND("#",SP_AcqTract_DB[[#This Row],[WCAD Tax Parcel ID]],10)+1,7)),IF(SP_AcqTract_DB[[#This Row],[Count '# in TaxID]]&gt;2,CONCATENATE(LEFT(SP_AcqTract_DB[[#This Row],[WCAD Tax Parcel ID]],7),";",MID(SP_AcqTract_DB[[#This Row],[WCAD Tax Parcel ID]],FIND("#",SP_AcqTract_DB[[#This Row],[WCAD Tax Parcel ID]],10)+1,7),";",MID(SP_AcqTract_DB[[#This Row],[WCAD Tax Parcel ID]],FIND("#",SP_AcqTract_DB[[#This Row],[WCAD Tax Parcel ID]],23)+1,7)),"")))</f>
        <v>R053130</v>
      </c>
      <c r="AS26" s="54">
        <f>IF(SP_AcqTract_DB[[#This Row],[WCAD Tax Parcel ID]]="",0,(LEN(SP_AcqTract_DB[[#This Row],[WCAD Tax Parcel ID]])-LEN(SUBSTITUTE(SP_AcqTract_DB[[#This Row],[WCAD Tax Parcel ID]],"#",""))+1)/2)</f>
        <v>1</v>
      </c>
      <c r="AT26" s="190">
        <f>IF(SP_AcqTract_DB[[#This Row],[WCAD Tax Parcel ID]]="",0,COUNTIF(SP_TaxPar_DB[Acquisition Tract No.],SP_AcqTract_DB[[#This Row],[Acquisition Tract No.]]))</f>
        <v>1</v>
      </c>
      <c r="AU26" s="189">
        <f>COUNTIF(ACQStatus_ACQTNo.,SP_AcqTract_DB[[#This Row],[Acquisition Tract No.]])</f>
        <v>1</v>
      </c>
      <c r="AX26" s="111"/>
      <c r="AY26" s="1"/>
      <c r="AZ26" s="111"/>
      <c r="BA26" s="211"/>
      <c r="BE26" s="111"/>
      <c r="BF26" s="111"/>
      <c r="BG26" s="111"/>
      <c r="BH26" s="111"/>
      <c r="BI26" s="111"/>
      <c r="BJ26" s="111"/>
      <c r="BK26" s="111"/>
      <c r="BL26" s="111"/>
      <c r="BM26" s="111"/>
      <c r="BN26" s="213"/>
      <c r="BO26" s="111"/>
      <c r="BP26" s="111"/>
      <c r="BQ26" s="213"/>
      <c r="BR26" s="173"/>
      <c r="BS26" s="214"/>
      <c r="BV26" s="213"/>
      <c r="BW26" s="111"/>
      <c r="BX26" s="111"/>
      <c r="BY26" s="1"/>
      <c r="BZ26" s="111"/>
      <c r="CA26" s="111"/>
      <c r="CC26" s="111"/>
      <c r="CD26" s="111"/>
      <c r="CE26" s="111"/>
      <c r="CF26" s="215"/>
      <c r="CG26" s="211"/>
      <c r="CH26" s="215"/>
      <c r="CM26" s="111"/>
      <c r="CN26" s="111"/>
    </row>
    <row r="27" spans="1:92" ht="15" x14ac:dyDescent="0.2">
      <c r="A27" s="6" t="s">
        <v>154</v>
      </c>
      <c r="B27" s="12" t="s">
        <v>638</v>
      </c>
      <c r="C27" s="7" t="s">
        <v>1811</v>
      </c>
      <c r="D27" s="52" t="s">
        <v>1255</v>
      </c>
      <c r="E27" s="52" t="s">
        <v>5025</v>
      </c>
      <c r="F27" s="52" t="s">
        <v>80</v>
      </c>
      <c r="G27" s="8" t="s">
        <v>6429</v>
      </c>
      <c r="H27" s="8" t="s">
        <v>6429</v>
      </c>
      <c r="I27" s="8" t="s">
        <v>6429</v>
      </c>
      <c r="J27" s="8" t="s">
        <v>155</v>
      </c>
      <c r="K27" s="8" t="s">
        <v>1365</v>
      </c>
      <c r="L27" s="8" t="s">
        <v>157</v>
      </c>
      <c r="M27" s="8" t="s">
        <v>81</v>
      </c>
      <c r="N27" s="8" t="s">
        <v>158</v>
      </c>
      <c r="O27" s="57">
        <v>43670</v>
      </c>
      <c r="P27" s="7" t="s">
        <v>1668</v>
      </c>
      <c r="Q27" s="3" t="s">
        <v>5013</v>
      </c>
      <c r="R27" s="16">
        <v>43950</v>
      </c>
      <c r="S27" s="5">
        <v>0.13852157943067001</v>
      </c>
      <c r="T27" s="4">
        <v>6034</v>
      </c>
      <c r="U27" s="57">
        <v>44105</v>
      </c>
      <c r="V27" s="8" t="s">
        <v>1727</v>
      </c>
      <c r="W27" s="8"/>
      <c r="X27" s="8"/>
      <c r="Y27" s="8"/>
      <c r="Z27" s="8" t="s">
        <v>1278</v>
      </c>
      <c r="AA27" s="7"/>
      <c r="AB27" s="7" t="s">
        <v>4342</v>
      </c>
      <c r="AC27" s="8" t="s">
        <v>1322</v>
      </c>
      <c r="AD27" s="8" t="s">
        <v>4206</v>
      </c>
      <c r="AE27" s="26">
        <v>44006.428784722222</v>
      </c>
      <c r="AF27" s="8" t="s">
        <v>23</v>
      </c>
      <c r="AG27" s="26">
        <v>43682.623194444444</v>
      </c>
      <c r="AH27" s="1" t="s">
        <v>67</v>
      </c>
      <c r="AI27" s="216">
        <v>22</v>
      </c>
      <c r="AJ27" s="216" t="s">
        <v>4939</v>
      </c>
      <c r="AK27" s="216" t="s">
        <v>3512</v>
      </c>
      <c r="AL27" s="216" t="s">
        <v>27</v>
      </c>
      <c r="AM27" s="216" t="s">
        <v>27</v>
      </c>
      <c r="AN27" s="216">
        <v>1</v>
      </c>
      <c r="AO27" s="230">
        <v>44000</v>
      </c>
      <c r="AP27" s="230">
        <v>44006</v>
      </c>
      <c r="AQ27" s="230"/>
      <c r="AR27" s="188" t="str">
        <f>IF(SP_AcqTract_DB[[#This Row],[Count '# in TaxID]]=1,LEFT(SP_AcqTract_DB[[#This Row],[WCAD Tax Parcel ID]],7),IF(SP_AcqTract_DB[[#This Row],[Count '# in TaxID]]=2,CONCATENATE(LEFT(SP_AcqTract_DB[[#This Row],[WCAD Tax Parcel ID]],7),";",MID(SP_AcqTract_DB[[#This Row],[WCAD Tax Parcel ID]],FIND("#",SP_AcqTract_DB[[#This Row],[WCAD Tax Parcel ID]],10)+1,7)),IF(SP_AcqTract_DB[[#This Row],[Count '# in TaxID]]&gt;2,CONCATENATE(LEFT(SP_AcqTract_DB[[#This Row],[WCAD Tax Parcel ID]],7),";",MID(SP_AcqTract_DB[[#This Row],[WCAD Tax Parcel ID]],FIND("#",SP_AcqTract_DB[[#This Row],[WCAD Tax Parcel ID]],10)+1,7),";",MID(SP_AcqTract_DB[[#This Row],[WCAD Tax Parcel ID]],FIND("#",SP_AcqTract_DB[[#This Row],[WCAD Tax Parcel ID]],23)+1,7)),"")))</f>
        <v>R023694</v>
      </c>
      <c r="AS27" s="54">
        <f>IF(SP_AcqTract_DB[[#This Row],[WCAD Tax Parcel ID]]="",0,(LEN(SP_AcqTract_DB[[#This Row],[WCAD Tax Parcel ID]])-LEN(SUBSTITUTE(SP_AcqTract_DB[[#This Row],[WCAD Tax Parcel ID]],"#",""))+1)/2)</f>
        <v>1</v>
      </c>
      <c r="AT27" s="190">
        <f>IF(SP_AcqTract_DB[[#This Row],[WCAD Tax Parcel ID]]="",0,COUNTIF(SP_TaxPar_DB[Acquisition Tract No.],SP_AcqTract_DB[[#This Row],[Acquisition Tract No.]]))</f>
        <v>1</v>
      </c>
      <c r="AU27" s="189">
        <f>COUNTIF(ACQStatus_ACQTNo.,SP_AcqTract_DB[[#This Row],[Acquisition Tract No.]])</f>
        <v>1</v>
      </c>
      <c r="AX27" s="111"/>
      <c r="AY27" s="1"/>
      <c r="AZ27" s="111"/>
      <c r="BA27" s="211"/>
      <c r="BE27" s="111"/>
      <c r="BF27" s="111"/>
      <c r="BG27" s="111"/>
      <c r="BH27" s="111"/>
      <c r="BI27" s="111"/>
      <c r="BJ27" s="111"/>
      <c r="BK27" s="111"/>
      <c r="BL27" s="111"/>
      <c r="BM27" s="111"/>
      <c r="BN27" s="213"/>
      <c r="BO27" s="111"/>
      <c r="BP27" s="111"/>
      <c r="BQ27" s="213"/>
      <c r="BR27" s="173"/>
      <c r="BS27" s="214"/>
      <c r="BV27" s="213"/>
      <c r="BW27" s="111"/>
      <c r="BX27" s="111"/>
      <c r="BY27" s="1"/>
      <c r="BZ27" s="111"/>
      <c r="CA27" s="111"/>
      <c r="CC27" s="111"/>
      <c r="CD27" s="111"/>
      <c r="CE27" s="111"/>
      <c r="CF27" s="215"/>
      <c r="CG27" s="211"/>
      <c r="CH27" s="215"/>
      <c r="CM27" s="111"/>
      <c r="CN27" s="111"/>
    </row>
    <row r="28" spans="1:92" ht="15" x14ac:dyDescent="0.2">
      <c r="A28" s="6" t="s">
        <v>159</v>
      </c>
      <c r="B28" s="12" t="s">
        <v>989</v>
      </c>
      <c r="C28" s="7" t="s">
        <v>1811</v>
      </c>
      <c r="D28" s="52" t="s">
        <v>1255</v>
      </c>
      <c r="E28" s="52" t="s">
        <v>5026</v>
      </c>
      <c r="F28" s="52" t="s">
        <v>4940</v>
      </c>
      <c r="G28" s="8" t="s">
        <v>1677</v>
      </c>
      <c r="H28" s="8" t="s">
        <v>111</v>
      </c>
      <c r="I28" s="8" t="s">
        <v>1677</v>
      </c>
      <c r="J28" s="8" t="s">
        <v>483</v>
      </c>
      <c r="K28" s="8" t="s">
        <v>1731</v>
      </c>
      <c r="L28" s="8" t="s">
        <v>79</v>
      </c>
      <c r="M28" s="8" t="s">
        <v>81</v>
      </c>
      <c r="N28" s="8" t="s">
        <v>113</v>
      </c>
      <c r="O28" s="57">
        <v>43670</v>
      </c>
      <c r="P28" s="7" t="s">
        <v>1668</v>
      </c>
      <c r="Q28" s="3" t="s">
        <v>5013</v>
      </c>
      <c r="R28" s="16"/>
      <c r="S28" s="5">
        <v>0</v>
      </c>
      <c r="T28" s="4"/>
      <c r="U28" s="57">
        <v>43704</v>
      </c>
      <c r="V28" s="8" t="s">
        <v>1727</v>
      </c>
      <c r="W28" s="8"/>
      <c r="X28" s="8"/>
      <c r="Y28" s="8"/>
      <c r="Z28" s="8"/>
      <c r="AA28" s="7"/>
      <c r="AB28" s="7" t="s">
        <v>4343</v>
      </c>
      <c r="AC28" s="8" t="s">
        <v>1323</v>
      </c>
      <c r="AD28" s="8" t="s">
        <v>4206</v>
      </c>
      <c r="AE28" s="26">
        <v>43994.552407407406</v>
      </c>
      <c r="AF28" s="8" t="s">
        <v>23</v>
      </c>
      <c r="AG28" s="26">
        <v>43682.623194444444</v>
      </c>
      <c r="AH28" s="1" t="s">
        <v>4527</v>
      </c>
      <c r="AI28" s="216">
        <v>23</v>
      </c>
      <c r="AJ28" s="216" t="s">
        <v>4939</v>
      </c>
      <c r="AK28" s="216" t="s">
        <v>3512</v>
      </c>
      <c r="AL28" s="216" t="s">
        <v>27</v>
      </c>
      <c r="AM28" s="216" t="s">
        <v>27</v>
      </c>
      <c r="AN28" s="216">
        <v>4</v>
      </c>
      <c r="AO28" s="230"/>
      <c r="AP28" s="230"/>
      <c r="AQ28" s="230"/>
      <c r="AR28" s="188" t="str">
        <f>IF(SP_AcqTract_DB[[#This Row],[Count '# in TaxID]]=1,LEFT(SP_AcqTract_DB[[#This Row],[WCAD Tax Parcel ID]],7),IF(SP_AcqTract_DB[[#This Row],[Count '# in TaxID]]=2,CONCATENATE(LEFT(SP_AcqTract_DB[[#This Row],[WCAD Tax Parcel ID]],7),";",MID(SP_AcqTract_DB[[#This Row],[WCAD Tax Parcel ID]],FIND("#",SP_AcqTract_DB[[#This Row],[WCAD Tax Parcel ID]],10)+1,7)),IF(SP_AcqTract_DB[[#This Row],[Count '# in TaxID]]&gt;2,CONCATENATE(LEFT(SP_AcqTract_DB[[#This Row],[WCAD Tax Parcel ID]],7),";",MID(SP_AcqTract_DB[[#This Row],[WCAD Tax Parcel ID]],FIND("#",SP_AcqTract_DB[[#This Row],[WCAD Tax Parcel ID]],10)+1,7),";",MID(SP_AcqTract_DB[[#This Row],[WCAD Tax Parcel ID]],FIND("#",SP_AcqTract_DB[[#This Row],[WCAD Tax Parcel ID]],23)+1,7)),"")))</f>
        <v>R050385;R050386</v>
      </c>
      <c r="AS28" s="54">
        <f>IF(SP_AcqTract_DB[[#This Row],[WCAD Tax Parcel ID]]="",0,(LEN(SP_AcqTract_DB[[#This Row],[WCAD Tax Parcel ID]])-LEN(SUBSTITUTE(SP_AcqTract_DB[[#This Row],[WCAD Tax Parcel ID]],"#",""))+1)/2)</f>
        <v>2</v>
      </c>
      <c r="AT28" s="190">
        <f>IF(SP_AcqTract_DB[[#This Row],[WCAD Tax Parcel ID]]="",0,COUNTIF(SP_TaxPar_DB[Acquisition Tract No.],SP_AcqTract_DB[[#This Row],[Acquisition Tract No.]]))</f>
        <v>2</v>
      </c>
      <c r="AU28" s="189">
        <f>COUNTIF(ACQStatus_ACQTNo.,SP_AcqTract_DB[[#This Row],[Acquisition Tract No.]])</f>
        <v>1</v>
      </c>
      <c r="AX28" s="111"/>
      <c r="AY28" s="1"/>
      <c r="AZ28" s="111"/>
      <c r="BA28" s="211"/>
      <c r="BE28" s="111"/>
      <c r="BF28" s="111"/>
      <c r="BG28" s="111"/>
      <c r="BH28" s="111"/>
      <c r="BI28" s="111"/>
      <c r="BJ28" s="111"/>
      <c r="BK28" s="111"/>
      <c r="BL28" s="111"/>
      <c r="BM28" s="111"/>
      <c r="BN28" s="213"/>
      <c r="BO28" s="111"/>
      <c r="BP28" s="111"/>
      <c r="BQ28" s="213"/>
      <c r="BR28" s="173"/>
      <c r="BS28" s="214"/>
      <c r="BV28" s="213"/>
      <c r="BW28" s="111"/>
      <c r="BX28" s="111"/>
      <c r="BY28" s="1"/>
      <c r="BZ28" s="111"/>
      <c r="CA28" s="111"/>
      <c r="CC28" s="111"/>
      <c r="CD28" s="111"/>
      <c r="CE28" s="111"/>
      <c r="CF28" s="215"/>
      <c r="CG28" s="211"/>
      <c r="CH28" s="215"/>
      <c r="CM28" s="111"/>
      <c r="CN28" s="111"/>
    </row>
    <row r="29" spans="1:92" ht="25.5" x14ac:dyDescent="0.2">
      <c r="A29" s="6" t="s">
        <v>3289</v>
      </c>
      <c r="B29" s="12" t="s">
        <v>22</v>
      </c>
      <c r="C29" s="7" t="s">
        <v>1811</v>
      </c>
      <c r="D29" s="52" t="s">
        <v>1255</v>
      </c>
      <c r="E29" s="52" t="s">
        <v>4904</v>
      </c>
      <c r="F29" s="52"/>
      <c r="G29" s="8" t="s">
        <v>114</v>
      </c>
      <c r="H29" s="8"/>
      <c r="I29" s="8"/>
      <c r="J29" s="8"/>
      <c r="K29" s="8"/>
      <c r="L29" s="8"/>
      <c r="M29" s="8"/>
      <c r="N29" s="8"/>
      <c r="O29" s="57"/>
      <c r="P29" s="7"/>
      <c r="Q29" s="3"/>
      <c r="R29" s="16"/>
      <c r="S29" s="5">
        <v>1.1819999999999999</v>
      </c>
      <c r="T29" s="4">
        <v>51487.92</v>
      </c>
      <c r="U29" s="57"/>
      <c r="V29" s="8"/>
      <c r="W29" s="8"/>
      <c r="X29" s="8"/>
      <c r="Y29" s="8"/>
      <c r="Z29" s="8"/>
      <c r="AA29" s="7"/>
      <c r="AB29" s="7"/>
      <c r="AC29" s="8" t="s">
        <v>3291</v>
      </c>
      <c r="AD29" s="8" t="s">
        <v>4206</v>
      </c>
      <c r="AE29" s="26">
        <v>43994.3983912037</v>
      </c>
      <c r="AF29" s="8" t="s">
        <v>4205</v>
      </c>
      <c r="AG29" s="26">
        <v>43924.583622685182</v>
      </c>
      <c r="AH29" s="1" t="s">
        <v>4649</v>
      </c>
      <c r="AI29" s="216">
        <v>64</v>
      </c>
      <c r="AJ29" s="216" t="s">
        <v>4939</v>
      </c>
      <c r="AK29" s="216" t="s">
        <v>3512</v>
      </c>
      <c r="AL29" s="216" t="s">
        <v>4869</v>
      </c>
      <c r="AM29" s="216" t="s">
        <v>27</v>
      </c>
      <c r="AN29" s="216">
        <v>1</v>
      </c>
      <c r="AO29" s="230"/>
      <c r="AP29" s="230"/>
      <c r="AQ29" s="230"/>
      <c r="AR29" s="188" t="str">
        <f>IF(SP_AcqTract_DB[[#This Row],[Count '# in TaxID]]=1,LEFT(SP_AcqTract_DB[[#This Row],[WCAD Tax Parcel ID]],7),IF(SP_AcqTract_DB[[#This Row],[Count '# in TaxID]]=2,CONCATENATE(LEFT(SP_AcqTract_DB[[#This Row],[WCAD Tax Parcel ID]],7),";",MID(SP_AcqTract_DB[[#This Row],[WCAD Tax Parcel ID]],FIND("#",SP_AcqTract_DB[[#This Row],[WCAD Tax Parcel ID]],10)+1,7)),IF(SP_AcqTract_DB[[#This Row],[Count '# in TaxID]]&gt;2,CONCATENATE(LEFT(SP_AcqTract_DB[[#This Row],[WCAD Tax Parcel ID]],7),";",MID(SP_AcqTract_DB[[#This Row],[WCAD Tax Parcel ID]],FIND("#",SP_AcqTract_DB[[#This Row],[WCAD Tax Parcel ID]],10)+1,7),";",MID(SP_AcqTract_DB[[#This Row],[WCAD Tax Parcel ID]],FIND("#",SP_AcqTract_DB[[#This Row],[WCAD Tax Parcel ID]],23)+1,7)),"")))</f>
        <v/>
      </c>
      <c r="AS29" s="54">
        <f>IF(SP_AcqTract_DB[[#This Row],[WCAD Tax Parcel ID]]="",0,(LEN(SP_AcqTract_DB[[#This Row],[WCAD Tax Parcel ID]])-LEN(SUBSTITUTE(SP_AcqTract_DB[[#This Row],[WCAD Tax Parcel ID]],"#",""))+1)/2)</f>
        <v>0</v>
      </c>
      <c r="AT29" s="190">
        <f>IF(SP_AcqTract_DB[[#This Row],[WCAD Tax Parcel ID]]="",0,COUNTIF(SP_TaxPar_DB[Acquisition Tract No.],SP_AcqTract_DB[[#This Row],[Acquisition Tract No.]]))</f>
        <v>0</v>
      </c>
      <c r="AU29" s="189">
        <f>COUNTIF(ACQStatus_ACQTNo.,SP_AcqTract_DB[[#This Row],[Acquisition Tract No.]])</f>
        <v>1</v>
      </c>
      <c r="AX29" s="111"/>
      <c r="AY29" s="1"/>
      <c r="AZ29" s="111"/>
      <c r="BA29" s="211"/>
      <c r="BE29" s="111"/>
      <c r="BF29" s="111"/>
      <c r="BG29" s="111"/>
      <c r="BH29" s="111"/>
      <c r="BI29" s="111"/>
      <c r="BJ29" s="111"/>
      <c r="BK29" s="111"/>
      <c r="BL29" s="111"/>
      <c r="BM29" s="111"/>
      <c r="BN29" s="213"/>
      <c r="BO29" s="111"/>
      <c r="BP29" s="111"/>
      <c r="BQ29" s="213"/>
      <c r="BR29" s="173"/>
      <c r="BS29" s="214"/>
      <c r="BV29" s="213"/>
      <c r="BW29" s="111"/>
      <c r="BX29" s="111"/>
      <c r="BY29" s="1"/>
      <c r="BZ29" s="111"/>
      <c r="CA29" s="111"/>
      <c r="CC29" s="111"/>
      <c r="CD29" s="111"/>
      <c r="CE29" s="111"/>
      <c r="CF29" s="215"/>
      <c r="CG29" s="211"/>
      <c r="CH29" s="215"/>
      <c r="CM29" s="111"/>
      <c r="CN29" s="111"/>
    </row>
    <row r="30" spans="1:92" ht="25.5" x14ac:dyDescent="0.2">
      <c r="A30" s="6" t="s">
        <v>3294</v>
      </c>
      <c r="B30" s="12" t="s">
        <v>22</v>
      </c>
      <c r="C30" s="7" t="s">
        <v>1811</v>
      </c>
      <c r="D30" s="52" t="s">
        <v>1255</v>
      </c>
      <c r="E30" s="52" t="s">
        <v>5020</v>
      </c>
      <c r="F30" s="52"/>
      <c r="G30" s="8" t="s">
        <v>114</v>
      </c>
      <c r="H30" s="8"/>
      <c r="I30" s="8"/>
      <c r="J30" s="8"/>
      <c r="K30" s="8"/>
      <c r="L30" s="8"/>
      <c r="M30" s="8" t="s">
        <v>4639</v>
      </c>
      <c r="N30" s="8"/>
      <c r="O30" s="57">
        <v>43913</v>
      </c>
      <c r="P30" s="7"/>
      <c r="Q30" s="3"/>
      <c r="R30" s="16"/>
      <c r="S30" s="5">
        <v>0.13955463728191</v>
      </c>
      <c r="T30" s="4">
        <v>6079</v>
      </c>
      <c r="U30" s="57"/>
      <c r="V30" s="8"/>
      <c r="W30" s="8"/>
      <c r="X30" s="8"/>
      <c r="Y30" s="8"/>
      <c r="Z30" s="8"/>
      <c r="AA30" s="7"/>
      <c r="AB30" s="7"/>
      <c r="AC30" s="8" t="s">
        <v>3296</v>
      </c>
      <c r="AD30" s="8" t="s">
        <v>4206</v>
      </c>
      <c r="AE30" s="26">
        <v>43994.552418981482</v>
      </c>
      <c r="AF30" s="8" t="s">
        <v>4325</v>
      </c>
      <c r="AG30" s="26">
        <v>43913.593912037039</v>
      </c>
      <c r="AH30" s="1" t="s">
        <v>4650</v>
      </c>
      <c r="AI30" s="216">
        <v>62</v>
      </c>
      <c r="AJ30" s="216" t="s">
        <v>4939</v>
      </c>
      <c r="AK30" s="216" t="s">
        <v>3512</v>
      </c>
      <c r="AL30" s="216" t="s">
        <v>27</v>
      </c>
      <c r="AM30" s="216" t="s">
        <v>27</v>
      </c>
      <c r="AN30" s="216">
        <v>1</v>
      </c>
      <c r="AO30" s="230"/>
      <c r="AP30" s="230"/>
      <c r="AQ30" s="230"/>
      <c r="AR30" s="188" t="str">
        <f>IF(SP_AcqTract_DB[[#This Row],[Count '# in TaxID]]=1,LEFT(SP_AcqTract_DB[[#This Row],[WCAD Tax Parcel ID]],7),IF(SP_AcqTract_DB[[#This Row],[Count '# in TaxID]]=2,CONCATENATE(LEFT(SP_AcqTract_DB[[#This Row],[WCAD Tax Parcel ID]],7),";",MID(SP_AcqTract_DB[[#This Row],[WCAD Tax Parcel ID]],FIND("#",SP_AcqTract_DB[[#This Row],[WCAD Tax Parcel ID]],10)+1,7)),IF(SP_AcqTract_DB[[#This Row],[Count '# in TaxID]]&gt;2,CONCATENATE(LEFT(SP_AcqTract_DB[[#This Row],[WCAD Tax Parcel ID]],7),";",MID(SP_AcqTract_DB[[#This Row],[WCAD Tax Parcel ID]],FIND("#",SP_AcqTract_DB[[#This Row],[WCAD Tax Parcel ID]],10)+1,7),";",MID(SP_AcqTract_DB[[#This Row],[WCAD Tax Parcel ID]],FIND("#",SP_AcqTract_DB[[#This Row],[WCAD Tax Parcel ID]],23)+1,7)),"")))</f>
        <v/>
      </c>
      <c r="AS30" s="54">
        <f>IF(SP_AcqTract_DB[[#This Row],[WCAD Tax Parcel ID]]="",0,(LEN(SP_AcqTract_DB[[#This Row],[WCAD Tax Parcel ID]])-LEN(SUBSTITUTE(SP_AcqTract_DB[[#This Row],[WCAD Tax Parcel ID]],"#",""))+1)/2)</f>
        <v>0</v>
      </c>
      <c r="AT30" s="190">
        <f>IF(SP_AcqTract_DB[[#This Row],[WCAD Tax Parcel ID]]="",0,COUNTIF(SP_TaxPar_DB[Acquisition Tract No.],SP_AcqTract_DB[[#This Row],[Acquisition Tract No.]]))</f>
        <v>0</v>
      </c>
      <c r="AU30" s="189">
        <f>COUNTIF(ACQStatus_ACQTNo.,SP_AcqTract_DB[[#This Row],[Acquisition Tract No.]])</f>
        <v>1</v>
      </c>
      <c r="AX30" s="111"/>
      <c r="AY30" s="1"/>
      <c r="AZ30" s="111"/>
      <c r="BA30" s="211"/>
      <c r="BE30" s="111"/>
      <c r="BF30" s="111"/>
      <c r="BG30" s="111"/>
      <c r="BH30" s="111"/>
      <c r="BI30" s="111"/>
      <c r="BJ30" s="111"/>
      <c r="BK30" s="111"/>
      <c r="BL30" s="111"/>
      <c r="BM30" s="111"/>
      <c r="BN30" s="213"/>
      <c r="BO30" s="111"/>
      <c r="BP30" s="111"/>
      <c r="BQ30" s="213"/>
      <c r="BR30" s="173"/>
      <c r="BS30" s="214"/>
      <c r="BV30" s="213"/>
      <c r="BW30" s="111"/>
      <c r="BX30" s="111"/>
      <c r="BY30" s="1"/>
      <c r="BZ30" s="111"/>
      <c r="CA30" s="111"/>
      <c r="CC30" s="111"/>
      <c r="CD30" s="111"/>
      <c r="CE30" s="111"/>
      <c r="CF30" s="215"/>
      <c r="CG30" s="211"/>
      <c r="CH30" s="215"/>
      <c r="CM30" s="111"/>
      <c r="CN30" s="111"/>
    </row>
    <row r="31" spans="1:92" ht="25.5" x14ac:dyDescent="0.2">
      <c r="A31" s="6" t="s">
        <v>3299</v>
      </c>
      <c r="B31" s="12" t="s">
        <v>22</v>
      </c>
      <c r="C31" s="7" t="s">
        <v>1811</v>
      </c>
      <c r="D31" s="52" t="s">
        <v>1255</v>
      </c>
      <c r="E31" s="52" t="s">
        <v>5020</v>
      </c>
      <c r="F31" s="52"/>
      <c r="G31" s="8" t="s">
        <v>114</v>
      </c>
      <c r="H31" s="8"/>
      <c r="I31" s="8"/>
      <c r="J31" s="8"/>
      <c r="K31" s="8"/>
      <c r="L31" s="8"/>
      <c r="M31" s="8" t="s">
        <v>4639</v>
      </c>
      <c r="N31" s="8"/>
      <c r="O31" s="57"/>
      <c r="P31" s="7"/>
      <c r="Q31" s="3"/>
      <c r="R31" s="16"/>
      <c r="S31" s="5">
        <v>0.36219008264462799</v>
      </c>
      <c r="T31" s="4">
        <v>15777</v>
      </c>
      <c r="U31" s="57"/>
      <c r="V31" s="8"/>
      <c r="W31" s="8"/>
      <c r="X31" s="8"/>
      <c r="Y31" s="8"/>
      <c r="Z31" s="8"/>
      <c r="AA31" s="7"/>
      <c r="AB31" s="7"/>
      <c r="AC31" s="8" t="s">
        <v>3301</v>
      </c>
      <c r="AD31" s="8" t="s">
        <v>4206</v>
      </c>
      <c r="AE31" s="26">
        <v>43994.552418981482</v>
      </c>
      <c r="AF31" s="8" t="s">
        <v>4325</v>
      </c>
      <c r="AG31" s="26">
        <v>43913.594918981478</v>
      </c>
      <c r="AH31" s="1" t="s">
        <v>4650</v>
      </c>
      <c r="AI31" s="216">
        <v>63</v>
      </c>
      <c r="AJ31" s="216" t="s">
        <v>4939</v>
      </c>
      <c r="AK31" s="216" t="s">
        <v>3512</v>
      </c>
      <c r="AL31" s="216" t="s">
        <v>27</v>
      </c>
      <c r="AM31" s="216" t="s">
        <v>27</v>
      </c>
      <c r="AN31" s="216">
        <v>1</v>
      </c>
      <c r="AO31" s="230"/>
      <c r="AP31" s="230"/>
      <c r="AQ31" s="230"/>
      <c r="AR31" s="188" t="str">
        <f>IF(SP_AcqTract_DB[[#This Row],[Count '# in TaxID]]=1,LEFT(SP_AcqTract_DB[[#This Row],[WCAD Tax Parcel ID]],7),IF(SP_AcqTract_DB[[#This Row],[Count '# in TaxID]]=2,CONCATENATE(LEFT(SP_AcqTract_DB[[#This Row],[WCAD Tax Parcel ID]],7),";",MID(SP_AcqTract_DB[[#This Row],[WCAD Tax Parcel ID]],FIND("#",SP_AcqTract_DB[[#This Row],[WCAD Tax Parcel ID]],10)+1,7)),IF(SP_AcqTract_DB[[#This Row],[Count '# in TaxID]]&gt;2,CONCATENATE(LEFT(SP_AcqTract_DB[[#This Row],[WCAD Tax Parcel ID]],7),";",MID(SP_AcqTract_DB[[#This Row],[WCAD Tax Parcel ID]],FIND("#",SP_AcqTract_DB[[#This Row],[WCAD Tax Parcel ID]],10)+1,7),";",MID(SP_AcqTract_DB[[#This Row],[WCAD Tax Parcel ID]],FIND("#",SP_AcqTract_DB[[#This Row],[WCAD Tax Parcel ID]],23)+1,7)),"")))</f>
        <v/>
      </c>
      <c r="AS31" s="54">
        <f>IF(SP_AcqTract_DB[[#This Row],[WCAD Tax Parcel ID]]="",0,(LEN(SP_AcqTract_DB[[#This Row],[WCAD Tax Parcel ID]])-LEN(SUBSTITUTE(SP_AcqTract_DB[[#This Row],[WCAD Tax Parcel ID]],"#",""))+1)/2)</f>
        <v>0</v>
      </c>
      <c r="AT31" s="190">
        <f>IF(SP_AcqTract_DB[[#This Row],[WCAD Tax Parcel ID]]="",0,COUNTIF(SP_TaxPar_DB[Acquisition Tract No.],SP_AcqTract_DB[[#This Row],[Acquisition Tract No.]]))</f>
        <v>0</v>
      </c>
      <c r="AU31" s="189">
        <f>COUNTIF(ACQStatus_ACQTNo.,SP_AcqTract_DB[[#This Row],[Acquisition Tract No.]])</f>
        <v>1</v>
      </c>
      <c r="AX31" s="111"/>
      <c r="AY31" s="1"/>
      <c r="AZ31" s="111"/>
      <c r="BA31" s="211"/>
      <c r="BE31" s="111"/>
      <c r="BF31" s="111"/>
      <c r="BG31" s="111"/>
      <c r="BH31" s="111"/>
      <c r="BI31" s="111"/>
      <c r="BJ31" s="111"/>
      <c r="BK31" s="111"/>
      <c r="BL31" s="111"/>
      <c r="BM31" s="111"/>
      <c r="BN31" s="213"/>
      <c r="BO31" s="111"/>
      <c r="BP31" s="111"/>
      <c r="BQ31" s="213"/>
      <c r="BR31" s="173"/>
      <c r="BS31" s="214"/>
      <c r="BV31" s="213"/>
      <c r="BW31" s="111"/>
      <c r="BX31" s="111"/>
      <c r="BY31" s="1"/>
      <c r="BZ31" s="111"/>
      <c r="CA31" s="111"/>
      <c r="CC31" s="111"/>
      <c r="CD31" s="111"/>
      <c r="CE31" s="111"/>
      <c r="CF31" s="215"/>
      <c r="CG31" s="211"/>
      <c r="CH31" s="215"/>
      <c r="CM31" s="111"/>
      <c r="CN31" s="111"/>
    </row>
    <row r="32" spans="1:92" ht="25.5" x14ac:dyDescent="0.2">
      <c r="A32" s="6" t="s">
        <v>3302</v>
      </c>
      <c r="B32" s="12" t="s">
        <v>22</v>
      </c>
      <c r="C32" s="7" t="s">
        <v>1811</v>
      </c>
      <c r="D32" s="52" t="s">
        <v>1255</v>
      </c>
      <c r="E32" s="52" t="s">
        <v>5021</v>
      </c>
      <c r="F32" s="52"/>
      <c r="G32" s="8" t="s">
        <v>114</v>
      </c>
      <c r="H32" s="8"/>
      <c r="I32" s="8"/>
      <c r="J32" s="8"/>
      <c r="K32" s="8"/>
      <c r="L32" s="8"/>
      <c r="M32" s="8"/>
      <c r="N32" s="8"/>
      <c r="O32" s="57"/>
      <c r="P32" s="7"/>
      <c r="Q32" s="3"/>
      <c r="R32" s="16"/>
      <c r="S32" s="5">
        <v>0</v>
      </c>
      <c r="T32" s="4"/>
      <c r="U32" s="57"/>
      <c r="V32" s="8"/>
      <c r="W32" s="8"/>
      <c r="X32" s="8"/>
      <c r="Y32" s="8"/>
      <c r="Z32" s="8"/>
      <c r="AA32" s="7"/>
      <c r="AB32" s="7"/>
      <c r="AC32" s="8" t="s">
        <v>3304</v>
      </c>
      <c r="AD32" s="8" t="s">
        <v>4206</v>
      </c>
      <c r="AE32" s="26">
        <v>43991.512071759258</v>
      </c>
      <c r="AF32" s="8" t="s">
        <v>4205</v>
      </c>
      <c r="AG32" s="26">
        <v>43924.588923611111</v>
      </c>
      <c r="AH32" s="1" t="s">
        <v>4651</v>
      </c>
      <c r="AI32" s="216">
        <v>65</v>
      </c>
      <c r="AJ32" s="216" t="s">
        <v>4939</v>
      </c>
      <c r="AK32" s="216" t="s">
        <v>3512</v>
      </c>
      <c r="AL32" s="216" t="s">
        <v>4869</v>
      </c>
      <c r="AM32" s="216" t="s">
        <v>27</v>
      </c>
      <c r="AN32" s="216">
        <v>2</v>
      </c>
      <c r="AO32" s="230"/>
      <c r="AP32" s="230"/>
      <c r="AQ32" s="230"/>
      <c r="AR32" s="188" t="str">
        <f>IF(SP_AcqTract_DB[[#This Row],[Count '# in TaxID]]=1,LEFT(SP_AcqTract_DB[[#This Row],[WCAD Tax Parcel ID]],7),IF(SP_AcqTract_DB[[#This Row],[Count '# in TaxID]]=2,CONCATENATE(LEFT(SP_AcqTract_DB[[#This Row],[WCAD Tax Parcel ID]],7),";",MID(SP_AcqTract_DB[[#This Row],[WCAD Tax Parcel ID]],FIND("#",SP_AcqTract_DB[[#This Row],[WCAD Tax Parcel ID]],10)+1,7)),IF(SP_AcqTract_DB[[#This Row],[Count '# in TaxID]]&gt;2,CONCATENATE(LEFT(SP_AcqTract_DB[[#This Row],[WCAD Tax Parcel ID]],7),";",MID(SP_AcqTract_DB[[#This Row],[WCAD Tax Parcel ID]],FIND("#",SP_AcqTract_DB[[#This Row],[WCAD Tax Parcel ID]],10)+1,7),";",MID(SP_AcqTract_DB[[#This Row],[WCAD Tax Parcel ID]],FIND("#",SP_AcqTract_DB[[#This Row],[WCAD Tax Parcel ID]],23)+1,7)),"")))</f>
        <v/>
      </c>
      <c r="AS32" s="54">
        <f>IF(SP_AcqTract_DB[[#This Row],[WCAD Tax Parcel ID]]="",0,(LEN(SP_AcqTract_DB[[#This Row],[WCAD Tax Parcel ID]])-LEN(SUBSTITUTE(SP_AcqTract_DB[[#This Row],[WCAD Tax Parcel ID]],"#",""))+1)/2)</f>
        <v>0</v>
      </c>
      <c r="AT32" s="190">
        <f>IF(SP_AcqTract_DB[[#This Row],[WCAD Tax Parcel ID]]="",0,COUNTIF(SP_TaxPar_DB[Acquisition Tract No.],SP_AcqTract_DB[[#This Row],[Acquisition Tract No.]]))</f>
        <v>0</v>
      </c>
      <c r="AU32" s="189">
        <f>COUNTIF(ACQStatus_ACQTNo.,SP_AcqTract_DB[[#This Row],[Acquisition Tract No.]])</f>
        <v>1</v>
      </c>
      <c r="AX32" s="111"/>
      <c r="AY32" s="1"/>
      <c r="AZ32" s="111"/>
      <c r="BA32" s="211"/>
      <c r="BE32" s="111"/>
      <c r="BF32" s="111"/>
      <c r="BG32" s="111"/>
      <c r="BH32" s="111"/>
      <c r="BI32" s="111"/>
      <c r="BJ32" s="111"/>
      <c r="BK32" s="111"/>
      <c r="BL32" s="111"/>
      <c r="BM32" s="111"/>
      <c r="BN32" s="213"/>
      <c r="BO32" s="111"/>
      <c r="BP32" s="111"/>
      <c r="BQ32" s="213"/>
      <c r="BR32" s="173"/>
      <c r="BS32" s="214"/>
      <c r="BV32" s="213"/>
      <c r="BW32" s="111"/>
      <c r="BX32" s="111"/>
      <c r="BY32" s="1"/>
      <c r="BZ32" s="111"/>
      <c r="CA32" s="111"/>
      <c r="CC32" s="111"/>
      <c r="CD32" s="111"/>
      <c r="CE32" s="111"/>
      <c r="CF32" s="215"/>
      <c r="CG32" s="211"/>
      <c r="CH32" s="215"/>
      <c r="CM32" s="111"/>
      <c r="CN32" s="111"/>
    </row>
    <row r="33" spans="1:92" ht="38.25" x14ac:dyDescent="0.2">
      <c r="A33" s="6" t="s">
        <v>3305</v>
      </c>
      <c r="B33" s="12" t="s">
        <v>22</v>
      </c>
      <c r="C33" s="7" t="s">
        <v>1811</v>
      </c>
      <c r="D33" s="52" t="s">
        <v>1255</v>
      </c>
      <c r="E33" s="52" t="s">
        <v>5020</v>
      </c>
      <c r="F33" s="52"/>
      <c r="G33" s="8" t="s">
        <v>114</v>
      </c>
      <c r="H33" s="8"/>
      <c r="I33" s="8"/>
      <c r="J33" s="8"/>
      <c r="K33" s="8"/>
      <c r="L33" s="8"/>
      <c r="M33" s="8"/>
      <c r="N33" s="8"/>
      <c r="O33" s="57"/>
      <c r="P33" s="7"/>
      <c r="Q33" s="3"/>
      <c r="R33" s="16"/>
      <c r="S33" s="5">
        <v>0</v>
      </c>
      <c r="T33" s="4"/>
      <c r="U33" s="57"/>
      <c r="V33" s="8"/>
      <c r="W33" s="8"/>
      <c r="X33" s="8"/>
      <c r="Y33" s="8"/>
      <c r="Z33" s="8"/>
      <c r="AA33" s="7"/>
      <c r="AB33" s="7"/>
      <c r="AC33" s="8" t="s">
        <v>3307</v>
      </c>
      <c r="AD33" s="8" t="s">
        <v>4206</v>
      </c>
      <c r="AE33" s="26">
        <v>43991.512071759258</v>
      </c>
      <c r="AF33" s="8" t="s">
        <v>4205</v>
      </c>
      <c r="AG33" s="26">
        <v>43924.589409722219</v>
      </c>
      <c r="AH33" s="1" t="s">
        <v>4652</v>
      </c>
      <c r="AI33" s="216">
        <v>66</v>
      </c>
      <c r="AJ33" s="216" t="s">
        <v>4939</v>
      </c>
      <c r="AK33" s="216" t="s">
        <v>3512</v>
      </c>
      <c r="AL33" s="216" t="s">
        <v>4869</v>
      </c>
      <c r="AM33" s="216" t="s">
        <v>27</v>
      </c>
      <c r="AN33" s="216">
        <v>1</v>
      </c>
      <c r="AO33" s="230"/>
      <c r="AP33" s="230"/>
      <c r="AQ33" s="230"/>
      <c r="AR33" s="188" t="str">
        <f>IF(SP_AcqTract_DB[[#This Row],[Count '# in TaxID]]=1,LEFT(SP_AcqTract_DB[[#This Row],[WCAD Tax Parcel ID]],7),IF(SP_AcqTract_DB[[#This Row],[Count '# in TaxID]]=2,CONCATENATE(LEFT(SP_AcqTract_DB[[#This Row],[WCAD Tax Parcel ID]],7),";",MID(SP_AcqTract_DB[[#This Row],[WCAD Tax Parcel ID]],FIND("#",SP_AcqTract_DB[[#This Row],[WCAD Tax Parcel ID]],10)+1,7)),IF(SP_AcqTract_DB[[#This Row],[Count '# in TaxID]]&gt;2,CONCATENATE(LEFT(SP_AcqTract_DB[[#This Row],[WCAD Tax Parcel ID]],7),";",MID(SP_AcqTract_DB[[#This Row],[WCAD Tax Parcel ID]],FIND("#",SP_AcqTract_DB[[#This Row],[WCAD Tax Parcel ID]],10)+1,7),";",MID(SP_AcqTract_DB[[#This Row],[WCAD Tax Parcel ID]],FIND("#",SP_AcqTract_DB[[#This Row],[WCAD Tax Parcel ID]],23)+1,7)),"")))</f>
        <v/>
      </c>
      <c r="AS33" s="54">
        <f>IF(SP_AcqTract_DB[[#This Row],[WCAD Tax Parcel ID]]="",0,(LEN(SP_AcqTract_DB[[#This Row],[WCAD Tax Parcel ID]])-LEN(SUBSTITUTE(SP_AcqTract_DB[[#This Row],[WCAD Tax Parcel ID]],"#",""))+1)/2)</f>
        <v>0</v>
      </c>
      <c r="AT33" s="190">
        <f>IF(SP_AcqTract_DB[[#This Row],[WCAD Tax Parcel ID]]="",0,COUNTIF(SP_TaxPar_DB[Acquisition Tract No.],SP_AcqTract_DB[[#This Row],[Acquisition Tract No.]]))</f>
        <v>0</v>
      </c>
      <c r="AU33" s="189">
        <f>COUNTIF(ACQStatus_ACQTNo.,SP_AcqTract_DB[[#This Row],[Acquisition Tract No.]])</f>
        <v>1</v>
      </c>
      <c r="AX33" s="111"/>
      <c r="AY33" s="1"/>
      <c r="AZ33" s="111"/>
      <c r="BA33" s="211"/>
      <c r="BE33" s="111"/>
      <c r="BF33" s="111"/>
      <c r="BG33" s="111"/>
      <c r="BH33" s="111"/>
      <c r="BI33" s="111"/>
      <c r="BJ33" s="111"/>
      <c r="BK33" s="111"/>
      <c r="BL33" s="111"/>
      <c r="BM33" s="111"/>
      <c r="BN33" s="213"/>
      <c r="BO33" s="111"/>
      <c r="BP33" s="111"/>
      <c r="BQ33" s="213"/>
      <c r="BR33" s="173"/>
      <c r="BS33" s="214"/>
      <c r="BV33" s="213"/>
      <c r="BW33" s="111"/>
      <c r="BX33" s="111"/>
      <c r="BY33" s="1"/>
      <c r="BZ33" s="111"/>
      <c r="CA33" s="111"/>
      <c r="CC33" s="111"/>
      <c r="CD33" s="111"/>
      <c r="CE33" s="111"/>
      <c r="CF33" s="215"/>
      <c r="CG33" s="211"/>
      <c r="CH33" s="215"/>
      <c r="CM33" s="111"/>
      <c r="CN33" s="111"/>
    </row>
    <row r="34" spans="1:92" ht="15" x14ac:dyDescent="0.2">
      <c r="A34" s="6" t="s">
        <v>3310</v>
      </c>
      <c r="B34" s="12" t="s">
        <v>3029</v>
      </c>
      <c r="C34" s="7" t="s">
        <v>1811</v>
      </c>
      <c r="D34" s="52" t="s">
        <v>1255</v>
      </c>
      <c r="E34" s="52" t="s">
        <v>5020</v>
      </c>
      <c r="F34" s="52" t="s">
        <v>1809</v>
      </c>
      <c r="G34" s="8" t="s">
        <v>4519</v>
      </c>
      <c r="H34" s="8"/>
      <c r="I34" s="8" t="s">
        <v>4520</v>
      </c>
      <c r="J34" s="8" t="s">
        <v>4521</v>
      </c>
      <c r="K34" s="8" t="s">
        <v>1814</v>
      </c>
      <c r="L34" s="8" t="s">
        <v>4522</v>
      </c>
      <c r="M34" s="8" t="s">
        <v>81</v>
      </c>
      <c r="N34" s="8" t="s">
        <v>4523</v>
      </c>
      <c r="O34" s="57">
        <v>43900</v>
      </c>
      <c r="P34" s="7" t="s">
        <v>1665</v>
      </c>
      <c r="Q34" s="3" t="s">
        <v>5013</v>
      </c>
      <c r="R34" s="16"/>
      <c r="S34" s="5">
        <v>0</v>
      </c>
      <c r="T34" s="4"/>
      <c r="U34" s="57">
        <v>43900</v>
      </c>
      <c r="V34" s="8" t="s">
        <v>1725</v>
      </c>
      <c r="W34" s="8"/>
      <c r="X34" s="8"/>
      <c r="Y34" s="8"/>
      <c r="Z34" s="8"/>
      <c r="AA34" s="7" t="s">
        <v>27</v>
      </c>
      <c r="AB34" s="7" t="s">
        <v>29</v>
      </c>
      <c r="AC34" s="8" t="s">
        <v>3312</v>
      </c>
      <c r="AD34" s="8" t="s">
        <v>5080</v>
      </c>
      <c r="AE34" s="26">
        <v>44013.693460648145</v>
      </c>
      <c r="AF34" s="8" t="s">
        <v>4325</v>
      </c>
      <c r="AG34" s="26">
        <v>43907.602638888886</v>
      </c>
      <c r="AH34" s="1" t="s">
        <v>4653</v>
      </c>
      <c r="AI34" s="216">
        <v>60</v>
      </c>
      <c r="AJ34" s="216" t="s">
        <v>4939</v>
      </c>
      <c r="AK34" s="216" t="s">
        <v>3512</v>
      </c>
      <c r="AL34" s="216" t="s">
        <v>27</v>
      </c>
      <c r="AM34" s="216" t="s">
        <v>27</v>
      </c>
      <c r="AN34" s="216">
        <v>1</v>
      </c>
      <c r="AO34" s="230"/>
      <c r="AP34" s="230"/>
      <c r="AQ34" s="230"/>
      <c r="AR34" s="188" t="str">
        <f>IF(SP_AcqTract_DB[[#This Row],[Count '# in TaxID]]=1,LEFT(SP_AcqTract_DB[[#This Row],[WCAD Tax Parcel ID]],7),IF(SP_AcqTract_DB[[#This Row],[Count '# in TaxID]]=2,CONCATENATE(LEFT(SP_AcqTract_DB[[#This Row],[WCAD Tax Parcel ID]],7),";",MID(SP_AcqTract_DB[[#This Row],[WCAD Tax Parcel ID]],FIND("#",SP_AcqTract_DB[[#This Row],[WCAD Tax Parcel ID]],10)+1,7)),IF(SP_AcqTract_DB[[#This Row],[Count '# in TaxID]]&gt;2,CONCATENATE(LEFT(SP_AcqTract_DB[[#This Row],[WCAD Tax Parcel ID]],7),";",MID(SP_AcqTract_DB[[#This Row],[WCAD Tax Parcel ID]],FIND("#",SP_AcqTract_DB[[#This Row],[WCAD Tax Parcel ID]],10)+1,7),";",MID(SP_AcqTract_DB[[#This Row],[WCAD Tax Parcel ID]],FIND("#",SP_AcqTract_DB[[#This Row],[WCAD Tax Parcel ID]],23)+1,7)),"")))</f>
        <v>R023655</v>
      </c>
      <c r="AS34" s="54">
        <f>IF(SP_AcqTract_DB[[#This Row],[WCAD Tax Parcel ID]]="",0,(LEN(SP_AcqTract_DB[[#This Row],[WCAD Tax Parcel ID]])-LEN(SUBSTITUTE(SP_AcqTract_DB[[#This Row],[WCAD Tax Parcel ID]],"#",""))+1)/2)</f>
        <v>1</v>
      </c>
      <c r="AT34" s="190">
        <f>IF(SP_AcqTract_DB[[#This Row],[WCAD Tax Parcel ID]]="",0,COUNTIF(SP_TaxPar_DB[Acquisition Tract No.],SP_AcqTract_DB[[#This Row],[Acquisition Tract No.]]))</f>
        <v>1</v>
      </c>
      <c r="AU34" s="189">
        <f>COUNTIF(ACQStatus_ACQTNo.,SP_AcqTract_DB[[#This Row],[Acquisition Tract No.]])</f>
        <v>1</v>
      </c>
      <c r="AX34" s="111"/>
      <c r="AY34" s="1"/>
      <c r="AZ34" s="111"/>
      <c r="BA34" s="211"/>
      <c r="BE34" s="111"/>
      <c r="BF34" s="111"/>
      <c r="BG34" s="111"/>
      <c r="BH34" s="111"/>
      <c r="BI34" s="111"/>
      <c r="BJ34" s="111"/>
      <c r="BK34" s="111"/>
      <c r="BL34" s="111"/>
      <c r="BM34" s="111"/>
      <c r="BN34" s="213"/>
      <c r="BO34" s="111"/>
      <c r="BP34" s="111"/>
      <c r="BQ34" s="213"/>
      <c r="BR34" s="173"/>
      <c r="BS34" s="214"/>
      <c r="BV34" s="213"/>
      <c r="BW34" s="111"/>
      <c r="BX34" s="111"/>
      <c r="BY34" s="1"/>
      <c r="BZ34" s="111"/>
      <c r="CA34" s="111"/>
      <c r="CC34" s="111"/>
      <c r="CD34" s="111"/>
      <c r="CE34" s="111"/>
      <c r="CF34" s="215"/>
      <c r="CG34" s="211"/>
      <c r="CH34" s="215"/>
      <c r="CM34" s="111"/>
      <c r="CN34" s="111"/>
    </row>
    <row r="35" spans="1:92" ht="15" x14ac:dyDescent="0.2">
      <c r="A35" s="6" t="s">
        <v>3315</v>
      </c>
      <c r="B35" s="12" t="s">
        <v>3030</v>
      </c>
      <c r="C35" s="7" t="s">
        <v>1811</v>
      </c>
      <c r="D35" s="52" t="s">
        <v>1255</v>
      </c>
      <c r="E35" s="52" t="s">
        <v>5020</v>
      </c>
      <c r="F35" s="52"/>
      <c r="G35" s="8" t="s">
        <v>114</v>
      </c>
      <c r="H35" s="8" t="s">
        <v>6727</v>
      </c>
      <c r="I35" s="8" t="s">
        <v>6733</v>
      </c>
      <c r="J35" s="8" t="s">
        <v>6728</v>
      </c>
      <c r="K35" s="8" t="s">
        <v>1814</v>
      </c>
      <c r="L35" s="8" t="s">
        <v>6729</v>
      </c>
      <c r="M35" s="8" t="s">
        <v>4905</v>
      </c>
      <c r="N35" s="8"/>
      <c r="O35" s="57">
        <v>43930</v>
      </c>
      <c r="P35" s="7"/>
      <c r="Q35" s="3" t="s">
        <v>5013</v>
      </c>
      <c r="R35" s="16"/>
      <c r="S35" s="5">
        <v>0.13999081726354501</v>
      </c>
      <c r="T35" s="4">
        <v>6098</v>
      </c>
      <c r="U35" s="57"/>
      <c r="V35" s="8"/>
      <c r="W35" s="8"/>
      <c r="X35" s="8"/>
      <c r="Y35" s="8"/>
      <c r="Z35" s="8"/>
      <c r="AA35" s="7"/>
      <c r="AB35" s="7" t="s">
        <v>29</v>
      </c>
      <c r="AC35" s="8" t="s">
        <v>3317</v>
      </c>
      <c r="AD35" s="8" t="s">
        <v>4206</v>
      </c>
      <c r="AE35" s="26">
        <v>44025.530601851853</v>
      </c>
      <c r="AF35" s="8" t="s">
        <v>4206</v>
      </c>
      <c r="AG35" s="26">
        <v>43930.690335648149</v>
      </c>
      <c r="AH35" s="1" t="s">
        <v>4726</v>
      </c>
      <c r="AI35" s="216">
        <v>68</v>
      </c>
      <c r="AJ35" s="216" t="s">
        <v>4939</v>
      </c>
      <c r="AK35" s="216" t="s">
        <v>3512</v>
      </c>
      <c r="AL35" s="216" t="s">
        <v>27</v>
      </c>
      <c r="AM35" s="216" t="s">
        <v>27</v>
      </c>
      <c r="AN35" s="216">
        <v>1</v>
      </c>
      <c r="AO35" s="230"/>
      <c r="AP35" s="230"/>
      <c r="AQ35" s="230"/>
      <c r="AR35" s="188" t="str">
        <f>IF(SP_AcqTract_DB[[#This Row],[Count '# in TaxID]]=1,LEFT(SP_AcqTract_DB[[#This Row],[WCAD Tax Parcel ID]],7),IF(SP_AcqTract_DB[[#This Row],[Count '# in TaxID]]=2,CONCATENATE(LEFT(SP_AcqTract_DB[[#This Row],[WCAD Tax Parcel ID]],7),";",MID(SP_AcqTract_DB[[#This Row],[WCAD Tax Parcel ID]],FIND("#",SP_AcqTract_DB[[#This Row],[WCAD Tax Parcel ID]],10)+1,7)),IF(SP_AcqTract_DB[[#This Row],[Count '# in TaxID]]&gt;2,CONCATENATE(LEFT(SP_AcqTract_DB[[#This Row],[WCAD Tax Parcel ID]],7),";",MID(SP_AcqTract_DB[[#This Row],[WCAD Tax Parcel ID]],FIND("#",SP_AcqTract_DB[[#This Row],[WCAD Tax Parcel ID]],10)+1,7),";",MID(SP_AcqTract_DB[[#This Row],[WCAD Tax Parcel ID]],FIND("#",SP_AcqTract_DB[[#This Row],[WCAD Tax Parcel ID]],23)+1,7)),"")))</f>
        <v>R023656</v>
      </c>
      <c r="AS35" s="54">
        <f>IF(SP_AcqTract_DB[[#This Row],[WCAD Tax Parcel ID]]="",0,(LEN(SP_AcqTract_DB[[#This Row],[WCAD Tax Parcel ID]])-LEN(SUBSTITUTE(SP_AcqTract_DB[[#This Row],[WCAD Tax Parcel ID]],"#",""))+1)/2)</f>
        <v>1</v>
      </c>
      <c r="AT35" s="190">
        <f>IF(SP_AcqTract_DB[[#This Row],[WCAD Tax Parcel ID]]="",0,COUNTIF(SP_TaxPar_DB[Acquisition Tract No.],SP_AcqTract_DB[[#This Row],[Acquisition Tract No.]]))</f>
        <v>1</v>
      </c>
      <c r="AU35" s="189">
        <f>COUNTIF(ACQStatus_ACQTNo.,SP_AcqTract_DB[[#This Row],[Acquisition Tract No.]])</f>
        <v>1</v>
      </c>
      <c r="AX35" s="111"/>
      <c r="AY35" s="1"/>
      <c r="AZ35" s="111"/>
      <c r="BA35" s="211"/>
      <c r="BE35" s="111"/>
      <c r="BF35" s="111"/>
      <c r="BG35" s="111"/>
      <c r="BH35" s="111"/>
      <c r="BI35" s="111"/>
      <c r="BJ35" s="111"/>
      <c r="BK35" s="111"/>
      <c r="BL35" s="111"/>
      <c r="BM35" s="111"/>
      <c r="BN35" s="213"/>
      <c r="BO35" s="111"/>
      <c r="BP35" s="111"/>
      <c r="BQ35" s="213"/>
      <c r="BR35" s="173"/>
      <c r="BS35" s="214"/>
      <c r="BV35" s="213"/>
      <c r="BW35" s="111"/>
      <c r="BX35" s="111"/>
      <c r="BY35" s="1"/>
      <c r="BZ35" s="111"/>
      <c r="CA35" s="111"/>
      <c r="CC35" s="111"/>
      <c r="CD35" s="111"/>
      <c r="CE35" s="111"/>
      <c r="CF35" s="215"/>
      <c r="CG35" s="211"/>
      <c r="CH35" s="215"/>
      <c r="CM35" s="111"/>
      <c r="CN35" s="111"/>
    </row>
    <row r="36" spans="1:92" ht="25.5" x14ac:dyDescent="0.2">
      <c r="A36" s="6" t="s">
        <v>44</v>
      </c>
      <c r="B36" s="12" t="s">
        <v>640</v>
      </c>
      <c r="C36" s="7" t="s">
        <v>1811</v>
      </c>
      <c r="D36" s="52" t="s">
        <v>1255</v>
      </c>
      <c r="E36" s="52" t="s">
        <v>5021</v>
      </c>
      <c r="F36" s="52" t="s">
        <v>80</v>
      </c>
      <c r="G36" s="8" t="s">
        <v>160</v>
      </c>
      <c r="H36" s="8"/>
      <c r="I36" s="8" t="s">
        <v>161</v>
      </c>
      <c r="J36" s="8" t="s">
        <v>515</v>
      </c>
      <c r="K36" s="8" t="s">
        <v>1729</v>
      </c>
      <c r="L36" s="8" t="s">
        <v>164</v>
      </c>
      <c r="M36" s="8" t="s">
        <v>81</v>
      </c>
      <c r="N36" s="8" t="s">
        <v>165</v>
      </c>
      <c r="O36" s="57">
        <v>43670</v>
      </c>
      <c r="P36" s="7" t="s">
        <v>1668</v>
      </c>
      <c r="Q36" s="3" t="s">
        <v>5013</v>
      </c>
      <c r="R36" s="16">
        <v>43994</v>
      </c>
      <c r="S36" s="5">
        <v>2.2036042240587701</v>
      </c>
      <c r="T36" s="4">
        <v>95989</v>
      </c>
      <c r="U36" s="57"/>
      <c r="V36" s="8" t="s">
        <v>1727</v>
      </c>
      <c r="W36" s="8"/>
      <c r="X36" s="8"/>
      <c r="Y36" s="8" t="s">
        <v>1740</v>
      </c>
      <c r="Z36" s="8" t="s">
        <v>1278</v>
      </c>
      <c r="AA36" s="7"/>
      <c r="AB36" s="7" t="s">
        <v>4342</v>
      </c>
      <c r="AC36" s="8" t="s">
        <v>1324</v>
      </c>
      <c r="AD36" s="8" t="s">
        <v>4206</v>
      </c>
      <c r="AE36" s="26">
        <v>43997.467928240738</v>
      </c>
      <c r="AF36" s="8" t="s">
        <v>23</v>
      </c>
      <c r="AG36" s="26">
        <v>43682.623194444444</v>
      </c>
      <c r="AH36" s="1" t="s">
        <v>4528</v>
      </c>
      <c r="AI36" s="216">
        <v>24</v>
      </c>
      <c r="AJ36" s="216" t="s">
        <v>4939</v>
      </c>
      <c r="AK36" s="216" t="s">
        <v>3512</v>
      </c>
      <c r="AL36" s="216" t="s">
        <v>27</v>
      </c>
      <c r="AM36" s="216" t="s">
        <v>27</v>
      </c>
      <c r="AN36" s="216">
        <v>2</v>
      </c>
      <c r="AO36" s="230"/>
      <c r="AP36" s="230"/>
      <c r="AQ36" s="230"/>
      <c r="AR36" s="188" t="str">
        <f>IF(SP_AcqTract_DB[[#This Row],[Count '# in TaxID]]=1,LEFT(SP_AcqTract_DB[[#This Row],[WCAD Tax Parcel ID]],7),IF(SP_AcqTract_DB[[#This Row],[Count '# in TaxID]]=2,CONCATENATE(LEFT(SP_AcqTract_DB[[#This Row],[WCAD Tax Parcel ID]],7),";",MID(SP_AcqTract_DB[[#This Row],[WCAD Tax Parcel ID]],FIND("#",SP_AcqTract_DB[[#This Row],[WCAD Tax Parcel ID]],10)+1,7)),IF(SP_AcqTract_DB[[#This Row],[Count '# in TaxID]]&gt;2,CONCATENATE(LEFT(SP_AcqTract_DB[[#This Row],[WCAD Tax Parcel ID]],7),";",MID(SP_AcqTract_DB[[#This Row],[WCAD Tax Parcel ID]],FIND("#",SP_AcqTract_DB[[#This Row],[WCAD Tax Parcel ID]],10)+1,7),";",MID(SP_AcqTract_DB[[#This Row],[WCAD Tax Parcel ID]],FIND("#",SP_AcqTract_DB[[#This Row],[WCAD Tax Parcel ID]],23)+1,7)),"")))</f>
        <v>R059284</v>
      </c>
      <c r="AS36" s="54">
        <f>IF(SP_AcqTract_DB[[#This Row],[WCAD Tax Parcel ID]]="",0,(LEN(SP_AcqTract_DB[[#This Row],[WCAD Tax Parcel ID]])-LEN(SUBSTITUTE(SP_AcqTract_DB[[#This Row],[WCAD Tax Parcel ID]],"#",""))+1)/2)</f>
        <v>1</v>
      </c>
      <c r="AT36" s="190">
        <f>IF(SP_AcqTract_DB[[#This Row],[WCAD Tax Parcel ID]]="",0,COUNTIF(SP_TaxPar_DB[Acquisition Tract No.],SP_AcqTract_DB[[#This Row],[Acquisition Tract No.]]))</f>
        <v>1</v>
      </c>
      <c r="AU36" s="189">
        <f>COUNTIF(ACQStatus_ACQTNo.,SP_AcqTract_DB[[#This Row],[Acquisition Tract No.]])</f>
        <v>1</v>
      </c>
      <c r="AX36" s="111"/>
      <c r="AY36" s="1"/>
      <c r="AZ36" s="111"/>
      <c r="BA36" s="211"/>
      <c r="BE36" s="111"/>
      <c r="BF36" s="111"/>
      <c r="BG36" s="111"/>
      <c r="BH36" s="111"/>
      <c r="BI36" s="111"/>
      <c r="BJ36" s="111"/>
      <c r="BK36" s="111"/>
      <c r="BL36" s="111"/>
      <c r="BM36" s="111"/>
      <c r="BN36" s="213"/>
      <c r="BO36" s="111"/>
      <c r="BP36" s="111"/>
      <c r="BQ36" s="213"/>
      <c r="BR36" s="173"/>
      <c r="BS36" s="214"/>
      <c r="BV36" s="213"/>
      <c r="BW36" s="111"/>
      <c r="BX36" s="111"/>
      <c r="BY36" s="1"/>
      <c r="BZ36" s="111"/>
      <c r="CA36" s="111"/>
      <c r="CC36" s="111"/>
      <c r="CD36" s="111"/>
      <c r="CE36" s="111"/>
      <c r="CF36" s="215"/>
      <c r="CG36" s="211"/>
      <c r="CH36" s="215"/>
      <c r="CM36" s="111"/>
      <c r="CN36" s="111"/>
    </row>
    <row r="37" spans="1:92" ht="15" x14ac:dyDescent="0.2">
      <c r="A37" s="6" t="s">
        <v>45</v>
      </c>
      <c r="B37" s="12" t="s">
        <v>642</v>
      </c>
      <c r="C37" s="7" t="s">
        <v>1811</v>
      </c>
      <c r="D37" s="52" t="s">
        <v>1255</v>
      </c>
      <c r="E37" s="52" t="s">
        <v>5021</v>
      </c>
      <c r="F37" s="52" t="s">
        <v>1809</v>
      </c>
      <c r="G37" s="8" t="s">
        <v>166</v>
      </c>
      <c r="H37" s="8" t="s">
        <v>4640</v>
      </c>
      <c r="I37" s="8" t="s">
        <v>1154</v>
      </c>
      <c r="J37" s="8" t="s">
        <v>4641</v>
      </c>
      <c r="K37" s="8" t="s">
        <v>1731</v>
      </c>
      <c r="L37" s="8"/>
      <c r="M37" s="8" t="s">
        <v>81</v>
      </c>
      <c r="N37" s="8" t="s">
        <v>168</v>
      </c>
      <c r="O37" s="57">
        <v>43670</v>
      </c>
      <c r="P37" s="7" t="s">
        <v>1665</v>
      </c>
      <c r="Q37" s="3" t="s">
        <v>5013</v>
      </c>
      <c r="R37" s="16">
        <v>43994</v>
      </c>
      <c r="S37" s="5">
        <v>2.9797979797979799E-2</v>
      </c>
      <c r="T37" s="4">
        <v>1298</v>
      </c>
      <c r="U37" s="57">
        <v>43704</v>
      </c>
      <c r="V37" s="8" t="s">
        <v>1725</v>
      </c>
      <c r="W37" s="8"/>
      <c r="X37" s="8"/>
      <c r="Y37" s="8"/>
      <c r="Z37" s="8"/>
      <c r="AA37" s="7"/>
      <c r="AB37" s="7" t="s">
        <v>4342</v>
      </c>
      <c r="AC37" s="8" t="s">
        <v>1325</v>
      </c>
      <c r="AD37" s="8" t="s">
        <v>4206</v>
      </c>
      <c r="AE37" s="26">
        <v>43997.468043981484</v>
      </c>
      <c r="AF37" s="8" t="s">
        <v>23</v>
      </c>
      <c r="AG37" s="26">
        <v>43682.623194444444</v>
      </c>
      <c r="AH37" s="1" t="s">
        <v>67</v>
      </c>
      <c r="AI37" s="216">
        <v>25</v>
      </c>
      <c r="AJ37" s="216" t="s">
        <v>4939</v>
      </c>
      <c r="AK37" s="216" t="s">
        <v>3512</v>
      </c>
      <c r="AL37" s="216" t="s">
        <v>4869</v>
      </c>
      <c r="AM37" s="216" t="s">
        <v>27</v>
      </c>
      <c r="AN37" s="216">
        <v>2</v>
      </c>
      <c r="AO37" s="230"/>
      <c r="AP37" s="230"/>
      <c r="AQ37" s="230"/>
      <c r="AR37" s="188" t="str">
        <f>IF(SP_AcqTract_DB[[#This Row],[Count '# in TaxID]]=1,LEFT(SP_AcqTract_DB[[#This Row],[WCAD Tax Parcel ID]],7),IF(SP_AcqTract_DB[[#This Row],[Count '# in TaxID]]=2,CONCATENATE(LEFT(SP_AcqTract_DB[[#This Row],[WCAD Tax Parcel ID]],7),";",MID(SP_AcqTract_DB[[#This Row],[WCAD Tax Parcel ID]],FIND("#",SP_AcqTract_DB[[#This Row],[WCAD Tax Parcel ID]],10)+1,7)),IF(SP_AcqTract_DB[[#This Row],[Count '# in TaxID]]&gt;2,CONCATENATE(LEFT(SP_AcqTract_DB[[#This Row],[WCAD Tax Parcel ID]],7),";",MID(SP_AcqTract_DB[[#This Row],[WCAD Tax Parcel ID]],FIND("#",SP_AcqTract_DB[[#This Row],[WCAD Tax Parcel ID]],10)+1,7),";",MID(SP_AcqTract_DB[[#This Row],[WCAD Tax Parcel ID]],FIND("#",SP_AcqTract_DB[[#This Row],[WCAD Tax Parcel ID]],23)+1,7)),"")))</f>
        <v>R018556</v>
      </c>
      <c r="AS37" s="54">
        <f>IF(SP_AcqTract_DB[[#This Row],[WCAD Tax Parcel ID]]="",0,(LEN(SP_AcqTract_DB[[#This Row],[WCAD Tax Parcel ID]])-LEN(SUBSTITUTE(SP_AcqTract_DB[[#This Row],[WCAD Tax Parcel ID]],"#",""))+1)/2)</f>
        <v>1</v>
      </c>
      <c r="AT37" s="190">
        <f>IF(SP_AcqTract_DB[[#This Row],[WCAD Tax Parcel ID]]="",0,COUNTIF(SP_TaxPar_DB[Acquisition Tract No.],SP_AcqTract_DB[[#This Row],[Acquisition Tract No.]]))</f>
        <v>1</v>
      </c>
      <c r="AU37" s="189">
        <f>COUNTIF(ACQStatus_ACQTNo.,SP_AcqTract_DB[[#This Row],[Acquisition Tract No.]])</f>
        <v>1</v>
      </c>
      <c r="AX37" s="111"/>
      <c r="AY37" s="1"/>
      <c r="AZ37" s="111"/>
      <c r="BA37" s="211"/>
      <c r="BE37" s="111"/>
      <c r="BF37" s="111"/>
      <c r="BG37" s="111"/>
      <c r="BH37" s="111"/>
      <c r="BI37" s="111"/>
      <c r="BJ37" s="111"/>
      <c r="BK37" s="111"/>
      <c r="BL37" s="111"/>
      <c r="BM37" s="111"/>
      <c r="BN37" s="213"/>
      <c r="BO37" s="111"/>
      <c r="BP37" s="111"/>
      <c r="BQ37" s="213"/>
      <c r="BR37" s="173"/>
      <c r="BS37" s="214"/>
      <c r="BV37" s="213"/>
      <c r="BW37" s="111"/>
      <c r="BX37" s="111"/>
      <c r="BY37" s="1"/>
      <c r="BZ37" s="111"/>
      <c r="CA37" s="111"/>
      <c r="CC37" s="111"/>
      <c r="CD37" s="111"/>
      <c r="CE37" s="111"/>
      <c r="CF37" s="215"/>
      <c r="CG37" s="211"/>
      <c r="CH37" s="215"/>
      <c r="CM37" s="111"/>
      <c r="CN37" s="111"/>
    </row>
    <row r="38" spans="1:92" ht="15" x14ac:dyDescent="0.2">
      <c r="A38" s="6" t="s">
        <v>46</v>
      </c>
      <c r="B38" s="12" t="s">
        <v>643</v>
      </c>
      <c r="C38" s="7" t="s">
        <v>1811</v>
      </c>
      <c r="D38" s="52" t="s">
        <v>1255</v>
      </c>
      <c r="E38" s="52" t="s">
        <v>5025</v>
      </c>
      <c r="F38" s="52" t="s">
        <v>80</v>
      </c>
      <c r="G38" s="8" t="s">
        <v>169</v>
      </c>
      <c r="H38" s="8"/>
      <c r="I38" s="8" t="s">
        <v>169</v>
      </c>
      <c r="J38" s="8" t="s">
        <v>294</v>
      </c>
      <c r="K38" s="8" t="s">
        <v>1354</v>
      </c>
      <c r="L38" s="8" t="s">
        <v>170</v>
      </c>
      <c r="M38" s="8" t="s">
        <v>81</v>
      </c>
      <c r="N38" s="8" t="s">
        <v>869</v>
      </c>
      <c r="O38" s="57">
        <v>43670</v>
      </c>
      <c r="P38" s="7" t="s">
        <v>1665</v>
      </c>
      <c r="Q38" s="3" t="s">
        <v>5013</v>
      </c>
      <c r="R38" s="16">
        <v>43950</v>
      </c>
      <c r="S38" s="5">
        <v>0.17208448117538999</v>
      </c>
      <c r="T38" s="4">
        <v>7496</v>
      </c>
      <c r="U38" s="57">
        <v>43704</v>
      </c>
      <c r="V38" s="8" t="s">
        <v>1725</v>
      </c>
      <c r="W38" s="8"/>
      <c r="X38" s="8"/>
      <c r="Y38" s="8"/>
      <c r="Z38" s="8"/>
      <c r="AA38" s="7"/>
      <c r="AB38" s="7" t="s">
        <v>4342</v>
      </c>
      <c r="AC38" s="8" t="s">
        <v>1326</v>
      </c>
      <c r="AD38" s="8" t="s">
        <v>4206</v>
      </c>
      <c r="AE38" s="26">
        <v>44006.428900462961</v>
      </c>
      <c r="AF38" s="8" t="s">
        <v>23</v>
      </c>
      <c r="AG38" s="26">
        <v>43682.623194444444</v>
      </c>
      <c r="AH38" s="1" t="s">
        <v>67</v>
      </c>
      <c r="AI38" s="216">
        <v>26</v>
      </c>
      <c r="AJ38" s="216" t="s">
        <v>4939</v>
      </c>
      <c r="AK38" s="216" t="s">
        <v>3512</v>
      </c>
      <c r="AL38" s="216" t="s">
        <v>27</v>
      </c>
      <c r="AM38" s="216" t="s">
        <v>27</v>
      </c>
      <c r="AN38" s="216">
        <v>1</v>
      </c>
      <c r="AO38" s="230">
        <v>44000</v>
      </c>
      <c r="AP38" s="230">
        <v>44006</v>
      </c>
      <c r="AQ38" s="230"/>
      <c r="AR38" s="188" t="str">
        <f>IF(SP_AcqTract_DB[[#This Row],[Count '# in TaxID]]=1,LEFT(SP_AcqTract_DB[[#This Row],[WCAD Tax Parcel ID]],7),IF(SP_AcqTract_DB[[#This Row],[Count '# in TaxID]]=2,CONCATENATE(LEFT(SP_AcqTract_DB[[#This Row],[WCAD Tax Parcel ID]],7),";",MID(SP_AcqTract_DB[[#This Row],[WCAD Tax Parcel ID]],FIND("#",SP_AcqTract_DB[[#This Row],[WCAD Tax Parcel ID]],10)+1,7)),IF(SP_AcqTract_DB[[#This Row],[Count '# in TaxID]]&gt;2,CONCATENATE(LEFT(SP_AcqTract_DB[[#This Row],[WCAD Tax Parcel ID]],7),";",MID(SP_AcqTract_DB[[#This Row],[WCAD Tax Parcel ID]],FIND("#",SP_AcqTract_DB[[#This Row],[WCAD Tax Parcel ID]],10)+1,7),";",MID(SP_AcqTract_DB[[#This Row],[WCAD Tax Parcel ID]],FIND("#",SP_AcqTract_DB[[#This Row],[WCAD Tax Parcel ID]],23)+1,7)),"")))</f>
        <v>R018586</v>
      </c>
      <c r="AS38" s="54">
        <f>IF(SP_AcqTract_DB[[#This Row],[WCAD Tax Parcel ID]]="",0,(LEN(SP_AcqTract_DB[[#This Row],[WCAD Tax Parcel ID]])-LEN(SUBSTITUTE(SP_AcqTract_DB[[#This Row],[WCAD Tax Parcel ID]],"#",""))+1)/2)</f>
        <v>1</v>
      </c>
      <c r="AT38" s="190">
        <f>IF(SP_AcqTract_DB[[#This Row],[WCAD Tax Parcel ID]]="",0,COUNTIF(SP_TaxPar_DB[Acquisition Tract No.],SP_AcqTract_DB[[#This Row],[Acquisition Tract No.]]))</f>
        <v>1</v>
      </c>
      <c r="AU38" s="189">
        <f>COUNTIF(ACQStatus_ACQTNo.,SP_AcqTract_DB[[#This Row],[Acquisition Tract No.]])</f>
        <v>1</v>
      </c>
      <c r="AX38" s="111"/>
      <c r="AY38" s="1"/>
      <c r="AZ38" s="111"/>
      <c r="BA38" s="211"/>
      <c r="BE38" s="111"/>
      <c r="BF38" s="111"/>
      <c r="BG38" s="111"/>
      <c r="BH38" s="111"/>
      <c r="BI38" s="111"/>
      <c r="BJ38" s="111"/>
      <c r="BK38" s="111"/>
      <c r="BL38" s="111"/>
      <c r="BM38" s="111"/>
      <c r="BN38" s="213"/>
      <c r="BO38" s="111"/>
      <c r="BP38" s="111"/>
      <c r="BQ38" s="213"/>
      <c r="BR38" s="173"/>
      <c r="BS38" s="214"/>
      <c r="BV38" s="213"/>
      <c r="BW38" s="111"/>
      <c r="BX38" s="111"/>
      <c r="BY38" s="1"/>
      <c r="BZ38" s="111"/>
      <c r="CA38" s="111"/>
      <c r="CC38" s="111"/>
      <c r="CD38" s="111"/>
      <c r="CE38" s="111"/>
      <c r="CF38" s="215"/>
      <c r="CG38" s="211"/>
      <c r="CH38" s="215"/>
      <c r="CM38" s="111"/>
      <c r="CN38" s="111"/>
    </row>
    <row r="39" spans="1:92" ht="15" x14ac:dyDescent="0.2">
      <c r="A39" s="6" t="s">
        <v>47</v>
      </c>
      <c r="B39" s="12" t="s">
        <v>644</v>
      </c>
      <c r="C39" s="7" t="s">
        <v>1811</v>
      </c>
      <c r="D39" s="52" t="s">
        <v>1255</v>
      </c>
      <c r="E39" s="52" t="s">
        <v>5025</v>
      </c>
      <c r="F39" s="52" t="s">
        <v>80</v>
      </c>
      <c r="G39" s="8" t="s">
        <v>171</v>
      </c>
      <c r="H39" s="8"/>
      <c r="I39" s="8" t="s">
        <v>171</v>
      </c>
      <c r="J39" s="8" t="s">
        <v>4524</v>
      </c>
      <c r="K39" s="8" t="s">
        <v>4525</v>
      </c>
      <c r="L39" s="8" t="s">
        <v>174</v>
      </c>
      <c r="M39" s="8" t="s">
        <v>81</v>
      </c>
      <c r="N39" s="8" t="s">
        <v>1682</v>
      </c>
      <c r="O39" s="57">
        <v>43670</v>
      </c>
      <c r="P39" s="7" t="s">
        <v>1665</v>
      </c>
      <c r="Q39" s="3" t="s">
        <v>5013</v>
      </c>
      <c r="R39" s="16">
        <v>43950</v>
      </c>
      <c r="S39" s="5">
        <v>0.19247015610651999</v>
      </c>
      <c r="T39" s="4">
        <v>8384</v>
      </c>
      <c r="U39" s="57"/>
      <c r="V39" s="8" t="s">
        <v>1725</v>
      </c>
      <c r="W39" s="8"/>
      <c r="X39" s="8"/>
      <c r="Y39" s="8"/>
      <c r="Z39" s="8" t="s">
        <v>1278</v>
      </c>
      <c r="AA39" s="7"/>
      <c r="AB39" s="7" t="s">
        <v>29</v>
      </c>
      <c r="AC39" s="8" t="s">
        <v>1327</v>
      </c>
      <c r="AD39" s="8" t="s">
        <v>4206</v>
      </c>
      <c r="AE39" s="26">
        <v>44006.429085648146</v>
      </c>
      <c r="AF39" s="8" t="s">
        <v>23</v>
      </c>
      <c r="AG39" s="26">
        <v>43682.623194444444</v>
      </c>
      <c r="AH39" s="1" t="s">
        <v>67</v>
      </c>
      <c r="AI39" s="216">
        <v>27</v>
      </c>
      <c r="AJ39" s="216" t="s">
        <v>4939</v>
      </c>
      <c r="AK39" s="216" t="s">
        <v>3512</v>
      </c>
      <c r="AL39" s="216" t="s">
        <v>27</v>
      </c>
      <c r="AM39" s="216" t="s">
        <v>27</v>
      </c>
      <c r="AN39" s="216">
        <v>1</v>
      </c>
      <c r="AO39" s="230">
        <v>44000</v>
      </c>
      <c r="AP39" s="230">
        <v>44006</v>
      </c>
      <c r="AQ39" s="230"/>
      <c r="AR39" s="188" t="str">
        <f>IF(SP_AcqTract_DB[[#This Row],[Count '# in TaxID]]=1,LEFT(SP_AcqTract_DB[[#This Row],[WCAD Tax Parcel ID]],7),IF(SP_AcqTract_DB[[#This Row],[Count '# in TaxID]]=2,CONCATENATE(LEFT(SP_AcqTract_DB[[#This Row],[WCAD Tax Parcel ID]],7),";",MID(SP_AcqTract_DB[[#This Row],[WCAD Tax Parcel ID]],FIND("#",SP_AcqTract_DB[[#This Row],[WCAD Tax Parcel ID]],10)+1,7)),IF(SP_AcqTract_DB[[#This Row],[Count '# in TaxID]]&gt;2,CONCATENATE(LEFT(SP_AcqTract_DB[[#This Row],[WCAD Tax Parcel ID]],7),";",MID(SP_AcqTract_DB[[#This Row],[WCAD Tax Parcel ID]],FIND("#",SP_AcqTract_DB[[#This Row],[WCAD Tax Parcel ID]],10)+1,7),";",MID(SP_AcqTract_DB[[#This Row],[WCAD Tax Parcel ID]],FIND("#",SP_AcqTract_DB[[#This Row],[WCAD Tax Parcel ID]],23)+1,7)),"")))</f>
        <v>R018587</v>
      </c>
      <c r="AS39" s="54">
        <f>IF(SP_AcqTract_DB[[#This Row],[WCAD Tax Parcel ID]]="",0,(LEN(SP_AcqTract_DB[[#This Row],[WCAD Tax Parcel ID]])-LEN(SUBSTITUTE(SP_AcqTract_DB[[#This Row],[WCAD Tax Parcel ID]],"#",""))+1)/2)</f>
        <v>1</v>
      </c>
      <c r="AT39" s="190">
        <f>IF(SP_AcqTract_DB[[#This Row],[WCAD Tax Parcel ID]]="",0,COUNTIF(SP_TaxPar_DB[Acquisition Tract No.],SP_AcqTract_DB[[#This Row],[Acquisition Tract No.]]))</f>
        <v>1</v>
      </c>
      <c r="AU39" s="189">
        <f>COUNTIF(ACQStatus_ACQTNo.,SP_AcqTract_DB[[#This Row],[Acquisition Tract No.]])</f>
        <v>1</v>
      </c>
      <c r="AX39" s="111"/>
      <c r="AY39" s="1"/>
      <c r="AZ39" s="111"/>
      <c r="BA39" s="211"/>
      <c r="BE39" s="111"/>
      <c r="BF39" s="111"/>
      <c r="BG39" s="111"/>
      <c r="BH39" s="111"/>
      <c r="BI39" s="111"/>
      <c r="BJ39" s="111"/>
      <c r="BK39" s="111"/>
      <c r="BL39" s="111"/>
      <c r="BM39" s="111"/>
      <c r="BN39" s="213"/>
      <c r="BO39" s="111"/>
      <c r="BP39" s="111"/>
      <c r="BQ39" s="213"/>
      <c r="BR39" s="173"/>
      <c r="BS39" s="214"/>
      <c r="BV39" s="213"/>
      <c r="BW39" s="111"/>
      <c r="BX39" s="111"/>
      <c r="BY39" s="1"/>
      <c r="BZ39" s="111"/>
      <c r="CA39" s="111"/>
      <c r="CC39" s="111"/>
      <c r="CD39" s="111"/>
      <c r="CE39" s="111"/>
      <c r="CF39" s="215"/>
      <c r="CG39" s="211"/>
      <c r="CH39" s="215"/>
      <c r="CM39" s="111"/>
      <c r="CN39" s="111"/>
    </row>
    <row r="40" spans="1:92" ht="15" x14ac:dyDescent="0.2">
      <c r="A40" s="6" t="s">
        <v>48</v>
      </c>
      <c r="B40" s="12" t="s">
        <v>646</v>
      </c>
      <c r="C40" s="7" t="s">
        <v>1811</v>
      </c>
      <c r="D40" s="52" t="s">
        <v>1255</v>
      </c>
      <c r="E40" s="52" t="s">
        <v>5027</v>
      </c>
      <c r="F40" s="52" t="s">
        <v>80</v>
      </c>
      <c r="G40" s="8" t="s">
        <v>175</v>
      </c>
      <c r="H40" s="8"/>
      <c r="I40" s="8" t="s">
        <v>175</v>
      </c>
      <c r="J40" s="8" t="s">
        <v>176</v>
      </c>
      <c r="K40" s="8" t="s">
        <v>1373</v>
      </c>
      <c r="L40" s="8" t="s">
        <v>164</v>
      </c>
      <c r="M40" s="8" t="s">
        <v>81</v>
      </c>
      <c r="N40" s="8" t="s">
        <v>177</v>
      </c>
      <c r="O40" s="57">
        <v>43670</v>
      </c>
      <c r="P40" s="7" t="s">
        <v>1665</v>
      </c>
      <c r="Q40" s="3" t="s">
        <v>5013</v>
      </c>
      <c r="R40" s="16">
        <v>43994</v>
      </c>
      <c r="S40" s="5">
        <v>0.123393021120294</v>
      </c>
      <c r="T40" s="4">
        <v>5375</v>
      </c>
      <c r="U40" s="57">
        <v>43693</v>
      </c>
      <c r="V40" s="8" t="s">
        <v>1725</v>
      </c>
      <c r="W40" s="8"/>
      <c r="X40" s="8"/>
      <c r="Y40" s="8" t="s">
        <v>1740</v>
      </c>
      <c r="Z40" s="8" t="s">
        <v>1278</v>
      </c>
      <c r="AA40" s="7"/>
      <c r="AB40" s="7" t="s">
        <v>4343</v>
      </c>
      <c r="AC40" s="8" t="s">
        <v>1328</v>
      </c>
      <c r="AD40" s="8" t="s">
        <v>4206</v>
      </c>
      <c r="AE40" s="26">
        <v>43997.468553240738</v>
      </c>
      <c r="AF40" s="8" t="s">
        <v>23</v>
      </c>
      <c r="AG40" s="26">
        <v>43682.623194444444</v>
      </c>
      <c r="AH40" s="1" t="s">
        <v>67</v>
      </c>
      <c r="AI40" s="216">
        <v>28</v>
      </c>
      <c r="AJ40" s="216" t="s">
        <v>4939</v>
      </c>
      <c r="AK40" s="216" t="s">
        <v>3512</v>
      </c>
      <c r="AL40" s="216" t="s">
        <v>27</v>
      </c>
      <c r="AM40" s="216" t="s">
        <v>27</v>
      </c>
      <c r="AN40" s="216">
        <v>3</v>
      </c>
      <c r="AO40" s="230"/>
      <c r="AP40" s="230"/>
      <c r="AQ40" s="230"/>
      <c r="AR40" s="188" t="str">
        <f>IF(SP_AcqTract_DB[[#This Row],[Count '# in TaxID]]=1,LEFT(SP_AcqTract_DB[[#This Row],[WCAD Tax Parcel ID]],7),IF(SP_AcqTract_DB[[#This Row],[Count '# in TaxID]]=2,CONCATENATE(LEFT(SP_AcqTract_DB[[#This Row],[WCAD Tax Parcel ID]],7),";",MID(SP_AcqTract_DB[[#This Row],[WCAD Tax Parcel ID]],FIND("#",SP_AcqTract_DB[[#This Row],[WCAD Tax Parcel ID]],10)+1,7)),IF(SP_AcqTract_DB[[#This Row],[Count '# in TaxID]]&gt;2,CONCATENATE(LEFT(SP_AcqTract_DB[[#This Row],[WCAD Tax Parcel ID]],7),";",MID(SP_AcqTract_DB[[#This Row],[WCAD Tax Parcel ID]],FIND("#",SP_AcqTract_DB[[#This Row],[WCAD Tax Parcel ID]],10)+1,7),";",MID(SP_AcqTract_DB[[#This Row],[WCAD Tax Parcel ID]],FIND("#",SP_AcqTract_DB[[#This Row],[WCAD Tax Parcel ID]],23)+1,7)),"")))</f>
        <v>R018588;R018589</v>
      </c>
      <c r="AS40" s="54">
        <f>IF(SP_AcqTract_DB[[#This Row],[WCAD Tax Parcel ID]]="",0,(LEN(SP_AcqTract_DB[[#This Row],[WCAD Tax Parcel ID]])-LEN(SUBSTITUTE(SP_AcqTract_DB[[#This Row],[WCAD Tax Parcel ID]],"#",""))+1)/2)</f>
        <v>2</v>
      </c>
      <c r="AT40" s="190">
        <f>IF(SP_AcqTract_DB[[#This Row],[WCAD Tax Parcel ID]]="",0,COUNTIF(SP_TaxPar_DB[Acquisition Tract No.],SP_AcqTract_DB[[#This Row],[Acquisition Tract No.]]))</f>
        <v>2</v>
      </c>
      <c r="AU40" s="189">
        <f>COUNTIF(ACQStatus_ACQTNo.,SP_AcqTract_DB[[#This Row],[Acquisition Tract No.]])</f>
        <v>1</v>
      </c>
      <c r="AX40" s="111"/>
      <c r="AY40" s="1"/>
      <c r="AZ40" s="111"/>
      <c r="BA40" s="211"/>
      <c r="BE40" s="111"/>
      <c r="BF40" s="111"/>
      <c r="BG40" s="111"/>
      <c r="BH40" s="111"/>
      <c r="BI40" s="111"/>
      <c r="BJ40" s="111"/>
      <c r="BK40" s="111"/>
      <c r="BL40" s="111"/>
      <c r="BM40" s="111"/>
      <c r="BN40" s="213"/>
      <c r="BO40" s="111"/>
      <c r="BP40" s="111"/>
      <c r="BQ40" s="213"/>
      <c r="BR40" s="173"/>
      <c r="BS40" s="214"/>
      <c r="BV40" s="213"/>
      <c r="BW40" s="111"/>
      <c r="BX40" s="111"/>
      <c r="BY40" s="1"/>
      <c r="BZ40" s="111"/>
      <c r="CA40" s="111"/>
      <c r="CC40" s="111"/>
      <c r="CD40" s="111"/>
      <c r="CE40" s="111"/>
      <c r="CF40" s="215"/>
      <c r="CG40" s="211"/>
      <c r="CH40" s="215"/>
      <c r="CM40" s="111"/>
      <c r="CN40" s="111"/>
    </row>
    <row r="41" spans="1:92" ht="15" x14ac:dyDescent="0.2">
      <c r="A41" s="6" t="s">
        <v>49</v>
      </c>
      <c r="B41" s="12" t="s">
        <v>648</v>
      </c>
      <c r="C41" s="7" t="s">
        <v>1811</v>
      </c>
      <c r="D41" s="52" t="s">
        <v>1255</v>
      </c>
      <c r="E41" s="52" t="s">
        <v>5028</v>
      </c>
      <c r="F41" s="52" t="s">
        <v>80</v>
      </c>
      <c r="G41" s="8" t="s">
        <v>178</v>
      </c>
      <c r="H41" s="8"/>
      <c r="I41" s="8" t="s">
        <v>1001</v>
      </c>
      <c r="J41" s="8" t="s">
        <v>311</v>
      </c>
      <c r="K41" s="8" t="s">
        <v>1354</v>
      </c>
      <c r="L41" s="8" t="s">
        <v>1683</v>
      </c>
      <c r="M41" s="8" t="s">
        <v>81</v>
      </c>
      <c r="N41" s="8" t="s">
        <v>180</v>
      </c>
      <c r="O41" s="57">
        <v>43670</v>
      </c>
      <c r="P41" s="7" t="s">
        <v>1668</v>
      </c>
      <c r="Q41" s="3" t="s">
        <v>4344</v>
      </c>
      <c r="R41" s="16">
        <v>43964</v>
      </c>
      <c r="S41" s="5">
        <v>2.2460055096418698</v>
      </c>
      <c r="T41" s="4">
        <v>97836</v>
      </c>
      <c r="U41" s="57">
        <v>43693</v>
      </c>
      <c r="V41" s="8" t="s">
        <v>1727</v>
      </c>
      <c r="W41" s="8"/>
      <c r="X41" s="8"/>
      <c r="Y41" s="8"/>
      <c r="Z41" s="8" t="s">
        <v>1278</v>
      </c>
      <c r="AA41" s="7"/>
      <c r="AB41" s="7" t="s">
        <v>4517</v>
      </c>
      <c r="AC41" s="8" t="s">
        <v>1329</v>
      </c>
      <c r="AD41" s="8" t="s">
        <v>4206</v>
      </c>
      <c r="AE41" s="26">
        <v>44006.417685185188</v>
      </c>
      <c r="AF41" s="8" t="s">
        <v>23</v>
      </c>
      <c r="AG41" s="26">
        <v>43682.623194444444</v>
      </c>
      <c r="AH41" s="1" t="s">
        <v>67</v>
      </c>
      <c r="AI41" s="216">
        <v>29</v>
      </c>
      <c r="AJ41" s="216" t="s">
        <v>4939</v>
      </c>
      <c r="AK41" s="216" t="s">
        <v>3512</v>
      </c>
      <c r="AL41" s="216" t="s">
        <v>27</v>
      </c>
      <c r="AM41" s="216" t="s">
        <v>27</v>
      </c>
      <c r="AN41" s="216">
        <v>2</v>
      </c>
      <c r="AO41" s="230"/>
      <c r="AP41" s="230">
        <v>44006</v>
      </c>
      <c r="AQ41" s="230"/>
      <c r="AR41" s="188" t="str">
        <f>IF(SP_AcqTract_DB[[#This Row],[Count '# in TaxID]]=1,LEFT(SP_AcqTract_DB[[#This Row],[WCAD Tax Parcel ID]],7),IF(SP_AcqTract_DB[[#This Row],[Count '# in TaxID]]=2,CONCATENATE(LEFT(SP_AcqTract_DB[[#This Row],[WCAD Tax Parcel ID]],7),";",MID(SP_AcqTract_DB[[#This Row],[WCAD Tax Parcel ID]],FIND("#",SP_AcqTract_DB[[#This Row],[WCAD Tax Parcel ID]],10)+1,7)),IF(SP_AcqTract_DB[[#This Row],[Count '# in TaxID]]&gt;2,CONCATENATE(LEFT(SP_AcqTract_DB[[#This Row],[WCAD Tax Parcel ID]],7),";",MID(SP_AcqTract_DB[[#This Row],[WCAD Tax Parcel ID]],FIND("#",SP_AcqTract_DB[[#This Row],[WCAD Tax Parcel ID]],10)+1,7),";",MID(SP_AcqTract_DB[[#This Row],[WCAD Tax Parcel ID]],FIND("#",SP_AcqTract_DB[[#This Row],[WCAD Tax Parcel ID]],23)+1,7)),"")))</f>
        <v>R018590;R018591;R018592</v>
      </c>
      <c r="AS41" s="54">
        <f>IF(SP_AcqTract_DB[[#This Row],[WCAD Tax Parcel ID]]="",0,(LEN(SP_AcqTract_DB[[#This Row],[WCAD Tax Parcel ID]])-LEN(SUBSTITUTE(SP_AcqTract_DB[[#This Row],[WCAD Tax Parcel ID]],"#",""))+1)/2)</f>
        <v>3</v>
      </c>
      <c r="AT41" s="190">
        <f>IF(SP_AcqTract_DB[[#This Row],[WCAD Tax Parcel ID]]="",0,COUNTIF(SP_TaxPar_DB[Acquisition Tract No.],SP_AcqTract_DB[[#This Row],[Acquisition Tract No.]]))</f>
        <v>3</v>
      </c>
      <c r="AU41" s="189">
        <f>COUNTIF(ACQStatus_ACQTNo.,SP_AcqTract_DB[[#This Row],[Acquisition Tract No.]])</f>
        <v>1</v>
      </c>
      <c r="AX41" s="111"/>
      <c r="AY41" s="1"/>
      <c r="AZ41" s="111"/>
      <c r="BA41" s="211"/>
      <c r="BE41" s="111"/>
      <c r="BF41" s="111"/>
      <c r="BG41" s="111"/>
      <c r="BH41" s="111"/>
      <c r="BI41" s="111"/>
      <c r="BJ41" s="111"/>
      <c r="BK41" s="111"/>
      <c r="BL41" s="111"/>
      <c r="BM41" s="111"/>
      <c r="BN41" s="213"/>
      <c r="BO41" s="111"/>
      <c r="BP41" s="111"/>
      <c r="BQ41" s="213"/>
      <c r="BR41" s="173"/>
      <c r="BS41" s="214"/>
      <c r="BV41" s="213"/>
      <c r="BW41" s="111"/>
      <c r="BX41" s="111"/>
      <c r="BY41" s="1"/>
      <c r="BZ41" s="111"/>
      <c r="CA41" s="111"/>
      <c r="CC41" s="111"/>
      <c r="CD41" s="111"/>
      <c r="CE41" s="111"/>
      <c r="CF41" s="215"/>
      <c r="CG41" s="211"/>
      <c r="CH41" s="215"/>
      <c r="CM41" s="111"/>
      <c r="CN41" s="111"/>
    </row>
    <row r="42" spans="1:92" ht="15" x14ac:dyDescent="0.2">
      <c r="A42" s="6" t="s">
        <v>878</v>
      </c>
      <c r="B42" s="12" t="s">
        <v>879</v>
      </c>
      <c r="C42" s="7" t="s">
        <v>1811</v>
      </c>
      <c r="D42" s="52" t="s">
        <v>1255</v>
      </c>
      <c r="E42" s="52" t="s">
        <v>4526</v>
      </c>
      <c r="F42" s="52" t="s">
        <v>80</v>
      </c>
      <c r="G42" s="8" t="s">
        <v>1259</v>
      </c>
      <c r="H42" s="8"/>
      <c r="I42" s="8" t="s">
        <v>1684</v>
      </c>
      <c r="J42" s="8" t="s">
        <v>875</v>
      </c>
      <c r="K42" s="8"/>
      <c r="L42" s="8" t="s">
        <v>875</v>
      </c>
      <c r="M42" s="8" t="s">
        <v>81</v>
      </c>
      <c r="N42" s="8"/>
      <c r="O42" s="57"/>
      <c r="P42" s="7" t="s">
        <v>1299</v>
      </c>
      <c r="Q42" s="3"/>
      <c r="R42" s="16"/>
      <c r="S42" s="5">
        <v>0</v>
      </c>
      <c r="T42" s="4"/>
      <c r="U42" s="57"/>
      <c r="V42" s="8" t="s">
        <v>1725</v>
      </c>
      <c r="W42" s="8"/>
      <c r="X42" s="8"/>
      <c r="Y42" s="8"/>
      <c r="Z42" s="8"/>
      <c r="AA42" s="7"/>
      <c r="AB42" s="7" t="s">
        <v>29</v>
      </c>
      <c r="AC42" s="8" t="s">
        <v>1330</v>
      </c>
      <c r="AD42" s="8" t="s">
        <v>4205</v>
      </c>
      <c r="AE42" s="26">
        <v>43991.54</v>
      </c>
      <c r="AF42" s="8" t="s">
        <v>4207</v>
      </c>
      <c r="AG42" s="26">
        <v>43727.654675925929</v>
      </c>
      <c r="AH42" s="1"/>
      <c r="AI42" s="216">
        <v>46</v>
      </c>
      <c r="AJ42" s="216" t="s">
        <v>4939</v>
      </c>
      <c r="AK42" s="216" t="s">
        <v>3512</v>
      </c>
      <c r="AL42" s="216" t="s">
        <v>4869</v>
      </c>
      <c r="AM42" s="216" t="s">
        <v>4869</v>
      </c>
      <c r="AN42" s="216"/>
      <c r="AO42" s="230"/>
      <c r="AP42" s="230"/>
      <c r="AQ42" s="230"/>
      <c r="AR42" s="188" t="str">
        <f>IF(SP_AcqTract_DB[[#This Row],[Count '# in TaxID]]=1,LEFT(SP_AcqTract_DB[[#This Row],[WCAD Tax Parcel ID]],7),IF(SP_AcqTract_DB[[#This Row],[Count '# in TaxID]]=2,CONCATENATE(LEFT(SP_AcqTract_DB[[#This Row],[WCAD Tax Parcel ID]],7),";",MID(SP_AcqTract_DB[[#This Row],[WCAD Tax Parcel ID]],FIND("#",SP_AcqTract_DB[[#This Row],[WCAD Tax Parcel ID]],10)+1,7)),IF(SP_AcqTract_DB[[#This Row],[Count '# in TaxID]]&gt;2,CONCATENATE(LEFT(SP_AcqTract_DB[[#This Row],[WCAD Tax Parcel ID]],7),";",MID(SP_AcqTract_DB[[#This Row],[WCAD Tax Parcel ID]],FIND("#",SP_AcqTract_DB[[#This Row],[WCAD Tax Parcel ID]],10)+1,7),";",MID(SP_AcqTract_DB[[#This Row],[WCAD Tax Parcel ID]],FIND("#",SP_AcqTract_DB[[#This Row],[WCAD Tax Parcel ID]],23)+1,7)),"")))</f>
        <v>R056768</v>
      </c>
      <c r="AS42" s="54">
        <f>IF(SP_AcqTract_DB[[#This Row],[WCAD Tax Parcel ID]]="",0,(LEN(SP_AcqTract_DB[[#This Row],[WCAD Tax Parcel ID]])-LEN(SUBSTITUTE(SP_AcqTract_DB[[#This Row],[WCAD Tax Parcel ID]],"#",""))+1)/2)</f>
        <v>1</v>
      </c>
      <c r="AT42" s="190">
        <f>IF(SP_AcqTract_DB[[#This Row],[WCAD Tax Parcel ID]]="",0,COUNTIF(SP_TaxPar_DB[Acquisition Tract No.],SP_AcqTract_DB[[#This Row],[Acquisition Tract No.]]))</f>
        <v>1</v>
      </c>
      <c r="AU42" s="189">
        <f>COUNTIF(ACQStatus_ACQTNo.,SP_AcqTract_DB[[#This Row],[Acquisition Tract No.]])</f>
        <v>1</v>
      </c>
      <c r="AX42" s="111"/>
      <c r="AY42" s="1"/>
      <c r="AZ42" s="111"/>
      <c r="BA42" s="211"/>
      <c r="BE42" s="111"/>
      <c r="BF42" s="111"/>
      <c r="BG42" s="111"/>
      <c r="BH42" s="111"/>
      <c r="BI42" s="111"/>
      <c r="BJ42" s="111"/>
      <c r="BK42" s="111"/>
      <c r="BL42" s="111"/>
      <c r="BM42" s="111"/>
      <c r="BN42" s="213"/>
      <c r="BO42" s="111"/>
      <c r="BP42" s="111"/>
      <c r="BQ42" s="213"/>
      <c r="BR42" s="173"/>
      <c r="BS42" s="214"/>
      <c r="BV42" s="213"/>
      <c r="BW42" s="111"/>
      <c r="BX42" s="111"/>
      <c r="BY42" s="1"/>
      <c r="BZ42" s="111"/>
      <c r="CA42" s="111"/>
      <c r="CC42" s="111"/>
      <c r="CD42" s="111"/>
      <c r="CE42" s="111"/>
      <c r="CF42" s="215"/>
      <c r="CG42" s="211"/>
      <c r="CH42" s="215"/>
      <c r="CM42" s="111"/>
      <c r="CN42" s="111"/>
    </row>
    <row r="43" spans="1:92" ht="25.5" x14ac:dyDescent="0.2">
      <c r="A43" s="6" t="s">
        <v>1174</v>
      </c>
      <c r="B43" s="12" t="s">
        <v>1685</v>
      </c>
      <c r="C43" s="7" t="s">
        <v>1811</v>
      </c>
      <c r="D43" s="52" t="s">
        <v>1255</v>
      </c>
      <c r="E43" s="52" t="s">
        <v>5021</v>
      </c>
      <c r="F43" s="52"/>
      <c r="G43" s="8" t="s">
        <v>114</v>
      </c>
      <c r="H43" s="8" t="s">
        <v>114</v>
      </c>
      <c r="I43" s="8" t="s">
        <v>114</v>
      </c>
      <c r="J43" s="8" t="s">
        <v>224</v>
      </c>
      <c r="K43" s="8" t="s">
        <v>1354</v>
      </c>
      <c r="L43" s="8" t="s">
        <v>1686</v>
      </c>
      <c r="M43" s="8"/>
      <c r="N43" s="8"/>
      <c r="O43" s="57">
        <v>43670</v>
      </c>
      <c r="P43" s="7" t="s">
        <v>1670</v>
      </c>
      <c r="Q43" s="3"/>
      <c r="R43" s="16"/>
      <c r="S43" s="5">
        <v>1.0079</v>
      </c>
      <c r="T43" s="4">
        <v>43904.124000000003</v>
      </c>
      <c r="U43" s="57"/>
      <c r="V43" s="8"/>
      <c r="W43" s="8"/>
      <c r="X43" s="8"/>
      <c r="Y43" s="8"/>
      <c r="Z43" s="8"/>
      <c r="AA43" s="7"/>
      <c r="AB43" s="7"/>
      <c r="AC43" s="8" t="s">
        <v>1331</v>
      </c>
      <c r="AD43" s="8" t="s">
        <v>4206</v>
      </c>
      <c r="AE43" s="26">
        <v>43994.399872685186</v>
      </c>
      <c r="AF43" s="8" t="s">
        <v>4325</v>
      </c>
      <c r="AG43" s="26">
        <v>43752.513148148151</v>
      </c>
      <c r="AH43" s="1" t="s">
        <v>4654</v>
      </c>
      <c r="AI43" s="216">
        <v>47</v>
      </c>
      <c r="AJ43" s="216" t="s">
        <v>4939</v>
      </c>
      <c r="AK43" s="216" t="s">
        <v>3512</v>
      </c>
      <c r="AL43" s="216" t="s">
        <v>4869</v>
      </c>
      <c r="AM43" s="216" t="s">
        <v>27</v>
      </c>
      <c r="AN43" s="216">
        <v>3</v>
      </c>
      <c r="AO43" s="230"/>
      <c r="AP43" s="230"/>
      <c r="AQ43" s="230"/>
      <c r="AR43" s="188" t="str">
        <f>IF(SP_AcqTract_DB[[#This Row],[Count '# in TaxID]]=1,LEFT(SP_AcqTract_DB[[#This Row],[WCAD Tax Parcel ID]],7),IF(SP_AcqTract_DB[[#This Row],[Count '# in TaxID]]=2,CONCATENATE(LEFT(SP_AcqTract_DB[[#This Row],[WCAD Tax Parcel ID]],7),";",MID(SP_AcqTract_DB[[#This Row],[WCAD Tax Parcel ID]],FIND("#",SP_AcqTract_DB[[#This Row],[WCAD Tax Parcel ID]],10)+1,7)),IF(SP_AcqTract_DB[[#This Row],[Count '# in TaxID]]&gt;2,CONCATENATE(LEFT(SP_AcqTract_DB[[#This Row],[WCAD Tax Parcel ID]],7),";",MID(SP_AcqTract_DB[[#This Row],[WCAD Tax Parcel ID]],FIND("#",SP_AcqTract_DB[[#This Row],[WCAD Tax Parcel ID]],10)+1,7),";",MID(SP_AcqTract_DB[[#This Row],[WCAD Tax Parcel ID]],FIND("#",SP_AcqTract_DB[[#This Row],[WCAD Tax Parcel ID]],23)+1,7)),"")))</f>
        <v>UNKN004</v>
      </c>
      <c r="AS43" s="54">
        <f>IF(SP_AcqTract_DB[[#This Row],[WCAD Tax Parcel ID]]="",0,(LEN(SP_AcqTract_DB[[#This Row],[WCAD Tax Parcel ID]])-LEN(SUBSTITUTE(SP_AcqTract_DB[[#This Row],[WCAD Tax Parcel ID]],"#",""))+1)/2)</f>
        <v>1</v>
      </c>
      <c r="AT43" s="190">
        <f>IF(SP_AcqTract_DB[[#This Row],[WCAD Tax Parcel ID]]="",0,COUNTIF(SP_TaxPar_DB[Acquisition Tract No.],SP_AcqTract_DB[[#This Row],[Acquisition Tract No.]]))</f>
        <v>1</v>
      </c>
      <c r="AU43" s="189">
        <f>COUNTIF(ACQStatus_ACQTNo.,SP_AcqTract_DB[[#This Row],[Acquisition Tract No.]])</f>
        <v>1</v>
      </c>
      <c r="AX43" s="111"/>
      <c r="AY43" s="1"/>
      <c r="AZ43" s="111"/>
      <c r="BA43" s="211"/>
      <c r="BE43" s="111"/>
      <c r="BF43" s="111"/>
      <c r="BG43" s="111"/>
      <c r="BH43" s="111"/>
      <c r="BI43" s="111"/>
      <c r="BJ43" s="111"/>
      <c r="BK43" s="111"/>
      <c r="BL43" s="111"/>
      <c r="BM43" s="111"/>
      <c r="BN43" s="213"/>
      <c r="BO43" s="111"/>
      <c r="BP43" s="111"/>
      <c r="BQ43" s="213"/>
      <c r="BR43" s="173"/>
      <c r="BS43" s="214"/>
      <c r="BV43" s="213"/>
      <c r="BW43" s="111"/>
      <c r="BX43" s="111"/>
      <c r="BY43" s="1"/>
      <c r="BZ43" s="111"/>
      <c r="CA43" s="111"/>
      <c r="CC43" s="111"/>
      <c r="CD43" s="111"/>
      <c r="CE43" s="111"/>
      <c r="CF43" s="215"/>
      <c r="CG43" s="211"/>
      <c r="CH43" s="215"/>
      <c r="CM43" s="111"/>
      <c r="CN43" s="111"/>
    </row>
    <row r="44" spans="1:92" ht="15" x14ac:dyDescent="0.2">
      <c r="A44" s="6" t="s">
        <v>50</v>
      </c>
      <c r="B44" s="12" t="s">
        <v>649</v>
      </c>
      <c r="C44" s="7" t="s">
        <v>1811</v>
      </c>
      <c r="D44" s="52" t="s">
        <v>4638</v>
      </c>
      <c r="E44" s="52" t="s">
        <v>4642</v>
      </c>
      <c r="F44" s="52" t="s">
        <v>1809</v>
      </c>
      <c r="G44" s="8" t="s">
        <v>181</v>
      </c>
      <c r="H44" s="8" t="s">
        <v>181</v>
      </c>
      <c r="I44" s="8" t="s">
        <v>181</v>
      </c>
      <c r="J44" s="8" t="s">
        <v>1816</v>
      </c>
      <c r="K44" s="8" t="s">
        <v>1817</v>
      </c>
      <c r="L44" s="8" t="s">
        <v>185</v>
      </c>
      <c r="M44" s="8" t="s">
        <v>81</v>
      </c>
      <c r="N44" s="8" t="s">
        <v>186</v>
      </c>
      <c r="O44" s="57">
        <v>43670</v>
      </c>
      <c r="P44" s="7"/>
      <c r="Q44" s="3"/>
      <c r="R44" s="16"/>
      <c r="S44" s="5">
        <v>0</v>
      </c>
      <c r="T44" s="4"/>
      <c r="U44" s="57"/>
      <c r="V44" s="8"/>
      <c r="W44" s="8"/>
      <c r="X44" s="8"/>
      <c r="Y44" s="8"/>
      <c r="Z44" s="8"/>
      <c r="AA44" s="7"/>
      <c r="AB44" s="7"/>
      <c r="AC44" s="8" t="s">
        <v>1332</v>
      </c>
      <c r="AD44" s="8" t="s">
        <v>4206</v>
      </c>
      <c r="AE44" s="26">
        <v>43991.512141203704</v>
      </c>
      <c r="AF44" s="8" t="s">
        <v>23</v>
      </c>
      <c r="AG44" s="26">
        <v>43682.623194444444</v>
      </c>
      <c r="AH44" s="1" t="s">
        <v>4655</v>
      </c>
      <c r="AI44" s="216">
        <v>30</v>
      </c>
      <c r="AJ44" s="216" t="s">
        <v>4939</v>
      </c>
      <c r="AK44" s="216" t="s">
        <v>3512</v>
      </c>
      <c r="AL44" s="216" t="s">
        <v>4869</v>
      </c>
      <c r="AM44" s="216" t="s">
        <v>4869</v>
      </c>
      <c r="AN44" s="216"/>
      <c r="AO44" s="230"/>
      <c r="AP44" s="230"/>
      <c r="AQ44" s="230"/>
      <c r="AR44" s="188" t="str">
        <f>IF(SP_AcqTract_DB[[#This Row],[Count '# in TaxID]]=1,LEFT(SP_AcqTract_DB[[#This Row],[WCAD Tax Parcel ID]],7),IF(SP_AcqTract_DB[[#This Row],[Count '# in TaxID]]=2,CONCATENATE(LEFT(SP_AcqTract_DB[[#This Row],[WCAD Tax Parcel ID]],7),";",MID(SP_AcqTract_DB[[#This Row],[WCAD Tax Parcel ID]],FIND("#",SP_AcqTract_DB[[#This Row],[WCAD Tax Parcel ID]],10)+1,7)),IF(SP_AcqTract_DB[[#This Row],[Count '# in TaxID]]&gt;2,CONCATENATE(LEFT(SP_AcqTract_DB[[#This Row],[WCAD Tax Parcel ID]],7),";",MID(SP_AcqTract_DB[[#This Row],[WCAD Tax Parcel ID]],FIND("#",SP_AcqTract_DB[[#This Row],[WCAD Tax Parcel ID]],10)+1,7),";",MID(SP_AcqTract_DB[[#This Row],[WCAD Tax Parcel ID]],FIND("#",SP_AcqTract_DB[[#This Row],[WCAD Tax Parcel ID]],23)+1,7)),"")))</f>
        <v>R022999</v>
      </c>
      <c r="AS44" s="54">
        <f>IF(SP_AcqTract_DB[[#This Row],[WCAD Tax Parcel ID]]="",0,(LEN(SP_AcqTract_DB[[#This Row],[WCAD Tax Parcel ID]])-LEN(SUBSTITUTE(SP_AcqTract_DB[[#This Row],[WCAD Tax Parcel ID]],"#",""))+1)/2)</f>
        <v>1</v>
      </c>
      <c r="AT44" s="190">
        <f>IF(SP_AcqTract_DB[[#This Row],[WCAD Tax Parcel ID]]="",0,COUNTIF(SP_TaxPar_DB[Acquisition Tract No.],SP_AcqTract_DB[[#This Row],[Acquisition Tract No.]]))</f>
        <v>1</v>
      </c>
      <c r="AU44" s="189">
        <f>COUNTIF(ACQStatus_ACQTNo.,SP_AcqTract_DB[[#This Row],[Acquisition Tract No.]])</f>
        <v>1</v>
      </c>
      <c r="AX44" s="111"/>
      <c r="AY44" s="1"/>
      <c r="AZ44" s="111"/>
      <c r="BA44" s="211"/>
      <c r="BE44" s="111"/>
      <c r="BF44" s="111"/>
      <c r="BG44" s="111"/>
      <c r="BH44" s="111"/>
      <c r="BI44" s="111"/>
      <c r="BJ44" s="111"/>
      <c r="BK44" s="111"/>
      <c r="BL44" s="111"/>
      <c r="BM44" s="111"/>
      <c r="BN44" s="213"/>
      <c r="BO44" s="111"/>
      <c r="BP44" s="111"/>
      <c r="BQ44" s="213"/>
      <c r="BR44" s="173"/>
      <c r="BS44" s="214"/>
      <c r="BV44" s="213"/>
      <c r="BW44" s="111"/>
      <c r="BX44" s="111"/>
      <c r="BY44" s="1"/>
      <c r="BZ44" s="111"/>
      <c r="CA44" s="111"/>
      <c r="CC44" s="111"/>
      <c r="CD44" s="111"/>
      <c r="CE44" s="111"/>
      <c r="CF44" s="215"/>
      <c r="CG44" s="211"/>
      <c r="CH44" s="215"/>
      <c r="CM44" s="111"/>
      <c r="CN44" s="111"/>
    </row>
    <row r="45" spans="1:92" ht="15" x14ac:dyDescent="0.2">
      <c r="A45" s="6" t="s">
        <v>51</v>
      </c>
      <c r="B45" s="12" t="s">
        <v>650</v>
      </c>
      <c r="C45" s="7" t="s">
        <v>1811</v>
      </c>
      <c r="D45" s="52" t="s">
        <v>1255</v>
      </c>
      <c r="E45" s="52" t="s">
        <v>5015</v>
      </c>
      <c r="F45" s="52" t="s">
        <v>80</v>
      </c>
      <c r="G45" s="8" t="s">
        <v>1687</v>
      </c>
      <c r="H45" s="8" t="s">
        <v>1687</v>
      </c>
      <c r="I45" s="8" t="s">
        <v>1687</v>
      </c>
      <c r="J45" s="8" t="s">
        <v>335</v>
      </c>
      <c r="K45" s="8" t="s">
        <v>1729</v>
      </c>
      <c r="L45" s="8" t="s">
        <v>187</v>
      </c>
      <c r="M45" s="8" t="s">
        <v>81</v>
      </c>
      <c r="N45" s="8" t="s">
        <v>188</v>
      </c>
      <c r="O45" s="57">
        <v>43670</v>
      </c>
      <c r="P45" s="7" t="s">
        <v>1299</v>
      </c>
      <c r="Q45" s="3" t="s">
        <v>5013</v>
      </c>
      <c r="R45" s="16">
        <v>43994</v>
      </c>
      <c r="S45" s="5">
        <v>1.044536271809E-2</v>
      </c>
      <c r="T45" s="4">
        <v>455</v>
      </c>
      <c r="U45" s="57"/>
      <c r="V45" s="8" t="s">
        <v>1726</v>
      </c>
      <c r="W45" s="8"/>
      <c r="X45" s="8"/>
      <c r="Y45" s="8"/>
      <c r="Z45" s="8"/>
      <c r="AA45" s="7"/>
      <c r="AB45" s="7" t="s">
        <v>29</v>
      </c>
      <c r="AC45" s="8" t="s">
        <v>1333</v>
      </c>
      <c r="AD45" s="8" t="s">
        <v>4206</v>
      </c>
      <c r="AE45" s="26">
        <v>43997.469004629631</v>
      </c>
      <c r="AF45" s="8" t="s">
        <v>23</v>
      </c>
      <c r="AG45" s="26">
        <v>43682.623194444444</v>
      </c>
      <c r="AH45" s="1" t="s">
        <v>67</v>
      </c>
      <c r="AI45" s="216">
        <v>31</v>
      </c>
      <c r="AJ45" s="216" t="s">
        <v>4939</v>
      </c>
      <c r="AK45" s="216" t="s">
        <v>3512</v>
      </c>
      <c r="AL45" s="216" t="s">
        <v>27</v>
      </c>
      <c r="AM45" s="216" t="s">
        <v>27</v>
      </c>
      <c r="AN45" s="216">
        <v>1</v>
      </c>
      <c r="AO45" s="230"/>
      <c r="AP45" s="230"/>
      <c r="AQ45" s="230"/>
      <c r="AR45" s="188" t="str">
        <f>IF(SP_AcqTract_DB[[#This Row],[Count '# in TaxID]]=1,LEFT(SP_AcqTract_DB[[#This Row],[WCAD Tax Parcel ID]],7),IF(SP_AcqTract_DB[[#This Row],[Count '# in TaxID]]=2,CONCATENATE(LEFT(SP_AcqTract_DB[[#This Row],[WCAD Tax Parcel ID]],7),";",MID(SP_AcqTract_DB[[#This Row],[WCAD Tax Parcel ID]],FIND("#",SP_AcqTract_DB[[#This Row],[WCAD Tax Parcel ID]],10)+1,7)),IF(SP_AcqTract_DB[[#This Row],[Count '# in TaxID]]&gt;2,CONCATENATE(LEFT(SP_AcqTract_DB[[#This Row],[WCAD Tax Parcel ID]],7),";",MID(SP_AcqTract_DB[[#This Row],[WCAD Tax Parcel ID]],FIND("#",SP_AcqTract_DB[[#This Row],[WCAD Tax Parcel ID]],10)+1,7),";",MID(SP_AcqTract_DB[[#This Row],[WCAD Tax Parcel ID]],FIND("#",SP_AcqTract_DB[[#This Row],[WCAD Tax Parcel ID]],23)+1,7)),"")))</f>
        <v>R023000</v>
      </c>
      <c r="AS45" s="54">
        <f>IF(SP_AcqTract_DB[[#This Row],[WCAD Tax Parcel ID]]="",0,(LEN(SP_AcqTract_DB[[#This Row],[WCAD Tax Parcel ID]])-LEN(SUBSTITUTE(SP_AcqTract_DB[[#This Row],[WCAD Tax Parcel ID]],"#",""))+1)/2)</f>
        <v>1</v>
      </c>
      <c r="AT45" s="190">
        <f>IF(SP_AcqTract_DB[[#This Row],[WCAD Tax Parcel ID]]="",0,COUNTIF(SP_TaxPar_DB[Acquisition Tract No.],SP_AcqTract_DB[[#This Row],[Acquisition Tract No.]]))</f>
        <v>1</v>
      </c>
      <c r="AU45" s="189">
        <f>COUNTIF(ACQStatus_ACQTNo.,SP_AcqTract_DB[[#This Row],[Acquisition Tract No.]])</f>
        <v>1</v>
      </c>
      <c r="AX45" s="111"/>
      <c r="AY45" s="1"/>
      <c r="AZ45" s="111"/>
      <c r="BA45" s="211"/>
      <c r="BE45" s="111"/>
      <c r="BF45" s="111"/>
      <c r="BG45" s="111"/>
      <c r="BH45" s="111"/>
      <c r="BI45" s="111"/>
      <c r="BJ45" s="111"/>
      <c r="BK45" s="111"/>
      <c r="BL45" s="111"/>
      <c r="BM45" s="111"/>
      <c r="BN45" s="213"/>
      <c r="BO45" s="111"/>
      <c r="BP45" s="111"/>
      <c r="BQ45" s="213"/>
      <c r="BR45" s="173"/>
      <c r="BS45" s="214"/>
      <c r="BV45" s="213"/>
      <c r="BW45" s="111"/>
      <c r="BX45" s="111"/>
      <c r="BY45" s="1"/>
      <c r="BZ45" s="111"/>
      <c r="CA45" s="111"/>
      <c r="CC45" s="111"/>
      <c r="CD45" s="111"/>
      <c r="CE45" s="111"/>
      <c r="CF45" s="215"/>
      <c r="CG45" s="211"/>
      <c r="CH45" s="215"/>
      <c r="CM45" s="111"/>
      <c r="CN45" s="111"/>
    </row>
    <row r="46" spans="1:92" ht="15" x14ac:dyDescent="0.2">
      <c r="A46" s="6" t="s">
        <v>52</v>
      </c>
      <c r="B46" s="12" t="s">
        <v>651</v>
      </c>
      <c r="C46" s="7" t="s">
        <v>1811</v>
      </c>
      <c r="D46" s="52" t="s">
        <v>1255</v>
      </c>
      <c r="E46" s="52" t="s">
        <v>5029</v>
      </c>
      <c r="F46" s="52" t="s">
        <v>1809</v>
      </c>
      <c r="G46" s="8" t="s">
        <v>5916</v>
      </c>
      <c r="H46" s="8"/>
      <c r="I46" s="8" t="s">
        <v>1688</v>
      </c>
      <c r="J46" s="8" t="s">
        <v>340</v>
      </c>
      <c r="K46" s="8" t="s">
        <v>1729</v>
      </c>
      <c r="L46" s="8" t="s">
        <v>189</v>
      </c>
      <c r="M46" s="8" t="s">
        <v>81</v>
      </c>
      <c r="N46" s="8" t="s">
        <v>190</v>
      </c>
      <c r="O46" s="57">
        <v>43670</v>
      </c>
      <c r="P46" s="7" t="s">
        <v>1299</v>
      </c>
      <c r="Q46" s="3" t="s">
        <v>4344</v>
      </c>
      <c r="R46" s="16">
        <v>43950</v>
      </c>
      <c r="S46" s="5">
        <v>0.2428145087236</v>
      </c>
      <c r="T46" s="4">
        <v>10577</v>
      </c>
      <c r="U46" s="57"/>
      <c r="V46" s="8" t="s">
        <v>1726</v>
      </c>
      <c r="W46" s="8"/>
      <c r="X46" s="8"/>
      <c r="Y46" s="8"/>
      <c r="Z46" s="8"/>
      <c r="AA46" s="7"/>
      <c r="AB46" s="7" t="s">
        <v>29</v>
      </c>
      <c r="AC46" s="8" t="s">
        <v>1334</v>
      </c>
      <c r="AD46" s="8" t="s">
        <v>4206</v>
      </c>
      <c r="AE46" s="26">
        <v>43997.673368055555</v>
      </c>
      <c r="AF46" s="8" t="s">
        <v>23</v>
      </c>
      <c r="AG46" s="26">
        <v>43682.623194444444</v>
      </c>
      <c r="AH46" s="1" t="s">
        <v>67</v>
      </c>
      <c r="AI46" s="216">
        <v>32</v>
      </c>
      <c r="AJ46" s="216" t="s">
        <v>4939</v>
      </c>
      <c r="AK46" s="216" t="s">
        <v>3512</v>
      </c>
      <c r="AL46" s="216" t="s">
        <v>27</v>
      </c>
      <c r="AM46" s="216" t="s">
        <v>27</v>
      </c>
      <c r="AN46" s="216">
        <v>3</v>
      </c>
      <c r="AO46" s="230">
        <v>43986</v>
      </c>
      <c r="AP46" s="230">
        <v>43997</v>
      </c>
      <c r="AQ46" s="230"/>
      <c r="AR46" s="188" t="str">
        <f>IF(SP_AcqTract_DB[[#This Row],[Count '# in TaxID]]=1,LEFT(SP_AcqTract_DB[[#This Row],[WCAD Tax Parcel ID]],7),IF(SP_AcqTract_DB[[#This Row],[Count '# in TaxID]]=2,CONCATENATE(LEFT(SP_AcqTract_DB[[#This Row],[WCAD Tax Parcel ID]],7),";",MID(SP_AcqTract_DB[[#This Row],[WCAD Tax Parcel ID]],FIND("#",SP_AcqTract_DB[[#This Row],[WCAD Tax Parcel ID]],10)+1,7)),IF(SP_AcqTract_DB[[#This Row],[Count '# in TaxID]]&gt;2,CONCATENATE(LEFT(SP_AcqTract_DB[[#This Row],[WCAD Tax Parcel ID]],7),";",MID(SP_AcqTract_DB[[#This Row],[WCAD Tax Parcel ID]],FIND("#",SP_AcqTract_DB[[#This Row],[WCAD Tax Parcel ID]],10)+1,7),";",MID(SP_AcqTract_DB[[#This Row],[WCAD Tax Parcel ID]],FIND("#",SP_AcqTract_DB[[#This Row],[WCAD Tax Parcel ID]],23)+1,7)),"")))</f>
        <v>R023001</v>
      </c>
      <c r="AS46" s="54">
        <f>IF(SP_AcqTract_DB[[#This Row],[WCAD Tax Parcel ID]]="",0,(LEN(SP_AcqTract_DB[[#This Row],[WCAD Tax Parcel ID]])-LEN(SUBSTITUTE(SP_AcqTract_DB[[#This Row],[WCAD Tax Parcel ID]],"#",""))+1)/2)</f>
        <v>1</v>
      </c>
      <c r="AT46" s="190">
        <f>IF(SP_AcqTract_DB[[#This Row],[WCAD Tax Parcel ID]]="",0,COUNTIF(SP_TaxPar_DB[Acquisition Tract No.],SP_AcqTract_DB[[#This Row],[Acquisition Tract No.]]))</f>
        <v>1</v>
      </c>
      <c r="AU46" s="189">
        <f>COUNTIF(ACQStatus_ACQTNo.,SP_AcqTract_DB[[#This Row],[Acquisition Tract No.]])</f>
        <v>1</v>
      </c>
      <c r="AX46" s="111"/>
      <c r="AY46" s="1"/>
      <c r="AZ46" s="111"/>
      <c r="BA46" s="211"/>
      <c r="BE46" s="111"/>
      <c r="BF46" s="111"/>
      <c r="BG46" s="111"/>
      <c r="BH46" s="111"/>
      <c r="BI46" s="111"/>
      <c r="BJ46" s="111"/>
      <c r="BK46" s="111"/>
      <c r="BL46" s="111"/>
      <c r="BM46" s="111"/>
      <c r="BN46" s="213"/>
      <c r="BO46" s="111"/>
      <c r="BP46" s="111"/>
      <c r="BQ46" s="213"/>
      <c r="BR46" s="173"/>
      <c r="BS46" s="214"/>
      <c r="BV46" s="213"/>
      <c r="BW46" s="111"/>
      <c r="BX46" s="111"/>
      <c r="BY46" s="1"/>
      <c r="BZ46" s="111"/>
      <c r="CA46" s="111"/>
      <c r="CC46" s="111"/>
      <c r="CD46" s="111"/>
      <c r="CE46" s="111"/>
      <c r="CF46" s="215"/>
      <c r="CG46" s="211"/>
      <c r="CH46" s="215"/>
      <c r="CM46" s="111"/>
      <c r="CN46" s="111"/>
    </row>
    <row r="47" spans="1:92" ht="15" x14ac:dyDescent="0.2">
      <c r="A47" s="23" t="s">
        <v>53</v>
      </c>
      <c r="B47" s="12" t="s">
        <v>653</v>
      </c>
      <c r="C47" s="7" t="s">
        <v>1811</v>
      </c>
      <c r="D47" s="52" t="s">
        <v>1255</v>
      </c>
      <c r="E47" s="52" t="s">
        <v>5025</v>
      </c>
      <c r="F47" s="52" t="s">
        <v>80</v>
      </c>
      <c r="G47" s="8" t="s">
        <v>191</v>
      </c>
      <c r="H47" s="8"/>
      <c r="I47" s="8"/>
      <c r="J47" s="8" t="s">
        <v>267</v>
      </c>
      <c r="K47" s="8" t="s">
        <v>1729</v>
      </c>
      <c r="L47" s="8" t="s">
        <v>192</v>
      </c>
      <c r="M47" s="8" t="s">
        <v>81</v>
      </c>
      <c r="N47" s="8" t="s">
        <v>193</v>
      </c>
      <c r="O47" s="57">
        <v>43670</v>
      </c>
      <c r="P47" s="7" t="s">
        <v>1665</v>
      </c>
      <c r="Q47" s="3" t="s">
        <v>5013</v>
      </c>
      <c r="R47" s="16">
        <v>43965</v>
      </c>
      <c r="S47" s="5">
        <v>0.19240128558310399</v>
      </c>
      <c r="T47" s="4">
        <v>8381</v>
      </c>
      <c r="U47" s="57">
        <v>43693</v>
      </c>
      <c r="V47" s="8" t="s">
        <v>1725</v>
      </c>
      <c r="W47" s="8"/>
      <c r="X47" s="8"/>
      <c r="Y47" s="8"/>
      <c r="Z47" s="8"/>
      <c r="AA47" s="7"/>
      <c r="AB47" s="7"/>
      <c r="AC47" s="8" t="s">
        <v>1335</v>
      </c>
      <c r="AD47" s="8" t="s">
        <v>4206</v>
      </c>
      <c r="AE47" s="26">
        <v>44006.429571759261</v>
      </c>
      <c r="AF47" s="8" t="s">
        <v>23</v>
      </c>
      <c r="AG47" s="26">
        <v>43682.623194444444</v>
      </c>
      <c r="AH47" s="1" t="s">
        <v>67</v>
      </c>
      <c r="AI47" s="216">
        <v>33</v>
      </c>
      <c r="AJ47" s="216" t="s">
        <v>4939</v>
      </c>
      <c r="AK47" s="216" t="s">
        <v>3512</v>
      </c>
      <c r="AL47" s="216" t="s">
        <v>27</v>
      </c>
      <c r="AM47" s="216" t="s">
        <v>27</v>
      </c>
      <c r="AN47" s="216">
        <v>1</v>
      </c>
      <c r="AO47" s="230">
        <v>44000</v>
      </c>
      <c r="AP47" s="230">
        <v>44006</v>
      </c>
      <c r="AQ47" s="230"/>
      <c r="AR47" s="188" t="str">
        <f>IF(SP_AcqTract_DB[[#This Row],[Count '# in TaxID]]=1,LEFT(SP_AcqTract_DB[[#This Row],[WCAD Tax Parcel ID]],7),IF(SP_AcqTract_DB[[#This Row],[Count '# in TaxID]]=2,CONCATENATE(LEFT(SP_AcqTract_DB[[#This Row],[WCAD Tax Parcel ID]],7),";",MID(SP_AcqTract_DB[[#This Row],[WCAD Tax Parcel ID]],FIND("#",SP_AcqTract_DB[[#This Row],[WCAD Tax Parcel ID]],10)+1,7)),IF(SP_AcqTract_DB[[#This Row],[Count '# in TaxID]]&gt;2,CONCATENATE(LEFT(SP_AcqTract_DB[[#This Row],[WCAD Tax Parcel ID]],7),";",MID(SP_AcqTract_DB[[#This Row],[WCAD Tax Parcel ID]],FIND("#",SP_AcqTract_DB[[#This Row],[WCAD Tax Parcel ID]],10)+1,7),";",MID(SP_AcqTract_DB[[#This Row],[WCAD Tax Parcel ID]],FIND("#",SP_AcqTract_DB[[#This Row],[WCAD Tax Parcel ID]],23)+1,7)),"")))</f>
        <v>R013048</v>
      </c>
      <c r="AS47" s="54">
        <f>IF(SP_AcqTract_DB[[#This Row],[WCAD Tax Parcel ID]]="",0,(LEN(SP_AcqTract_DB[[#This Row],[WCAD Tax Parcel ID]])-LEN(SUBSTITUTE(SP_AcqTract_DB[[#This Row],[WCAD Tax Parcel ID]],"#",""))+1)/2)</f>
        <v>1</v>
      </c>
      <c r="AT47" s="190">
        <f>IF(SP_AcqTract_DB[[#This Row],[WCAD Tax Parcel ID]]="",0,COUNTIF(SP_TaxPar_DB[Acquisition Tract No.],SP_AcqTract_DB[[#This Row],[Acquisition Tract No.]]))</f>
        <v>1</v>
      </c>
      <c r="AU47" s="189">
        <f>COUNTIF(ACQStatus_ACQTNo.,SP_AcqTract_DB[[#This Row],[Acquisition Tract No.]])</f>
        <v>1</v>
      </c>
      <c r="AX47" s="111"/>
      <c r="AY47" s="1"/>
      <c r="AZ47" s="111"/>
      <c r="BA47" s="211"/>
      <c r="BE47" s="111"/>
      <c r="BF47" s="111"/>
      <c r="BG47" s="111"/>
      <c r="BH47" s="111"/>
      <c r="BI47" s="111"/>
      <c r="BJ47" s="111"/>
      <c r="BK47" s="111"/>
      <c r="BL47" s="111"/>
      <c r="BM47" s="111"/>
      <c r="BN47" s="213"/>
      <c r="BO47" s="111"/>
      <c r="BP47" s="111"/>
      <c r="BQ47" s="213"/>
      <c r="BR47" s="173"/>
      <c r="BS47" s="214"/>
      <c r="BV47" s="213"/>
      <c r="BW47" s="111"/>
      <c r="BX47" s="111"/>
      <c r="BY47" s="1"/>
      <c r="BZ47" s="111"/>
      <c r="CA47" s="111"/>
      <c r="CC47" s="111"/>
      <c r="CD47" s="111"/>
      <c r="CE47" s="111"/>
      <c r="CF47" s="215"/>
      <c r="CG47" s="211"/>
      <c r="CH47" s="215"/>
      <c r="CM47" s="111"/>
      <c r="CN47" s="111"/>
    </row>
    <row r="48" spans="1:92" ht="15" x14ac:dyDescent="0.2">
      <c r="A48" s="47" t="s">
        <v>54</v>
      </c>
      <c r="B48" s="12" t="s">
        <v>654</v>
      </c>
      <c r="C48" s="7" t="s">
        <v>1811</v>
      </c>
      <c r="D48" s="52" t="s">
        <v>1255</v>
      </c>
      <c r="E48" s="52" t="s">
        <v>5025</v>
      </c>
      <c r="F48" s="52" t="s">
        <v>1809</v>
      </c>
      <c r="G48" s="8" t="s">
        <v>194</v>
      </c>
      <c r="H48" s="8"/>
      <c r="I48" s="8" t="s">
        <v>194</v>
      </c>
      <c r="J48" s="8" t="s">
        <v>195</v>
      </c>
      <c r="K48" s="8" t="s">
        <v>1352</v>
      </c>
      <c r="L48" s="8" t="s">
        <v>1689</v>
      </c>
      <c r="M48" s="8" t="s">
        <v>81</v>
      </c>
      <c r="N48" s="8" t="s">
        <v>198</v>
      </c>
      <c r="O48" s="57">
        <v>43670</v>
      </c>
      <c r="P48" s="7" t="s">
        <v>1299</v>
      </c>
      <c r="Q48" s="3" t="s">
        <v>4344</v>
      </c>
      <c r="R48" s="16">
        <v>43950</v>
      </c>
      <c r="S48" s="5">
        <v>0.34377869605142303</v>
      </c>
      <c r="T48" s="4">
        <v>14975</v>
      </c>
      <c r="U48" s="57"/>
      <c r="V48" s="8" t="s">
        <v>1726</v>
      </c>
      <c r="W48" s="8"/>
      <c r="X48" s="8"/>
      <c r="Y48" s="8" t="s">
        <v>1280</v>
      </c>
      <c r="Z48" s="8"/>
      <c r="AA48" s="7" t="s">
        <v>27</v>
      </c>
      <c r="AB48" s="7" t="s">
        <v>29</v>
      </c>
      <c r="AC48" s="8" t="s">
        <v>1336</v>
      </c>
      <c r="AD48" s="8" t="s">
        <v>4206</v>
      </c>
      <c r="AE48" s="26">
        <v>44013.314953703702</v>
      </c>
      <c r="AF48" s="8" t="s">
        <v>23</v>
      </c>
      <c r="AG48" s="26">
        <v>43682.623194444444</v>
      </c>
      <c r="AH48" s="1" t="s">
        <v>67</v>
      </c>
      <c r="AI48" s="216">
        <v>34</v>
      </c>
      <c r="AJ48" s="216" t="s">
        <v>4939</v>
      </c>
      <c r="AK48" s="216" t="s">
        <v>3512</v>
      </c>
      <c r="AL48" s="216" t="s">
        <v>27</v>
      </c>
      <c r="AM48" s="216" t="s">
        <v>27</v>
      </c>
      <c r="AN48" s="216">
        <v>1</v>
      </c>
      <c r="AO48" s="230">
        <v>43987</v>
      </c>
      <c r="AP48" s="230">
        <v>44012</v>
      </c>
      <c r="AQ48" s="230"/>
      <c r="AR48" s="188" t="str">
        <f>IF(SP_AcqTract_DB[[#This Row],[Count '# in TaxID]]=1,LEFT(SP_AcqTract_DB[[#This Row],[WCAD Tax Parcel ID]],7),IF(SP_AcqTract_DB[[#This Row],[Count '# in TaxID]]=2,CONCATENATE(LEFT(SP_AcqTract_DB[[#This Row],[WCAD Tax Parcel ID]],7),";",MID(SP_AcqTract_DB[[#This Row],[WCAD Tax Parcel ID]],FIND("#",SP_AcqTract_DB[[#This Row],[WCAD Tax Parcel ID]],10)+1,7)),IF(SP_AcqTract_DB[[#This Row],[Count '# in TaxID]]&gt;2,CONCATENATE(LEFT(SP_AcqTract_DB[[#This Row],[WCAD Tax Parcel ID]],7),";",MID(SP_AcqTract_DB[[#This Row],[WCAD Tax Parcel ID]],FIND("#",SP_AcqTract_DB[[#This Row],[WCAD Tax Parcel ID]],10)+1,7),";",MID(SP_AcqTract_DB[[#This Row],[WCAD Tax Parcel ID]],FIND("#",SP_AcqTract_DB[[#This Row],[WCAD Tax Parcel ID]],23)+1,7)),"")))</f>
        <v>R013043</v>
      </c>
      <c r="AS48" s="54">
        <f>IF(SP_AcqTract_DB[[#This Row],[WCAD Tax Parcel ID]]="",0,(LEN(SP_AcqTract_DB[[#This Row],[WCAD Tax Parcel ID]])-LEN(SUBSTITUTE(SP_AcqTract_DB[[#This Row],[WCAD Tax Parcel ID]],"#",""))+1)/2)</f>
        <v>1</v>
      </c>
      <c r="AT48" s="190">
        <f>IF(SP_AcqTract_DB[[#This Row],[WCAD Tax Parcel ID]]="",0,COUNTIF(SP_TaxPar_DB[Acquisition Tract No.],SP_AcqTract_DB[[#This Row],[Acquisition Tract No.]]))</f>
        <v>1</v>
      </c>
      <c r="AU48" s="189">
        <f>COUNTIF(ACQStatus_ACQTNo.,SP_AcqTract_DB[[#This Row],[Acquisition Tract No.]])</f>
        <v>1</v>
      </c>
      <c r="AX48" s="111"/>
      <c r="AY48" s="1"/>
      <c r="AZ48" s="111"/>
      <c r="BA48" s="211"/>
      <c r="BE48" s="111"/>
      <c r="BF48" s="111"/>
      <c r="BG48" s="111"/>
      <c r="BH48" s="111"/>
      <c r="BI48" s="111"/>
      <c r="BJ48" s="111"/>
      <c r="BK48" s="111"/>
      <c r="BL48" s="111"/>
      <c r="BM48" s="111"/>
      <c r="BN48" s="213"/>
      <c r="BO48" s="111"/>
      <c r="BP48" s="111"/>
      <c r="BQ48" s="213"/>
      <c r="BR48" s="173"/>
      <c r="BS48" s="214"/>
      <c r="BV48" s="213"/>
      <c r="BW48" s="111"/>
      <c r="BX48" s="111"/>
      <c r="BY48" s="1"/>
      <c r="BZ48" s="111"/>
      <c r="CA48" s="111"/>
      <c r="CC48" s="111"/>
      <c r="CD48" s="111"/>
      <c r="CE48" s="111"/>
      <c r="CF48" s="215"/>
      <c r="CG48" s="211"/>
      <c r="CH48" s="215"/>
      <c r="CM48" s="111"/>
      <c r="CN48" s="111"/>
    </row>
    <row r="49" spans="1:92" ht="15" x14ac:dyDescent="0.2">
      <c r="A49" s="47" t="s">
        <v>55</v>
      </c>
      <c r="B49" s="12" t="s">
        <v>655</v>
      </c>
      <c r="C49" s="7" t="s">
        <v>1811</v>
      </c>
      <c r="D49" s="52" t="s">
        <v>1255</v>
      </c>
      <c r="E49" s="52" t="s">
        <v>5025</v>
      </c>
      <c r="F49" s="52" t="s">
        <v>80</v>
      </c>
      <c r="G49" s="8" t="s">
        <v>1690</v>
      </c>
      <c r="H49" s="8"/>
      <c r="I49" s="8" t="s">
        <v>6734</v>
      </c>
      <c r="J49" s="8" t="s">
        <v>263</v>
      </c>
      <c r="K49" s="8" t="s">
        <v>1729</v>
      </c>
      <c r="L49" s="8" t="s">
        <v>200</v>
      </c>
      <c r="M49" s="8" t="s">
        <v>81</v>
      </c>
      <c r="N49" s="8" t="s">
        <v>201</v>
      </c>
      <c r="O49" s="57">
        <v>43670</v>
      </c>
      <c r="P49" s="7" t="s">
        <v>1665</v>
      </c>
      <c r="Q49" s="3" t="s">
        <v>5013</v>
      </c>
      <c r="R49" s="16">
        <v>43950</v>
      </c>
      <c r="S49" s="5">
        <v>9.6143250688705204E-2</v>
      </c>
      <c r="T49" s="4">
        <v>4188</v>
      </c>
      <c r="U49" s="57">
        <v>43693</v>
      </c>
      <c r="V49" s="8" t="s">
        <v>1725</v>
      </c>
      <c r="W49" s="8"/>
      <c r="X49" s="8"/>
      <c r="Y49" s="8"/>
      <c r="Z49" s="8"/>
      <c r="AA49" s="7"/>
      <c r="AB49" s="7" t="s">
        <v>4342</v>
      </c>
      <c r="AC49" s="8" t="s">
        <v>1337</v>
      </c>
      <c r="AD49" s="8" t="s">
        <v>4206</v>
      </c>
      <c r="AE49" s="26">
        <v>44025.541180555556</v>
      </c>
      <c r="AF49" s="8" t="s">
        <v>23</v>
      </c>
      <c r="AG49" s="26">
        <v>43682.623194444444</v>
      </c>
      <c r="AH49" s="1" t="s">
        <v>67</v>
      </c>
      <c r="AI49" s="216">
        <v>35</v>
      </c>
      <c r="AJ49" s="216" t="s">
        <v>4939</v>
      </c>
      <c r="AK49" s="216" t="s">
        <v>3512</v>
      </c>
      <c r="AL49" s="216" t="s">
        <v>27</v>
      </c>
      <c r="AM49" s="216" t="s">
        <v>27</v>
      </c>
      <c r="AN49" s="216">
        <v>1</v>
      </c>
      <c r="AO49" s="230">
        <v>44000</v>
      </c>
      <c r="AP49" s="230">
        <v>44006</v>
      </c>
      <c r="AQ49" s="230"/>
      <c r="AR49" s="188" t="str">
        <f>IF(SP_AcqTract_DB[[#This Row],[Count '# in TaxID]]=1,LEFT(SP_AcqTract_DB[[#This Row],[WCAD Tax Parcel ID]],7),IF(SP_AcqTract_DB[[#This Row],[Count '# in TaxID]]=2,CONCATENATE(LEFT(SP_AcqTract_DB[[#This Row],[WCAD Tax Parcel ID]],7),";",MID(SP_AcqTract_DB[[#This Row],[WCAD Tax Parcel ID]],FIND("#",SP_AcqTract_DB[[#This Row],[WCAD Tax Parcel ID]],10)+1,7)),IF(SP_AcqTract_DB[[#This Row],[Count '# in TaxID]]&gt;2,CONCATENATE(LEFT(SP_AcqTract_DB[[#This Row],[WCAD Tax Parcel ID]],7),";",MID(SP_AcqTract_DB[[#This Row],[WCAD Tax Parcel ID]],FIND("#",SP_AcqTract_DB[[#This Row],[WCAD Tax Parcel ID]],10)+1,7),";",MID(SP_AcqTract_DB[[#This Row],[WCAD Tax Parcel ID]],FIND("#",SP_AcqTract_DB[[#This Row],[WCAD Tax Parcel ID]],23)+1,7)),"")))</f>
        <v>R013047</v>
      </c>
      <c r="AS49" s="54">
        <f>IF(SP_AcqTract_DB[[#This Row],[WCAD Tax Parcel ID]]="",0,(LEN(SP_AcqTract_DB[[#This Row],[WCAD Tax Parcel ID]])-LEN(SUBSTITUTE(SP_AcqTract_DB[[#This Row],[WCAD Tax Parcel ID]],"#",""))+1)/2)</f>
        <v>1</v>
      </c>
      <c r="AT49" s="190">
        <f>IF(SP_AcqTract_DB[[#This Row],[WCAD Tax Parcel ID]]="",0,COUNTIF(SP_TaxPar_DB[Acquisition Tract No.],SP_AcqTract_DB[[#This Row],[Acquisition Tract No.]]))</f>
        <v>1</v>
      </c>
      <c r="AU49" s="189">
        <f>COUNTIF(ACQStatus_ACQTNo.,SP_AcqTract_DB[[#This Row],[Acquisition Tract No.]])</f>
        <v>1</v>
      </c>
      <c r="AX49" s="111"/>
      <c r="AY49" s="1"/>
      <c r="AZ49" s="111"/>
      <c r="BA49" s="211"/>
      <c r="BE49" s="111"/>
      <c r="BF49" s="111"/>
      <c r="BG49" s="111"/>
      <c r="BH49" s="111"/>
      <c r="BI49" s="111"/>
      <c r="BJ49" s="111"/>
      <c r="BK49" s="111"/>
      <c r="BL49" s="111"/>
      <c r="BM49" s="111"/>
      <c r="BN49" s="213"/>
      <c r="BO49" s="111"/>
      <c r="BP49" s="111"/>
      <c r="BQ49" s="213"/>
      <c r="BR49" s="173"/>
      <c r="BS49" s="214"/>
      <c r="BV49" s="213"/>
      <c r="BW49" s="111"/>
      <c r="BX49" s="111"/>
      <c r="BY49" s="1"/>
      <c r="BZ49" s="111"/>
      <c r="CA49" s="111"/>
      <c r="CC49" s="111"/>
      <c r="CD49" s="111"/>
      <c r="CE49" s="111"/>
      <c r="CF49" s="215"/>
      <c r="CG49" s="211"/>
      <c r="CH49" s="215"/>
      <c r="CM49" s="111"/>
      <c r="CN49" s="111"/>
    </row>
    <row r="50" spans="1:92" ht="15" x14ac:dyDescent="0.2">
      <c r="A50" s="47" t="s">
        <v>56</v>
      </c>
      <c r="B50" s="12" t="s">
        <v>656</v>
      </c>
      <c r="C50" s="7" t="s">
        <v>1811</v>
      </c>
      <c r="D50" s="52" t="s">
        <v>1255</v>
      </c>
      <c r="E50" s="52" t="s">
        <v>5021</v>
      </c>
      <c r="F50" s="52" t="s">
        <v>80</v>
      </c>
      <c r="G50" s="8" t="s">
        <v>1690</v>
      </c>
      <c r="H50" s="8"/>
      <c r="I50" s="8" t="s">
        <v>1691</v>
      </c>
      <c r="J50" s="8" t="s">
        <v>263</v>
      </c>
      <c r="K50" s="8" t="s">
        <v>1729</v>
      </c>
      <c r="L50" s="8" t="s">
        <v>202</v>
      </c>
      <c r="M50" s="8" t="s">
        <v>81</v>
      </c>
      <c r="N50" s="8" t="s">
        <v>201</v>
      </c>
      <c r="O50" s="57">
        <v>43670</v>
      </c>
      <c r="P50" s="7" t="s">
        <v>1665</v>
      </c>
      <c r="Q50" s="3" t="s">
        <v>5013</v>
      </c>
      <c r="R50" s="16">
        <v>43950</v>
      </c>
      <c r="S50" s="5">
        <v>0.28877410468319598</v>
      </c>
      <c r="T50" s="4">
        <v>12579</v>
      </c>
      <c r="U50" s="57">
        <v>43693</v>
      </c>
      <c r="V50" s="8" t="s">
        <v>1725</v>
      </c>
      <c r="W50" s="8"/>
      <c r="X50" s="8"/>
      <c r="Y50" s="8"/>
      <c r="Z50" s="8"/>
      <c r="AA50" s="7"/>
      <c r="AB50" s="7" t="s">
        <v>29</v>
      </c>
      <c r="AC50" s="8" t="s">
        <v>1338</v>
      </c>
      <c r="AD50" s="8" t="s">
        <v>4206</v>
      </c>
      <c r="AE50" s="26">
        <v>44021.589560185188</v>
      </c>
      <c r="AF50" s="8" t="s">
        <v>23</v>
      </c>
      <c r="AG50" s="26">
        <v>43682.623194444444</v>
      </c>
      <c r="AH50" s="1" t="s">
        <v>67</v>
      </c>
      <c r="AI50" s="216">
        <v>36</v>
      </c>
      <c r="AJ50" s="216" t="s">
        <v>4939</v>
      </c>
      <c r="AK50" s="216" t="s">
        <v>3512</v>
      </c>
      <c r="AL50" s="216" t="s">
        <v>27</v>
      </c>
      <c r="AM50" s="216" t="s">
        <v>27</v>
      </c>
      <c r="AN50" s="216">
        <v>2</v>
      </c>
      <c r="AO50" s="230"/>
      <c r="AP50" s="230">
        <v>44012</v>
      </c>
      <c r="AQ50" s="230">
        <v>44021</v>
      </c>
      <c r="AR50" s="188" t="str">
        <f>IF(SP_AcqTract_DB[[#This Row],[Count '# in TaxID]]=1,LEFT(SP_AcqTract_DB[[#This Row],[WCAD Tax Parcel ID]],7),IF(SP_AcqTract_DB[[#This Row],[Count '# in TaxID]]=2,CONCATENATE(LEFT(SP_AcqTract_DB[[#This Row],[WCAD Tax Parcel ID]],7),";",MID(SP_AcqTract_DB[[#This Row],[WCAD Tax Parcel ID]],FIND("#",SP_AcqTract_DB[[#This Row],[WCAD Tax Parcel ID]],10)+1,7)),IF(SP_AcqTract_DB[[#This Row],[Count '# in TaxID]]&gt;2,CONCATENATE(LEFT(SP_AcqTract_DB[[#This Row],[WCAD Tax Parcel ID]],7),";",MID(SP_AcqTract_DB[[#This Row],[WCAD Tax Parcel ID]],FIND("#",SP_AcqTract_DB[[#This Row],[WCAD Tax Parcel ID]],10)+1,7),";",MID(SP_AcqTract_DB[[#This Row],[WCAD Tax Parcel ID]],FIND("#",SP_AcqTract_DB[[#This Row],[WCAD Tax Parcel ID]],23)+1,7)),"")))</f>
        <v>R013049;R013050</v>
      </c>
      <c r="AS50" s="54">
        <f>IF(SP_AcqTract_DB[[#This Row],[WCAD Tax Parcel ID]]="",0,(LEN(SP_AcqTract_DB[[#This Row],[WCAD Tax Parcel ID]])-LEN(SUBSTITUTE(SP_AcqTract_DB[[#This Row],[WCAD Tax Parcel ID]],"#",""))+1)/2)</f>
        <v>2</v>
      </c>
      <c r="AT50" s="190">
        <f>IF(SP_AcqTract_DB[[#This Row],[WCAD Tax Parcel ID]]="",0,COUNTIF(SP_TaxPar_DB[Acquisition Tract No.],SP_AcqTract_DB[[#This Row],[Acquisition Tract No.]]))</f>
        <v>2</v>
      </c>
      <c r="AU50" s="189">
        <f>COUNTIF(ACQStatus_ACQTNo.,SP_AcqTract_DB[[#This Row],[Acquisition Tract No.]])</f>
        <v>1</v>
      </c>
      <c r="AX50" s="111"/>
      <c r="AY50" s="1"/>
      <c r="AZ50" s="111"/>
      <c r="BA50" s="211"/>
      <c r="BE50" s="111"/>
      <c r="BF50" s="111"/>
      <c r="BG50" s="111"/>
      <c r="BH50" s="111"/>
      <c r="BI50" s="111"/>
      <c r="BJ50" s="111"/>
      <c r="BK50" s="111"/>
      <c r="BL50" s="111"/>
      <c r="BM50" s="111"/>
      <c r="BN50" s="213"/>
      <c r="BO50" s="111"/>
      <c r="BP50" s="111"/>
      <c r="BQ50" s="213"/>
      <c r="BR50" s="173"/>
      <c r="BS50" s="214"/>
      <c r="BV50" s="213"/>
      <c r="BW50" s="111"/>
      <c r="BX50" s="111"/>
      <c r="BY50" s="1"/>
      <c r="BZ50" s="111"/>
      <c r="CA50" s="111"/>
      <c r="CC50" s="111"/>
      <c r="CD50" s="111"/>
      <c r="CE50" s="111"/>
      <c r="CF50" s="215"/>
      <c r="CG50" s="211"/>
      <c r="CH50" s="215"/>
      <c r="CM50" s="111"/>
      <c r="CN50" s="111"/>
    </row>
    <row r="51" spans="1:92" ht="15" x14ac:dyDescent="0.2">
      <c r="A51" s="47" t="s">
        <v>57</v>
      </c>
      <c r="B51" s="12" t="s">
        <v>657</v>
      </c>
      <c r="C51" s="7" t="s">
        <v>1811</v>
      </c>
      <c r="D51" s="52" t="s">
        <v>1255</v>
      </c>
      <c r="E51" s="52" t="s">
        <v>5021</v>
      </c>
      <c r="F51" s="52" t="s">
        <v>1809</v>
      </c>
      <c r="G51" s="8" t="s">
        <v>203</v>
      </c>
      <c r="H51" s="8"/>
      <c r="I51" s="8" t="s">
        <v>203</v>
      </c>
      <c r="J51" s="8" t="s">
        <v>1008</v>
      </c>
      <c r="K51" s="8" t="s">
        <v>1729</v>
      </c>
      <c r="L51" s="8" t="s">
        <v>200</v>
      </c>
      <c r="M51" s="8" t="s">
        <v>81</v>
      </c>
      <c r="N51" s="8" t="s">
        <v>204</v>
      </c>
      <c r="O51" s="57">
        <v>43670</v>
      </c>
      <c r="P51" s="7" t="s">
        <v>1665</v>
      </c>
      <c r="Q51" s="3" t="s">
        <v>5013</v>
      </c>
      <c r="R51" s="16">
        <v>43950</v>
      </c>
      <c r="S51" s="5">
        <v>0.19295224977043199</v>
      </c>
      <c r="T51" s="4">
        <v>8405</v>
      </c>
      <c r="U51" s="57">
        <v>43693</v>
      </c>
      <c r="V51" s="8" t="s">
        <v>1725</v>
      </c>
      <c r="W51" s="8"/>
      <c r="X51" s="8"/>
      <c r="Y51" s="8"/>
      <c r="Z51" s="8"/>
      <c r="AA51" s="7"/>
      <c r="AB51" s="7" t="s">
        <v>29</v>
      </c>
      <c r="AC51" s="8" t="s">
        <v>1339</v>
      </c>
      <c r="AD51" s="8" t="s">
        <v>4206</v>
      </c>
      <c r="AE51" s="26">
        <v>43994.552418981482</v>
      </c>
      <c r="AF51" s="8" t="s">
        <v>23</v>
      </c>
      <c r="AG51" s="26">
        <v>43682.623194444444</v>
      </c>
      <c r="AH51" s="1" t="s">
        <v>6058</v>
      </c>
      <c r="AI51" s="216">
        <v>37</v>
      </c>
      <c r="AJ51" s="216" t="s">
        <v>4939</v>
      </c>
      <c r="AK51" s="216" t="s">
        <v>3512</v>
      </c>
      <c r="AL51" s="216" t="s">
        <v>27</v>
      </c>
      <c r="AM51" s="216" t="s">
        <v>27</v>
      </c>
      <c r="AN51" s="216">
        <v>2</v>
      </c>
      <c r="AO51" s="230">
        <v>43984</v>
      </c>
      <c r="AP51" s="230"/>
      <c r="AQ51" s="230"/>
      <c r="AR51" s="188" t="str">
        <f>IF(SP_AcqTract_DB[[#This Row],[Count '# in TaxID]]=1,LEFT(SP_AcqTract_DB[[#This Row],[WCAD Tax Parcel ID]],7),IF(SP_AcqTract_DB[[#This Row],[Count '# in TaxID]]=2,CONCATENATE(LEFT(SP_AcqTract_DB[[#This Row],[WCAD Tax Parcel ID]],7),";",MID(SP_AcqTract_DB[[#This Row],[WCAD Tax Parcel ID]],FIND("#",SP_AcqTract_DB[[#This Row],[WCAD Tax Parcel ID]],10)+1,7)),IF(SP_AcqTract_DB[[#This Row],[Count '# in TaxID]]&gt;2,CONCATENATE(LEFT(SP_AcqTract_DB[[#This Row],[WCAD Tax Parcel ID]],7),";",MID(SP_AcqTract_DB[[#This Row],[WCAD Tax Parcel ID]],FIND("#",SP_AcqTract_DB[[#This Row],[WCAD Tax Parcel ID]],10)+1,7),";",MID(SP_AcqTract_DB[[#This Row],[WCAD Tax Parcel ID]],FIND("#",SP_AcqTract_DB[[#This Row],[WCAD Tax Parcel ID]],23)+1,7)),"")))</f>
        <v>R013045;R013046</v>
      </c>
      <c r="AS51" s="54">
        <f>IF(SP_AcqTract_DB[[#This Row],[WCAD Tax Parcel ID]]="",0,(LEN(SP_AcqTract_DB[[#This Row],[WCAD Tax Parcel ID]])-LEN(SUBSTITUTE(SP_AcqTract_DB[[#This Row],[WCAD Tax Parcel ID]],"#",""))+1)/2)</f>
        <v>2</v>
      </c>
      <c r="AT51" s="190">
        <f>IF(SP_AcqTract_DB[[#This Row],[WCAD Tax Parcel ID]]="",0,COUNTIF(SP_TaxPar_DB[Acquisition Tract No.],SP_AcqTract_DB[[#This Row],[Acquisition Tract No.]]))</f>
        <v>2</v>
      </c>
      <c r="AU51" s="189">
        <f>COUNTIF(ACQStatus_ACQTNo.,SP_AcqTract_DB[[#This Row],[Acquisition Tract No.]])</f>
        <v>1</v>
      </c>
      <c r="AX51" s="111"/>
      <c r="AY51" s="1"/>
      <c r="AZ51" s="111"/>
      <c r="BA51" s="211"/>
      <c r="BE51" s="111"/>
      <c r="BF51" s="111"/>
      <c r="BG51" s="111"/>
      <c r="BH51" s="111"/>
      <c r="BI51" s="111"/>
      <c r="BJ51" s="111"/>
      <c r="BK51" s="111"/>
      <c r="BL51" s="111"/>
      <c r="BM51" s="111"/>
      <c r="BN51" s="213"/>
      <c r="BO51" s="111"/>
      <c r="BP51" s="111"/>
      <c r="BQ51" s="213"/>
      <c r="BR51" s="173"/>
      <c r="BS51" s="214"/>
      <c r="BV51" s="213"/>
      <c r="BW51" s="111"/>
      <c r="BX51" s="111"/>
      <c r="BY51" s="1"/>
      <c r="BZ51" s="111"/>
      <c r="CA51" s="111"/>
      <c r="CC51" s="111"/>
      <c r="CD51" s="111"/>
      <c r="CE51" s="111"/>
      <c r="CF51" s="215"/>
      <c r="CG51" s="211"/>
      <c r="CH51" s="215"/>
      <c r="CM51" s="111"/>
      <c r="CN51" s="111"/>
    </row>
    <row r="52" spans="1:92" ht="15" x14ac:dyDescent="0.2">
      <c r="A52" s="47" t="s">
        <v>58</v>
      </c>
      <c r="B52" s="12" t="s">
        <v>658</v>
      </c>
      <c r="C52" s="7" t="s">
        <v>1811</v>
      </c>
      <c r="D52" s="52" t="s">
        <v>1255</v>
      </c>
      <c r="E52" s="52" t="s">
        <v>5021</v>
      </c>
      <c r="F52" s="52" t="s">
        <v>80</v>
      </c>
      <c r="G52" s="8" t="s">
        <v>4906</v>
      </c>
      <c r="H52" s="8"/>
      <c r="I52" s="8" t="s">
        <v>4907</v>
      </c>
      <c r="J52" s="8" t="s">
        <v>4728</v>
      </c>
      <c r="K52" s="8" t="s">
        <v>4738</v>
      </c>
      <c r="L52" s="8" t="s">
        <v>205</v>
      </c>
      <c r="M52" s="8" t="s">
        <v>81</v>
      </c>
      <c r="N52" s="8" t="s">
        <v>870</v>
      </c>
      <c r="O52" s="57">
        <v>43670</v>
      </c>
      <c r="P52" s="7" t="s">
        <v>1665</v>
      </c>
      <c r="Q52" s="3" t="s">
        <v>4344</v>
      </c>
      <c r="R52" s="16">
        <v>43958</v>
      </c>
      <c r="S52" s="5">
        <v>0.15720844811753901</v>
      </c>
      <c r="T52" s="4">
        <v>6848</v>
      </c>
      <c r="U52" s="57"/>
      <c r="V52" s="8" t="s">
        <v>1725</v>
      </c>
      <c r="W52" s="8"/>
      <c r="X52" s="8"/>
      <c r="Y52" s="8"/>
      <c r="Z52" s="8"/>
      <c r="AA52" s="7"/>
      <c r="AB52" s="7"/>
      <c r="AC52" s="8" t="s">
        <v>1340</v>
      </c>
      <c r="AD52" s="8" t="s">
        <v>4206</v>
      </c>
      <c r="AE52" s="26">
        <v>44018.565057870372</v>
      </c>
      <c r="AF52" s="8" t="s">
        <v>23</v>
      </c>
      <c r="AG52" s="26">
        <v>43682.623194444444</v>
      </c>
      <c r="AH52" s="1" t="s">
        <v>67</v>
      </c>
      <c r="AI52" s="216">
        <v>38</v>
      </c>
      <c r="AJ52" s="216" t="s">
        <v>4939</v>
      </c>
      <c r="AK52" s="216" t="s">
        <v>3512</v>
      </c>
      <c r="AL52" s="216" t="s">
        <v>27</v>
      </c>
      <c r="AM52" s="216" t="s">
        <v>27</v>
      </c>
      <c r="AN52" s="216">
        <v>2</v>
      </c>
      <c r="AO52" s="230">
        <v>43984</v>
      </c>
      <c r="AP52" s="230">
        <v>44012</v>
      </c>
      <c r="AQ52" s="230"/>
      <c r="AR52" s="188" t="str">
        <f>IF(SP_AcqTract_DB[[#This Row],[Count '# in TaxID]]=1,LEFT(SP_AcqTract_DB[[#This Row],[WCAD Tax Parcel ID]],7),IF(SP_AcqTract_DB[[#This Row],[Count '# in TaxID]]=2,CONCATENATE(LEFT(SP_AcqTract_DB[[#This Row],[WCAD Tax Parcel ID]],7),";",MID(SP_AcqTract_DB[[#This Row],[WCAD Tax Parcel ID]],FIND("#",SP_AcqTract_DB[[#This Row],[WCAD Tax Parcel ID]],10)+1,7)),IF(SP_AcqTract_DB[[#This Row],[Count '# in TaxID]]&gt;2,CONCATENATE(LEFT(SP_AcqTract_DB[[#This Row],[WCAD Tax Parcel ID]],7),";",MID(SP_AcqTract_DB[[#This Row],[WCAD Tax Parcel ID]],FIND("#",SP_AcqTract_DB[[#This Row],[WCAD Tax Parcel ID]],10)+1,7),";",MID(SP_AcqTract_DB[[#This Row],[WCAD Tax Parcel ID]],FIND("#",SP_AcqTract_DB[[#This Row],[WCAD Tax Parcel ID]],23)+1,7)),"")))</f>
        <v>R013044</v>
      </c>
      <c r="AS52" s="54">
        <f>IF(SP_AcqTract_DB[[#This Row],[WCAD Tax Parcel ID]]="",0,(LEN(SP_AcqTract_DB[[#This Row],[WCAD Tax Parcel ID]])-LEN(SUBSTITUTE(SP_AcqTract_DB[[#This Row],[WCAD Tax Parcel ID]],"#",""))+1)/2)</f>
        <v>1</v>
      </c>
      <c r="AT52" s="190">
        <f>IF(SP_AcqTract_DB[[#This Row],[WCAD Tax Parcel ID]]="",0,COUNTIF(SP_TaxPar_DB[Acquisition Tract No.],SP_AcqTract_DB[[#This Row],[Acquisition Tract No.]]))</f>
        <v>1</v>
      </c>
      <c r="AU52" s="189">
        <f>COUNTIF(ACQStatus_ACQTNo.,SP_AcqTract_DB[[#This Row],[Acquisition Tract No.]])</f>
        <v>1</v>
      </c>
      <c r="AX52" s="111"/>
      <c r="AY52" s="1"/>
      <c r="AZ52" s="111"/>
      <c r="BA52" s="211"/>
      <c r="BE52" s="111"/>
      <c r="BF52" s="111"/>
      <c r="BG52" s="111"/>
      <c r="BH52" s="111"/>
      <c r="BI52" s="111"/>
      <c r="BJ52" s="111"/>
      <c r="BK52" s="111"/>
      <c r="BL52" s="111"/>
      <c r="BM52" s="111"/>
      <c r="BN52" s="213"/>
      <c r="BO52" s="111"/>
      <c r="BP52" s="111"/>
      <c r="BQ52" s="213"/>
      <c r="BR52" s="173"/>
      <c r="BS52" s="214"/>
      <c r="BV52" s="213"/>
      <c r="BW52" s="111"/>
      <c r="BX52" s="111"/>
      <c r="BY52" s="1"/>
      <c r="BZ52" s="111"/>
      <c r="CA52" s="111"/>
      <c r="CC52" s="111"/>
      <c r="CD52" s="111"/>
      <c r="CE52" s="111"/>
      <c r="CF52" s="215"/>
      <c r="CG52" s="211"/>
      <c r="CH52" s="215"/>
      <c r="CM52" s="111"/>
      <c r="CN52" s="111"/>
    </row>
    <row r="53" spans="1:92" ht="15" x14ac:dyDescent="0.2">
      <c r="A53" s="6" t="s">
        <v>59</v>
      </c>
      <c r="B53" s="179" t="s">
        <v>659</v>
      </c>
      <c r="C53" s="7" t="s">
        <v>1811</v>
      </c>
      <c r="D53" s="52" t="s">
        <v>1255</v>
      </c>
      <c r="E53" s="52" t="s">
        <v>5020</v>
      </c>
      <c r="F53" s="52" t="s">
        <v>80</v>
      </c>
      <c r="G53" s="8" t="s">
        <v>206</v>
      </c>
      <c r="H53" s="8"/>
      <c r="I53" s="8"/>
      <c r="J53" s="8" t="s">
        <v>205</v>
      </c>
      <c r="K53" s="8" t="s">
        <v>1814</v>
      </c>
      <c r="L53" s="8" t="s">
        <v>209</v>
      </c>
      <c r="M53" s="8" t="s">
        <v>81</v>
      </c>
      <c r="N53" s="8" t="s">
        <v>210</v>
      </c>
      <c r="O53" s="57">
        <v>43670</v>
      </c>
      <c r="P53" s="7" t="s">
        <v>1711</v>
      </c>
      <c r="Q53" s="3" t="s">
        <v>4344</v>
      </c>
      <c r="R53" s="16">
        <v>43958</v>
      </c>
      <c r="S53" s="5">
        <v>0.26820477502295698</v>
      </c>
      <c r="T53" s="4">
        <v>11683</v>
      </c>
      <c r="U53" s="57">
        <v>43718</v>
      </c>
      <c r="V53" s="8" t="s">
        <v>1727</v>
      </c>
      <c r="W53" s="8"/>
      <c r="X53" s="8"/>
      <c r="Y53" s="8"/>
      <c r="Z53" s="8"/>
      <c r="AA53" s="7"/>
      <c r="AB53" s="7" t="s">
        <v>29</v>
      </c>
      <c r="AC53" s="8" t="s">
        <v>1341</v>
      </c>
      <c r="AD53" s="8" t="s">
        <v>4206</v>
      </c>
      <c r="AE53" s="26">
        <v>43997.470312500001</v>
      </c>
      <c r="AF53" s="8" t="s">
        <v>23</v>
      </c>
      <c r="AG53" s="26">
        <v>43682.623194444444</v>
      </c>
      <c r="AH53" s="1" t="s">
        <v>67</v>
      </c>
      <c r="AI53" s="216">
        <v>39</v>
      </c>
      <c r="AJ53" s="216" t="s">
        <v>4939</v>
      </c>
      <c r="AK53" s="216" t="s">
        <v>3512</v>
      </c>
      <c r="AL53" s="216" t="s">
        <v>27</v>
      </c>
      <c r="AM53" s="216" t="s">
        <v>27</v>
      </c>
      <c r="AN53" s="216">
        <v>1</v>
      </c>
      <c r="AO53" s="230">
        <v>43983</v>
      </c>
      <c r="AP53" s="230">
        <v>43991</v>
      </c>
      <c r="AQ53" s="230"/>
      <c r="AR53" s="188" t="str">
        <f>IF(SP_AcqTract_DB[[#This Row],[Count '# in TaxID]]=1,LEFT(SP_AcqTract_DB[[#This Row],[WCAD Tax Parcel ID]],7),IF(SP_AcqTract_DB[[#This Row],[Count '# in TaxID]]=2,CONCATENATE(LEFT(SP_AcqTract_DB[[#This Row],[WCAD Tax Parcel ID]],7),";",MID(SP_AcqTract_DB[[#This Row],[WCAD Tax Parcel ID]],FIND("#",SP_AcqTract_DB[[#This Row],[WCAD Tax Parcel ID]],10)+1,7)),IF(SP_AcqTract_DB[[#This Row],[Count '# in TaxID]]&gt;2,CONCATENATE(LEFT(SP_AcqTract_DB[[#This Row],[WCAD Tax Parcel ID]],7),";",MID(SP_AcqTract_DB[[#This Row],[WCAD Tax Parcel ID]],FIND("#",SP_AcqTract_DB[[#This Row],[WCAD Tax Parcel ID]],10)+1,7),";",MID(SP_AcqTract_DB[[#This Row],[WCAD Tax Parcel ID]],FIND("#",SP_AcqTract_DB[[#This Row],[WCAD Tax Parcel ID]],23)+1,7)),"")))</f>
        <v>R026687</v>
      </c>
      <c r="AS53" s="54">
        <f>IF(SP_AcqTract_DB[[#This Row],[WCAD Tax Parcel ID]]="",0,(LEN(SP_AcqTract_DB[[#This Row],[WCAD Tax Parcel ID]])-LEN(SUBSTITUTE(SP_AcqTract_DB[[#This Row],[WCAD Tax Parcel ID]],"#",""))+1)/2)</f>
        <v>1</v>
      </c>
      <c r="AT53" s="190">
        <f>IF(SP_AcqTract_DB[[#This Row],[WCAD Tax Parcel ID]]="",0,COUNTIF(SP_TaxPar_DB[Acquisition Tract No.],SP_AcqTract_DB[[#This Row],[Acquisition Tract No.]]))</f>
        <v>1</v>
      </c>
      <c r="AU53" s="189">
        <f>COUNTIF(ACQStatus_ACQTNo.,SP_AcqTract_DB[[#This Row],[Acquisition Tract No.]])</f>
        <v>1</v>
      </c>
      <c r="AX53" s="111"/>
      <c r="AY53" s="1"/>
      <c r="AZ53" s="111"/>
      <c r="BA53" s="211"/>
      <c r="BE53" s="111"/>
      <c r="BF53" s="111"/>
      <c r="BG53" s="111"/>
      <c r="BH53" s="111"/>
      <c r="BI53" s="111"/>
      <c r="BJ53" s="111"/>
      <c r="BK53" s="111"/>
      <c r="BL53" s="111"/>
      <c r="BM53" s="111"/>
      <c r="BN53" s="213"/>
      <c r="BO53" s="111"/>
      <c r="BP53" s="111"/>
      <c r="BQ53" s="213"/>
      <c r="BR53" s="173"/>
      <c r="BS53" s="214"/>
      <c r="BV53" s="213"/>
      <c r="BW53" s="111"/>
      <c r="BX53" s="111"/>
      <c r="BY53" s="1"/>
      <c r="BZ53" s="111"/>
      <c r="CA53" s="111"/>
      <c r="CC53" s="111"/>
      <c r="CD53" s="111"/>
      <c r="CE53" s="111"/>
      <c r="CF53" s="215"/>
      <c r="CG53" s="211"/>
      <c r="CH53" s="215"/>
      <c r="CM53" s="111"/>
      <c r="CN53" s="111"/>
    </row>
    <row r="54" spans="1:92" ht="15" x14ac:dyDescent="0.2">
      <c r="A54" s="185" t="s">
        <v>60</v>
      </c>
      <c r="B54" s="179" t="s">
        <v>1010</v>
      </c>
      <c r="C54" s="7" t="s">
        <v>1811</v>
      </c>
      <c r="D54" s="52" t="s">
        <v>1255</v>
      </c>
      <c r="E54" s="52" t="s">
        <v>5021</v>
      </c>
      <c r="F54" s="52" t="s">
        <v>80</v>
      </c>
      <c r="G54" s="8" t="s">
        <v>211</v>
      </c>
      <c r="H54" s="8"/>
      <c r="I54" s="8" t="s">
        <v>175</v>
      </c>
      <c r="J54" s="8" t="s">
        <v>176</v>
      </c>
      <c r="K54" s="8" t="s">
        <v>1373</v>
      </c>
      <c r="L54" s="8" t="s">
        <v>212</v>
      </c>
      <c r="M54" s="8" t="s">
        <v>81</v>
      </c>
      <c r="N54" s="8" t="s">
        <v>177</v>
      </c>
      <c r="O54" s="57">
        <v>43670</v>
      </c>
      <c r="P54" s="7" t="s">
        <v>1665</v>
      </c>
      <c r="Q54" s="3" t="s">
        <v>5013</v>
      </c>
      <c r="R54" s="16">
        <v>43994</v>
      </c>
      <c r="S54" s="5">
        <v>2.81668962350781</v>
      </c>
      <c r="T54" s="4">
        <v>122695</v>
      </c>
      <c r="U54" s="57">
        <v>43693</v>
      </c>
      <c r="V54" s="8" t="s">
        <v>1725</v>
      </c>
      <c r="W54" s="8"/>
      <c r="X54" s="8"/>
      <c r="Y54" s="8" t="s">
        <v>1741</v>
      </c>
      <c r="Z54" s="8" t="s">
        <v>1278</v>
      </c>
      <c r="AA54" s="7"/>
      <c r="AB54" s="7"/>
      <c r="AC54" s="8" t="s">
        <v>1342</v>
      </c>
      <c r="AD54" s="8" t="s">
        <v>4206</v>
      </c>
      <c r="AE54" s="26">
        <v>43997.470729166664</v>
      </c>
      <c r="AF54" s="8" t="s">
        <v>23</v>
      </c>
      <c r="AG54" s="26">
        <v>43682.623194444444</v>
      </c>
      <c r="AH54" s="1" t="s">
        <v>67</v>
      </c>
      <c r="AI54" s="216">
        <v>40</v>
      </c>
      <c r="AJ54" s="216" t="s">
        <v>4939</v>
      </c>
      <c r="AK54" s="216" t="s">
        <v>3512</v>
      </c>
      <c r="AL54" s="216" t="s">
        <v>27</v>
      </c>
      <c r="AM54" s="216" t="s">
        <v>27</v>
      </c>
      <c r="AN54" s="216">
        <v>2</v>
      </c>
      <c r="AO54" s="230"/>
      <c r="AP54" s="230"/>
      <c r="AQ54" s="230"/>
      <c r="AR54" s="188" t="str">
        <f>IF(SP_AcqTract_DB[[#This Row],[Count '# in TaxID]]=1,LEFT(SP_AcqTract_DB[[#This Row],[WCAD Tax Parcel ID]],7),IF(SP_AcqTract_DB[[#This Row],[Count '# in TaxID]]=2,CONCATENATE(LEFT(SP_AcqTract_DB[[#This Row],[WCAD Tax Parcel ID]],7),";",MID(SP_AcqTract_DB[[#This Row],[WCAD Tax Parcel ID]],FIND("#",SP_AcqTract_DB[[#This Row],[WCAD Tax Parcel ID]],10)+1,7)),IF(SP_AcqTract_DB[[#This Row],[Count '# in TaxID]]&gt;2,CONCATENATE(LEFT(SP_AcqTract_DB[[#This Row],[WCAD Tax Parcel ID]],7),";",MID(SP_AcqTract_DB[[#This Row],[WCAD Tax Parcel ID]],FIND("#",SP_AcqTract_DB[[#This Row],[WCAD Tax Parcel ID]],10)+1,7),";",MID(SP_AcqTract_DB[[#This Row],[WCAD Tax Parcel ID]],FIND("#",SP_AcqTract_DB[[#This Row],[WCAD Tax Parcel ID]],23)+1,7)),"")))</f>
        <v>R026685;R026691;R071959</v>
      </c>
      <c r="AS54" s="54">
        <f>IF(SP_AcqTract_DB[[#This Row],[WCAD Tax Parcel ID]]="",0,(LEN(SP_AcqTract_DB[[#This Row],[WCAD Tax Parcel ID]])-LEN(SUBSTITUTE(SP_AcqTract_DB[[#This Row],[WCAD Tax Parcel ID]],"#",""))+1)/2)</f>
        <v>3</v>
      </c>
      <c r="AT54" s="190">
        <f>IF(SP_AcqTract_DB[[#This Row],[WCAD Tax Parcel ID]]="",0,COUNTIF(SP_TaxPar_DB[Acquisition Tract No.],SP_AcqTract_DB[[#This Row],[Acquisition Tract No.]]))</f>
        <v>3</v>
      </c>
      <c r="AU54" s="189">
        <f>COUNTIF(ACQStatus_ACQTNo.,SP_AcqTract_DB[[#This Row],[Acquisition Tract No.]])</f>
        <v>1</v>
      </c>
      <c r="AX54" s="111"/>
      <c r="AY54" s="1"/>
      <c r="AZ54" s="111"/>
      <c r="BA54" s="211"/>
      <c r="BE54" s="111"/>
      <c r="BF54" s="111"/>
      <c r="BG54" s="111"/>
      <c r="BH54" s="111"/>
      <c r="BI54" s="111"/>
      <c r="BJ54" s="111"/>
      <c r="BK54" s="111"/>
      <c r="BL54" s="111"/>
      <c r="BM54" s="111"/>
      <c r="BN54" s="213"/>
      <c r="BO54" s="111"/>
      <c r="BP54" s="111"/>
      <c r="BQ54" s="213"/>
      <c r="BR54" s="173"/>
      <c r="BS54" s="214"/>
      <c r="BV54" s="213"/>
      <c r="BW54" s="111"/>
      <c r="BX54" s="111"/>
      <c r="BY54" s="1"/>
      <c r="BZ54" s="111"/>
      <c r="CA54" s="111"/>
      <c r="CC54" s="111"/>
      <c r="CD54" s="111"/>
      <c r="CE54" s="111"/>
      <c r="CF54" s="215"/>
      <c r="CG54" s="211"/>
      <c r="CH54" s="215"/>
      <c r="CM54" s="111"/>
      <c r="CN54" s="111"/>
    </row>
    <row r="55" spans="1:92" ht="15" x14ac:dyDescent="0.2">
      <c r="A55" s="185" t="s">
        <v>61</v>
      </c>
      <c r="B55" s="179" t="s">
        <v>660</v>
      </c>
      <c r="C55" s="7" t="s">
        <v>1811</v>
      </c>
      <c r="D55" s="52" t="s">
        <v>1255</v>
      </c>
      <c r="E55" s="52" t="s">
        <v>5021</v>
      </c>
      <c r="F55" s="52" t="s">
        <v>1809</v>
      </c>
      <c r="G55" s="8" t="s">
        <v>213</v>
      </c>
      <c r="H55" s="8"/>
      <c r="I55" s="8" t="s">
        <v>213</v>
      </c>
      <c r="J55" s="8" t="s">
        <v>214</v>
      </c>
      <c r="K55" s="8" t="s">
        <v>1354</v>
      </c>
      <c r="L55" s="8" t="s">
        <v>216</v>
      </c>
      <c r="M55" s="8" t="s">
        <v>81</v>
      </c>
      <c r="N55" s="8" t="s">
        <v>217</v>
      </c>
      <c r="O55" s="57">
        <v>43670</v>
      </c>
      <c r="P55" s="7" t="s">
        <v>1665</v>
      </c>
      <c r="Q55" s="3" t="s">
        <v>5013</v>
      </c>
      <c r="R55" s="16">
        <v>43994</v>
      </c>
      <c r="S55" s="5">
        <v>1.0549816345270899</v>
      </c>
      <c r="T55" s="4">
        <v>45955</v>
      </c>
      <c r="U55" s="57">
        <v>43693</v>
      </c>
      <c r="V55" s="8" t="s">
        <v>1725</v>
      </c>
      <c r="W55" s="8"/>
      <c r="X55" s="8"/>
      <c r="Y55" s="8" t="s">
        <v>1741</v>
      </c>
      <c r="Z55" s="8" t="s">
        <v>1278</v>
      </c>
      <c r="AA55" s="7"/>
      <c r="AB55" s="7" t="s">
        <v>4343</v>
      </c>
      <c r="AC55" s="8" t="s">
        <v>1343</v>
      </c>
      <c r="AD55" s="8" t="s">
        <v>4206</v>
      </c>
      <c r="AE55" s="26">
        <v>44019.411736111113</v>
      </c>
      <c r="AF55" s="8" t="s">
        <v>23</v>
      </c>
      <c r="AG55" s="26">
        <v>43682.623194444444</v>
      </c>
      <c r="AH55" s="1" t="s">
        <v>67</v>
      </c>
      <c r="AI55" s="216">
        <v>41</v>
      </c>
      <c r="AJ55" s="216" t="s">
        <v>4939</v>
      </c>
      <c r="AK55" s="216" t="s">
        <v>3512</v>
      </c>
      <c r="AL55" s="216" t="s">
        <v>27</v>
      </c>
      <c r="AM55" s="216" t="s">
        <v>27</v>
      </c>
      <c r="AN55" s="216">
        <v>2</v>
      </c>
      <c r="AO55" s="230"/>
      <c r="AP55" s="230"/>
      <c r="AQ55" s="230"/>
      <c r="AR55" s="188" t="str">
        <f>IF(SP_AcqTract_DB[[#This Row],[Count '# in TaxID]]=1,LEFT(SP_AcqTract_DB[[#This Row],[WCAD Tax Parcel ID]],7),IF(SP_AcqTract_DB[[#This Row],[Count '# in TaxID]]=2,CONCATENATE(LEFT(SP_AcqTract_DB[[#This Row],[WCAD Tax Parcel ID]],7),";",MID(SP_AcqTract_DB[[#This Row],[WCAD Tax Parcel ID]],FIND("#",SP_AcqTract_DB[[#This Row],[WCAD Tax Parcel ID]],10)+1,7)),IF(SP_AcqTract_DB[[#This Row],[Count '# in TaxID]]&gt;2,CONCATENATE(LEFT(SP_AcqTract_DB[[#This Row],[WCAD Tax Parcel ID]],7),";",MID(SP_AcqTract_DB[[#This Row],[WCAD Tax Parcel ID]],FIND("#",SP_AcqTract_DB[[#This Row],[WCAD Tax Parcel ID]],10)+1,7),";",MID(SP_AcqTract_DB[[#This Row],[WCAD Tax Parcel ID]],FIND("#",SP_AcqTract_DB[[#This Row],[WCAD Tax Parcel ID]],23)+1,7)),"")))</f>
        <v>R026694</v>
      </c>
      <c r="AS55" s="54">
        <f>IF(SP_AcqTract_DB[[#This Row],[WCAD Tax Parcel ID]]="",0,(LEN(SP_AcqTract_DB[[#This Row],[WCAD Tax Parcel ID]])-LEN(SUBSTITUTE(SP_AcqTract_DB[[#This Row],[WCAD Tax Parcel ID]],"#",""))+1)/2)</f>
        <v>1</v>
      </c>
      <c r="AT55" s="190">
        <f>IF(SP_AcqTract_DB[[#This Row],[WCAD Tax Parcel ID]]="",0,COUNTIF(SP_TaxPar_DB[Acquisition Tract No.],SP_AcqTract_DB[[#This Row],[Acquisition Tract No.]]))</f>
        <v>1</v>
      </c>
      <c r="AU55" s="189">
        <f>COUNTIF(ACQStatus_ACQTNo.,SP_AcqTract_DB[[#This Row],[Acquisition Tract No.]])</f>
        <v>1</v>
      </c>
      <c r="AX55" s="111"/>
      <c r="AY55" s="1"/>
      <c r="AZ55" s="111"/>
      <c r="BA55" s="211"/>
      <c r="BE55" s="111"/>
      <c r="BF55" s="111"/>
      <c r="BG55" s="111"/>
      <c r="BH55" s="111"/>
      <c r="BI55" s="111"/>
      <c r="BJ55" s="111"/>
      <c r="BK55" s="111"/>
      <c r="BL55" s="111"/>
      <c r="BM55" s="111"/>
      <c r="BN55" s="213"/>
      <c r="BO55" s="111"/>
      <c r="BP55" s="111"/>
      <c r="BQ55" s="213"/>
      <c r="BR55" s="173"/>
      <c r="BS55" s="214"/>
      <c r="BV55" s="213"/>
      <c r="BW55" s="111"/>
      <c r="BX55" s="111"/>
      <c r="BY55" s="1"/>
      <c r="BZ55" s="111"/>
      <c r="CA55" s="111"/>
      <c r="CC55" s="111"/>
      <c r="CD55" s="111"/>
      <c r="CE55" s="111"/>
      <c r="CF55" s="215"/>
      <c r="CG55" s="211"/>
      <c r="CH55" s="215"/>
      <c r="CM55" s="111"/>
      <c r="CN55" s="111"/>
    </row>
    <row r="56" spans="1:92" ht="15" x14ac:dyDescent="0.2">
      <c r="A56" s="185" t="s">
        <v>62</v>
      </c>
      <c r="B56" s="179" t="s">
        <v>663</v>
      </c>
      <c r="C56" s="7" t="s">
        <v>1811</v>
      </c>
      <c r="D56" s="52" t="s">
        <v>1255</v>
      </c>
      <c r="E56" s="52" t="s">
        <v>5021</v>
      </c>
      <c r="F56" s="52" t="s">
        <v>1809</v>
      </c>
      <c r="G56" s="8" t="s">
        <v>218</v>
      </c>
      <c r="H56" s="8"/>
      <c r="I56" s="8" t="s">
        <v>1692</v>
      </c>
      <c r="J56" s="8" t="s">
        <v>220</v>
      </c>
      <c r="K56" s="8"/>
      <c r="L56" s="8" t="s">
        <v>221</v>
      </c>
      <c r="M56" s="8" t="s">
        <v>81</v>
      </c>
      <c r="N56" s="8" t="s">
        <v>222</v>
      </c>
      <c r="O56" s="57">
        <v>43670</v>
      </c>
      <c r="P56" s="7" t="s">
        <v>1299</v>
      </c>
      <c r="Q56" s="3" t="s">
        <v>5013</v>
      </c>
      <c r="R56" s="16">
        <v>43950</v>
      </c>
      <c r="S56" s="5">
        <v>0.90096418732782402</v>
      </c>
      <c r="T56" s="4">
        <v>39246</v>
      </c>
      <c r="U56" s="57">
        <v>43693</v>
      </c>
      <c r="V56" s="8" t="s">
        <v>1726</v>
      </c>
      <c r="W56" s="8"/>
      <c r="X56" s="8"/>
      <c r="Y56" s="8"/>
      <c r="Z56" s="8"/>
      <c r="AA56" s="7"/>
      <c r="AB56" s="7" t="s">
        <v>29</v>
      </c>
      <c r="AC56" s="8" t="s">
        <v>1344</v>
      </c>
      <c r="AD56" s="8" t="s">
        <v>4206</v>
      </c>
      <c r="AE56" s="26">
        <v>43994.552430555559</v>
      </c>
      <c r="AF56" s="8" t="s">
        <v>23</v>
      </c>
      <c r="AG56" s="26">
        <v>43682.623206018521</v>
      </c>
      <c r="AH56" s="1" t="s">
        <v>67</v>
      </c>
      <c r="AI56" s="216">
        <v>42</v>
      </c>
      <c r="AJ56" s="216" t="s">
        <v>4939</v>
      </c>
      <c r="AK56" s="216" t="s">
        <v>3512</v>
      </c>
      <c r="AL56" s="216" t="s">
        <v>27</v>
      </c>
      <c r="AM56" s="216" t="s">
        <v>27</v>
      </c>
      <c r="AN56" s="216">
        <v>2</v>
      </c>
      <c r="AO56" s="230"/>
      <c r="AP56" s="230"/>
      <c r="AQ56" s="230"/>
      <c r="AR56" s="188" t="str">
        <f>IF(SP_AcqTract_DB[[#This Row],[Count '# in TaxID]]=1,LEFT(SP_AcqTract_DB[[#This Row],[WCAD Tax Parcel ID]],7),IF(SP_AcqTract_DB[[#This Row],[Count '# in TaxID]]=2,CONCATENATE(LEFT(SP_AcqTract_DB[[#This Row],[WCAD Tax Parcel ID]],7),";",MID(SP_AcqTract_DB[[#This Row],[WCAD Tax Parcel ID]],FIND("#",SP_AcqTract_DB[[#This Row],[WCAD Tax Parcel ID]],10)+1,7)),IF(SP_AcqTract_DB[[#This Row],[Count '# in TaxID]]&gt;2,CONCATENATE(LEFT(SP_AcqTract_DB[[#This Row],[WCAD Tax Parcel ID]],7),";",MID(SP_AcqTract_DB[[#This Row],[WCAD Tax Parcel ID]],FIND("#",SP_AcqTract_DB[[#This Row],[WCAD Tax Parcel ID]],10)+1,7),";",MID(SP_AcqTract_DB[[#This Row],[WCAD Tax Parcel ID]],FIND("#",SP_AcqTract_DB[[#This Row],[WCAD Tax Parcel ID]],23)+1,7)),"")))</f>
        <v>R056956</v>
      </c>
      <c r="AS56" s="54">
        <f>IF(SP_AcqTract_DB[[#This Row],[WCAD Tax Parcel ID]]="",0,(LEN(SP_AcqTract_DB[[#This Row],[WCAD Tax Parcel ID]])-LEN(SUBSTITUTE(SP_AcqTract_DB[[#This Row],[WCAD Tax Parcel ID]],"#",""))+1)/2)</f>
        <v>1</v>
      </c>
      <c r="AT56" s="190">
        <f>IF(SP_AcqTract_DB[[#This Row],[WCAD Tax Parcel ID]]="",0,COUNTIF(SP_TaxPar_DB[Acquisition Tract No.],SP_AcqTract_DB[[#This Row],[Acquisition Tract No.]]))</f>
        <v>1</v>
      </c>
      <c r="AU56" s="189">
        <f>COUNTIF(ACQStatus_ACQTNo.,SP_AcqTract_DB[[#This Row],[Acquisition Tract No.]])</f>
        <v>1</v>
      </c>
      <c r="AX56" s="111"/>
      <c r="AY56" s="1"/>
      <c r="AZ56" s="111"/>
      <c r="BA56" s="211"/>
      <c r="BE56" s="111"/>
      <c r="BF56" s="111"/>
      <c r="BG56" s="111"/>
      <c r="BH56" s="111"/>
      <c r="BI56" s="111"/>
      <c r="BJ56" s="111"/>
      <c r="BK56" s="111"/>
      <c r="BL56" s="111"/>
      <c r="BM56" s="111"/>
      <c r="BN56" s="213"/>
      <c r="BO56" s="111"/>
      <c r="BP56" s="111"/>
      <c r="BQ56" s="213"/>
      <c r="BR56" s="173"/>
      <c r="BS56" s="214"/>
      <c r="BV56" s="213"/>
      <c r="BW56" s="111"/>
      <c r="BX56" s="111"/>
      <c r="BY56" s="1"/>
      <c r="BZ56" s="111"/>
      <c r="CA56" s="111"/>
      <c r="CC56" s="111"/>
      <c r="CD56" s="111"/>
      <c r="CE56" s="111"/>
      <c r="CF56" s="215"/>
      <c r="CG56" s="211"/>
      <c r="CH56" s="215"/>
      <c r="CM56" s="111"/>
      <c r="CN56" s="111"/>
    </row>
    <row r="57" spans="1:92" ht="15" x14ac:dyDescent="0.2">
      <c r="A57" s="185" t="s">
        <v>63</v>
      </c>
      <c r="B57" s="179" t="s">
        <v>1284</v>
      </c>
      <c r="C57" s="7" t="s">
        <v>1811</v>
      </c>
      <c r="D57" s="52" t="s">
        <v>1255</v>
      </c>
      <c r="E57" s="52" t="s">
        <v>5030</v>
      </c>
      <c r="F57" s="52"/>
      <c r="G57" s="8" t="s">
        <v>114</v>
      </c>
      <c r="H57" s="8"/>
      <c r="I57" s="8" t="s">
        <v>114</v>
      </c>
      <c r="J57" s="8" t="s">
        <v>224</v>
      </c>
      <c r="K57" s="8" t="s">
        <v>1354</v>
      </c>
      <c r="L57" s="8" t="s">
        <v>226</v>
      </c>
      <c r="M57" s="8" t="s">
        <v>81</v>
      </c>
      <c r="N57" s="8" t="s">
        <v>871</v>
      </c>
      <c r="O57" s="57">
        <v>43670</v>
      </c>
      <c r="P57" s="7" t="s">
        <v>1670</v>
      </c>
      <c r="Q57" s="3"/>
      <c r="R57" s="16"/>
      <c r="S57" s="5">
        <v>2.1741000000000001</v>
      </c>
      <c r="T57" s="4">
        <v>94703.796000000002</v>
      </c>
      <c r="U57" s="57"/>
      <c r="V57" s="8"/>
      <c r="W57" s="8"/>
      <c r="X57" s="8"/>
      <c r="Y57" s="8"/>
      <c r="Z57" s="8"/>
      <c r="AA57" s="7"/>
      <c r="AB57" s="7"/>
      <c r="AC57" s="8" t="s">
        <v>1345</v>
      </c>
      <c r="AD57" s="8" t="s">
        <v>4206</v>
      </c>
      <c r="AE57" s="26">
        <v>43994.402592592596</v>
      </c>
      <c r="AF57" s="8" t="s">
        <v>4325</v>
      </c>
      <c r="AG57" s="26">
        <v>43699.668761574074</v>
      </c>
      <c r="AH57" s="1" t="s">
        <v>4656</v>
      </c>
      <c r="AI57" s="216">
        <v>45</v>
      </c>
      <c r="AJ57" s="216" t="s">
        <v>4939</v>
      </c>
      <c r="AK57" s="216" t="s">
        <v>3512</v>
      </c>
      <c r="AL57" s="216" t="s">
        <v>4869</v>
      </c>
      <c r="AM57" s="216" t="s">
        <v>27</v>
      </c>
      <c r="AN57" s="216">
        <v>3</v>
      </c>
      <c r="AO57" s="230"/>
      <c r="AP57" s="230"/>
      <c r="AQ57" s="230"/>
      <c r="AR57" s="188" t="str">
        <f>IF(SP_AcqTract_DB[[#This Row],[Count '# in TaxID]]=1,LEFT(SP_AcqTract_DB[[#This Row],[WCAD Tax Parcel ID]],7),IF(SP_AcqTract_DB[[#This Row],[Count '# in TaxID]]=2,CONCATENATE(LEFT(SP_AcqTract_DB[[#This Row],[WCAD Tax Parcel ID]],7),";",MID(SP_AcqTract_DB[[#This Row],[WCAD Tax Parcel ID]],FIND("#",SP_AcqTract_DB[[#This Row],[WCAD Tax Parcel ID]],10)+1,7)),IF(SP_AcqTract_DB[[#This Row],[Count '# in TaxID]]&gt;2,CONCATENATE(LEFT(SP_AcqTract_DB[[#This Row],[WCAD Tax Parcel ID]],7),";",MID(SP_AcqTract_DB[[#This Row],[WCAD Tax Parcel ID]],FIND("#",SP_AcqTract_DB[[#This Row],[WCAD Tax Parcel ID]],10)+1,7),";",MID(SP_AcqTract_DB[[#This Row],[WCAD Tax Parcel ID]],FIND("#",SP_AcqTract_DB[[#This Row],[WCAD Tax Parcel ID]],23)+1,7)),"")))</f>
        <v>R026697;UNKN003</v>
      </c>
      <c r="AS57" s="54">
        <f>IF(SP_AcqTract_DB[[#This Row],[WCAD Tax Parcel ID]]="",0,(LEN(SP_AcqTract_DB[[#This Row],[WCAD Tax Parcel ID]])-LEN(SUBSTITUTE(SP_AcqTract_DB[[#This Row],[WCAD Tax Parcel ID]],"#",""))+1)/2)</f>
        <v>2</v>
      </c>
      <c r="AT57" s="190">
        <f>IF(SP_AcqTract_DB[[#This Row],[WCAD Tax Parcel ID]]="",0,COUNTIF(SP_TaxPar_DB[Acquisition Tract No.],SP_AcqTract_DB[[#This Row],[Acquisition Tract No.]]))</f>
        <v>2</v>
      </c>
      <c r="AU57" s="189">
        <f>COUNTIF(ACQStatus_ACQTNo.,SP_AcqTract_DB[[#This Row],[Acquisition Tract No.]])</f>
        <v>1</v>
      </c>
      <c r="AX57" s="111"/>
      <c r="AY57" s="1"/>
      <c r="AZ57" s="111"/>
      <c r="BA57" s="211"/>
      <c r="BE57" s="111"/>
      <c r="BF57" s="111"/>
      <c r="BG57" s="111"/>
      <c r="BH57" s="111"/>
      <c r="BI57" s="111"/>
      <c r="BJ57" s="111"/>
      <c r="BK57" s="111"/>
      <c r="BL57" s="111"/>
      <c r="BM57" s="111"/>
      <c r="BN57" s="213"/>
      <c r="BO57" s="111"/>
      <c r="BP57" s="111"/>
      <c r="BQ57" s="213"/>
      <c r="BR57" s="173"/>
      <c r="BS57" s="214"/>
      <c r="BV57" s="213"/>
      <c r="BW57" s="111"/>
      <c r="BX57" s="111"/>
      <c r="BY57" s="1"/>
      <c r="BZ57" s="111"/>
      <c r="CA57" s="111"/>
      <c r="CC57" s="111"/>
      <c r="CD57" s="111"/>
      <c r="CE57" s="111"/>
      <c r="CF57" s="215"/>
      <c r="CG57" s="211"/>
      <c r="CH57" s="215"/>
      <c r="CM57" s="111"/>
      <c r="CN57" s="111"/>
    </row>
    <row r="58" spans="1:92" ht="15" x14ac:dyDescent="0.2">
      <c r="A58" s="185" t="s">
        <v>4568</v>
      </c>
      <c r="B58" s="179" t="s">
        <v>1066</v>
      </c>
      <c r="C58" s="7" t="s">
        <v>1811</v>
      </c>
      <c r="D58" s="52" t="s">
        <v>1255</v>
      </c>
      <c r="E58" s="52" t="s">
        <v>5020</v>
      </c>
      <c r="F58" s="52" t="s">
        <v>1809</v>
      </c>
      <c r="G58" s="8" t="s">
        <v>1348</v>
      </c>
      <c r="H58" s="8" t="s">
        <v>1348</v>
      </c>
      <c r="I58" s="8" t="s">
        <v>4908</v>
      </c>
      <c r="J58" s="8" t="s">
        <v>1271</v>
      </c>
      <c r="K58" s="8" t="s">
        <v>1376</v>
      </c>
      <c r="L58" s="8" t="s">
        <v>1693</v>
      </c>
      <c r="M58" s="8" t="s">
        <v>81</v>
      </c>
      <c r="N58" s="8" t="s">
        <v>1694</v>
      </c>
      <c r="O58" s="57">
        <v>43718</v>
      </c>
      <c r="P58" s="7" t="s">
        <v>1665</v>
      </c>
      <c r="Q58" s="3" t="s">
        <v>5013</v>
      </c>
      <c r="R58" s="16"/>
      <c r="S58" s="5">
        <v>0</v>
      </c>
      <c r="T58" s="4"/>
      <c r="U58" s="57"/>
      <c r="V58" s="8" t="s">
        <v>1725</v>
      </c>
      <c r="W58" s="8"/>
      <c r="X58" s="8"/>
      <c r="Y58" s="8"/>
      <c r="Z58" s="8"/>
      <c r="AA58" s="7"/>
      <c r="AB58" s="7"/>
      <c r="AC58" s="8" t="s">
        <v>4643</v>
      </c>
      <c r="AD58" s="8" t="s">
        <v>5080</v>
      </c>
      <c r="AE58" s="26">
        <v>44013.693287037036</v>
      </c>
      <c r="AF58" s="8" t="s">
        <v>4207</v>
      </c>
      <c r="AG58" s="26">
        <v>43767.34878472222</v>
      </c>
      <c r="AH58" s="1"/>
      <c r="AI58" s="216">
        <v>54</v>
      </c>
      <c r="AJ58" s="216" t="s">
        <v>4939</v>
      </c>
      <c r="AK58" s="216" t="s">
        <v>3512</v>
      </c>
      <c r="AL58" s="216" t="s">
        <v>4869</v>
      </c>
      <c r="AM58" s="216" t="s">
        <v>27</v>
      </c>
      <c r="AN58" s="216">
        <v>1</v>
      </c>
      <c r="AO58" s="230"/>
      <c r="AP58" s="230"/>
      <c r="AQ58" s="230"/>
      <c r="AR58" s="188" t="str">
        <f>IF(SP_AcqTract_DB[[#This Row],[Count '# in TaxID]]=1,LEFT(SP_AcqTract_DB[[#This Row],[WCAD Tax Parcel ID]],7),IF(SP_AcqTract_DB[[#This Row],[Count '# in TaxID]]=2,CONCATENATE(LEFT(SP_AcqTract_DB[[#This Row],[WCAD Tax Parcel ID]],7),";",MID(SP_AcqTract_DB[[#This Row],[WCAD Tax Parcel ID]],FIND("#",SP_AcqTract_DB[[#This Row],[WCAD Tax Parcel ID]],10)+1,7)),IF(SP_AcqTract_DB[[#This Row],[Count '# in TaxID]]&gt;2,CONCATENATE(LEFT(SP_AcqTract_DB[[#This Row],[WCAD Tax Parcel ID]],7),";",MID(SP_AcqTract_DB[[#This Row],[WCAD Tax Parcel ID]],FIND("#",SP_AcqTract_DB[[#This Row],[WCAD Tax Parcel ID]],10)+1,7),";",MID(SP_AcqTract_DB[[#This Row],[WCAD Tax Parcel ID]],FIND("#",SP_AcqTract_DB[[#This Row],[WCAD Tax Parcel ID]],23)+1,7)),"")))</f>
        <v>R055352</v>
      </c>
      <c r="AS58" s="54">
        <f>IF(SP_AcqTract_DB[[#This Row],[WCAD Tax Parcel ID]]="",0,(LEN(SP_AcqTract_DB[[#This Row],[WCAD Tax Parcel ID]])-LEN(SUBSTITUTE(SP_AcqTract_DB[[#This Row],[WCAD Tax Parcel ID]],"#",""))+1)/2)</f>
        <v>1</v>
      </c>
      <c r="AT58" s="190">
        <f>IF(SP_AcqTract_DB[[#This Row],[WCAD Tax Parcel ID]]="",0,COUNTIF(SP_TaxPar_DB[Acquisition Tract No.],SP_AcqTract_DB[[#This Row],[Acquisition Tract No.]]))</f>
        <v>1</v>
      </c>
      <c r="AU58" s="189">
        <f>COUNTIF(ACQStatus_ACQTNo.,SP_AcqTract_DB[[#This Row],[Acquisition Tract No.]])</f>
        <v>1</v>
      </c>
      <c r="AX58" s="111"/>
      <c r="AY58" s="1"/>
      <c r="AZ58" s="111"/>
      <c r="BA58" s="211"/>
      <c r="BE58" s="111"/>
      <c r="BF58" s="111"/>
      <c r="BG58" s="111"/>
      <c r="BH58" s="111"/>
      <c r="BI58" s="111"/>
      <c r="BJ58" s="111"/>
      <c r="BK58" s="111"/>
      <c r="BL58" s="111"/>
      <c r="BM58" s="111"/>
      <c r="BN58" s="213"/>
      <c r="BO58" s="111"/>
      <c r="BP58" s="111"/>
      <c r="BQ58" s="213"/>
      <c r="BR58" s="173"/>
      <c r="BS58" s="214"/>
      <c r="BV58" s="213"/>
      <c r="BW58" s="111"/>
      <c r="BX58" s="111"/>
      <c r="BY58" s="1"/>
      <c r="BZ58" s="111"/>
      <c r="CA58" s="111"/>
      <c r="CC58" s="111"/>
      <c r="CD58" s="111"/>
      <c r="CE58" s="111"/>
      <c r="CF58" s="215"/>
      <c r="CG58" s="211"/>
      <c r="CH58" s="215"/>
      <c r="CM58" s="111"/>
      <c r="CN58" s="111"/>
    </row>
    <row r="59" spans="1:92" ht="15" x14ac:dyDescent="0.2">
      <c r="A59" s="185" t="s">
        <v>4719</v>
      </c>
      <c r="B59" s="179" t="s">
        <v>22</v>
      </c>
      <c r="C59" s="7" t="s">
        <v>1811</v>
      </c>
      <c r="D59" s="52" t="s">
        <v>1255</v>
      </c>
      <c r="E59" s="52" t="s">
        <v>5020</v>
      </c>
      <c r="F59" s="52"/>
      <c r="G59" s="8" t="s">
        <v>4636</v>
      </c>
      <c r="H59" s="8" t="s">
        <v>4720</v>
      </c>
      <c r="I59" s="8"/>
      <c r="J59" s="8"/>
      <c r="K59" s="8"/>
      <c r="L59" s="8"/>
      <c r="M59" s="8"/>
      <c r="N59" s="8"/>
      <c r="O59" s="57"/>
      <c r="P59" s="7"/>
      <c r="Q59" s="3" t="s">
        <v>5013</v>
      </c>
      <c r="R59" s="16">
        <v>44014</v>
      </c>
      <c r="S59" s="5">
        <v>0.96659779614325103</v>
      </c>
      <c r="T59" s="4">
        <v>42105</v>
      </c>
      <c r="U59" s="57"/>
      <c r="V59" s="8" t="s">
        <v>1725</v>
      </c>
      <c r="W59" s="8"/>
      <c r="X59" s="8"/>
      <c r="Y59" s="8"/>
      <c r="Z59" s="8"/>
      <c r="AA59" s="7"/>
      <c r="AB59" s="7"/>
      <c r="AC59" s="8" t="s">
        <v>4721</v>
      </c>
      <c r="AD59" s="8" t="s">
        <v>4206</v>
      </c>
      <c r="AE59" s="26">
        <v>44017.654421296298</v>
      </c>
      <c r="AF59" s="8" t="s">
        <v>4206</v>
      </c>
      <c r="AG59" s="26">
        <v>43930.69127314815</v>
      </c>
      <c r="AH59" s="1"/>
      <c r="AI59" s="216">
        <v>69</v>
      </c>
      <c r="AJ59" s="216" t="s">
        <v>4939</v>
      </c>
      <c r="AK59" s="216" t="s">
        <v>3512</v>
      </c>
      <c r="AL59" s="216" t="s">
        <v>4869</v>
      </c>
      <c r="AM59" s="216" t="s">
        <v>27</v>
      </c>
      <c r="AN59" s="216">
        <v>1</v>
      </c>
      <c r="AO59" s="230"/>
      <c r="AP59" s="230"/>
      <c r="AQ59" s="230"/>
      <c r="AR59" s="188" t="str">
        <f>IF(SP_AcqTract_DB[[#This Row],[Count '# in TaxID]]=1,LEFT(SP_AcqTract_DB[[#This Row],[WCAD Tax Parcel ID]],7),IF(SP_AcqTract_DB[[#This Row],[Count '# in TaxID]]=2,CONCATENATE(LEFT(SP_AcqTract_DB[[#This Row],[WCAD Tax Parcel ID]],7),";",MID(SP_AcqTract_DB[[#This Row],[WCAD Tax Parcel ID]],FIND("#",SP_AcqTract_DB[[#This Row],[WCAD Tax Parcel ID]],10)+1,7)),IF(SP_AcqTract_DB[[#This Row],[Count '# in TaxID]]&gt;2,CONCATENATE(LEFT(SP_AcqTract_DB[[#This Row],[WCAD Tax Parcel ID]],7),";",MID(SP_AcqTract_DB[[#This Row],[WCAD Tax Parcel ID]],FIND("#",SP_AcqTract_DB[[#This Row],[WCAD Tax Parcel ID]],10)+1,7),";",MID(SP_AcqTract_DB[[#This Row],[WCAD Tax Parcel ID]],FIND("#",SP_AcqTract_DB[[#This Row],[WCAD Tax Parcel ID]],23)+1,7)),"")))</f>
        <v/>
      </c>
      <c r="AS59" s="54">
        <f>IF(SP_AcqTract_DB[[#This Row],[WCAD Tax Parcel ID]]="",0,(LEN(SP_AcqTract_DB[[#This Row],[WCAD Tax Parcel ID]])-LEN(SUBSTITUTE(SP_AcqTract_DB[[#This Row],[WCAD Tax Parcel ID]],"#",""))+1)/2)</f>
        <v>0</v>
      </c>
      <c r="AT59" s="190">
        <f>IF(SP_AcqTract_DB[[#This Row],[WCAD Tax Parcel ID]]="",0,COUNTIF(SP_TaxPar_DB[Acquisition Tract No.],SP_AcqTract_DB[[#This Row],[Acquisition Tract No.]]))</f>
        <v>0</v>
      </c>
      <c r="AU59" s="189">
        <f>COUNTIF(ACQStatus_ACQTNo.,SP_AcqTract_DB[[#This Row],[Acquisition Tract No.]])</f>
        <v>1</v>
      </c>
      <c r="AX59" s="111"/>
      <c r="AY59" s="1"/>
      <c r="AZ59" s="111"/>
      <c r="BA59" s="211"/>
      <c r="BE59" s="111"/>
      <c r="BF59" s="111"/>
      <c r="BG59" s="111"/>
      <c r="BH59" s="111"/>
      <c r="BI59" s="111"/>
      <c r="BJ59" s="111"/>
      <c r="BK59" s="111"/>
      <c r="BL59" s="111"/>
      <c r="BM59" s="111"/>
      <c r="BN59" s="213"/>
      <c r="BO59" s="111"/>
      <c r="BP59" s="111"/>
      <c r="BQ59" s="213"/>
      <c r="BR59" s="173"/>
      <c r="BS59" s="214"/>
      <c r="BV59" s="213"/>
      <c r="BW59" s="111"/>
      <c r="BX59" s="111"/>
      <c r="BY59" s="1"/>
      <c r="BZ59" s="111"/>
      <c r="CA59" s="111"/>
      <c r="CC59" s="111"/>
      <c r="CD59" s="111"/>
      <c r="CE59" s="111"/>
      <c r="CF59" s="215"/>
      <c r="CG59" s="211"/>
      <c r="CH59" s="215"/>
      <c r="CM59" s="111"/>
      <c r="CN59" s="111"/>
    </row>
    <row r="60" spans="1:92" ht="15" x14ac:dyDescent="0.2">
      <c r="A60" s="195" t="s">
        <v>4722</v>
      </c>
      <c r="B60" s="179" t="s">
        <v>22</v>
      </c>
      <c r="C60" s="7" t="s">
        <v>1811</v>
      </c>
      <c r="D60" s="52" t="s">
        <v>1255</v>
      </c>
      <c r="E60" s="52" t="s">
        <v>4904</v>
      </c>
      <c r="F60" s="52"/>
      <c r="G60" s="8" t="s">
        <v>4636</v>
      </c>
      <c r="H60" s="8" t="s">
        <v>4720</v>
      </c>
      <c r="I60" s="8"/>
      <c r="J60" s="8"/>
      <c r="K60" s="8"/>
      <c r="L60" s="8"/>
      <c r="M60" s="8"/>
      <c r="N60" s="8"/>
      <c r="O60" s="57"/>
      <c r="P60" s="7"/>
      <c r="Q60" s="3" t="s">
        <v>5013</v>
      </c>
      <c r="R60" s="16">
        <v>44014</v>
      </c>
      <c r="S60" s="5">
        <v>0.49772727272727302</v>
      </c>
      <c r="T60" s="4">
        <v>21681</v>
      </c>
      <c r="U60" s="57"/>
      <c r="V60" s="8" t="s">
        <v>1725</v>
      </c>
      <c r="W60" s="8"/>
      <c r="X60" s="8"/>
      <c r="Y60" s="8"/>
      <c r="Z60" s="8"/>
      <c r="AA60" s="7"/>
      <c r="AB60" s="7"/>
      <c r="AC60" s="8" t="s">
        <v>4723</v>
      </c>
      <c r="AD60" s="8" t="s">
        <v>4206</v>
      </c>
      <c r="AE60" s="26">
        <v>44017.654583333337</v>
      </c>
      <c r="AF60" s="8" t="s">
        <v>4206</v>
      </c>
      <c r="AG60" s="26">
        <v>43930.691840277781</v>
      </c>
      <c r="AH60" s="1"/>
      <c r="AI60" s="216">
        <v>70</v>
      </c>
      <c r="AJ60" s="216" t="s">
        <v>4939</v>
      </c>
      <c r="AK60" s="216" t="s">
        <v>3512</v>
      </c>
      <c r="AL60" s="216" t="s">
        <v>4869</v>
      </c>
      <c r="AM60" s="216" t="s">
        <v>27</v>
      </c>
      <c r="AN60" s="216">
        <v>1</v>
      </c>
      <c r="AO60" s="230"/>
      <c r="AP60" s="230"/>
      <c r="AQ60" s="230"/>
      <c r="AR60" s="188" t="str">
        <f>IF(SP_AcqTract_DB[[#This Row],[Count '# in TaxID]]=1,LEFT(SP_AcqTract_DB[[#This Row],[WCAD Tax Parcel ID]],7),IF(SP_AcqTract_DB[[#This Row],[Count '# in TaxID]]=2,CONCATENATE(LEFT(SP_AcqTract_DB[[#This Row],[WCAD Tax Parcel ID]],7),";",MID(SP_AcqTract_DB[[#This Row],[WCAD Tax Parcel ID]],FIND("#",SP_AcqTract_DB[[#This Row],[WCAD Tax Parcel ID]],10)+1,7)),IF(SP_AcqTract_DB[[#This Row],[Count '# in TaxID]]&gt;2,CONCATENATE(LEFT(SP_AcqTract_DB[[#This Row],[WCAD Tax Parcel ID]],7),";",MID(SP_AcqTract_DB[[#This Row],[WCAD Tax Parcel ID]],FIND("#",SP_AcqTract_DB[[#This Row],[WCAD Tax Parcel ID]],10)+1,7),";",MID(SP_AcqTract_DB[[#This Row],[WCAD Tax Parcel ID]],FIND("#",SP_AcqTract_DB[[#This Row],[WCAD Tax Parcel ID]],23)+1,7)),"")))</f>
        <v/>
      </c>
      <c r="AS60" s="54">
        <f>IF(SP_AcqTract_DB[[#This Row],[WCAD Tax Parcel ID]]="",0,(LEN(SP_AcqTract_DB[[#This Row],[WCAD Tax Parcel ID]])-LEN(SUBSTITUTE(SP_AcqTract_DB[[#This Row],[WCAD Tax Parcel ID]],"#",""))+1)/2)</f>
        <v>0</v>
      </c>
      <c r="AT60" s="190">
        <f>IF(SP_AcqTract_DB[[#This Row],[WCAD Tax Parcel ID]]="",0,COUNTIF(SP_TaxPar_DB[Acquisition Tract No.],SP_AcqTract_DB[[#This Row],[Acquisition Tract No.]]))</f>
        <v>0</v>
      </c>
      <c r="AU60" s="189">
        <f>COUNTIF(ACQStatus_ACQTNo.,SP_AcqTract_DB[[#This Row],[Acquisition Tract No.]])</f>
        <v>1</v>
      </c>
      <c r="AX60" s="111"/>
      <c r="AY60" s="1"/>
      <c r="AZ60" s="111"/>
      <c r="BA60" s="211"/>
      <c r="BE60" s="111"/>
      <c r="BF60" s="111"/>
      <c r="BG60" s="111"/>
      <c r="BH60" s="111"/>
      <c r="BI60" s="111"/>
      <c r="BJ60" s="111"/>
      <c r="BK60" s="111"/>
      <c r="BL60" s="111"/>
      <c r="BM60" s="111"/>
      <c r="BN60" s="213"/>
      <c r="BO60" s="111"/>
      <c r="BP60" s="111"/>
      <c r="BQ60" s="213"/>
      <c r="BR60" s="173"/>
      <c r="BS60" s="214"/>
      <c r="BV60" s="213"/>
      <c r="BW60" s="111"/>
      <c r="BX60" s="111"/>
      <c r="BY60" s="1"/>
      <c r="BZ60" s="111"/>
      <c r="CA60" s="111"/>
      <c r="CC60" s="111"/>
      <c r="CD60" s="111"/>
      <c r="CE60" s="111"/>
      <c r="CF60" s="215"/>
      <c r="CG60" s="211"/>
      <c r="CH60" s="215"/>
      <c r="CM60" s="111"/>
      <c r="CN60" s="111"/>
    </row>
    <row r="61" spans="1:92" ht="15" x14ac:dyDescent="0.2">
      <c r="A61" s="195" t="s">
        <v>4724</v>
      </c>
      <c r="B61" s="179" t="s">
        <v>22</v>
      </c>
      <c r="C61" s="7" t="s">
        <v>1811</v>
      </c>
      <c r="D61" s="52" t="s">
        <v>1255</v>
      </c>
      <c r="E61" s="52" t="s">
        <v>4904</v>
      </c>
      <c r="F61" s="52"/>
      <c r="G61" s="8" t="s">
        <v>114</v>
      </c>
      <c r="H61" s="8"/>
      <c r="I61" s="8"/>
      <c r="J61" s="8"/>
      <c r="K61" s="8"/>
      <c r="L61" s="8"/>
      <c r="M61" s="8"/>
      <c r="N61" s="8"/>
      <c r="O61" s="57"/>
      <c r="P61" s="7"/>
      <c r="Q61" s="3"/>
      <c r="R61" s="16"/>
      <c r="S61" s="5">
        <v>0.132851239669422</v>
      </c>
      <c r="T61" s="4">
        <v>5787</v>
      </c>
      <c r="U61" s="57"/>
      <c r="V61" s="8"/>
      <c r="W61" s="8"/>
      <c r="X61" s="8"/>
      <c r="Y61" s="8"/>
      <c r="Z61" s="8"/>
      <c r="AA61" s="7"/>
      <c r="AB61" s="7"/>
      <c r="AC61" s="8" t="s">
        <v>4725</v>
      </c>
      <c r="AD61" s="8" t="s">
        <v>4206</v>
      </c>
      <c r="AE61" s="26">
        <v>43994.402858796297</v>
      </c>
      <c r="AF61" s="8" t="s">
        <v>4206</v>
      </c>
      <c r="AG61" s="26">
        <v>43930.692326388889</v>
      </c>
      <c r="AH61" s="1"/>
      <c r="AI61" s="216">
        <v>71</v>
      </c>
      <c r="AJ61" s="216" t="s">
        <v>4939</v>
      </c>
      <c r="AK61" s="216" t="s">
        <v>3512</v>
      </c>
      <c r="AL61" s="216" t="s">
        <v>4869</v>
      </c>
      <c r="AM61" s="216" t="s">
        <v>27</v>
      </c>
      <c r="AN61" s="216">
        <v>1</v>
      </c>
      <c r="AO61" s="230"/>
      <c r="AP61" s="230"/>
      <c r="AQ61" s="230"/>
      <c r="AR61" s="188" t="str">
        <f>IF(SP_AcqTract_DB[[#This Row],[Count '# in TaxID]]=1,LEFT(SP_AcqTract_DB[[#This Row],[WCAD Tax Parcel ID]],7),IF(SP_AcqTract_DB[[#This Row],[Count '# in TaxID]]=2,CONCATENATE(LEFT(SP_AcqTract_DB[[#This Row],[WCAD Tax Parcel ID]],7),";",MID(SP_AcqTract_DB[[#This Row],[WCAD Tax Parcel ID]],FIND("#",SP_AcqTract_DB[[#This Row],[WCAD Tax Parcel ID]],10)+1,7)),IF(SP_AcqTract_DB[[#This Row],[Count '# in TaxID]]&gt;2,CONCATENATE(LEFT(SP_AcqTract_DB[[#This Row],[WCAD Tax Parcel ID]],7),";",MID(SP_AcqTract_DB[[#This Row],[WCAD Tax Parcel ID]],FIND("#",SP_AcqTract_DB[[#This Row],[WCAD Tax Parcel ID]],10)+1,7),";",MID(SP_AcqTract_DB[[#This Row],[WCAD Tax Parcel ID]],FIND("#",SP_AcqTract_DB[[#This Row],[WCAD Tax Parcel ID]],23)+1,7)),"")))</f>
        <v/>
      </c>
      <c r="AS61" s="54">
        <f>IF(SP_AcqTract_DB[[#This Row],[WCAD Tax Parcel ID]]="",0,(LEN(SP_AcqTract_DB[[#This Row],[WCAD Tax Parcel ID]])-LEN(SUBSTITUTE(SP_AcqTract_DB[[#This Row],[WCAD Tax Parcel ID]],"#",""))+1)/2)</f>
        <v>0</v>
      </c>
      <c r="AT61" s="190">
        <f>IF(SP_AcqTract_DB[[#This Row],[WCAD Tax Parcel ID]]="",0,COUNTIF(SP_TaxPar_DB[Acquisition Tract No.],SP_AcqTract_DB[[#This Row],[Acquisition Tract No.]]))</f>
        <v>0</v>
      </c>
      <c r="AU61" s="189">
        <f>COUNTIF(ACQStatus_ACQTNo.,SP_AcqTract_DB[[#This Row],[Acquisition Tract No.]])</f>
        <v>1</v>
      </c>
      <c r="AX61" s="111"/>
      <c r="AY61" s="1"/>
      <c r="AZ61" s="111"/>
      <c r="BA61" s="211"/>
      <c r="BE61" s="111"/>
      <c r="BF61" s="111"/>
      <c r="BG61" s="111"/>
      <c r="BH61" s="111"/>
      <c r="BI61" s="111"/>
      <c r="BJ61" s="111"/>
      <c r="BK61" s="111"/>
      <c r="BL61" s="111"/>
      <c r="BM61" s="111"/>
      <c r="BN61" s="213"/>
      <c r="BO61" s="111"/>
      <c r="BP61" s="111"/>
      <c r="BQ61" s="213"/>
      <c r="BR61" s="173"/>
      <c r="BS61" s="214"/>
      <c r="BV61" s="213"/>
      <c r="BW61" s="111"/>
      <c r="BX61" s="111"/>
      <c r="BY61" s="1"/>
      <c r="BZ61" s="111"/>
      <c r="CA61" s="111"/>
      <c r="CC61" s="111"/>
      <c r="CD61" s="111"/>
      <c r="CE61" s="111"/>
      <c r="CF61" s="215"/>
      <c r="CG61" s="211"/>
      <c r="CH61" s="215"/>
      <c r="CM61" s="111"/>
      <c r="CN61" s="111"/>
    </row>
    <row r="62" spans="1:92" ht="25.5" x14ac:dyDescent="0.2">
      <c r="A62" s="195" t="s">
        <v>5883</v>
      </c>
      <c r="B62" s="179" t="s">
        <v>667</v>
      </c>
      <c r="C62" s="7" t="s">
        <v>1811</v>
      </c>
      <c r="D62" s="52" t="s">
        <v>1255</v>
      </c>
      <c r="E62" s="52" t="s">
        <v>5893</v>
      </c>
      <c r="F62" s="52" t="s">
        <v>1809</v>
      </c>
      <c r="G62" s="8" t="s">
        <v>415</v>
      </c>
      <c r="H62" s="8"/>
      <c r="I62" s="8" t="s">
        <v>415</v>
      </c>
      <c r="J62" s="8" t="s">
        <v>214</v>
      </c>
      <c r="K62" s="8" t="s">
        <v>1354</v>
      </c>
      <c r="L62" s="8" t="s">
        <v>214</v>
      </c>
      <c r="M62" s="8" t="s">
        <v>81</v>
      </c>
      <c r="N62" s="8" t="s">
        <v>873</v>
      </c>
      <c r="O62" s="57">
        <v>43696</v>
      </c>
      <c r="P62" s="7" t="s">
        <v>1299</v>
      </c>
      <c r="Q62" s="3" t="s">
        <v>4344</v>
      </c>
      <c r="R62" s="16">
        <v>43884</v>
      </c>
      <c r="S62" s="5">
        <v>0.210009182736455</v>
      </c>
      <c r="T62" s="4">
        <v>9148</v>
      </c>
      <c r="U62" s="57">
        <v>43718</v>
      </c>
      <c r="V62" s="8" t="s">
        <v>1726</v>
      </c>
      <c r="W62" s="8"/>
      <c r="X62" s="8"/>
      <c r="Y62" s="8"/>
      <c r="Z62" s="8"/>
      <c r="AA62" s="7"/>
      <c r="AB62" s="7" t="s">
        <v>29</v>
      </c>
      <c r="AC62" s="8" t="s">
        <v>5894</v>
      </c>
      <c r="AD62" s="8" t="s">
        <v>5080</v>
      </c>
      <c r="AE62" s="26">
        <v>44013.693645833337</v>
      </c>
      <c r="AF62" s="8" t="s">
        <v>4325</v>
      </c>
      <c r="AG62" s="26">
        <v>43699.668217592596</v>
      </c>
      <c r="AH62" s="1" t="s">
        <v>5895</v>
      </c>
      <c r="AI62" s="216">
        <v>44</v>
      </c>
      <c r="AJ62" s="216" t="s">
        <v>4939</v>
      </c>
      <c r="AK62" s="216" t="s">
        <v>3512</v>
      </c>
      <c r="AL62" s="216" t="s">
        <v>27</v>
      </c>
      <c r="AM62" s="216" t="s">
        <v>27</v>
      </c>
      <c r="AN62" s="216">
        <v>1</v>
      </c>
      <c r="AO62" s="230">
        <v>43916</v>
      </c>
      <c r="AP62" s="230"/>
      <c r="AQ62" s="230"/>
      <c r="AR62" s="188" t="str">
        <f>IF(SP_AcqTract_DB[[#This Row],[Count '# in TaxID]]=1,LEFT(SP_AcqTract_DB[[#This Row],[WCAD Tax Parcel ID]],7),IF(SP_AcqTract_DB[[#This Row],[Count '# in TaxID]]=2,CONCATENATE(LEFT(SP_AcqTract_DB[[#This Row],[WCAD Tax Parcel ID]],7),";",MID(SP_AcqTract_DB[[#This Row],[WCAD Tax Parcel ID]],FIND("#",SP_AcqTract_DB[[#This Row],[WCAD Tax Parcel ID]],10)+1,7)),IF(SP_AcqTract_DB[[#This Row],[Count '# in TaxID]]&gt;2,CONCATENATE(LEFT(SP_AcqTract_DB[[#This Row],[WCAD Tax Parcel ID]],7),";",MID(SP_AcqTract_DB[[#This Row],[WCAD Tax Parcel ID]],FIND("#",SP_AcqTract_DB[[#This Row],[WCAD Tax Parcel ID]],10)+1,7),";",MID(SP_AcqTract_DB[[#This Row],[WCAD Tax Parcel ID]],FIND("#",SP_AcqTract_DB[[#This Row],[WCAD Tax Parcel ID]],23)+1,7)),"")))</f>
        <v>R026696</v>
      </c>
      <c r="AS62" s="54">
        <f>IF(SP_AcqTract_DB[[#This Row],[WCAD Tax Parcel ID]]="",0,(LEN(SP_AcqTract_DB[[#This Row],[WCAD Tax Parcel ID]])-LEN(SUBSTITUTE(SP_AcqTract_DB[[#This Row],[WCAD Tax Parcel ID]],"#",""))+1)/2)</f>
        <v>1</v>
      </c>
      <c r="AT62" s="190">
        <f>IF(SP_AcqTract_DB[[#This Row],[WCAD Tax Parcel ID]]="",0,COUNTIF(SP_TaxPar_DB[Acquisition Tract No.],SP_AcqTract_DB[[#This Row],[Acquisition Tract No.]]))</f>
        <v>1</v>
      </c>
      <c r="AU62" s="189">
        <f>COUNTIF(ACQStatus_ACQTNo.,SP_AcqTract_DB[[#This Row],[Acquisition Tract No.]])</f>
        <v>1</v>
      </c>
      <c r="AX62" s="111"/>
      <c r="AY62" s="1"/>
      <c r="AZ62" s="111"/>
      <c r="BA62" s="211"/>
      <c r="BE62" s="111"/>
      <c r="BF62" s="111"/>
      <c r="BG62" s="111"/>
      <c r="BH62" s="111"/>
      <c r="BI62" s="111"/>
      <c r="BJ62" s="111"/>
      <c r="BK62" s="111"/>
      <c r="BL62" s="111"/>
      <c r="BM62" s="111"/>
      <c r="BN62" s="213"/>
      <c r="BO62" s="111"/>
      <c r="BP62" s="111"/>
      <c r="BQ62" s="213"/>
      <c r="BR62" s="173"/>
      <c r="BS62" s="214"/>
      <c r="BV62" s="213"/>
      <c r="BW62" s="111"/>
      <c r="BX62" s="111"/>
      <c r="BY62" s="1"/>
      <c r="BZ62" s="111"/>
      <c r="CA62" s="111"/>
      <c r="CC62" s="111"/>
      <c r="CD62" s="111"/>
      <c r="CE62" s="111"/>
      <c r="CF62" s="215"/>
      <c r="CG62" s="211"/>
      <c r="CH62" s="215"/>
      <c r="CM62" s="111"/>
      <c r="CN62" s="111"/>
    </row>
    <row r="63" spans="1:92" ht="25.5" x14ac:dyDescent="0.2">
      <c r="A63" s="195" t="s">
        <v>227</v>
      </c>
      <c r="B63" s="179" t="s">
        <v>665</v>
      </c>
      <c r="C63" s="7" t="s">
        <v>1811</v>
      </c>
      <c r="D63" s="52" t="s">
        <v>1255</v>
      </c>
      <c r="E63" s="52" t="s">
        <v>4836</v>
      </c>
      <c r="F63" s="52" t="s">
        <v>1809</v>
      </c>
      <c r="G63" s="8" t="s">
        <v>228</v>
      </c>
      <c r="H63" s="8"/>
      <c r="I63" s="8" t="s">
        <v>228</v>
      </c>
      <c r="J63" s="8" t="s">
        <v>229</v>
      </c>
      <c r="K63" s="8" t="s">
        <v>1354</v>
      </c>
      <c r="L63" s="8" t="s">
        <v>229</v>
      </c>
      <c r="M63" s="8" t="s">
        <v>81</v>
      </c>
      <c r="N63" s="8" t="s">
        <v>231</v>
      </c>
      <c r="O63" s="57">
        <v>43696</v>
      </c>
      <c r="P63" s="7" t="s">
        <v>1299</v>
      </c>
      <c r="Q63" s="3" t="s">
        <v>4344</v>
      </c>
      <c r="R63" s="16">
        <v>43884</v>
      </c>
      <c r="S63" s="5">
        <v>0.29483471074380202</v>
      </c>
      <c r="T63" s="4">
        <v>12843</v>
      </c>
      <c r="U63" s="57">
        <v>43704</v>
      </c>
      <c r="V63" s="8" t="s">
        <v>1726</v>
      </c>
      <c r="W63" s="8"/>
      <c r="X63" s="8"/>
      <c r="Y63" s="8"/>
      <c r="Z63" s="8"/>
      <c r="AA63" s="7"/>
      <c r="AB63" s="7" t="s">
        <v>29</v>
      </c>
      <c r="AC63" s="8" t="s">
        <v>1346</v>
      </c>
      <c r="AD63" s="8" t="s">
        <v>4206</v>
      </c>
      <c r="AE63" s="26">
        <v>43994.552430555559</v>
      </c>
      <c r="AF63" s="8" t="s">
        <v>4325</v>
      </c>
      <c r="AG63" s="26">
        <v>43699.668124999997</v>
      </c>
      <c r="AH63" s="1" t="s">
        <v>236</v>
      </c>
      <c r="AI63" s="216">
        <v>43</v>
      </c>
      <c r="AJ63" s="216" t="s">
        <v>4939</v>
      </c>
      <c r="AK63" s="216" t="s">
        <v>3512</v>
      </c>
      <c r="AL63" s="216" t="s">
        <v>27</v>
      </c>
      <c r="AM63" s="216" t="s">
        <v>4869</v>
      </c>
      <c r="AN63" s="216">
        <v>0</v>
      </c>
      <c r="AO63" s="230">
        <v>43916</v>
      </c>
      <c r="AP63" s="230"/>
      <c r="AQ63" s="230"/>
      <c r="AR63" s="188" t="str">
        <f>IF(SP_AcqTract_DB[[#This Row],[Count '# in TaxID]]=1,LEFT(SP_AcqTract_DB[[#This Row],[WCAD Tax Parcel ID]],7),IF(SP_AcqTract_DB[[#This Row],[Count '# in TaxID]]=2,CONCATENATE(LEFT(SP_AcqTract_DB[[#This Row],[WCAD Tax Parcel ID]],7),";",MID(SP_AcqTract_DB[[#This Row],[WCAD Tax Parcel ID]],FIND("#",SP_AcqTract_DB[[#This Row],[WCAD Tax Parcel ID]],10)+1,7)),IF(SP_AcqTract_DB[[#This Row],[Count '# in TaxID]]&gt;2,CONCATENATE(LEFT(SP_AcqTract_DB[[#This Row],[WCAD Tax Parcel ID]],7),";",MID(SP_AcqTract_DB[[#This Row],[WCAD Tax Parcel ID]],FIND("#",SP_AcqTract_DB[[#This Row],[WCAD Tax Parcel ID]],10)+1,7),";",MID(SP_AcqTract_DB[[#This Row],[WCAD Tax Parcel ID]],FIND("#",SP_AcqTract_DB[[#This Row],[WCAD Tax Parcel ID]],23)+1,7)),"")))</f>
        <v>R056955</v>
      </c>
      <c r="AS63" s="54">
        <f>IF(SP_AcqTract_DB[[#This Row],[WCAD Tax Parcel ID]]="",0,(LEN(SP_AcqTract_DB[[#This Row],[WCAD Tax Parcel ID]])-LEN(SUBSTITUTE(SP_AcqTract_DB[[#This Row],[WCAD Tax Parcel ID]],"#",""))+1)/2)</f>
        <v>1</v>
      </c>
      <c r="AT63" s="190">
        <f>IF(SP_AcqTract_DB[[#This Row],[WCAD Tax Parcel ID]]="",0,COUNTIF(SP_TaxPar_DB[Acquisition Tract No.],SP_AcqTract_DB[[#This Row],[Acquisition Tract No.]]))</f>
        <v>1</v>
      </c>
      <c r="AU63" s="189">
        <f>COUNTIF(ACQStatus_ACQTNo.,SP_AcqTract_DB[[#This Row],[Acquisition Tract No.]])</f>
        <v>1</v>
      </c>
      <c r="AX63" s="111"/>
      <c r="AY63" s="1"/>
      <c r="AZ63" s="111"/>
      <c r="BA63" s="211"/>
      <c r="BE63" s="111"/>
      <c r="BF63" s="111"/>
      <c r="BG63" s="111"/>
      <c r="BH63" s="111"/>
      <c r="BI63" s="111"/>
      <c r="BJ63" s="111"/>
      <c r="BK63" s="111"/>
      <c r="BL63" s="111"/>
      <c r="BM63" s="111"/>
      <c r="BN63" s="213"/>
      <c r="BO63" s="111"/>
      <c r="BP63" s="111"/>
      <c r="BQ63" s="213"/>
      <c r="BR63" s="173"/>
      <c r="BS63" s="214"/>
      <c r="BV63" s="213"/>
      <c r="BW63" s="111"/>
      <c r="BX63" s="111"/>
      <c r="BY63" s="1"/>
      <c r="BZ63" s="111"/>
      <c r="CA63" s="111"/>
      <c r="CC63" s="111"/>
      <c r="CD63" s="111"/>
      <c r="CE63" s="111"/>
      <c r="CF63" s="215"/>
      <c r="CG63" s="211"/>
      <c r="CH63" s="215"/>
      <c r="CM63" s="111"/>
      <c r="CN63" s="111"/>
    </row>
    <row r="64" spans="1:92" ht="15" x14ac:dyDescent="0.2">
      <c r="A64" s="195" t="s">
        <v>1175</v>
      </c>
      <c r="B64" s="179" t="s">
        <v>615</v>
      </c>
      <c r="C64" s="7" t="s">
        <v>1811</v>
      </c>
      <c r="D64" s="52" t="s">
        <v>4638</v>
      </c>
      <c r="E64" s="52"/>
      <c r="F64" s="52" t="s">
        <v>80</v>
      </c>
      <c r="G64" s="8" t="s">
        <v>1256</v>
      </c>
      <c r="H64" s="8"/>
      <c r="I64" s="8" t="s">
        <v>1256</v>
      </c>
      <c r="J64" s="8" t="s">
        <v>1257</v>
      </c>
      <c r="K64" s="8" t="s">
        <v>1354</v>
      </c>
      <c r="L64" s="8" t="s">
        <v>1257</v>
      </c>
      <c r="M64" s="8" t="s">
        <v>81</v>
      </c>
      <c r="N64" s="8" t="s">
        <v>1276</v>
      </c>
      <c r="O64" s="57">
        <v>43707</v>
      </c>
      <c r="P64" s="7" t="s">
        <v>1299</v>
      </c>
      <c r="Q64" s="3" t="s">
        <v>4344</v>
      </c>
      <c r="R64" s="16">
        <v>43885</v>
      </c>
      <c r="S64" s="5">
        <v>2.8833792470156099E-2</v>
      </c>
      <c r="T64" s="4">
        <v>1256</v>
      </c>
      <c r="U64" s="57"/>
      <c r="V64" s="8" t="s">
        <v>1726</v>
      </c>
      <c r="W64" s="8"/>
      <c r="X64" s="8"/>
      <c r="Y64" s="8"/>
      <c r="Z64" s="8"/>
      <c r="AA64" s="7"/>
      <c r="AB64" s="7" t="s">
        <v>29</v>
      </c>
      <c r="AC64" s="8" t="s">
        <v>1347</v>
      </c>
      <c r="AD64" s="8" t="s">
        <v>4206</v>
      </c>
      <c r="AE64" s="26">
        <v>43994.552430555559</v>
      </c>
      <c r="AF64" s="8" t="s">
        <v>4325</v>
      </c>
      <c r="AG64" s="26">
        <v>43753.617280092592</v>
      </c>
      <c r="AH64" s="1"/>
      <c r="AI64" s="216">
        <v>48</v>
      </c>
      <c r="AJ64" s="216" t="s">
        <v>4939</v>
      </c>
      <c r="AK64" s="216" t="s">
        <v>3512</v>
      </c>
      <c r="AL64" s="216" t="s">
        <v>27</v>
      </c>
      <c r="AM64" s="216" t="s">
        <v>4869</v>
      </c>
      <c r="AN64" s="216"/>
      <c r="AO64" s="230"/>
      <c r="AP64" s="230"/>
      <c r="AQ64" s="230"/>
      <c r="AR64" s="188" t="str">
        <f>IF(SP_AcqTract_DB[[#This Row],[Count '# in TaxID]]=1,LEFT(SP_AcqTract_DB[[#This Row],[WCAD Tax Parcel ID]],7),IF(SP_AcqTract_DB[[#This Row],[Count '# in TaxID]]=2,CONCATENATE(LEFT(SP_AcqTract_DB[[#This Row],[WCAD Tax Parcel ID]],7),";",MID(SP_AcqTract_DB[[#This Row],[WCAD Tax Parcel ID]],FIND("#",SP_AcqTract_DB[[#This Row],[WCAD Tax Parcel ID]],10)+1,7)),IF(SP_AcqTract_DB[[#This Row],[Count '# in TaxID]]&gt;2,CONCATENATE(LEFT(SP_AcqTract_DB[[#This Row],[WCAD Tax Parcel ID]],7),";",MID(SP_AcqTract_DB[[#This Row],[WCAD Tax Parcel ID]],FIND("#",SP_AcqTract_DB[[#This Row],[WCAD Tax Parcel ID]],10)+1,7),";",MID(SP_AcqTract_DB[[#This Row],[WCAD Tax Parcel ID]],FIND("#",SP_AcqTract_DB[[#This Row],[WCAD Tax Parcel ID]],23)+1,7)),"")))</f>
        <v>R023003</v>
      </c>
      <c r="AS64" s="54">
        <f>IF(SP_AcqTract_DB[[#This Row],[WCAD Tax Parcel ID]]="",0,(LEN(SP_AcqTract_DB[[#This Row],[WCAD Tax Parcel ID]])-LEN(SUBSTITUTE(SP_AcqTract_DB[[#This Row],[WCAD Tax Parcel ID]],"#",""))+1)/2)</f>
        <v>1</v>
      </c>
      <c r="AT64" s="190">
        <f>IF(SP_AcqTract_DB[[#This Row],[WCAD Tax Parcel ID]]="",0,COUNTIF(SP_TaxPar_DB[Acquisition Tract No.],SP_AcqTract_DB[[#This Row],[Acquisition Tract No.]]))</f>
        <v>1</v>
      </c>
      <c r="AU64" s="189">
        <f>COUNTIF(ACQStatus_ACQTNo.,SP_AcqTract_DB[[#This Row],[Acquisition Tract No.]])</f>
        <v>1</v>
      </c>
      <c r="AX64" s="111"/>
      <c r="AY64" s="1"/>
      <c r="AZ64" s="111"/>
      <c r="BA64" s="211"/>
      <c r="BE64" s="111"/>
      <c r="BF64" s="111"/>
      <c r="BG64" s="111"/>
      <c r="BH64" s="111"/>
      <c r="BI64" s="111"/>
      <c r="BJ64" s="111"/>
      <c r="BK64" s="111"/>
      <c r="BL64" s="111"/>
      <c r="BM64" s="111"/>
      <c r="BN64" s="213"/>
      <c r="BO64" s="111"/>
      <c r="BP64" s="111"/>
      <c r="BQ64" s="213"/>
      <c r="BR64" s="173"/>
      <c r="BS64" s="214"/>
      <c r="BV64" s="213"/>
      <c r="BW64" s="111"/>
      <c r="BX64" s="111"/>
      <c r="BY64" s="1"/>
      <c r="BZ64" s="111"/>
      <c r="CA64" s="111"/>
      <c r="CC64" s="111"/>
      <c r="CD64" s="111"/>
      <c r="CE64" s="111"/>
      <c r="CF64" s="215"/>
      <c r="CG64" s="211"/>
      <c r="CH64" s="215"/>
      <c r="CM64" s="111"/>
      <c r="CN64" s="111"/>
    </row>
    <row r="65" spans="1:47" ht="19.5" customHeight="1" x14ac:dyDescent="0.2">
      <c r="A65" s="195" t="s">
        <v>5260</v>
      </c>
      <c r="B65" s="179" t="s">
        <v>2931</v>
      </c>
      <c r="C65" s="7" t="s">
        <v>2493</v>
      </c>
      <c r="D65" s="52" t="s">
        <v>1255</v>
      </c>
      <c r="E65" s="52"/>
      <c r="F65" s="52" t="s">
        <v>5654</v>
      </c>
      <c r="G65" s="8" t="s">
        <v>6179</v>
      </c>
      <c r="H65" s="8"/>
      <c r="I65" s="8"/>
      <c r="J65" s="8"/>
      <c r="K65" s="8"/>
      <c r="L65" s="8" t="s">
        <v>2036</v>
      </c>
      <c r="M65" s="8"/>
      <c r="N65" s="8"/>
      <c r="O65" s="57"/>
      <c r="P65" s="7"/>
      <c r="Q65" s="3"/>
      <c r="R65" s="16"/>
      <c r="S65" s="5">
        <v>0</v>
      </c>
      <c r="T65" s="4"/>
      <c r="U65" s="57"/>
      <c r="V65" s="8"/>
      <c r="W65" s="8"/>
      <c r="X65" s="8"/>
      <c r="Y65" s="8"/>
      <c r="Z65" s="8"/>
      <c r="AA65" s="7"/>
      <c r="AB65" s="7"/>
      <c r="AC65" s="8" t="s">
        <v>5261</v>
      </c>
      <c r="AD65" s="8" t="s">
        <v>4206</v>
      </c>
      <c r="AE65" s="26">
        <v>43994.42863425926</v>
      </c>
      <c r="AF65" s="8" t="s">
        <v>4206</v>
      </c>
      <c r="AG65" s="26">
        <v>43977.470266203702</v>
      </c>
      <c r="AH65" s="1"/>
      <c r="AI65" s="232">
        <v>126</v>
      </c>
      <c r="AJ65" s="232" t="s">
        <v>4939</v>
      </c>
      <c r="AK65" s="232" t="s">
        <v>3512</v>
      </c>
      <c r="AL65" s="232"/>
      <c r="AM65" s="232"/>
      <c r="AN65" s="232"/>
      <c r="AO65" s="233"/>
      <c r="AP65" s="230"/>
      <c r="AQ65" s="230"/>
      <c r="AR65" s="188" t="str">
        <f>IF(SP_AcqTract_DB[[#This Row],[Count '# in TaxID]]=1,LEFT(SP_AcqTract_DB[[#This Row],[WCAD Tax Parcel ID]],7),IF(SP_AcqTract_DB[[#This Row],[Count '# in TaxID]]=2,CONCATENATE(LEFT(SP_AcqTract_DB[[#This Row],[WCAD Tax Parcel ID]],7),";",MID(SP_AcqTract_DB[[#This Row],[WCAD Tax Parcel ID]],FIND("#",SP_AcqTract_DB[[#This Row],[WCAD Tax Parcel ID]],10)+1,7)),IF(SP_AcqTract_DB[[#This Row],[Count '# in TaxID]]&gt;2,CONCATENATE(LEFT(SP_AcqTract_DB[[#This Row],[WCAD Tax Parcel ID]],7),";",MID(SP_AcqTract_DB[[#This Row],[WCAD Tax Parcel ID]],FIND("#",SP_AcqTract_DB[[#This Row],[WCAD Tax Parcel ID]],10)+1,7),";",MID(SP_AcqTract_DB[[#This Row],[WCAD Tax Parcel ID]],FIND("#",SP_AcqTract_DB[[#This Row],[WCAD Tax Parcel ID]],23)+1,7)),"")))</f>
        <v>R018674</v>
      </c>
      <c r="AS65" s="54">
        <f>IF(SP_AcqTract_DB[[#This Row],[WCAD Tax Parcel ID]]="",0,(LEN(SP_AcqTract_DB[[#This Row],[WCAD Tax Parcel ID]])-LEN(SUBSTITUTE(SP_AcqTract_DB[[#This Row],[WCAD Tax Parcel ID]],"#",""))+1)/2)</f>
        <v>1</v>
      </c>
      <c r="AT65" s="190">
        <f>IF(SP_AcqTract_DB[[#This Row],[WCAD Tax Parcel ID]]="",0,COUNTIF(SP_TaxPar_DB[Acquisition Tract No.],SP_AcqTract_DB[[#This Row],[Acquisition Tract No.]]))</f>
        <v>1</v>
      </c>
      <c r="AU65" s="189">
        <f>COUNTIF(ACQStatus_ACQTNo.,SP_AcqTract_DB[[#This Row],[Acquisition Tract No.]])</f>
        <v>1</v>
      </c>
    </row>
    <row r="66" spans="1:47" ht="19.5" customHeight="1" x14ac:dyDescent="0.2">
      <c r="A66" s="195" t="s">
        <v>5262</v>
      </c>
      <c r="B66" s="179" t="s">
        <v>2932</v>
      </c>
      <c r="C66" s="7" t="s">
        <v>2493</v>
      </c>
      <c r="D66" s="52" t="s">
        <v>1255</v>
      </c>
      <c r="E66" s="52"/>
      <c r="F66" s="52" t="s">
        <v>5654</v>
      </c>
      <c r="G66" s="8" t="s">
        <v>6180</v>
      </c>
      <c r="H66" s="8"/>
      <c r="I66" s="8"/>
      <c r="J66" s="8"/>
      <c r="K66" s="8"/>
      <c r="L66" s="8" t="s">
        <v>2040</v>
      </c>
      <c r="M66" s="8"/>
      <c r="N66" s="8"/>
      <c r="O66" s="57"/>
      <c r="P66" s="7"/>
      <c r="Q66" s="3"/>
      <c r="R66" s="16"/>
      <c r="S66" s="5">
        <v>0</v>
      </c>
      <c r="T66" s="4"/>
      <c r="U66" s="57"/>
      <c r="V66" s="8"/>
      <c r="W66" s="8"/>
      <c r="X66" s="8"/>
      <c r="Y66" s="8"/>
      <c r="Z66" s="8"/>
      <c r="AA66" s="7"/>
      <c r="AB66" s="7"/>
      <c r="AC66" s="8" t="s">
        <v>5263</v>
      </c>
      <c r="AD66" s="8" t="s">
        <v>4206</v>
      </c>
      <c r="AE66" s="26">
        <v>43994.42863425926</v>
      </c>
      <c r="AF66" s="8" t="s">
        <v>4206</v>
      </c>
      <c r="AG66" s="26">
        <v>43977.470625000002</v>
      </c>
      <c r="AH66" s="1"/>
      <c r="AI66" s="232">
        <v>127</v>
      </c>
      <c r="AJ66" s="232" t="s">
        <v>4939</v>
      </c>
      <c r="AK66" s="232" t="s">
        <v>3512</v>
      </c>
      <c r="AL66" s="232"/>
      <c r="AM66" s="232"/>
      <c r="AN66" s="232"/>
      <c r="AO66" s="233"/>
      <c r="AP66" s="230"/>
      <c r="AQ66" s="230"/>
      <c r="AR66" s="188" t="str">
        <f>IF(SP_AcqTract_DB[[#This Row],[Count '# in TaxID]]=1,LEFT(SP_AcqTract_DB[[#This Row],[WCAD Tax Parcel ID]],7),IF(SP_AcqTract_DB[[#This Row],[Count '# in TaxID]]=2,CONCATENATE(LEFT(SP_AcqTract_DB[[#This Row],[WCAD Tax Parcel ID]],7),";",MID(SP_AcqTract_DB[[#This Row],[WCAD Tax Parcel ID]],FIND("#",SP_AcqTract_DB[[#This Row],[WCAD Tax Parcel ID]],10)+1,7)),IF(SP_AcqTract_DB[[#This Row],[Count '# in TaxID]]&gt;2,CONCATENATE(LEFT(SP_AcqTract_DB[[#This Row],[WCAD Tax Parcel ID]],7),";",MID(SP_AcqTract_DB[[#This Row],[WCAD Tax Parcel ID]],FIND("#",SP_AcqTract_DB[[#This Row],[WCAD Tax Parcel ID]],10)+1,7),";",MID(SP_AcqTract_DB[[#This Row],[WCAD Tax Parcel ID]],FIND("#",SP_AcqTract_DB[[#This Row],[WCAD Tax Parcel ID]],23)+1,7)),"")))</f>
        <v>R018678</v>
      </c>
      <c r="AS66" s="54">
        <f>IF(SP_AcqTract_DB[[#This Row],[WCAD Tax Parcel ID]]="",0,(LEN(SP_AcqTract_DB[[#This Row],[WCAD Tax Parcel ID]])-LEN(SUBSTITUTE(SP_AcqTract_DB[[#This Row],[WCAD Tax Parcel ID]],"#",""))+1)/2)</f>
        <v>1</v>
      </c>
      <c r="AT66" s="190">
        <f>IF(SP_AcqTract_DB[[#This Row],[WCAD Tax Parcel ID]]="",0,COUNTIF(SP_TaxPar_DB[Acquisition Tract No.],SP_AcqTract_DB[[#This Row],[Acquisition Tract No.]]))</f>
        <v>1</v>
      </c>
      <c r="AU66" s="189">
        <f>COUNTIF(ACQStatus_ACQTNo.,SP_AcqTract_DB[[#This Row],[Acquisition Tract No.]])</f>
        <v>1</v>
      </c>
    </row>
    <row r="67" spans="1:47" ht="19.5" customHeight="1" x14ac:dyDescent="0.2">
      <c r="A67" s="195" t="s">
        <v>5264</v>
      </c>
      <c r="B67" s="179" t="s">
        <v>2933</v>
      </c>
      <c r="C67" s="7" t="s">
        <v>2493</v>
      </c>
      <c r="D67" s="52" t="s">
        <v>1255</v>
      </c>
      <c r="E67" s="52"/>
      <c r="F67" s="52" t="s">
        <v>5654</v>
      </c>
      <c r="G67" s="8" t="s">
        <v>6181</v>
      </c>
      <c r="H67" s="8"/>
      <c r="I67" s="8"/>
      <c r="J67" s="8"/>
      <c r="K67" s="8"/>
      <c r="L67" s="8" t="s">
        <v>2047</v>
      </c>
      <c r="M67" s="8"/>
      <c r="N67" s="8"/>
      <c r="O67" s="57"/>
      <c r="P67" s="7"/>
      <c r="Q67" s="3"/>
      <c r="R67" s="16"/>
      <c r="S67" s="5">
        <v>0</v>
      </c>
      <c r="T67" s="4"/>
      <c r="U67" s="57"/>
      <c r="V67" s="8"/>
      <c r="W67" s="8"/>
      <c r="X67" s="8"/>
      <c r="Y67" s="8"/>
      <c r="Z67" s="8"/>
      <c r="AA67" s="7"/>
      <c r="AB67" s="7"/>
      <c r="AC67" s="8" t="s">
        <v>5265</v>
      </c>
      <c r="AD67" s="8" t="s">
        <v>4206</v>
      </c>
      <c r="AE67" s="26">
        <v>43994.42863425926</v>
      </c>
      <c r="AF67" s="8" t="s">
        <v>4206</v>
      </c>
      <c r="AG67" s="26">
        <v>43977.470949074072</v>
      </c>
      <c r="AH67" s="1"/>
      <c r="AI67" s="232">
        <v>128</v>
      </c>
      <c r="AJ67" s="232" t="s">
        <v>4939</v>
      </c>
      <c r="AK67" s="232" t="s">
        <v>3512</v>
      </c>
      <c r="AL67" s="232"/>
      <c r="AM67" s="232"/>
      <c r="AN67" s="232"/>
      <c r="AO67" s="233"/>
      <c r="AP67" s="230"/>
      <c r="AQ67" s="230"/>
      <c r="AR67" s="188" t="str">
        <f>IF(SP_AcqTract_DB[[#This Row],[Count '# in TaxID]]=1,LEFT(SP_AcqTract_DB[[#This Row],[WCAD Tax Parcel ID]],7),IF(SP_AcqTract_DB[[#This Row],[Count '# in TaxID]]=2,CONCATENATE(LEFT(SP_AcqTract_DB[[#This Row],[WCAD Tax Parcel ID]],7),";",MID(SP_AcqTract_DB[[#This Row],[WCAD Tax Parcel ID]],FIND("#",SP_AcqTract_DB[[#This Row],[WCAD Tax Parcel ID]],10)+1,7)),IF(SP_AcqTract_DB[[#This Row],[Count '# in TaxID]]&gt;2,CONCATENATE(LEFT(SP_AcqTract_DB[[#This Row],[WCAD Tax Parcel ID]],7),";",MID(SP_AcqTract_DB[[#This Row],[WCAD Tax Parcel ID]],FIND("#",SP_AcqTract_DB[[#This Row],[WCAD Tax Parcel ID]],10)+1,7),";",MID(SP_AcqTract_DB[[#This Row],[WCAD Tax Parcel ID]],FIND("#",SP_AcqTract_DB[[#This Row],[WCAD Tax Parcel ID]],23)+1,7)),"")))</f>
        <v>R018679</v>
      </c>
      <c r="AS67" s="54">
        <f>IF(SP_AcqTract_DB[[#This Row],[WCAD Tax Parcel ID]]="",0,(LEN(SP_AcqTract_DB[[#This Row],[WCAD Tax Parcel ID]])-LEN(SUBSTITUTE(SP_AcqTract_DB[[#This Row],[WCAD Tax Parcel ID]],"#",""))+1)/2)</f>
        <v>1</v>
      </c>
      <c r="AT67" s="190">
        <f>IF(SP_AcqTract_DB[[#This Row],[WCAD Tax Parcel ID]]="",0,COUNTIF(SP_TaxPar_DB[Acquisition Tract No.],SP_AcqTract_DB[[#This Row],[Acquisition Tract No.]]))</f>
        <v>1</v>
      </c>
      <c r="AU67" s="189">
        <f>COUNTIF(ACQStatus_ACQTNo.,SP_AcqTract_DB[[#This Row],[Acquisition Tract No.]])</f>
        <v>1</v>
      </c>
    </row>
    <row r="68" spans="1:47" ht="19.5" customHeight="1" x14ac:dyDescent="0.2">
      <c r="A68" s="195" t="s">
        <v>5266</v>
      </c>
      <c r="B68" s="179" t="s">
        <v>2934</v>
      </c>
      <c r="C68" s="7" t="s">
        <v>2493</v>
      </c>
      <c r="D68" s="52" t="s">
        <v>1255</v>
      </c>
      <c r="E68" s="52"/>
      <c r="F68" s="52" t="s">
        <v>5654</v>
      </c>
      <c r="G68" s="8" t="s">
        <v>6182</v>
      </c>
      <c r="H68" s="8"/>
      <c r="I68" s="8"/>
      <c r="J68" s="8"/>
      <c r="K68" s="8"/>
      <c r="L68" s="8" t="s">
        <v>2047</v>
      </c>
      <c r="M68" s="8"/>
      <c r="N68" s="8"/>
      <c r="O68" s="57"/>
      <c r="P68" s="7"/>
      <c r="Q68" s="3"/>
      <c r="R68" s="16"/>
      <c r="S68" s="5">
        <v>0</v>
      </c>
      <c r="T68" s="4"/>
      <c r="U68" s="57"/>
      <c r="V68" s="8"/>
      <c r="W68" s="8"/>
      <c r="X68" s="8"/>
      <c r="Y68" s="8"/>
      <c r="Z68" s="8"/>
      <c r="AA68" s="7"/>
      <c r="AB68" s="7"/>
      <c r="AC68" s="8" t="s">
        <v>5267</v>
      </c>
      <c r="AD68" s="8" t="s">
        <v>4206</v>
      </c>
      <c r="AE68" s="26">
        <v>43994.42863425926</v>
      </c>
      <c r="AF68" s="8" t="s">
        <v>4206</v>
      </c>
      <c r="AG68" s="26">
        <v>43977.471331018518</v>
      </c>
      <c r="AH68" s="1"/>
      <c r="AI68" s="232">
        <v>129</v>
      </c>
      <c r="AJ68" s="232" t="s">
        <v>4939</v>
      </c>
      <c r="AK68" s="232" t="s">
        <v>3512</v>
      </c>
      <c r="AL68" s="232"/>
      <c r="AM68" s="232"/>
      <c r="AN68" s="232"/>
      <c r="AO68" s="233"/>
      <c r="AP68" s="230"/>
      <c r="AQ68" s="230"/>
      <c r="AR68" s="188" t="str">
        <f>IF(SP_AcqTract_DB[[#This Row],[Count '# in TaxID]]=1,LEFT(SP_AcqTract_DB[[#This Row],[WCAD Tax Parcel ID]],7),IF(SP_AcqTract_DB[[#This Row],[Count '# in TaxID]]=2,CONCATENATE(LEFT(SP_AcqTract_DB[[#This Row],[WCAD Tax Parcel ID]],7),";",MID(SP_AcqTract_DB[[#This Row],[WCAD Tax Parcel ID]],FIND("#",SP_AcqTract_DB[[#This Row],[WCAD Tax Parcel ID]],10)+1,7)),IF(SP_AcqTract_DB[[#This Row],[Count '# in TaxID]]&gt;2,CONCATENATE(LEFT(SP_AcqTract_DB[[#This Row],[WCAD Tax Parcel ID]],7),";",MID(SP_AcqTract_DB[[#This Row],[WCAD Tax Parcel ID]],FIND("#",SP_AcqTract_DB[[#This Row],[WCAD Tax Parcel ID]],10)+1,7),";",MID(SP_AcqTract_DB[[#This Row],[WCAD Tax Parcel ID]],FIND("#",SP_AcqTract_DB[[#This Row],[WCAD Tax Parcel ID]],23)+1,7)),"")))</f>
        <v>R018684</v>
      </c>
      <c r="AS68" s="54">
        <f>IF(SP_AcqTract_DB[[#This Row],[WCAD Tax Parcel ID]]="",0,(LEN(SP_AcqTract_DB[[#This Row],[WCAD Tax Parcel ID]])-LEN(SUBSTITUTE(SP_AcqTract_DB[[#This Row],[WCAD Tax Parcel ID]],"#",""))+1)/2)</f>
        <v>1</v>
      </c>
      <c r="AT68" s="190">
        <f>IF(SP_AcqTract_DB[[#This Row],[WCAD Tax Parcel ID]]="",0,COUNTIF(SP_TaxPar_DB[Acquisition Tract No.],SP_AcqTract_DB[[#This Row],[Acquisition Tract No.]]))</f>
        <v>1</v>
      </c>
      <c r="AU68" s="189">
        <f>COUNTIF(ACQStatus_ACQTNo.,SP_AcqTract_DB[[#This Row],[Acquisition Tract No.]])</f>
        <v>1</v>
      </c>
    </row>
    <row r="69" spans="1:47" ht="19.5" customHeight="1" x14ac:dyDescent="0.2">
      <c r="A69" s="195" t="s">
        <v>5268</v>
      </c>
      <c r="B69" s="179" t="s">
        <v>2935</v>
      </c>
      <c r="C69" s="7" t="s">
        <v>2493</v>
      </c>
      <c r="D69" s="52" t="s">
        <v>1255</v>
      </c>
      <c r="E69" s="52"/>
      <c r="F69" s="52" t="s">
        <v>5654</v>
      </c>
      <c r="G69" s="8" t="s">
        <v>6183</v>
      </c>
      <c r="H69" s="8"/>
      <c r="I69" s="8"/>
      <c r="J69" s="8"/>
      <c r="K69" s="8"/>
      <c r="L69" s="8" t="s">
        <v>2056</v>
      </c>
      <c r="M69" s="8"/>
      <c r="N69" s="8"/>
      <c r="O69" s="57"/>
      <c r="P69" s="7"/>
      <c r="Q69" s="3"/>
      <c r="R69" s="16"/>
      <c r="S69" s="5">
        <v>0</v>
      </c>
      <c r="T69" s="4"/>
      <c r="U69" s="57"/>
      <c r="V69" s="8"/>
      <c r="W69" s="8"/>
      <c r="X69" s="8"/>
      <c r="Y69" s="8"/>
      <c r="Z69" s="8"/>
      <c r="AA69" s="7"/>
      <c r="AB69" s="7"/>
      <c r="AC69" s="8" t="s">
        <v>5269</v>
      </c>
      <c r="AD69" s="8" t="s">
        <v>4206</v>
      </c>
      <c r="AE69" s="26">
        <v>43994.42863425926</v>
      </c>
      <c r="AF69" s="8" t="s">
        <v>4206</v>
      </c>
      <c r="AG69" s="26">
        <v>43977.471678240741</v>
      </c>
      <c r="AH69" s="1"/>
      <c r="AI69" s="232">
        <v>130</v>
      </c>
      <c r="AJ69" s="232" t="s">
        <v>4939</v>
      </c>
      <c r="AK69" s="232" t="s">
        <v>3512</v>
      </c>
      <c r="AL69" s="232"/>
      <c r="AM69" s="232"/>
      <c r="AN69" s="232"/>
      <c r="AO69" s="233"/>
      <c r="AP69" s="230"/>
      <c r="AQ69" s="230"/>
      <c r="AR69" s="188" t="str">
        <f>IF(SP_AcqTract_DB[[#This Row],[Count '# in TaxID]]=1,LEFT(SP_AcqTract_DB[[#This Row],[WCAD Tax Parcel ID]],7),IF(SP_AcqTract_DB[[#This Row],[Count '# in TaxID]]=2,CONCATENATE(LEFT(SP_AcqTract_DB[[#This Row],[WCAD Tax Parcel ID]],7),";",MID(SP_AcqTract_DB[[#This Row],[WCAD Tax Parcel ID]],FIND("#",SP_AcqTract_DB[[#This Row],[WCAD Tax Parcel ID]],10)+1,7)),IF(SP_AcqTract_DB[[#This Row],[Count '# in TaxID]]&gt;2,CONCATENATE(LEFT(SP_AcqTract_DB[[#This Row],[WCAD Tax Parcel ID]],7),";",MID(SP_AcqTract_DB[[#This Row],[WCAD Tax Parcel ID]],FIND("#",SP_AcqTract_DB[[#This Row],[WCAD Tax Parcel ID]],10)+1,7),";",MID(SP_AcqTract_DB[[#This Row],[WCAD Tax Parcel ID]],FIND("#",SP_AcqTract_DB[[#This Row],[WCAD Tax Parcel ID]],23)+1,7)),"")))</f>
        <v>R018695</v>
      </c>
      <c r="AS69" s="54">
        <f>IF(SP_AcqTract_DB[[#This Row],[WCAD Tax Parcel ID]]="",0,(LEN(SP_AcqTract_DB[[#This Row],[WCAD Tax Parcel ID]])-LEN(SUBSTITUTE(SP_AcqTract_DB[[#This Row],[WCAD Tax Parcel ID]],"#",""))+1)/2)</f>
        <v>1</v>
      </c>
      <c r="AT69" s="190">
        <f>IF(SP_AcqTract_DB[[#This Row],[WCAD Tax Parcel ID]]="",0,COUNTIF(SP_TaxPar_DB[Acquisition Tract No.],SP_AcqTract_DB[[#This Row],[Acquisition Tract No.]]))</f>
        <v>1</v>
      </c>
      <c r="AU69" s="189">
        <f>COUNTIF(ACQStatus_ACQTNo.,SP_AcqTract_DB[[#This Row],[Acquisition Tract No.]])</f>
        <v>1</v>
      </c>
    </row>
    <row r="70" spans="1:47" ht="19.5" customHeight="1" x14ac:dyDescent="0.2">
      <c r="A70" s="195" t="s">
        <v>5252</v>
      </c>
      <c r="B70" s="179" t="s">
        <v>2936</v>
      </c>
      <c r="C70" s="7" t="s">
        <v>2493</v>
      </c>
      <c r="D70" s="52" t="s">
        <v>1255</v>
      </c>
      <c r="E70" s="52"/>
      <c r="F70" s="52" t="s">
        <v>6464</v>
      </c>
      <c r="G70" s="8" t="s">
        <v>6184</v>
      </c>
      <c r="H70" s="8"/>
      <c r="I70" s="8"/>
      <c r="J70" s="8"/>
      <c r="K70" s="8"/>
      <c r="L70" s="8" t="s">
        <v>2061</v>
      </c>
      <c r="M70" s="8"/>
      <c r="N70" s="8"/>
      <c r="O70" s="57"/>
      <c r="P70" s="7"/>
      <c r="Q70" s="3"/>
      <c r="R70" s="16"/>
      <c r="S70" s="5">
        <v>0</v>
      </c>
      <c r="T70" s="4"/>
      <c r="U70" s="57"/>
      <c r="V70" s="8"/>
      <c r="W70" s="8"/>
      <c r="X70" s="8"/>
      <c r="Y70" s="8"/>
      <c r="Z70" s="8"/>
      <c r="AA70" s="7"/>
      <c r="AB70" s="7"/>
      <c r="AC70" s="8" t="s">
        <v>5270</v>
      </c>
      <c r="AD70" s="8" t="s">
        <v>4206</v>
      </c>
      <c r="AE70" s="26">
        <v>44008.316493055558</v>
      </c>
      <c r="AF70" s="8" t="s">
        <v>4206</v>
      </c>
      <c r="AG70" s="26">
        <v>43959.467233796298</v>
      </c>
      <c r="AH70" s="1"/>
      <c r="AI70" s="232">
        <v>72</v>
      </c>
      <c r="AJ70" s="232" t="s">
        <v>4939</v>
      </c>
      <c r="AK70" s="232" t="s">
        <v>3512</v>
      </c>
      <c r="AL70" s="232"/>
      <c r="AM70" s="232"/>
      <c r="AN70" s="232"/>
      <c r="AO70" s="233"/>
      <c r="AP70" s="230"/>
      <c r="AQ70" s="230"/>
      <c r="AR70" s="188" t="str">
        <f>IF(SP_AcqTract_DB[[#This Row],[Count '# in TaxID]]=1,LEFT(SP_AcqTract_DB[[#This Row],[WCAD Tax Parcel ID]],7),IF(SP_AcqTract_DB[[#This Row],[Count '# in TaxID]]=2,CONCATENATE(LEFT(SP_AcqTract_DB[[#This Row],[WCAD Tax Parcel ID]],7),";",MID(SP_AcqTract_DB[[#This Row],[WCAD Tax Parcel ID]],FIND("#",SP_AcqTract_DB[[#This Row],[WCAD Tax Parcel ID]],10)+1,7)),IF(SP_AcqTract_DB[[#This Row],[Count '# in TaxID]]&gt;2,CONCATENATE(LEFT(SP_AcqTract_DB[[#This Row],[WCAD Tax Parcel ID]],7),";",MID(SP_AcqTract_DB[[#This Row],[WCAD Tax Parcel ID]],FIND("#",SP_AcqTract_DB[[#This Row],[WCAD Tax Parcel ID]],10)+1,7),";",MID(SP_AcqTract_DB[[#This Row],[WCAD Tax Parcel ID]],FIND("#",SP_AcqTract_DB[[#This Row],[WCAD Tax Parcel ID]],23)+1,7)),"")))</f>
        <v>R018696</v>
      </c>
      <c r="AS70" s="54">
        <f>IF(SP_AcqTract_DB[[#This Row],[WCAD Tax Parcel ID]]="",0,(LEN(SP_AcqTract_DB[[#This Row],[WCAD Tax Parcel ID]])-LEN(SUBSTITUTE(SP_AcqTract_DB[[#This Row],[WCAD Tax Parcel ID]],"#",""))+1)/2)</f>
        <v>1</v>
      </c>
      <c r="AT70" s="190">
        <f>IF(SP_AcqTract_DB[[#This Row],[WCAD Tax Parcel ID]]="",0,COUNTIF(SP_TaxPar_DB[Acquisition Tract No.],SP_AcqTract_DB[[#This Row],[Acquisition Tract No.]]))</f>
        <v>1</v>
      </c>
      <c r="AU70" s="189">
        <f>COUNTIF(ACQStatus_ACQTNo.,SP_AcqTract_DB[[#This Row],[Acquisition Tract No.]])</f>
        <v>1</v>
      </c>
    </row>
    <row r="71" spans="1:47" ht="19.5" customHeight="1" x14ac:dyDescent="0.2">
      <c r="A71" s="195" t="s">
        <v>5271</v>
      </c>
      <c r="B71" s="179" t="s">
        <v>2937</v>
      </c>
      <c r="C71" s="7" t="s">
        <v>2493</v>
      </c>
      <c r="D71" s="52" t="s">
        <v>1255</v>
      </c>
      <c r="E71" s="52"/>
      <c r="F71" s="52" t="s">
        <v>6464</v>
      </c>
      <c r="G71" s="8" t="s">
        <v>6185</v>
      </c>
      <c r="H71" s="8"/>
      <c r="I71" s="8"/>
      <c r="J71" s="8"/>
      <c r="K71" s="8"/>
      <c r="L71" s="8" t="s">
        <v>2067</v>
      </c>
      <c r="M71" s="8"/>
      <c r="N71" s="8"/>
      <c r="O71" s="57"/>
      <c r="P71" s="7"/>
      <c r="Q71" s="3"/>
      <c r="R71" s="16"/>
      <c r="S71" s="5">
        <v>0</v>
      </c>
      <c r="T71" s="4"/>
      <c r="U71" s="57"/>
      <c r="V71" s="8"/>
      <c r="W71" s="8"/>
      <c r="X71" s="8"/>
      <c r="Y71" s="8"/>
      <c r="Z71" s="8"/>
      <c r="AA71" s="7"/>
      <c r="AB71" s="7"/>
      <c r="AC71" s="8" t="s">
        <v>5272</v>
      </c>
      <c r="AD71" s="8" t="s">
        <v>4206</v>
      </c>
      <c r="AE71" s="26">
        <v>44008.316516203704</v>
      </c>
      <c r="AF71" s="8" t="s">
        <v>4206</v>
      </c>
      <c r="AG71" s="26">
        <v>43977.472199074073</v>
      </c>
      <c r="AH71" s="1"/>
      <c r="AI71" s="232">
        <v>131</v>
      </c>
      <c r="AJ71" s="232" t="s">
        <v>4939</v>
      </c>
      <c r="AK71" s="232" t="s">
        <v>3512</v>
      </c>
      <c r="AL71" s="232"/>
      <c r="AM71" s="232"/>
      <c r="AN71" s="232"/>
      <c r="AO71" s="233"/>
      <c r="AP71" s="230"/>
      <c r="AQ71" s="230"/>
      <c r="AR71" s="188" t="str">
        <f>IF(SP_AcqTract_DB[[#This Row],[Count '# in TaxID]]=1,LEFT(SP_AcqTract_DB[[#This Row],[WCAD Tax Parcel ID]],7),IF(SP_AcqTract_DB[[#This Row],[Count '# in TaxID]]=2,CONCATENATE(LEFT(SP_AcqTract_DB[[#This Row],[WCAD Tax Parcel ID]],7),";",MID(SP_AcqTract_DB[[#This Row],[WCAD Tax Parcel ID]],FIND("#",SP_AcqTract_DB[[#This Row],[WCAD Tax Parcel ID]],10)+1,7)),IF(SP_AcqTract_DB[[#This Row],[Count '# in TaxID]]&gt;2,CONCATENATE(LEFT(SP_AcqTract_DB[[#This Row],[WCAD Tax Parcel ID]],7),";",MID(SP_AcqTract_DB[[#This Row],[WCAD Tax Parcel ID]],FIND("#",SP_AcqTract_DB[[#This Row],[WCAD Tax Parcel ID]],10)+1,7),";",MID(SP_AcqTract_DB[[#This Row],[WCAD Tax Parcel ID]],FIND("#",SP_AcqTract_DB[[#This Row],[WCAD Tax Parcel ID]],23)+1,7)),"")))</f>
        <v>R018697</v>
      </c>
      <c r="AS71" s="54">
        <f>IF(SP_AcqTract_DB[[#This Row],[WCAD Tax Parcel ID]]="",0,(LEN(SP_AcqTract_DB[[#This Row],[WCAD Tax Parcel ID]])-LEN(SUBSTITUTE(SP_AcqTract_DB[[#This Row],[WCAD Tax Parcel ID]],"#",""))+1)/2)</f>
        <v>1</v>
      </c>
      <c r="AT71" s="190">
        <f>IF(SP_AcqTract_DB[[#This Row],[WCAD Tax Parcel ID]]="",0,COUNTIF(SP_TaxPar_DB[Acquisition Tract No.],SP_AcqTract_DB[[#This Row],[Acquisition Tract No.]]))</f>
        <v>1</v>
      </c>
      <c r="AU71" s="189">
        <f>COUNTIF(ACQStatus_ACQTNo.,SP_AcqTract_DB[[#This Row],[Acquisition Tract No.]])</f>
        <v>1</v>
      </c>
    </row>
    <row r="72" spans="1:47" ht="19.5" customHeight="1" x14ac:dyDescent="0.2">
      <c r="A72" s="195" t="s">
        <v>5253</v>
      </c>
      <c r="B72" s="179" t="s">
        <v>2989</v>
      </c>
      <c r="C72" s="7" t="s">
        <v>2493</v>
      </c>
      <c r="D72" s="52" t="s">
        <v>1255</v>
      </c>
      <c r="E72" s="52"/>
      <c r="F72" s="52" t="s">
        <v>6464</v>
      </c>
      <c r="G72" s="8" t="s">
        <v>6186</v>
      </c>
      <c r="H72" s="8"/>
      <c r="I72" s="8"/>
      <c r="J72" s="8"/>
      <c r="K72" s="8"/>
      <c r="L72" s="8" t="s">
        <v>2047</v>
      </c>
      <c r="M72" s="8"/>
      <c r="N72" s="8"/>
      <c r="O72" s="57"/>
      <c r="P72" s="7"/>
      <c r="Q72" s="3"/>
      <c r="R72" s="16"/>
      <c r="S72" s="5">
        <v>0</v>
      </c>
      <c r="T72" s="4"/>
      <c r="U72" s="57"/>
      <c r="V72" s="8"/>
      <c r="W72" s="8"/>
      <c r="X72" s="8"/>
      <c r="Y72" s="8"/>
      <c r="Z72" s="8"/>
      <c r="AA72" s="7"/>
      <c r="AB72" s="7"/>
      <c r="AC72" s="8" t="s">
        <v>5273</v>
      </c>
      <c r="AD72" s="8" t="s">
        <v>4206</v>
      </c>
      <c r="AE72" s="26">
        <v>44008.316620370373</v>
      </c>
      <c r="AF72" s="8" t="s">
        <v>4206</v>
      </c>
      <c r="AG72" s="26">
        <v>43959.492604166669</v>
      </c>
      <c r="AH72" s="1"/>
      <c r="AI72" s="232">
        <v>73</v>
      </c>
      <c r="AJ72" s="232" t="s">
        <v>4939</v>
      </c>
      <c r="AK72" s="232" t="s">
        <v>3512</v>
      </c>
      <c r="AL72" s="232"/>
      <c r="AM72" s="232"/>
      <c r="AN72" s="232"/>
      <c r="AO72" s="233"/>
      <c r="AP72" s="230"/>
      <c r="AQ72" s="230"/>
      <c r="AR72" s="188" t="str">
        <f>IF(SP_AcqTract_DB[[#This Row],[Count '# in TaxID]]=1,LEFT(SP_AcqTract_DB[[#This Row],[WCAD Tax Parcel ID]],7),IF(SP_AcqTract_DB[[#This Row],[Count '# in TaxID]]=2,CONCATENATE(LEFT(SP_AcqTract_DB[[#This Row],[WCAD Tax Parcel ID]],7),";",MID(SP_AcqTract_DB[[#This Row],[WCAD Tax Parcel ID]],FIND("#",SP_AcqTract_DB[[#This Row],[WCAD Tax Parcel ID]],10)+1,7)),IF(SP_AcqTract_DB[[#This Row],[Count '# in TaxID]]&gt;2,CONCATENATE(LEFT(SP_AcqTract_DB[[#This Row],[WCAD Tax Parcel ID]],7),";",MID(SP_AcqTract_DB[[#This Row],[WCAD Tax Parcel ID]],FIND("#",SP_AcqTract_DB[[#This Row],[WCAD Tax Parcel ID]],10)+1,7),";",MID(SP_AcqTract_DB[[#This Row],[WCAD Tax Parcel ID]],FIND("#",SP_AcqTract_DB[[#This Row],[WCAD Tax Parcel ID]],23)+1,7)),"")))</f>
        <v>R022826</v>
      </c>
      <c r="AS72" s="54">
        <f>IF(SP_AcqTract_DB[[#This Row],[WCAD Tax Parcel ID]]="",0,(LEN(SP_AcqTract_DB[[#This Row],[WCAD Tax Parcel ID]])-LEN(SUBSTITUTE(SP_AcqTract_DB[[#This Row],[WCAD Tax Parcel ID]],"#",""))+1)/2)</f>
        <v>1</v>
      </c>
      <c r="AT72" s="190">
        <f>IF(SP_AcqTract_DB[[#This Row],[WCAD Tax Parcel ID]]="",0,COUNTIF(SP_TaxPar_DB[Acquisition Tract No.],SP_AcqTract_DB[[#This Row],[Acquisition Tract No.]]))</f>
        <v>1</v>
      </c>
      <c r="AU72" s="189">
        <f>COUNTIF(ACQStatus_ACQTNo.,SP_AcqTract_DB[[#This Row],[Acquisition Tract No.]])</f>
        <v>1</v>
      </c>
    </row>
    <row r="73" spans="1:47" ht="19.5" customHeight="1" x14ac:dyDescent="0.2">
      <c r="A73" s="195" t="s">
        <v>5254</v>
      </c>
      <c r="B73" s="179" t="s">
        <v>3204</v>
      </c>
      <c r="C73" s="7" t="s">
        <v>2493</v>
      </c>
      <c r="D73" s="52" t="s">
        <v>1255</v>
      </c>
      <c r="E73" s="52"/>
      <c r="F73" s="52" t="s">
        <v>1809</v>
      </c>
      <c r="G73" s="8" t="s">
        <v>6187</v>
      </c>
      <c r="H73" s="8"/>
      <c r="I73" s="8"/>
      <c r="J73" s="8"/>
      <c r="K73" s="8"/>
      <c r="L73" s="8" t="s">
        <v>2336</v>
      </c>
      <c r="M73" s="8"/>
      <c r="N73" s="8"/>
      <c r="O73" s="57"/>
      <c r="P73" s="7"/>
      <c r="Q73" s="3"/>
      <c r="R73" s="16"/>
      <c r="S73" s="5">
        <v>0</v>
      </c>
      <c r="T73" s="4"/>
      <c r="U73" s="57"/>
      <c r="V73" s="8"/>
      <c r="W73" s="8"/>
      <c r="X73" s="8"/>
      <c r="Y73" s="8"/>
      <c r="Z73" s="8"/>
      <c r="AA73" s="7"/>
      <c r="AB73" s="7"/>
      <c r="AC73" s="8" t="s">
        <v>5274</v>
      </c>
      <c r="AD73" s="8" t="s">
        <v>4206</v>
      </c>
      <c r="AE73" s="26">
        <v>43994.42864583333</v>
      </c>
      <c r="AF73" s="8" t="s">
        <v>4206</v>
      </c>
      <c r="AG73" s="26">
        <v>43959.495162037034</v>
      </c>
      <c r="AH73" s="1"/>
      <c r="AI73" s="232">
        <v>74</v>
      </c>
      <c r="AJ73" s="232" t="s">
        <v>4939</v>
      </c>
      <c r="AK73" s="232" t="s">
        <v>3512</v>
      </c>
      <c r="AL73" s="232"/>
      <c r="AM73" s="232"/>
      <c r="AN73" s="232"/>
      <c r="AO73" s="233"/>
      <c r="AP73" s="230"/>
      <c r="AQ73" s="230"/>
      <c r="AR73" s="188" t="str">
        <f>IF(SP_AcqTract_DB[[#This Row],[Count '# in TaxID]]=1,LEFT(SP_AcqTract_DB[[#This Row],[WCAD Tax Parcel ID]],7),IF(SP_AcqTract_DB[[#This Row],[Count '# in TaxID]]=2,CONCATENATE(LEFT(SP_AcqTract_DB[[#This Row],[WCAD Tax Parcel ID]],7),";",MID(SP_AcqTract_DB[[#This Row],[WCAD Tax Parcel ID]],FIND("#",SP_AcqTract_DB[[#This Row],[WCAD Tax Parcel ID]],10)+1,7)),IF(SP_AcqTract_DB[[#This Row],[Count '# in TaxID]]&gt;2,CONCATENATE(LEFT(SP_AcqTract_DB[[#This Row],[WCAD Tax Parcel ID]],7),";",MID(SP_AcqTract_DB[[#This Row],[WCAD Tax Parcel ID]],FIND("#",SP_AcqTract_DB[[#This Row],[WCAD Tax Parcel ID]],10)+1,7),";",MID(SP_AcqTract_DB[[#This Row],[WCAD Tax Parcel ID]],FIND("#",SP_AcqTract_DB[[#This Row],[WCAD Tax Parcel ID]],23)+1,7)),"")))</f>
        <v>R026596</v>
      </c>
      <c r="AS73" s="54">
        <f>IF(SP_AcqTract_DB[[#This Row],[WCAD Tax Parcel ID]]="",0,(LEN(SP_AcqTract_DB[[#This Row],[WCAD Tax Parcel ID]])-LEN(SUBSTITUTE(SP_AcqTract_DB[[#This Row],[WCAD Tax Parcel ID]],"#",""))+1)/2)</f>
        <v>1</v>
      </c>
      <c r="AT73" s="190">
        <f>IF(SP_AcqTract_DB[[#This Row],[WCAD Tax Parcel ID]]="",0,COUNTIF(SP_TaxPar_DB[Acquisition Tract No.],SP_AcqTract_DB[[#This Row],[Acquisition Tract No.]]))</f>
        <v>1</v>
      </c>
      <c r="AU73" s="189">
        <f>COUNTIF(ACQStatus_ACQTNo.,SP_AcqTract_DB[[#This Row],[Acquisition Tract No.]])</f>
        <v>1</v>
      </c>
    </row>
    <row r="74" spans="1:47" ht="19.5" customHeight="1" x14ac:dyDescent="0.2">
      <c r="A74" s="195" t="s">
        <v>5275</v>
      </c>
      <c r="B74" s="179" t="s">
        <v>3205</v>
      </c>
      <c r="C74" s="7" t="s">
        <v>2493</v>
      </c>
      <c r="D74" s="52" t="s">
        <v>1255</v>
      </c>
      <c r="E74" s="52"/>
      <c r="F74" s="52" t="s">
        <v>1809</v>
      </c>
      <c r="G74" s="8" t="s">
        <v>6188</v>
      </c>
      <c r="H74" s="8"/>
      <c r="I74" s="8" t="s">
        <v>5951</v>
      </c>
      <c r="J74" s="8" t="s">
        <v>6612</v>
      </c>
      <c r="K74" s="8" t="s">
        <v>6613</v>
      </c>
      <c r="L74" s="8" t="s">
        <v>2351</v>
      </c>
      <c r="M74" s="8"/>
      <c r="N74" s="8"/>
      <c r="O74" s="57"/>
      <c r="P74" s="7"/>
      <c r="Q74" s="3"/>
      <c r="R74" s="16"/>
      <c r="S74" s="5">
        <v>0</v>
      </c>
      <c r="T74" s="4"/>
      <c r="U74" s="57"/>
      <c r="V74" s="8"/>
      <c r="W74" s="8"/>
      <c r="X74" s="8"/>
      <c r="Y74" s="8"/>
      <c r="Z74" s="8"/>
      <c r="AA74" s="7"/>
      <c r="AB74" s="7"/>
      <c r="AC74" s="8" t="s">
        <v>5276</v>
      </c>
      <c r="AD74" s="8" t="s">
        <v>4206</v>
      </c>
      <c r="AE74" s="26">
        <v>44011.496435185189</v>
      </c>
      <c r="AF74" s="8" t="s">
        <v>4206</v>
      </c>
      <c r="AG74" s="26">
        <v>43959.510763888888</v>
      </c>
      <c r="AH74" s="1"/>
      <c r="AI74" s="232">
        <v>75</v>
      </c>
      <c r="AJ74" s="232" t="s">
        <v>4939</v>
      </c>
      <c r="AK74" s="232" t="s">
        <v>3512</v>
      </c>
      <c r="AL74" s="232"/>
      <c r="AM74" s="232"/>
      <c r="AN74" s="232"/>
      <c r="AO74" s="233"/>
      <c r="AP74" s="230"/>
      <c r="AQ74" s="230"/>
      <c r="AR74" s="188" t="str">
        <f>IF(SP_AcqTract_DB[[#This Row],[Count '# in TaxID]]=1,LEFT(SP_AcqTract_DB[[#This Row],[WCAD Tax Parcel ID]],7),IF(SP_AcqTract_DB[[#This Row],[Count '# in TaxID]]=2,CONCATENATE(LEFT(SP_AcqTract_DB[[#This Row],[WCAD Tax Parcel ID]],7),";",MID(SP_AcqTract_DB[[#This Row],[WCAD Tax Parcel ID]],FIND("#",SP_AcqTract_DB[[#This Row],[WCAD Tax Parcel ID]],10)+1,7)),IF(SP_AcqTract_DB[[#This Row],[Count '# in TaxID]]&gt;2,CONCATENATE(LEFT(SP_AcqTract_DB[[#This Row],[WCAD Tax Parcel ID]],7),";",MID(SP_AcqTract_DB[[#This Row],[WCAD Tax Parcel ID]],FIND("#",SP_AcqTract_DB[[#This Row],[WCAD Tax Parcel ID]],10)+1,7),";",MID(SP_AcqTract_DB[[#This Row],[WCAD Tax Parcel ID]],FIND("#",SP_AcqTract_DB[[#This Row],[WCAD Tax Parcel ID]],23)+1,7)),"")))</f>
        <v>R026597</v>
      </c>
      <c r="AS74" s="54">
        <f>IF(SP_AcqTract_DB[[#This Row],[WCAD Tax Parcel ID]]="",0,(LEN(SP_AcqTract_DB[[#This Row],[WCAD Tax Parcel ID]])-LEN(SUBSTITUTE(SP_AcqTract_DB[[#This Row],[WCAD Tax Parcel ID]],"#",""))+1)/2)</f>
        <v>1</v>
      </c>
      <c r="AT74" s="190">
        <f>IF(SP_AcqTract_DB[[#This Row],[WCAD Tax Parcel ID]]="",0,COUNTIF(SP_TaxPar_DB[Acquisition Tract No.],SP_AcqTract_DB[[#This Row],[Acquisition Tract No.]]))</f>
        <v>1</v>
      </c>
      <c r="AU74" s="189">
        <f>COUNTIF(ACQStatus_ACQTNo.,SP_AcqTract_DB[[#This Row],[Acquisition Tract No.]])</f>
        <v>1</v>
      </c>
    </row>
    <row r="75" spans="1:47" ht="19.5" customHeight="1" x14ac:dyDescent="0.2">
      <c r="A75" s="195" t="s">
        <v>5277</v>
      </c>
      <c r="B75" s="179" t="s">
        <v>3206</v>
      </c>
      <c r="C75" s="7" t="s">
        <v>2493</v>
      </c>
      <c r="D75" s="52" t="s">
        <v>1255</v>
      </c>
      <c r="E75" s="52" t="s">
        <v>5068</v>
      </c>
      <c r="F75" s="52" t="s">
        <v>1809</v>
      </c>
      <c r="G75" s="8" t="s">
        <v>6189</v>
      </c>
      <c r="H75" s="8"/>
      <c r="I75" s="8"/>
      <c r="J75" s="8"/>
      <c r="K75" s="8"/>
      <c r="L75" s="8" t="s">
        <v>2355</v>
      </c>
      <c r="M75" s="8"/>
      <c r="N75" s="8"/>
      <c r="O75" s="57"/>
      <c r="P75" s="7"/>
      <c r="Q75" s="3"/>
      <c r="R75" s="16"/>
      <c r="S75" s="5">
        <v>0</v>
      </c>
      <c r="T75" s="4"/>
      <c r="U75" s="57"/>
      <c r="V75" s="8"/>
      <c r="W75" s="8"/>
      <c r="X75" s="8"/>
      <c r="Y75" s="8"/>
      <c r="Z75" s="8"/>
      <c r="AA75" s="7"/>
      <c r="AB75" s="7"/>
      <c r="AC75" s="8" t="s">
        <v>5278</v>
      </c>
      <c r="AD75" s="8" t="s">
        <v>4206</v>
      </c>
      <c r="AE75" s="26">
        <v>43994.42864583333</v>
      </c>
      <c r="AF75" s="8" t="s">
        <v>4205</v>
      </c>
      <c r="AG75" s="26">
        <v>43962.671863425923</v>
      </c>
      <c r="AH75" s="1"/>
      <c r="AI75" s="232">
        <v>77</v>
      </c>
      <c r="AJ75" s="232" t="s">
        <v>4939</v>
      </c>
      <c r="AK75" s="232" t="s">
        <v>3512</v>
      </c>
      <c r="AL75" s="232"/>
      <c r="AM75" s="232"/>
      <c r="AN75" s="232"/>
      <c r="AO75" s="233"/>
      <c r="AP75" s="230"/>
      <c r="AQ75" s="230"/>
      <c r="AR75" s="188" t="str">
        <f>IF(SP_AcqTract_DB[[#This Row],[Count '# in TaxID]]=1,LEFT(SP_AcqTract_DB[[#This Row],[WCAD Tax Parcel ID]],7),IF(SP_AcqTract_DB[[#This Row],[Count '# in TaxID]]=2,CONCATENATE(LEFT(SP_AcqTract_DB[[#This Row],[WCAD Tax Parcel ID]],7),";",MID(SP_AcqTract_DB[[#This Row],[WCAD Tax Parcel ID]],FIND("#",SP_AcqTract_DB[[#This Row],[WCAD Tax Parcel ID]],10)+1,7)),IF(SP_AcqTract_DB[[#This Row],[Count '# in TaxID]]&gt;2,CONCATENATE(LEFT(SP_AcqTract_DB[[#This Row],[WCAD Tax Parcel ID]],7),";",MID(SP_AcqTract_DB[[#This Row],[WCAD Tax Parcel ID]],FIND("#",SP_AcqTract_DB[[#This Row],[WCAD Tax Parcel ID]],10)+1,7),";",MID(SP_AcqTract_DB[[#This Row],[WCAD Tax Parcel ID]],FIND("#",SP_AcqTract_DB[[#This Row],[WCAD Tax Parcel ID]],23)+1,7)),"")))</f>
        <v>R026598</v>
      </c>
      <c r="AS75" s="54">
        <f>IF(SP_AcqTract_DB[[#This Row],[WCAD Tax Parcel ID]]="",0,(LEN(SP_AcqTract_DB[[#This Row],[WCAD Tax Parcel ID]])-LEN(SUBSTITUTE(SP_AcqTract_DB[[#This Row],[WCAD Tax Parcel ID]],"#",""))+1)/2)</f>
        <v>1</v>
      </c>
      <c r="AT75" s="190">
        <f>IF(SP_AcqTract_DB[[#This Row],[WCAD Tax Parcel ID]]="",0,COUNTIF(SP_TaxPar_DB[Acquisition Tract No.],SP_AcqTract_DB[[#This Row],[Acquisition Tract No.]]))</f>
        <v>1</v>
      </c>
      <c r="AU75" s="189">
        <f>COUNTIF(ACQStatus_ACQTNo.,SP_AcqTract_DB[[#This Row],[Acquisition Tract No.]])</f>
        <v>1</v>
      </c>
    </row>
    <row r="76" spans="1:47" ht="19.5" customHeight="1" x14ac:dyDescent="0.2">
      <c r="A76" s="195" t="s">
        <v>5279</v>
      </c>
      <c r="B76" s="179" t="s">
        <v>3211</v>
      </c>
      <c r="C76" s="7" t="s">
        <v>2493</v>
      </c>
      <c r="D76" s="52" t="s">
        <v>1255</v>
      </c>
      <c r="E76" s="52"/>
      <c r="F76" s="52" t="s">
        <v>1809</v>
      </c>
      <c r="G76" s="8" t="s">
        <v>6190</v>
      </c>
      <c r="H76" s="8"/>
      <c r="I76" s="8"/>
      <c r="J76" s="8"/>
      <c r="K76" s="8"/>
      <c r="L76" s="8" t="s">
        <v>2366</v>
      </c>
      <c r="M76" s="8"/>
      <c r="N76" s="8"/>
      <c r="O76" s="57"/>
      <c r="P76" s="7"/>
      <c r="Q76" s="3"/>
      <c r="R76" s="16"/>
      <c r="S76" s="5">
        <v>0</v>
      </c>
      <c r="T76" s="4"/>
      <c r="U76" s="57"/>
      <c r="V76" s="8"/>
      <c r="W76" s="8"/>
      <c r="X76" s="8"/>
      <c r="Y76" s="8"/>
      <c r="Z76" s="8"/>
      <c r="AA76" s="7"/>
      <c r="AB76" s="7"/>
      <c r="AC76" s="8" t="s">
        <v>5280</v>
      </c>
      <c r="AD76" s="8" t="s">
        <v>4206</v>
      </c>
      <c r="AE76" s="26">
        <v>43994.42863425926</v>
      </c>
      <c r="AF76" s="8" t="s">
        <v>4206</v>
      </c>
      <c r="AG76" s="26">
        <v>43963.623310185183</v>
      </c>
      <c r="AH76" s="1"/>
      <c r="AI76" s="232">
        <v>86</v>
      </c>
      <c r="AJ76" s="232" t="s">
        <v>4939</v>
      </c>
      <c r="AK76" s="232" t="s">
        <v>3512</v>
      </c>
      <c r="AL76" s="232"/>
      <c r="AM76" s="232"/>
      <c r="AN76" s="232"/>
      <c r="AO76" s="233"/>
      <c r="AP76" s="230"/>
      <c r="AQ76" s="230"/>
      <c r="AR76" s="188" t="str">
        <f>IF(SP_AcqTract_DB[[#This Row],[Count '# in TaxID]]=1,LEFT(SP_AcqTract_DB[[#This Row],[WCAD Tax Parcel ID]],7),IF(SP_AcqTract_DB[[#This Row],[Count '# in TaxID]]=2,CONCATENATE(LEFT(SP_AcqTract_DB[[#This Row],[WCAD Tax Parcel ID]],7),";",MID(SP_AcqTract_DB[[#This Row],[WCAD Tax Parcel ID]],FIND("#",SP_AcqTract_DB[[#This Row],[WCAD Tax Parcel ID]],10)+1,7)),IF(SP_AcqTract_DB[[#This Row],[Count '# in TaxID]]&gt;2,CONCATENATE(LEFT(SP_AcqTract_DB[[#This Row],[WCAD Tax Parcel ID]],7),";",MID(SP_AcqTract_DB[[#This Row],[WCAD Tax Parcel ID]],FIND("#",SP_AcqTract_DB[[#This Row],[WCAD Tax Parcel ID]],10)+1,7),";",MID(SP_AcqTract_DB[[#This Row],[WCAD Tax Parcel ID]],FIND("#",SP_AcqTract_DB[[#This Row],[WCAD Tax Parcel ID]],23)+1,7)),"")))</f>
        <v>R026604</v>
      </c>
      <c r="AS76" s="54">
        <f>IF(SP_AcqTract_DB[[#This Row],[WCAD Tax Parcel ID]]="",0,(LEN(SP_AcqTract_DB[[#This Row],[WCAD Tax Parcel ID]])-LEN(SUBSTITUTE(SP_AcqTract_DB[[#This Row],[WCAD Tax Parcel ID]],"#",""))+1)/2)</f>
        <v>1</v>
      </c>
      <c r="AT76" s="190">
        <f>IF(SP_AcqTract_DB[[#This Row],[WCAD Tax Parcel ID]]="",0,COUNTIF(SP_TaxPar_DB[Acquisition Tract No.],SP_AcqTract_DB[[#This Row],[Acquisition Tract No.]]))</f>
        <v>1</v>
      </c>
      <c r="AU76" s="189">
        <f>COUNTIF(ACQStatus_ACQTNo.,SP_AcqTract_DB[[#This Row],[Acquisition Tract No.]])</f>
        <v>1</v>
      </c>
    </row>
    <row r="77" spans="1:47" ht="19.5" customHeight="1" x14ac:dyDescent="0.2">
      <c r="A77" s="195" t="s">
        <v>5281</v>
      </c>
      <c r="B77" s="179" t="s">
        <v>3212</v>
      </c>
      <c r="C77" s="7" t="s">
        <v>2493</v>
      </c>
      <c r="D77" s="52" t="s">
        <v>1255</v>
      </c>
      <c r="E77" s="52"/>
      <c r="F77" s="52" t="s">
        <v>1809</v>
      </c>
      <c r="G77" s="8" t="s">
        <v>6191</v>
      </c>
      <c r="H77" s="8"/>
      <c r="I77" s="8"/>
      <c r="J77" s="8"/>
      <c r="K77" s="8"/>
      <c r="L77" s="8" t="s">
        <v>2366</v>
      </c>
      <c r="M77" s="8"/>
      <c r="N77" s="8"/>
      <c r="O77" s="57"/>
      <c r="P77" s="7"/>
      <c r="Q77" s="3"/>
      <c r="R77" s="16"/>
      <c r="S77" s="5">
        <v>0</v>
      </c>
      <c r="T77" s="4"/>
      <c r="U77" s="57"/>
      <c r="V77" s="8"/>
      <c r="W77" s="8"/>
      <c r="X77" s="8"/>
      <c r="Y77" s="8"/>
      <c r="Z77" s="8"/>
      <c r="AA77" s="7"/>
      <c r="AB77" s="7"/>
      <c r="AC77" s="8" t="s">
        <v>5282</v>
      </c>
      <c r="AD77" s="8" t="s">
        <v>4206</v>
      </c>
      <c r="AE77" s="26">
        <v>43994.42863425926</v>
      </c>
      <c r="AF77" s="8" t="s">
        <v>4206</v>
      </c>
      <c r="AG77" s="26">
        <v>43963.628738425927</v>
      </c>
      <c r="AH77" s="1"/>
      <c r="AI77" s="232">
        <v>87</v>
      </c>
      <c r="AJ77" s="232" t="s">
        <v>4939</v>
      </c>
      <c r="AK77" s="232" t="s">
        <v>3512</v>
      </c>
      <c r="AL77" s="232"/>
      <c r="AM77" s="232"/>
      <c r="AN77" s="232"/>
      <c r="AO77" s="233"/>
      <c r="AP77" s="230"/>
      <c r="AQ77" s="230"/>
      <c r="AR77" s="188" t="str">
        <f>IF(SP_AcqTract_DB[[#This Row],[Count '# in TaxID]]=1,LEFT(SP_AcqTract_DB[[#This Row],[WCAD Tax Parcel ID]],7),IF(SP_AcqTract_DB[[#This Row],[Count '# in TaxID]]=2,CONCATENATE(LEFT(SP_AcqTract_DB[[#This Row],[WCAD Tax Parcel ID]],7),";",MID(SP_AcqTract_DB[[#This Row],[WCAD Tax Parcel ID]],FIND("#",SP_AcqTract_DB[[#This Row],[WCAD Tax Parcel ID]],10)+1,7)),IF(SP_AcqTract_DB[[#This Row],[Count '# in TaxID]]&gt;2,CONCATENATE(LEFT(SP_AcqTract_DB[[#This Row],[WCAD Tax Parcel ID]],7),";",MID(SP_AcqTract_DB[[#This Row],[WCAD Tax Parcel ID]],FIND("#",SP_AcqTract_DB[[#This Row],[WCAD Tax Parcel ID]],10)+1,7),";",MID(SP_AcqTract_DB[[#This Row],[WCAD Tax Parcel ID]],FIND("#",SP_AcqTract_DB[[#This Row],[WCAD Tax Parcel ID]],23)+1,7)),"")))</f>
        <v>R026605</v>
      </c>
      <c r="AS77" s="54">
        <f>IF(SP_AcqTract_DB[[#This Row],[WCAD Tax Parcel ID]]="",0,(LEN(SP_AcqTract_DB[[#This Row],[WCAD Tax Parcel ID]])-LEN(SUBSTITUTE(SP_AcqTract_DB[[#This Row],[WCAD Tax Parcel ID]],"#",""))+1)/2)</f>
        <v>1</v>
      </c>
      <c r="AT77" s="190">
        <f>IF(SP_AcqTract_DB[[#This Row],[WCAD Tax Parcel ID]]="",0,COUNTIF(SP_TaxPar_DB[Acquisition Tract No.],SP_AcqTract_DB[[#This Row],[Acquisition Tract No.]]))</f>
        <v>1</v>
      </c>
      <c r="AU77" s="189">
        <f>COUNTIF(ACQStatus_ACQTNo.,SP_AcqTract_DB[[#This Row],[Acquisition Tract No.]])</f>
        <v>1</v>
      </c>
    </row>
    <row r="78" spans="1:47" ht="19.5" customHeight="1" x14ac:dyDescent="0.2">
      <c r="A78" s="195" t="s">
        <v>5283</v>
      </c>
      <c r="B78" s="179" t="s">
        <v>3213</v>
      </c>
      <c r="C78" s="7" t="s">
        <v>2493</v>
      </c>
      <c r="D78" s="52" t="s">
        <v>1255</v>
      </c>
      <c r="E78" s="52"/>
      <c r="F78" s="52" t="s">
        <v>1809</v>
      </c>
      <c r="G78" s="8" t="s">
        <v>6192</v>
      </c>
      <c r="H78" s="8"/>
      <c r="I78" s="8"/>
      <c r="J78" s="8"/>
      <c r="K78" s="8"/>
      <c r="L78" s="8" t="s">
        <v>2366</v>
      </c>
      <c r="M78" s="8"/>
      <c r="N78" s="8"/>
      <c r="O78" s="57"/>
      <c r="P78" s="7"/>
      <c r="Q78" s="3"/>
      <c r="R78" s="16"/>
      <c r="S78" s="5">
        <v>0</v>
      </c>
      <c r="T78" s="4"/>
      <c r="U78" s="57"/>
      <c r="V78" s="8"/>
      <c r="W78" s="8"/>
      <c r="X78" s="8"/>
      <c r="Y78" s="8"/>
      <c r="Z78" s="8"/>
      <c r="AA78" s="7"/>
      <c r="AB78" s="7"/>
      <c r="AC78" s="8" t="s">
        <v>5284</v>
      </c>
      <c r="AD78" s="8" t="s">
        <v>4206</v>
      </c>
      <c r="AE78" s="26">
        <v>43994.42863425926</v>
      </c>
      <c r="AF78" s="8" t="s">
        <v>5080</v>
      </c>
      <c r="AG78" s="26">
        <v>43963.632256944446</v>
      </c>
      <c r="AH78" s="1"/>
      <c r="AI78" s="232">
        <v>88</v>
      </c>
      <c r="AJ78" s="232" t="s">
        <v>4939</v>
      </c>
      <c r="AK78" s="232" t="s">
        <v>3512</v>
      </c>
      <c r="AL78" s="232"/>
      <c r="AM78" s="232"/>
      <c r="AN78" s="232"/>
      <c r="AO78" s="233"/>
      <c r="AP78" s="230"/>
      <c r="AQ78" s="230"/>
      <c r="AR78" s="188" t="str">
        <f>IF(SP_AcqTract_DB[[#This Row],[Count '# in TaxID]]=1,LEFT(SP_AcqTract_DB[[#This Row],[WCAD Tax Parcel ID]],7),IF(SP_AcqTract_DB[[#This Row],[Count '# in TaxID]]=2,CONCATENATE(LEFT(SP_AcqTract_DB[[#This Row],[WCAD Tax Parcel ID]],7),";",MID(SP_AcqTract_DB[[#This Row],[WCAD Tax Parcel ID]],FIND("#",SP_AcqTract_DB[[#This Row],[WCAD Tax Parcel ID]],10)+1,7)),IF(SP_AcqTract_DB[[#This Row],[Count '# in TaxID]]&gt;2,CONCATENATE(LEFT(SP_AcqTract_DB[[#This Row],[WCAD Tax Parcel ID]],7),";",MID(SP_AcqTract_DB[[#This Row],[WCAD Tax Parcel ID]],FIND("#",SP_AcqTract_DB[[#This Row],[WCAD Tax Parcel ID]],10)+1,7),";",MID(SP_AcqTract_DB[[#This Row],[WCAD Tax Parcel ID]],FIND("#",SP_AcqTract_DB[[#This Row],[WCAD Tax Parcel ID]],23)+1,7)),"")))</f>
        <v>R026606</v>
      </c>
      <c r="AS78" s="54">
        <f>IF(SP_AcqTract_DB[[#This Row],[WCAD Tax Parcel ID]]="",0,(LEN(SP_AcqTract_DB[[#This Row],[WCAD Tax Parcel ID]])-LEN(SUBSTITUTE(SP_AcqTract_DB[[#This Row],[WCAD Tax Parcel ID]],"#",""))+1)/2)</f>
        <v>1</v>
      </c>
      <c r="AT78" s="190">
        <f>IF(SP_AcqTract_DB[[#This Row],[WCAD Tax Parcel ID]]="",0,COUNTIF(SP_TaxPar_DB[Acquisition Tract No.],SP_AcqTract_DB[[#This Row],[Acquisition Tract No.]]))</f>
        <v>1</v>
      </c>
      <c r="AU78" s="189">
        <f>COUNTIF(ACQStatus_ACQTNo.,SP_AcqTract_DB[[#This Row],[Acquisition Tract No.]])</f>
        <v>1</v>
      </c>
    </row>
    <row r="79" spans="1:47" ht="19.5" customHeight="1" x14ac:dyDescent="0.2">
      <c r="A79" s="195" t="s">
        <v>5285</v>
      </c>
      <c r="B79" s="179" t="s">
        <v>3219</v>
      </c>
      <c r="C79" s="7" t="s">
        <v>2493</v>
      </c>
      <c r="D79" s="52" t="s">
        <v>1255</v>
      </c>
      <c r="E79" s="52"/>
      <c r="F79" s="52" t="s">
        <v>5654</v>
      </c>
      <c r="G79" s="8" t="s">
        <v>6193</v>
      </c>
      <c r="H79" s="8"/>
      <c r="I79" s="8"/>
      <c r="J79" s="8"/>
      <c r="K79" s="8"/>
      <c r="L79" s="8" t="s">
        <v>2384</v>
      </c>
      <c r="M79" s="8"/>
      <c r="N79" s="8"/>
      <c r="O79" s="57"/>
      <c r="P79" s="7"/>
      <c r="Q79" s="3"/>
      <c r="R79" s="16"/>
      <c r="S79" s="5">
        <v>0</v>
      </c>
      <c r="T79" s="4"/>
      <c r="U79" s="57"/>
      <c r="V79" s="8"/>
      <c r="W79" s="8"/>
      <c r="X79" s="8"/>
      <c r="Y79" s="8"/>
      <c r="Z79" s="8"/>
      <c r="AA79" s="7"/>
      <c r="AB79" s="7"/>
      <c r="AC79" s="8" t="s">
        <v>5286</v>
      </c>
      <c r="AD79" s="8" t="s">
        <v>4206</v>
      </c>
      <c r="AE79" s="26">
        <v>43994.42863425926</v>
      </c>
      <c r="AF79" s="8" t="s">
        <v>4206</v>
      </c>
      <c r="AG79" s="26">
        <v>43964.506574074076</v>
      </c>
      <c r="AH79" s="1"/>
      <c r="AI79" s="232">
        <v>89</v>
      </c>
      <c r="AJ79" s="232" t="s">
        <v>4939</v>
      </c>
      <c r="AK79" s="232" t="s">
        <v>3512</v>
      </c>
      <c r="AL79" s="232"/>
      <c r="AM79" s="232"/>
      <c r="AN79" s="232"/>
      <c r="AO79" s="233"/>
      <c r="AP79" s="230"/>
      <c r="AQ79" s="230"/>
      <c r="AR79" s="188" t="str">
        <f>IF(SP_AcqTract_DB[[#This Row],[Count '# in TaxID]]=1,LEFT(SP_AcqTract_DB[[#This Row],[WCAD Tax Parcel ID]],7),IF(SP_AcqTract_DB[[#This Row],[Count '# in TaxID]]=2,CONCATENATE(LEFT(SP_AcqTract_DB[[#This Row],[WCAD Tax Parcel ID]],7),";",MID(SP_AcqTract_DB[[#This Row],[WCAD Tax Parcel ID]],FIND("#",SP_AcqTract_DB[[#This Row],[WCAD Tax Parcel ID]],10)+1,7)),IF(SP_AcqTract_DB[[#This Row],[Count '# in TaxID]]&gt;2,CONCATENATE(LEFT(SP_AcqTract_DB[[#This Row],[WCAD Tax Parcel ID]],7),";",MID(SP_AcqTract_DB[[#This Row],[WCAD Tax Parcel ID]],FIND("#",SP_AcqTract_DB[[#This Row],[WCAD Tax Parcel ID]],10)+1,7),";",MID(SP_AcqTract_DB[[#This Row],[WCAD Tax Parcel ID]],FIND("#",SP_AcqTract_DB[[#This Row],[WCAD Tax Parcel ID]],23)+1,7)),"")))</f>
        <v>R026610</v>
      </c>
      <c r="AS79" s="54">
        <f>IF(SP_AcqTract_DB[[#This Row],[WCAD Tax Parcel ID]]="",0,(LEN(SP_AcqTract_DB[[#This Row],[WCAD Tax Parcel ID]])-LEN(SUBSTITUTE(SP_AcqTract_DB[[#This Row],[WCAD Tax Parcel ID]],"#",""))+1)/2)</f>
        <v>1</v>
      </c>
      <c r="AT79" s="190">
        <f>IF(SP_AcqTract_DB[[#This Row],[WCAD Tax Parcel ID]]="",0,COUNTIF(SP_TaxPar_DB[Acquisition Tract No.],SP_AcqTract_DB[[#This Row],[Acquisition Tract No.]]))</f>
        <v>1</v>
      </c>
      <c r="AU79" s="189">
        <f>COUNTIF(ACQStatus_ACQTNo.,SP_AcqTract_DB[[#This Row],[Acquisition Tract No.]])</f>
        <v>1</v>
      </c>
    </row>
    <row r="80" spans="1:47" ht="19.5" customHeight="1" x14ac:dyDescent="0.2">
      <c r="A80" s="195" t="s">
        <v>5287</v>
      </c>
      <c r="B80" s="179" t="s">
        <v>3220</v>
      </c>
      <c r="C80" s="7" t="s">
        <v>2493</v>
      </c>
      <c r="D80" s="52" t="s">
        <v>1255</v>
      </c>
      <c r="E80" s="52"/>
      <c r="F80" s="52" t="s">
        <v>6464</v>
      </c>
      <c r="G80" s="8" t="s">
        <v>6194</v>
      </c>
      <c r="H80" s="8"/>
      <c r="I80" s="8"/>
      <c r="J80" s="8"/>
      <c r="K80" s="8"/>
      <c r="L80" s="8" t="s">
        <v>2366</v>
      </c>
      <c r="M80" s="8"/>
      <c r="N80" s="8"/>
      <c r="O80" s="57"/>
      <c r="P80" s="7"/>
      <c r="Q80" s="3"/>
      <c r="R80" s="16"/>
      <c r="S80" s="5">
        <v>0</v>
      </c>
      <c r="T80" s="4"/>
      <c r="U80" s="57"/>
      <c r="V80" s="8"/>
      <c r="W80" s="8"/>
      <c r="X80" s="8"/>
      <c r="Y80" s="8"/>
      <c r="Z80" s="8"/>
      <c r="AA80" s="7"/>
      <c r="AB80" s="7"/>
      <c r="AC80" s="8" t="s">
        <v>5288</v>
      </c>
      <c r="AD80" s="8" t="s">
        <v>4206</v>
      </c>
      <c r="AE80" s="26">
        <v>44008.316712962966</v>
      </c>
      <c r="AF80" s="8" t="s">
        <v>4206</v>
      </c>
      <c r="AG80" s="26">
        <v>43964.508298611108</v>
      </c>
      <c r="AH80" s="1"/>
      <c r="AI80" s="232">
        <v>90</v>
      </c>
      <c r="AJ80" s="232" t="s">
        <v>4939</v>
      </c>
      <c r="AK80" s="232" t="s">
        <v>3512</v>
      </c>
      <c r="AL80" s="232"/>
      <c r="AM80" s="232"/>
      <c r="AN80" s="232"/>
      <c r="AO80" s="233"/>
      <c r="AP80" s="230"/>
      <c r="AQ80" s="230"/>
      <c r="AR80" s="188" t="str">
        <f>IF(SP_AcqTract_DB[[#This Row],[Count '# in TaxID]]=1,LEFT(SP_AcqTract_DB[[#This Row],[WCAD Tax Parcel ID]],7),IF(SP_AcqTract_DB[[#This Row],[Count '# in TaxID]]=2,CONCATENATE(LEFT(SP_AcqTract_DB[[#This Row],[WCAD Tax Parcel ID]],7),";",MID(SP_AcqTract_DB[[#This Row],[WCAD Tax Parcel ID]],FIND("#",SP_AcqTract_DB[[#This Row],[WCAD Tax Parcel ID]],10)+1,7)),IF(SP_AcqTract_DB[[#This Row],[Count '# in TaxID]]&gt;2,CONCATENATE(LEFT(SP_AcqTract_DB[[#This Row],[WCAD Tax Parcel ID]],7),";",MID(SP_AcqTract_DB[[#This Row],[WCAD Tax Parcel ID]],FIND("#",SP_AcqTract_DB[[#This Row],[WCAD Tax Parcel ID]],10)+1,7),";",MID(SP_AcqTract_DB[[#This Row],[WCAD Tax Parcel ID]],FIND("#",SP_AcqTract_DB[[#This Row],[WCAD Tax Parcel ID]],23)+1,7)),"")))</f>
        <v>R026611</v>
      </c>
      <c r="AS80" s="54">
        <f>IF(SP_AcqTract_DB[[#This Row],[WCAD Tax Parcel ID]]="",0,(LEN(SP_AcqTract_DB[[#This Row],[WCAD Tax Parcel ID]])-LEN(SUBSTITUTE(SP_AcqTract_DB[[#This Row],[WCAD Tax Parcel ID]],"#",""))+1)/2)</f>
        <v>1</v>
      </c>
      <c r="AT80" s="190">
        <f>IF(SP_AcqTract_DB[[#This Row],[WCAD Tax Parcel ID]]="",0,COUNTIF(SP_TaxPar_DB[Acquisition Tract No.],SP_AcqTract_DB[[#This Row],[Acquisition Tract No.]]))</f>
        <v>1</v>
      </c>
      <c r="AU80" s="189">
        <f>COUNTIF(ACQStatus_ACQTNo.,SP_AcqTract_DB[[#This Row],[Acquisition Tract No.]])</f>
        <v>1</v>
      </c>
    </row>
    <row r="81" spans="1:47" ht="19.5" customHeight="1" x14ac:dyDescent="0.2">
      <c r="A81" s="195" t="s">
        <v>5289</v>
      </c>
      <c r="B81" s="179" t="s">
        <v>3221</v>
      </c>
      <c r="C81" s="7" t="s">
        <v>2493</v>
      </c>
      <c r="D81" s="52" t="s">
        <v>1255</v>
      </c>
      <c r="E81" s="52"/>
      <c r="F81" s="52"/>
      <c r="G81" s="8" t="s">
        <v>5978</v>
      </c>
      <c r="H81" s="8"/>
      <c r="I81" s="8"/>
      <c r="J81" s="8"/>
      <c r="K81" s="8"/>
      <c r="L81" s="8" t="s">
        <v>2366</v>
      </c>
      <c r="M81" s="8"/>
      <c r="N81" s="8"/>
      <c r="O81" s="57"/>
      <c r="P81" s="7"/>
      <c r="Q81" s="3"/>
      <c r="R81" s="16"/>
      <c r="S81" s="5">
        <v>0</v>
      </c>
      <c r="T81" s="4"/>
      <c r="U81" s="57"/>
      <c r="V81" s="8"/>
      <c r="W81" s="8"/>
      <c r="X81" s="8"/>
      <c r="Y81" s="8"/>
      <c r="Z81" s="8"/>
      <c r="AA81" s="7"/>
      <c r="AB81" s="7"/>
      <c r="AC81" s="8" t="s">
        <v>5290</v>
      </c>
      <c r="AD81" s="8" t="s">
        <v>4206</v>
      </c>
      <c r="AE81" s="26">
        <v>43994.42863425926</v>
      </c>
      <c r="AF81" s="8" t="s">
        <v>4206</v>
      </c>
      <c r="AG81" s="26">
        <v>43964.508645833332</v>
      </c>
      <c r="AH81" s="1"/>
      <c r="AI81" s="232">
        <v>91</v>
      </c>
      <c r="AJ81" s="232" t="s">
        <v>4939</v>
      </c>
      <c r="AK81" s="232" t="s">
        <v>3512</v>
      </c>
      <c r="AL81" s="232"/>
      <c r="AM81" s="232"/>
      <c r="AN81" s="232"/>
      <c r="AO81" s="233"/>
      <c r="AP81" s="230"/>
      <c r="AQ81" s="230"/>
      <c r="AR81" s="188" t="str">
        <f>IF(SP_AcqTract_DB[[#This Row],[Count '# in TaxID]]=1,LEFT(SP_AcqTract_DB[[#This Row],[WCAD Tax Parcel ID]],7),IF(SP_AcqTract_DB[[#This Row],[Count '# in TaxID]]=2,CONCATENATE(LEFT(SP_AcqTract_DB[[#This Row],[WCAD Tax Parcel ID]],7),";",MID(SP_AcqTract_DB[[#This Row],[WCAD Tax Parcel ID]],FIND("#",SP_AcqTract_DB[[#This Row],[WCAD Tax Parcel ID]],10)+1,7)),IF(SP_AcqTract_DB[[#This Row],[Count '# in TaxID]]&gt;2,CONCATENATE(LEFT(SP_AcqTract_DB[[#This Row],[WCAD Tax Parcel ID]],7),";",MID(SP_AcqTract_DB[[#This Row],[WCAD Tax Parcel ID]],FIND("#",SP_AcqTract_DB[[#This Row],[WCAD Tax Parcel ID]],10)+1,7),";",MID(SP_AcqTract_DB[[#This Row],[WCAD Tax Parcel ID]],FIND("#",SP_AcqTract_DB[[#This Row],[WCAD Tax Parcel ID]],23)+1,7)),"")))</f>
        <v>R026612</v>
      </c>
      <c r="AS81" s="54">
        <f>IF(SP_AcqTract_DB[[#This Row],[WCAD Tax Parcel ID]]="",0,(LEN(SP_AcqTract_DB[[#This Row],[WCAD Tax Parcel ID]])-LEN(SUBSTITUTE(SP_AcqTract_DB[[#This Row],[WCAD Tax Parcel ID]],"#",""))+1)/2)</f>
        <v>1</v>
      </c>
      <c r="AT81" s="190">
        <f>IF(SP_AcqTract_DB[[#This Row],[WCAD Tax Parcel ID]]="",0,COUNTIF(SP_TaxPar_DB[Acquisition Tract No.],SP_AcqTract_DB[[#This Row],[Acquisition Tract No.]]))</f>
        <v>1</v>
      </c>
      <c r="AU81" s="189">
        <f>COUNTIF(ACQStatus_ACQTNo.,SP_AcqTract_DB[[#This Row],[Acquisition Tract No.]])</f>
        <v>1</v>
      </c>
    </row>
    <row r="82" spans="1:47" ht="19.5" customHeight="1" x14ac:dyDescent="0.2">
      <c r="A82" s="195" t="s">
        <v>5291</v>
      </c>
      <c r="B82" s="179" t="s">
        <v>3242</v>
      </c>
      <c r="C82" s="7" t="s">
        <v>2493</v>
      </c>
      <c r="D82" s="52" t="s">
        <v>1255</v>
      </c>
      <c r="E82" s="52"/>
      <c r="F82" s="52" t="s">
        <v>6464</v>
      </c>
      <c r="G82" s="8" t="s">
        <v>6195</v>
      </c>
      <c r="H82" s="8"/>
      <c r="I82" s="8"/>
      <c r="J82" s="8"/>
      <c r="K82" s="8"/>
      <c r="L82" s="8" t="s">
        <v>2421</v>
      </c>
      <c r="M82" s="8"/>
      <c r="N82" s="8"/>
      <c r="O82" s="57"/>
      <c r="P82" s="7"/>
      <c r="Q82" s="3"/>
      <c r="R82" s="16"/>
      <c r="S82" s="5">
        <v>0</v>
      </c>
      <c r="T82" s="4"/>
      <c r="U82" s="57"/>
      <c r="V82" s="8"/>
      <c r="W82" s="8"/>
      <c r="X82" s="8"/>
      <c r="Y82" s="8"/>
      <c r="Z82" s="8"/>
      <c r="AA82" s="7"/>
      <c r="AB82" s="7"/>
      <c r="AC82" s="8" t="s">
        <v>5292</v>
      </c>
      <c r="AD82" s="8" t="s">
        <v>4206</v>
      </c>
      <c r="AE82" s="26">
        <v>44008.317048611112</v>
      </c>
      <c r="AF82" s="8" t="s">
        <v>4206</v>
      </c>
      <c r="AG82" s="26">
        <v>43964.510324074072</v>
      </c>
      <c r="AH82" s="1"/>
      <c r="AI82" s="232">
        <v>92</v>
      </c>
      <c r="AJ82" s="232" t="s">
        <v>4939</v>
      </c>
      <c r="AK82" s="232" t="s">
        <v>3512</v>
      </c>
      <c r="AL82" s="232"/>
      <c r="AM82" s="232"/>
      <c r="AN82" s="232"/>
      <c r="AO82" s="233"/>
      <c r="AP82" s="230"/>
      <c r="AQ82" s="230"/>
      <c r="AR82" s="188" t="str">
        <f>IF(SP_AcqTract_DB[[#This Row],[Count '# in TaxID]]=1,LEFT(SP_AcqTract_DB[[#This Row],[WCAD Tax Parcel ID]],7),IF(SP_AcqTract_DB[[#This Row],[Count '# in TaxID]]=2,CONCATENATE(LEFT(SP_AcqTract_DB[[#This Row],[WCAD Tax Parcel ID]],7),";",MID(SP_AcqTract_DB[[#This Row],[WCAD Tax Parcel ID]],FIND("#",SP_AcqTract_DB[[#This Row],[WCAD Tax Parcel ID]],10)+1,7)),IF(SP_AcqTract_DB[[#This Row],[Count '# in TaxID]]&gt;2,CONCATENATE(LEFT(SP_AcqTract_DB[[#This Row],[WCAD Tax Parcel ID]],7),";",MID(SP_AcqTract_DB[[#This Row],[WCAD Tax Parcel ID]],FIND("#",SP_AcqTract_DB[[#This Row],[WCAD Tax Parcel ID]],10)+1,7),";",MID(SP_AcqTract_DB[[#This Row],[WCAD Tax Parcel ID]],FIND("#",SP_AcqTract_DB[[#This Row],[WCAD Tax Parcel ID]],23)+1,7)),"")))</f>
        <v>R026931</v>
      </c>
      <c r="AS82" s="54">
        <f>IF(SP_AcqTract_DB[[#This Row],[WCAD Tax Parcel ID]]="",0,(LEN(SP_AcqTract_DB[[#This Row],[WCAD Tax Parcel ID]])-LEN(SUBSTITUTE(SP_AcqTract_DB[[#This Row],[WCAD Tax Parcel ID]],"#",""))+1)/2)</f>
        <v>1</v>
      </c>
      <c r="AT82" s="190">
        <f>IF(SP_AcqTract_DB[[#This Row],[WCAD Tax Parcel ID]]="",0,COUNTIF(SP_TaxPar_DB[Acquisition Tract No.],SP_AcqTract_DB[[#This Row],[Acquisition Tract No.]]))</f>
        <v>1</v>
      </c>
      <c r="AU82" s="189">
        <f>COUNTIF(ACQStatus_ACQTNo.,SP_AcqTract_DB[[#This Row],[Acquisition Tract No.]])</f>
        <v>1</v>
      </c>
    </row>
    <row r="83" spans="1:47" ht="19.5" customHeight="1" x14ac:dyDescent="0.2">
      <c r="A83" s="195" t="s">
        <v>5293</v>
      </c>
      <c r="B83" s="179" t="s">
        <v>3243</v>
      </c>
      <c r="C83" s="7" t="s">
        <v>2493</v>
      </c>
      <c r="D83" s="52" t="s">
        <v>1255</v>
      </c>
      <c r="E83" s="52"/>
      <c r="F83" s="52" t="s">
        <v>1809</v>
      </c>
      <c r="G83" s="8" t="s">
        <v>6196</v>
      </c>
      <c r="H83" s="8"/>
      <c r="I83" s="8"/>
      <c r="J83" s="8"/>
      <c r="K83" s="8"/>
      <c r="L83" s="8" t="s">
        <v>2427</v>
      </c>
      <c r="M83" s="8"/>
      <c r="N83" s="8"/>
      <c r="O83" s="57"/>
      <c r="P83" s="7"/>
      <c r="Q83" s="3"/>
      <c r="R83" s="16"/>
      <c r="S83" s="5">
        <v>0</v>
      </c>
      <c r="T83" s="4"/>
      <c r="U83" s="57"/>
      <c r="V83" s="8"/>
      <c r="W83" s="8"/>
      <c r="X83" s="8"/>
      <c r="Y83" s="8"/>
      <c r="Z83" s="8"/>
      <c r="AA83" s="7"/>
      <c r="AB83" s="7"/>
      <c r="AC83" s="8" t="s">
        <v>5294</v>
      </c>
      <c r="AD83" s="8" t="s">
        <v>4206</v>
      </c>
      <c r="AE83" s="26">
        <v>43994.42863425926</v>
      </c>
      <c r="AF83" s="8" t="s">
        <v>4206</v>
      </c>
      <c r="AG83" s="26">
        <v>43977.473090277781</v>
      </c>
      <c r="AH83" s="1"/>
      <c r="AI83" s="232">
        <v>133</v>
      </c>
      <c r="AJ83" s="232" t="s">
        <v>4939</v>
      </c>
      <c r="AK83" s="232" t="s">
        <v>3512</v>
      </c>
      <c r="AL83" s="232"/>
      <c r="AM83" s="232"/>
      <c r="AN83" s="232"/>
      <c r="AO83" s="233"/>
      <c r="AP83" s="230"/>
      <c r="AQ83" s="230"/>
      <c r="AR83" s="188" t="str">
        <f>IF(SP_AcqTract_DB[[#This Row],[Count '# in TaxID]]=1,LEFT(SP_AcqTract_DB[[#This Row],[WCAD Tax Parcel ID]],7),IF(SP_AcqTract_DB[[#This Row],[Count '# in TaxID]]=2,CONCATENATE(LEFT(SP_AcqTract_DB[[#This Row],[WCAD Tax Parcel ID]],7),";",MID(SP_AcqTract_DB[[#This Row],[WCAD Tax Parcel ID]],FIND("#",SP_AcqTract_DB[[#This Row],[WCAD Tax Parcel ID]],10)+1,7)),IF(SP_AcqTract_DB[[#This Row],[Count '# in TaxID]]&gt;2,CONCATENATE(LEFT(SP_AcqTract_DB[[#This Row],[WCAD Tax Parcel ID]],7),";",MID(SP_AcqTract_DB[[#This Row],[WCAD Tax Parcel ID]],FIND("#",SP_AcqTract_DB[[#This Row],[WCAD Tax Parcel ID]],10)+1,7),";",MID(SP_AcqTract_DB[[#This Row],[WCAD Tax Parcel ID]],FIND("#",SP_AcqTract_DB[[#This Row],[WCAD Tax Parcel ID]],23)+1,7)),"")))</f>
        <v>R026936</v>
      </c>
      <c r="AS83" s="54">
        <f>IF(SP_AcqTract_DB[[#This Row],[WCAD Tax Parcel ID]]="",0,(LEN(SP_AcqTract_DB[[#This Row],[WCAD Tax Parcel ID]])-LEN(SUBSTITUTE(SP_AcqTract_DB[[#This Row],[WCAD Tax Parcel ID]],"#",""))+1)/2)</f>
        <v>1</v>
      </c>
      <c r="AT83" s="190">
        <f>IF(SP_AcqTract_DB[[#This Row],[WCAD Tax Parcel ID]]="",0,COUNTIF(SP_TaxPar_DB[Acquisition Tract No.],SP_AcqTract_DB[[#This Row],[Acquisition Tract No.]]))</f>
        <v>1</v>
      </c>
      <c r="AU83" s="189">
        <f>COUNTIF(ACQStatus_ACQTNo.,SP_AcqTract_DB[[#This Row],[Acquisition Tract No.]])</f>
        <v>1</v>
      </c>
    </row>
    <row r="84" spans="1:47" ht="19.5" customHeight="1" x14ac:dyDescent="0.2">
      <c r="A84" s="195" t="s">
        <v>5295</v>
      </c>
      <c r="B84" s="179" t="s">
        <v>3244</v>
      </c>
      <c r="C84" s="7" t="s">
        <v>2493</v>
      </c>
      <c r="D84" s="52" t="s">
        <v>1255</v>
      </c>
      <c r="E84" s="52"/>
      <c r="F84" s="52" t="s">
        <v>6464</v>
      </c>
      <c r="G84" s="8" t="s">
        <v>6197</v>
      </c>
      <c r="H84" s="8"/>
      <c r="I84" s="8"/>
      <c r="J84" s="8"/>
      <c r="K84" s="8"/>
      <c r="L84" s="8" t="s">
        <v>2432</v>
      </c>
      <c r="M84" s="8"/>
      <c r="N84" s="8"/>
      <c r="O84" s="57"/>
      <c r="P84" s="7"/>
      <c r="Q84" s="3"/>
      <c r="R84" s="16"/>
      <c r="S84" s="5">
        <v>0</v>
      </c>
      <c r="T84" s="4"/>
      <c r="U84" s="57"/>
      <c r="V84" s="8"/>
      <c r="W84" s="8"/>
      <c r="X84" s="8"/>
      <c r="Y84" s="8"/>
      <c r="Z84" s="8"/>
      <c r="AA84" s="7"/>
      <c r="AB84" s="7"/>
      <c r="AC84" s="8" t="s">
        <v>5296</v>
      </c>
      <c r="AD84" s="8" t="s">
        <v>4206</v>
      </c>
      <c r="AE84" s="26">
        <v>44008.317129629628</v>
      </c>
      <c r="AF84" s="8" t="s">
        <v>4206</v>
      </c>
      <c r="AG84" s="26">
        <v>43964.510682870372</v>
      </c>
      <c r="AH84" s="1"/>
      <c r="AI84" s="232">
        <v>93</v>
      </c>
      <c r="AJ84" s="232" t="s">
        <v>4939</v>
      </c>
      <c r="AK84" s="232" t="s">
        <v>3512</v>
      </c>
      <c r="AL84" s="232"/>
      <c r="AM84" s="232"/>
      <c r="AN84" s="232"/>
      <c r="AO84" s="233"/>
      <c r="AP84" s="230"/>
      <c r="AQ84" s="230"/>
      <c r="AR84" s="188" t="str">
        <f>IF(SP_AcqTract_DB[[#This Row],[Count '# in TaxID]]=1,LEFT(SP_AcqTract_DB[[#This Row],[WCAD Tax Parcel ID]],7),IF(SP_AcqTract_DB[[#This Row],[Count '# in TaxID]]=2,CONCATENATE(LEFT(SP_AcqTract_DB[[#This Row],[WCAD Tax Parcel ID]],7),";",MID(SP_AcqTract_DB[[#This Row],[WCAD Tax Parcel ID]],FIND("#",SP_AcqTract_DB[[#This Row],[WCAD Tax Parcel ID]],10)+1,7)),IF(SP_AcqTract_DB[[#This Row],[Count '# in TaxID]]&gt;2,CONCATENATE(LEFT(SP_AcqTract_DB[[#This Row],[WCAD Tax Parcel ID]],7),";",MID(SP_AcqTract_DB[[#This Row],[WCAD Tax Parcel ID]],FIND("#",SP_AcqTract_DB[[#This Row],[WCAD Tax Parcel ID]],10)+1,7),";",MID(SP_AcqTract_DB[[#This Row],[WCAD Tax Parcel ID]],FIND("#",SP_AcqTract_DB[[#This Row],[WCAD Tax Parcel ID]],23)+1,7)),"")))</f>
        <v>R026940</v>
      </c>
      <c r="AS84" s="54">
        <f>IF(SP_AcqTract_DB[[#This Row],[WCAD Tax Parcel ID]]="",0,(LEN(SP_AcqTract_DB[[#This Row],[WCAD Tax Parcel ID]])-LEN(SUBSTITUTE(SP_AcqTract_DB[[#This Row],[WCAD Tax Parcel ID]],"#",""))+1)/2)</f>
        <v>1</v>
      </c>
      <c r="AT84" s="190">
        <f>IF(SP_AcqTract_DB[[#This Row],[WCAD Tax Parcel ID]]="",0,COUNTIF(SP_TaxPar_DB[Acquisition Tract No.],SP_AcqTract_DB[[#This Row],[Acquisition Tract No.]]))</f>
        <v>1</v>
      </c>
      <c r="AU84" s="189">
        <f>COUNTIF(ACQStatus_ACQTNo.,SP_AcqTract_DB[[#This Row],[Acquisition Tract No.]])</f>
        <v>1</v>
      </c>
    </row>
    <row r="85" spans="1:47" ht="19.5" customHeight="1" x14ac:dyDescent="0.2">
      <c r="A85" s="195" t="s">
        <v>5297</v>
      </c>
      <c r="B85" s="179" t="s">
        <v>3245</v>
      </c>
      <c r="C85" s="7" t="s">
        <v>2493</v>
      </c>
      <c r="D85" s="52" t="s">
        <v>1255</v>
      </c>
      <c r="E85" s="52"/>
      <c r="F85" s="52" t="s">
        <v>1809</v>
      </c>
      <c r="G85" s="8" t="s">
        <v>6198</v>
      </c>
      <c r="H85" s="8"/>
      <c r="I85" s="8"/>
      <c r="J85" s="8"/>
      <c r="K85" s="8"/>
      <c r="L85" s="8" t="s">
        <v>2436</v>
      </c>
      <c r="M85" s="8"/>
      <c r="N85" s="8"/>
      <c r="O85" s="57"/>
      <c r="P85" s="7"/>
      <c r="Q85" s="3"/>
      <c r="R85" s="16"/>
      <c r="S85" s="5">
        <v>0</v>
      </c>
      <c r="T85" s="4"/>
      <c r="U85" s="57"/>
      <c r="V85" s="8"/>
      <c r="W85" s="8"/>
      <c r="X85" s="8"/>
      <c r="Y85" s="8"/>
      <c r="Z85" s="8"/>
      <c r="AA85" s="7"/>
      <c r="AB85" s="7"/>
      <c r="AC85" s="8" t="s">
        <v>5298</v>
      </c>
      <c r="AD85" s="8" t="s">
        <v>4206</v>
      </c>
      <c r="AE85" s="26">
        <v>43994.42863425926</v>
      </c>
      <c r="AF85" s="8" t="s">
        <v>4206</v>
      </c>
      <c r="AG85" s="26">
        <v>43977.473564814813</v>
      </c>
      <c r="AH85" s="1"/>
      <c r="AI85" s="232">
        <v>134</v>
      </c>
      <c r="AJ85" s="232" t="s">
        <v>4939</v>
      </c>
      <c r="AK85" s="232" t="s">
        <v>3512</v>
      </c>
      <c r="AL85" s="232"/>
      <c r="AM85" s="232"/>
      <c r="AN85" s="232"/>
      <c r="AO85" s="233"/>
      <c r="AP85" s="230"/>
      <c r="AQ85" s="230"/>
      <c r="AR85" s="188" t="str">
        <f>IF(SP_AcqTract_DB[[#This Row],[Count '# in TaxID]]=1,LEFT(SP_AcqTract_DB[[#This Row],[WCAD Tax Parcel ID]],7),IF(SP_AcqTract_DB[[#This Row],[Count '# in TaxID]]=2,CONCATENATE(LEFT(SP_AcqTract_DB[[#This Row],[WCAD Tax Parcel ID]],7),";",MID(SP_AcqTract_DB[[#This Row],[WCAD Tax Parcel ID]],FIND("#",SP_AcqTract_DB[[#This Row],[WCAD Tax Parcel ID]],10)+1,7)),IF(SP_AcqTract_DB[[#This Row],[Count '# in TaxID]]&gt;2,CONCATENATE(LEFT(SP_AcqTract_DB[[#This Row],[WCAD Tax Parcel ID]],7),";",MID(SP_AcqTract_DB[[#This Row],[WCAD Tax Parcel ID]],FIND("#",SP_AcqTract_DB[[#This Row],[WCAD Tax Parcel ID]],10)+1,7),";",MID(SP_AcqTract_DB[[#This Row],[WCAD Tax Parcel ID]],FIND("#",SP_AcqTract_DB[[#This Row],[WCAD Tax Parcel ID]],23)+1,7)),"")))</f>
        <v>R026941</v>
      </c>
      <c r="AS85" s="54">
        <f>IF(SP_AcqTract_DB[[#This Row],[WCAD Tax Parcel ID]]="",0,(LEN(SP_AcqTract_DB[[#This Row],[WCAD Tax Parcel ID]])-LEN(SUBSTITUTE(SP_AcqTract_DB[[#This Row],[WCAD Tax Parcel ID]],"#",""))+1)/2)</f>
        <v>1</v>
      </c>
      <c r="AT85" s="190">
        <f>IF(SP_AcqTract_DB[[#This Row],[WCAD Tax Parcel ID]]="",0,COUNTIF(SP_TaxPar_DB[Acquisition Tract No.],SP_AcqTract_DB[[#This Row],[Acquisition Tract No.]]))</f>
        <v>1</v>
      </c>
      <c r="AU85" s="189">
        <f>COUNTIF(ACQStatus_ACQTNo.,SP_AcqTract_DB[[#This Row],[Acquisition Tract No.]])</f>
        <v>1</v>
      </c>
    </row>
    <row r="86" spans="1:47" ht="19.5" customHeight="1" x14ac:dyDescent="0.2">
      <c r="A86" s="195" t="s">
        <v>5299</v>
      </c>
      <c r="B86" s="179" t="s">
        <v>3246</v>
      </c>
      <c r="C86" s="7" t="s">
        <v>2493</v>
      </c>
      <c r="D86" s="52" t="s">
        <v>1255</v>
      </c>
      <c r="E86" s="52"/>
      <c r="F86" s="52" t="s">
        <v>6464</v>
      </c>
      <c r="G86" s="8" t="s">
        <v>6197</v>
      </c>
      <c r="H86" s="8"/>
      <c r="I86" s="8"/>
      <c r="J86" s="8"/>
      <c r="K86" s="8"/>
      <c r="L86" s="8" t="s">
        <v>2431</v>
      </c>
      <c r="M86" s="8"/>
      <c r="N86" s="8"/>
      <c r="O86" s="57"/>
      <c r="P86" s="7"/>
      <c r="Q86" s="3"/>
      <c r="R86" s="16"/>
      <c r="S86" s="5">
        <v>0</v>
      </c>
      <c r="T86" s="4"/>
      <c r="U86" s="57"/>
      <c r="V86" s="8"/>
      <c r="W86" s="8"/>
      <c r="X86" s="8"/>
      <c r="Y86" s="8"/>
      <c r="Z86" s="8"/>
      <c r="AA86" s="7"/>
      <c r="AB86" s="7"/>
      <c r="AC86" s="8" t="s">
        <v>5300</v>
      </c>
      <c r="AD86" s="8" t="s">
        <v>4206</v>
      </c>
      <c r="AE86" s="26">
        <v>44008.317210648151</v>
      </c>
      <c r="AF86" s="8" t="s">
        <v>4206</v>
      </c>
      <c r="AG86" s="26">
        <v>43964.511261574073</v>
      </c>
      <c r="AH86" s="1"/>
      <c r="AI86" s="232">
        <v>94</v>
      </c>
      <c r="AJ86" s="232" t="s">
        <v>4939</v>
      </c>
      <c r="AK86" s="232" t="s">
        <v>3512</v>
      </c>
      <c r="AL86" s="232"/>
      <c r="AM86" s="232"/>
      <c r="AN86" s="232"/>
      <c r="AO86" s="233"/>
      <c r="AP86" s="230"/>
      <c r="AQ86" s="230"/>
      <c r="AR86" s="188" t="str">
        <f>IF(SP_AcqTract_DB[[#This Row],[Count '# in TaxID]]=1,LEFT(SP_AcqTract_DB[[#This Row],[WCAD Tax Parcel ID]],7),IF(SP_AcqTract_DB[[#This Row],[Count '# in TaxID]]=2,CONCATENATE(LEFT(SP_AcqTract_DB[[#This Row],[WCAD Tax Parcel ID]],7),";",MID(SP_AcqTract_DB[[#This Row],[WCAD Tax Parcel ID]],FIND("#",SP_AcqTract_DB[[#This Row],[WCAD Tax Parcel ID]],10)+1,7)),IF(SP_AcqTract_DB[[#This Row],[Count '# in TaxID]]&gt;2,CONCATENATE(LEFT(SP_AcqTract_DB[[#This Row],[WCAD Tax Parcel ID]],7),";",MID(SP_AcqTract_DB[[#This Row],[WCAD Tax Parcel ID]],FIND("#",SP_AcqTract_DB[[#This Row],[WCAD Tax Parcel ID]],10)+1,7),";",MID(SP_AcqTract_DB[[#This Row],[WCAD Tax Parcel ID]],FIND("#",SP_AcqTract_DB[[#This Row],[WCAD Tax Parcel ID]],23)+1,7)),"")))</f>
        <v>R026942</v>
      </c>
      <c r="AS86" s="54">
        <f>IF(SP_AcqTract_DB[[#This Row],[WCAD Tax Parcel ID]]="",0,(LEN(SP_AcqTract_DB[[#This Row],[WCAD Tax Parcel ID]])-LEN(SUBSTITUTE(SP_AcqTract_DB[[#This Row],[WCAD Tax Parcel ID]],"#",""))+1)/2)</f>
        <v>1</v>
      </c>
      <c r="AT86" s="190">
        <f>IF(SP_AcqTract_DB[[#This Row],[WCAD Tax Parcel ID]]="",0,COUNTIF(SP_TaxPar_DB[Acquisition Tract No.],SP_AcqTract_DB[[#This Row],[Acquisition Tract No.]]))</f>
        <v>1</v>
      </c>
      <c r="AU86" s="189">
        <f>COUNTIF(ACQStatus_ACQTNo.,SP_AcqTract_DB[[#This Row],[Acquisition Tract No.]])</f>
        <v>1</v>
      </c>
    </row>
    <row r="87" spans="1:47" ht="19.5" customHeight="1" x14ac:dyDescent="0.2">
      <c r="A87" s="195" t="s">
        <v>5301</v>
      </c>
      <c r="B87" s="179" t="s">
        <v>3247</v>
      </c>
      <c r="C87" s="7" t="s">
        <v>2493</v>
      </c>
      <c r="D87" s="52" t="s">
        <v>1255</v>
      </c>
      <c r="E87" s="52"/>
      <c r="F87" s="52" t="s">
        <v>1809</v>
      </c>
      <c r="G87" s="8" t="s">
        <v>6199</v>
      </c>
      <c r="H87" s="8"/>
      <c r="I87" s="8"/>
      <c r="J87" s="8"/>
      <c r="K87" s="8"/>
      <c r="L87" s="8" t="s">
        <v>2444</v>
      </c>
      <c r="M87" s="8"/>
      <c r="N87" s="8"/>
      <c r="O87" s="57"/>
      <c r="P87" s="7"/>
      <c r="Q87" s="3"/>
      <c r="R87" s="16"/>
      <c r="S87" s="5">
        <v>0</v>
      </c>
      <c r="T87" s="4"/>
      <c r="U87" s="57"/>
      <c r="V87" s="8"/>
      <c r="W87" s="8"/>
      <c r="X87" s="8"/>
      <c r="Y87" s="8"/>
      <c r="Z87" s="8"/>
      <c r="AA87" s="7"/>
      <c r="AB87" s="7"/>
      <c r="AC87" s="8" t="s">
        <v>5302</v>
      </c>
      <c r="AD87" s="8" t="s">
        <v>4206</v>
      </c>
      <c r="AE87" s="26">
        <v>43994.42864583333</v>
      </c>
      <c r="AF87" s="8" t="s">
        <v>4206</v>
      </c>
      <c r="AG87" s="26">
        <v>43964.511793981481</v>
      </c>
      <c r="AH87" s="1"/>
      <c r="AI87" s="232">
        <v>95</v>
      </c>
      <c r="AJ87" s="232" t="s">
        <v>4939</v>
      </c>
      <c r="AK87" s="232" t="s">
        <v>3512</v>
      </c>
      <c r="AL87" s="232"/>
      <c r="AM87" s="232"/>
      <c r="AN87" s="232"/>
      <c r="AO87" s="233"/>
      <c r="AP87" s="230"/>
      <c r="AQ87" s="230"/>
      <c r="AR87" s="188" t="str">
        <f>IF(SP_AcqTract_DB[[#This Row],[Count '# in TaxID]]=1,LEFT(SP_AcqTract_DB[[#This Row],[WCAD Tax Parcel ID]],7),IF(SP_AcqTract_DB[[#This Row],[Count '# in TaxID]]=2,CONCATENATE(LEFT(SP_AcqTract_DB[[#This Row],[WCAD Tax Parcel ID]],7),";",MID(SP_AcqTract_DB[[#This Row],[WCAD Tax Parcel ID]],FIND("#",SP_AcqTract_DB[[#This Row],[WCAD Tax Parcel ID]],10)+1,7)),IF(SP_AcqTract_DB[[#This Row],[Count '# in TaxID]]&gt;2,CONCATENATE(LEFT(SP_AcqTract_DB[[#This Row],[WCAD Tax Parcel ID]],7),";",MID(SP_AcqTract_DB[[#This Row],[WCAD Tax Parcel ID]],FIND("#",SP_AcqTract_DB[[#This Row],[WCAD Tax Parcel ID]],10)+1,7),";",MID(SP_AcqTract_DB[[#This Row],[WCAD Tax Parcel ID]],FIND("#",SP_AcqTract_DB[[#This Row],[WCAD Tax Parcel ID]],23)+1,7)),"")))</f>
        <v>R026943</v>
      </c>
      <c r="AS87" s="54">
        <f>IF(SP_AcqTract_DB[[#This Row],[WCAD Tax Parcel ID]]="",0,(LEN(SP_AcqTract_DB[[#This Row],[WCAD Tax Parcel ID]])-LEN(SUBSTITUTE(SP_AcqTract_DB[[#This Row],[WCAD Tax Parcel ID]],"#",""))+1)/2)</f>
        <v>1</v>
      </c>
      <c r="AT87" s="190">
        <f>IF(SP_AcqTract_DB[[#This Row],[WCAD Tax Parcel ID]]="",0,COUNTIF(SP_TaxPar_DB[Acquisition Tract No.],SP_AcqTract_DB[[#This Row],[Acquisition Tract No.]]))</f>
        <v>1</v>
      </c>
      <c r="AU87" s="189">
        <f>COUNTIF(ACQStatus_ACQTNo.,SP_AcqTract_DB[[#This Row],[Acquisition Tract No.]])</f>
        <v>1</v>
      </c>
    </row>
    <row r="88" spans="1:47" ht="19.5" customHeight="1" x14ac:dyDescent="0.2">
      <c r="A88" s="195" t="s">
        <v>5303</v>
      </c>
      <c r="B88" s="179" t="s">
        <v>3248</v>
      </c>
      <c r="C88" s="7" t="s">
        <v>2493</v>
      </c>
      <c r="D88" s="52" t="s">
        <v>1255</v>
      </c>
      <c r="E88" s="52"/>
      <c r="F88" s="52" t="s">
        <v>6464</v>
      </c>
      <c r="G88" s="8" t="s">
        <v>6200</v>
      </c>
      <c r="H88" s="8"/>
      <c r="I88" s="8"/>
      <c r="J88" s="8"/>
      <c r="K88" s="8"/>
      <c r="L88" s="8" t="s">
        <v>2451</v>
      </c>
      <c r="M88" s="8"/>
      <c r="N88" s="8"/>
      <c r="O88" s="57"/>
      <c r="P88" s="7"/>
      <c r="Q88" s="3"/>
      <c r="R88" s="16"/>
      <c r="S88" s="5">
        <v>0</v>
      </c>
      <c r="T88" s="4"/>
      <c r="U88" s="57"/>
      <c r="V88" s="8"/>
      <c r="W88" s="8"/>
      <c r="X88" s="8"/>
      <c r="Y88" s="8"/>
      <c r="Z88" s="8"/>
      <c r="AA88" s="7"/>
      <c r="AB88" s="7"/>
      <c r="AC88" s="8" t="s">
        <v>5304</v>
      </c>
      <c r="AD88" s="8" t="s">
        <v>4206</v>
      </c>
      <c r="AE88" s="26">
        <v>44008.316921296297</v>
      </c>
      <c r="AF88" s="8" t="s">
        <v>4206</v>
      </c>
      <c r="AG88" s="26">
        <v>43964.512106481481</v>
      </c>
      <c r="AH88" s="1"/>
      <c r="AI88" s="232">
        <v>96</v>
      </c>
      <c r="AJ88" s="232" t="s">
        <v>4939</v>
      </c>
      <c r="AK88" s="232" t="s">
        <v>3512</v>
      </c>
      <c r="AL88" s="232"/>
      <c r="AM88" s="232"/>
      <c r="AN88" s="232"/>
      <c r="AO88" s="233"/>
      <c r="AP88" s="230"/>
      <c r="AQ88" s="230"/>
      <c r="AR88" s="188" t="str">
        <f>IF(SP_AcqTract_DB[[#This Row],[Count '# in TaxID]]=1,LEFT(SP_AcqTract_DB[[#This Row],[WCAD Tax Parcel ID]],7),IF(SP_AcqTract_DB[[#This Row],[Count '# in TaxID]]=2,CONCATENATE(LEFT(SP_AcqTract_DB[[#This Row],[WCAD Tax Parcel ID]],7),";",MID(SP_AcqTract_DB[[#This Row],[WCAD Tax Parcel ID]],FIND("#",SP_AcqTract_DB[[#This Row],[WCAD Tax Parcel ID]],10)+1,7)),IF(SP_AcqTract_DB[[#This Row],[Count '# in TaxID]]&gt;2,CONCATENATE(LEFT(SP_AcqTract_DB[[#This Row],[WCAD Tax Parcel ID]],7),";",MID(SP_AcqTract_DB[[#This Row],[WCAD Tax Parcel ID]],FIND("#",SP_AcqTract_DB[[#This Row],[WCAD Tax Parcel ID]],10)+1,7),";",MID(SP_AcqTract_DB[[#This Row],[WCAD Tax Parcel ID]],FIND("#",SP_AcqTract_DB[[#This Row],[WCAD Tax Parcel ID]],23)+1,7)),"")))</f>
        <v>R026948</v>
      </c>
      <c r="AS88" s="54">
        <f>IF(SP_AcqTract_DB[[#This Row],[WCAD Tax Parcel ID]]="",0,(LEN(SP_AcqTract_DB[[#This Row],[WCAD Tax Parcel ID]])-LEN(SUBSTITUTE(SP_AcqTract_DB[[#This Row],[WCAD Tax Parcel ID]],"#",""))+1)/2)</f>
        <v>1</v>
      </c>
      <c r="AT88" s="190">
        <f>IF(SP_AcqTract_DB[[#This Row],[WCAD Tax Parcel ID]]="",0,COUNTIF(SP_TaxPar_DB[Acquisition Tract No.],SP_AcqTract_DB[[#This Row],[Acquisition Tract No.]]))</f>
        <v>1</v>
      </c>
      <c r="AU88" s="189">
        <f>COUNTIF(ACQStatus_ACQTNo.,SP_AcqTract_DB[[#This Row],[Acquisition Tract No.]])</f>
        <v>1</v>
      </c>
    </row>
    <row r="89" spans="1:47" ht="19.5" customHeight="1" x14ac:dyDescent="0.2">
      <c r="A89" s="195" t="s">
        <v>5305</v>
      </c>
      <c r="B89" s="179" t="s">
        <v>3249</v>
      </c>
      <c r="C89" s="7" t="s">
        <v>2493</v>
      </c>
      <c r="D89" s="52" t="s">
        <v>1255</v>
      </c>
      <c r="E89" s="52"/>
      <c r="F89" s="52" t="s">
        <v>1809</v>
      </c>
      <c r="G89" s="8" t="s">
        <v>6201</v>
      </c>
      <c r="H89" s="8"/>
      <c r="I89" s="8"/>
      <c r="J89" s="8"/>
      <c r="K89" s="8"/>
      <c r="L89" s="8" t="s">
        <v>2456</v>
      </c>
      <c r="M89" s="8"/>
      <c r="N89" s="8"/>
      <c r="O89" s="57"/>
      <c r="P89" s="7"/>
      <c r="Q89" s="3"/>
      <c r="R89" s="16"/>
      <c r="S89" s="5">
        <v>0</v>
      </c>
      <c r="T89" s="4"/>
      <c r="U89" s="57"/>
      <c r="V89" s="8"/>
      <c r="W89" s="8"/>
      <c r="X89" s="8"/>
      <c r="Y89" s="8"/>
      <c r="Z89" s="8"/>
      <c r="AA89" s="7"/>
      <c r="AB89" s="7"/>
      <c r="AC89" s="8" t="s">
        <v>5306</v>
      </c>
      <c r="AD89" s="8" t="s">
        <v>4206</v>
      </c>
      <c r="AE89" s="26">
        <v>43994.42864583333</v>
      </c>
      <c r="AF89" s="8" t="s">
        <v>4206</v>
      </c>
      <c r="AG89" s="26">
        <v>43977.473912037036</v>
      </c>
      <c r="AH89" s="1"/>
      <c r="AI89" s="232">
        <v>135</v>
      </c>
      <c r="AJ89" s="232" t="s">
        <v>4939</v>
      </c>
      <c r="AK89" s="232" t="s">
        <v>3512</v>
      </c>
      <c r="AL89" s="232"/>
      <c r="AM89" s="232"/>
      <c r="AN89" s="232"/>
      <c r="AO89" s="233"/>
      <c r="AP89" s="230"/>
      <c r="AQ89" s="230"/>
      <c r="AR89" s="188" t="str">
        <f>IF(SP_AcqTract_DB[[#This Row],[Count '# in TaxID]]=1,LEFT(SP_AcqTract_DB[[#This Row],[WCAD Tax Parcel ID]],7),IF(SP_AcqTract_DB[[#This Row],[Count '# in TaxID]]=2,CONCATENATE(LEFT(SP_AcqTract_DB[[#This Row],[WCAD Tax Parcel ID]],7),";",MID(SP_AcqTract_DB[[#This Row],[WCAD Tax Parcel ID]],FIND("#",SP_AcqTract_DB[[#This Row],[WCAD Tax Parcel ID]],10)+1,7)),IF(SP_AcqTract_DB[[#This Row],[Count '# in TaxID]]&gt;2,CONCATENATE(LEFT(SP_AcqTract_DB[[#This Row],[WCAD Tax Parcel ID]],7),";",MID(SP_AcqTract_DB[[#This Row],[WCAD Tax Parcel ID]],FIND("#",SP_AcqTract_DB[[#This Row],[WCAD Tax Parcel ID]],10)+1,7),";",MID(SP_AcqTract_DB[[#This Row],[WCAD Tax Parcel ID]],FIND("#",SP_AcqTract_DB[[#This Row],[WCAD Tax Parcel ID]],23)+1,7)),"")))</f>
        <v>R026951</v>
      </c>
      <c r="AS89" s="54">
        <f>IF(SP_AcqTract_DB[[#This Row],[WCAD Tax Parcel ID]]="",0,(LEN(SP_AcqTract_DB[[#This Row],[WCAD Tax Parcel ID]])-LEN(SUBSTITUTE(SP_AcqTract_DB[[#This Row],[WCAD Tax Parcel ID]],"#",""))+1)/2)</f>
        <v>1</v>
      </c>
      <c r="AT89" s="190">
        <f>IF(SP_AcqTract_DB[[#This Row],[WCAD Tax Parcel ID]]="",0,COUNTIF(SP_TaxPar_DB[Acquisition Tract No.],SP_AcqTract_DB[[#This Row],[Acquisition Tract No.]]))</f>
        <v>1</v>
      </c>
      <c r="AU89" s="189">
        <f>COUNTIF(ACQStatus_ACQTNo.,SP_AcqTract_DB[[#This Row],[Acquisition Tract No.]])</f>
        <v>1</v>
      </c>
    </row>
    <row r="90" spans="1:47" ht="19.5" customHeight="1" x14ac:dyDescent="0.2">
      <c r="A90" s="195" t="s">
        <v>5307</v>
      </c>
      <c r="B90" s="179" t="s">
        <v>3250</v>
      </c>
      <c r="C90" s="7" t="s">
        <v>2493</v>
      </c>
      <c r="D90" s="52" t="s">
        <v>1255</v>
      </c>
      <c r="E90" s="52"/>
      <c r="F90" s="52" t="s">
        <v>1809</v>
      </c>
      <c r="G90" s="8" t="s">
        <v>6202</v>
      </c>
      <c r="H90" s="8"/>
      <c r="I90" s="8"/>
      <c r="J90" s="8"/>
      <c r="K90" s="8"/>
      <c r="L90" s="8" t="s">
        <v>2461</v>
      </c>
      <c r="M90" s="8"/>
      <c r="N90" s="8"/>
      <c r="O90" s="57"/>
      <c r="P90" s="7"/>
      <c r="Q90" s="3"/>
      <c r="R90" s="16"/>
      <c r="S90" s="5">
        <v>0</v>
      </c>
      <c r="T90" s="4"/>
      <c r="U90" s="57"/>
      <c r="V90" s="8"/>
      <c r="W90" s="8"/>
      <c r="X90" s="8"/>
      <c r="Y90" s="8"/>
      <c r="Z90" s="8"/>
      <c r="AA90" s="7"/>
      <c r="AB90" s="7"/>
      <c r="AC90" s="8" t="s">
        <v>5308</v>
      </c>
      <c r="AD90" s="8" t="s">
        <v>4206</v>
      </c>
      <c r="AE90" s="26">
        <v>43994.42864583333</v>
      </c>
      <c r="AF90" s="8" t="s">
        <v>4206</v>
      </c>
      <c r="AG90" s="26">
        <v>43977.474456018521</v>
      </c>
      <c r="AH90" s="1"/>
      <c r="AI90" s="232">
        <v>136</v>
      </c>
      <c r="AJ90" s="232" t="s">
        <v>4939</v>
      </c>
      <c r="AK90" s="232" t="s">
        <v>3512</v>
      </c>
      <c r="AL90" s="232"/>
      <c r="AM90" s="232"/>
      <c r="AN90" s="232"/>
      <c r="AO90" s="233"/>
      <c r="AP90" s="230"/>
      <c r="AQ90" s="230"/>
      <c r="AR90" s="188" t="str">
        <f>IF(SP_AcqTract_DB[[#This Row],[Count '# in TaxID]]=1,LEFT(SP_AcqTract_DB[[#This Row],[WCAD Tax Parcel ID]],7),IF(SP_AcqTract_DB[[#This Row],[Count '# in TaxID]]=2,CONCATENATE(LEFT(SP_AcqTract_DB[[#This Row],[WCAD Tax Parcel ID]],7),";",MID(SP_AcqTract_DB[[#This Row],[WCAD Tax Parcel ID]],FIND("#",SP_AcqTract_DB[[#This Row],[WCAD Tax Parcel ID]],10)+1,7)),IF(SP_AcqTract_DB[[#This Row],[Count '# in TaxID]]&gt;2,CONCATENATE(LEFT(SP_AcqTract_DB[[#This Row],[WCAD Tax Parcel ID]],7),";",MID(SP_AcqTract_DB[[#This Row],[WCAD Tax Parcel ID]],FIND("#",SP_AcqTract_DB[[#This Row],[WCAD Tax Parcel ID]],10)+1,7),";",MID(SP_AcqTract_DB[[#This Row],[WCAD Tax Parcel ID]],FIND("#",SP_AcqTract_DB[[#This Row],[WCAD Tax Parcel ID]],23)+1,7)),"")))</f>
        <v>R026953</v>
      </c>
      <c r="AS90" s="54">
        <f>IF(SP_AcqTract_DB[[#This Row],[WCAD Tax Parcel ID]]="",0,(LEN(SP_AcqTract_DB[[#This Row],[WCAD Tax Parcel ID]])-LEN(SUBSTITUTE(SP_AcqTract_DB[[#This Row],[WCAD Tax Parcel ID]],"#",""))+1)/2)</f>
        <v>1</v>
      </c>
      <c r="AT90" s="190">
        <f>IF(SP_AcqTract_DB[[#This Row],[WCAD Tax Parcel ID]]="",0,COUNTIF(SP_TaxPar_DB[Acquisition Tract No.],SP_AcqTract_DB[[#This Row],[Acquisition Tract No.]]))</f>
        <v>1</v>
      </c>
      <c r="AU90" s="189">
        <f>COUNTIF(ACQStatus_ACQTNo.,SP_AcqTract_DB[[#This Row],[Acquisition Tract No.]])</f>
        <v>1</v>
      </c>
    </row>
    <row r="91" spans="1:47" ht="19.5" customHeight="1" x14ac:dyDescent="0.2">
      <c r="A91" s="195" t="s">
        <v>5309</v>
      </c>
      <c r="B91" s="179" t="s">
        <v>3251</v>
      </c>
      <c r="C91" s="7" t="s">
        <v>2493</v>
      </c>
      <c r="D91" s="52" t="s">
        <v>1255</v>
      </c>
      <c r="E91" s="52"/>
      <c r="F91" s="52" t="s">
        <v>6464</v>
      </c>
      <c r="G91" s="8" t="s">
        <v>6203</v>
      </c>
      <c r="H91" s="8"/>
      <c r="I91" s="8"/>
      <c r="J91" s="8"/>
      <c r="K91" s="8"/>
      <c r="L91" s="8" t="s">
        <v>2468</v>
      </c>
      <c r="M91" s="8"/>
      <c r="N91" s="8"/>
      <c r="O91" s="57"/>
      <c r="P91" s="7"/>
      <c r="Q91" s="3"/>
      <c r="R91" s="16"/>
      <c r="S91" s="5">
        <v>0</v>
      </c>
      <c r="T91" s="4"/>
      <c r="U91" s="57"/>
      <c r="V91" s="8"/>
      <c r="W91" s="8"/>
      <c r="X91" s="8"/>
      <c r="Y91" s="8"/>
      <c r="Z91" s="8"/>
      <c r="AA91" s="7"/>
      <c r="AB91" s="7"/>
      <c r="AC91" s="8" t="s">
        <v>5310</v>
      </c>
      <c r="AD91" s="8" t="s">
        <v>4206</v>
      </c>
      <c r="AE91" s="26">
        <v>44008.31726851852</v>
      </c>
      <c r="AF91" s="8" t="s">
        <v>4206</v>
      </c>
      <c r="AG91" s="26">
        <v>43977.474780092591</v>
      </c>
      <c r="AH91" s="1"/>
      <c r="AI91" s="232">
        <v>137</v>
      </c>
      <c r="AJ91" s="232" t="s">
        <v>4939</v>
      </c>
      <c r="AK91" s="232" t="s">
        <v>3512</v>
      </c>
      <c r="AL91" s="232"/>
      <c r="AM91" s="232"/>
      <c r="AN91" s="232"/>
      <c r="AO91" s="233"/>
      <c r="AP91" s="230"/>
      <c r="AQ91" s="230"/>
      <c r="AR91" s="188" t="str">
        <f>IF(SP_AcqTract_DB[[#This Row],[Count '# in TaxID]]=1,LEFT(SP_AcqTract_DB[[#This Row],[WCAD Tax Parcel ID]],7),IF(SP_AcqTract_DB[[#This Row],[Count '# in TaxID]]=2,CONCATENATE(LEFT(SP_AcqTract_DB[[#This Row],[WCAD Tax Parcel ID]],7),";",MID(SP_AcqTract_DB[[#This Row],[WCAD Tax Parcel ID]],FIND("#",SP_AcqTract_DB[[#This Row],[WCAD Tax Parcel ID]],10)+1,7)),IF(SP_AcqTract_DB[[#This Row],[Count '# in TaxID]]&gt;2,CONCATENATE(LEFT(SP_AcqTract_DB[[#This Row],[WCAD Tax Parcel ID]],7),";",MID(SP_AcqTract_DB[[#This Row],[WCAD Tax Parcel ID]],FIND("#",SP_AcqTract_DB[[#This Row],[WCAD Tax Parcel ID]],10)+1,7),";",MID(SP_AcqTract_DB[[#This Row],[WCAD Tax Parcel ID]],FIND("#",SP_AcqTract_DB[[#This Row],[WCAD Tax Parcel ID]],23)+1,7)),"")))</f>
        <v>R026954</v>
      </c>
      <c r="AS91" s="54">
        <f>IF(SP_AcqTract_DB[[#This Row],[WCAD Tax Parcel ID]]="",0,(LEN(SP_AcqTract_DB[[#This Row],[WCAD Tax Parcel ID]])-LEN(SUBSTITUTE(SP_AcqTract_DB[[#This Row],[WCAD Tax Parcel ID]],"#",""))+1)/2)</f>
        <v>1</v>
      </c>
      <c r="AT91" s="190">
        <f>IF(SP_AcqTract_DB[[#This Row],[WCAD Tax Parcel ID]]="",0,COUNTIF(SP_TaxPar_DB[Acquisition Tract No.],SP_AcqTract_DB[[#This Row],[Acquisition Tract No.]]))</f>
        <v>1</v>
      </c>
      <c r="AU91" s="189">
        <f>COUNTIF(ACQStatus_ACQTNo.,SP_AcqTract_DB[[#This Row],[Acquisition Tract No.]])</f>
        <v>1</v>
      </c>
    </row>
    <row r="92" spans="1:47" ht="19.5" customHeight="1" x14ac:dyDescent="0.2">
      <c r="A92" s="195" t="s">
        <v>5311</v>
      </c>
      <c r="B92" s="179" t="s">
        <v>3252</v>
      </c>
      <c r="C92" s="7" t="s">
        <v>2493</v>
      </c>
      <c r="D92" s="52" t="s">
        <v>1255</v>
      </c>
      <c r="E92" s="52"/>
      <c r="F92" s="52" t="s">
        <v>1809</v>
      </c>
      <c r="G92" s="8" t="s">
        <v>6204</v>
      </c>
      <c r="H92" s="8"/>
      <c r="I92" s="8"/>
      <c r="J92" s="8"/>
      <c r="K92" s="8"/>
      <c r="L92" s="8" t="s">
        <v>2472</v>
      </c>
      <c r="M92" s="8"/>
      <c r="N92" s="8"/>
      <c r="O92" s="57"/>
      <c r="P92" s="7"/>
      <c r="Q92" s="3"/>
      <c r="R92" s="16"/>
      <c r="S92" s="5">
        <v>0</v>
      </c>
      <c r="T92" s="4"/>
      <c r="U92" s="57"/>
      <c r="V92" s="8"/>
      <c r="W92" s="8"/>
      <c r="X92" s="8"/>
      <c r="Y92" s="8"/>
      <c r="Z92" s="8"/>
      <c r="AA92" s="7"/>
      <c r="AB92" s="7"/>
      <c r="AC92" s="8" t="s">
        <v>5312</v>
      </c>
      <c r="AD92" s="8" t="s">
        <v>4206</v>
      </c>
      <c r="AE92" s="26">
        <v>43994.42864583333</v>
      </c>
      <c r="AF92" s="8" t="s">
        <v>4206</v>
      </c>
      <c r="AG92" s="26">
        <v>43977.475231481483</v>
      </c>
      <c r="AH92" s="1"/>
      <c r="AI92" s="232">
        <v>138</v>
      </c>
      <c r="AJ92" s="232" t="s">
        <v>4939</v>
      </c>
      <c r="AK92" s="232" t="s">
        <v>3512</v>
      </c>
      <c r="AL92" s="232"/>
      <c r="AM92" s="232"/>
      <c r="AN92" s="232"/>
      <c r="AO92" s="233"/>
      <c r="AP92" s="230"/>
      <c r="AQ92" s="230"/>
      <c r="AR92" s="188" t="str">
        <f>IF(SP_AcqTract_DB[[#This Row],[Count '# in TaxID]]=1,LEFT(SP_AcqTract_DB[[#This Row],[WCAD Tax Parcel ID]],7),IF(SP_AcqTract_DB[[#This Row],[Count '# in TaxID]]=2,CONCATENATE(LEFT(SP_AcqTract_DB[[#This Row],[WCAD Tax Parcel ID]],7),";",MID(SP_AcqTract_DB[[#This Row],[WCAD Tax Parcel ID]],FIND("#",SP_AcqTract_DB[[#This Row],[WCAD Tax Parcel ID]],10)+1,7)),IF(SP_AcqTract_DB[[#This Row],[Count '# in TaxID]]&gt;2,CONCATENATE(LEFT(SP_AcqTract_DB[[#This Row],[WCAD Tax Parcel ID]],7),";",MID(SP_AcqTract_DB[[#This Row],[WCAD Tax Parcel ID]],FIND("#",SP_AcqTract_DB[[#This Row],[WCAD Tax Parcel ID]],10)+1,7),";",MID(SP_AcqTract_DB[[#This Row],[WCAD Tax Parcel ID]],FIND("#",SP_AcqTract_DB[[#This Row],[WCAD Tax Parcel ID]],23)+1,7)),"")))</f>
        <v>R026956</v>
      </c>
      <c r="AS92" s="54">
        <f>IF(SP_AcqTract_DB[[#This Row],[WCAD Tax Parcel ID]]="",0,(LEN(SP_AcqTract_DB[[#This Row],[WCAD Tax Parcel ID]])-LEN(SUBSTITUTE(SP_AcqTract_DB[[#This Row],[WCAD Tax Parcel ID]],"#",""))+1)/2)</f>
        <v>1</v>
      </c>
      <c r="AT92" s="190">
        <f>IF(SP_AcqTract_DB[[#This Row],[WCAD Tax Parcel ID]]="",0,COUNTIF(SP_TaxPar_DB[Acquisition Tract No.],SP_AcqTract_DB[[#This Row],[Acquisition Tract No.]]))</f>
        <v>1</v>
      </c>
      <c r="AU92" s="189">
        <f>COUNTIF(ACQStatus_ACQTNo.,SP_AcqTract_DB[[#This Row],[Acquisition Tract No.]])</f>
        <v>1</v>
      </c>
    </row>
    <row r="93" spans="1:47" ht="19.5" customHeight="1" x14ac:dyDescent="0.2">
      <c r="A93" s="195" t="s">
        <v>5313</v>
      </c>
      <c r="B93" s="179" t="s">
        <v>3253</v>
      </c>
      <c r="C93" s="7" t="s">
        <v>2493</v>
      </c>
      <c r="D93" s="52" t="s">
        <v>1255</v>
      </c>
      <c r="E93" s="52"/>
      <c r="F93" s="52"/>
      <c r="G93" s="8" t="s">
        <v>6205</v>
      </c>
      <c r="H93" s="8"/>
      <c r="I93" s="8"/>
      <c r="J93" s="8"/>
      <c r="K93" s="8"/>
      <c r="L93" s="8" t="s">
        <v>2477</v>
      </c>
      <c r="M93" s="8"/>
      <c r="N93" s="8"/>
      <c r="O93" s="57"/>
      <c r="P93" s="7"/>
      <c r="Q93" s="3"/>
      <c r="R93" s="16"/>
      <c r="S93" s="5">
        <v>0</v>
      </c>
      <c r="T93" s="4"/>
      <c r="U93" s="57"/>
      <c r="V93" s="8"/>
      <c r="W93" s="8"/>
      <c r="X93" s="8"/>
      <c r="Y93" s="8"/>
      <c r="Z93" s="8"/>
      <c r="AA93" s="7"/>
      <c r="AB93" s="7"/>
      <c r="AC93" s="8" t="s">
        <v>5314</v>
      </c>
      <c r="AD93" s="8" t="s">
        <v>4206</v>
      </c>
      <c r="AE93" s="26">
        <v>43994.42864583333</v>
      </c>
      <c r="AF93" s="8" t="s">
        <v>4206</v>
      </c>
      <c r="AG93" s="26">
        <v>43964.51290509259</v>
      </c>
      <c r="AH93" s="1"/>
      <c r="AI93" s="232">
        <v>97</v>
      </c>
      <c r="AJ93" s="232" t="s">
        <v>4939</v>
      </c>
      <c r="AK93" s="232" t="s">
        <v>3512</v>
      </c>
      <c r="AL93" s="232"/>
      <c r="AM93" s="232"/>
      <c r="AN93" s="232"/>
      <c r="AO93" s="233"/>
      <c r="AP93" s="230"/>
      <c r="AQ93" s="230"/>
      <c r="AR93" s="188" t="str">
        <f>IF(SP_AcqTract_DB[[#This Row],[Count '# in TaxID]]=1,LEFT(SP_AcqTract_DB[[#This Row],[WCAD Tax Parcel ID]],7),IF(SP_AcqTract_DB[[#This Row],[Count '# in TaxID]]=2,CONCATENATE(LEFT(SP_AcqTract_DB[[#This Row],[WCAD Tax Parcel ID]],7),";",MID(SP_AcqTract_DB[[#This Row],[WCAD Tax Parcel ID]],FIND("#",SP_AcqTract_DB[[#This Row],[WCAD Tax Parcel ID]],10)+1,7)),IF(SP_AcqTract_DB[[#This Row],[Count '# in TaxID]]&gt;2,CONCATENATE(LEFT(SP_AcqTract_DB[[#This Row],[WCAD Tax Parcel ID]],7),";",MID(SP_AcqTract_DB[[#This Row],[WCAD Tax Parcel ID]],FIND("#",SP_AcqTract_DB[[#This Row],[WCAD Tax Parcel ID]],10)+1,7),";",MID(SP_AcqTract_DB[[#This Row],[WCAD Tax Parcel ID]],FIND("#",SP_AcqTract_DB[[#This Row],[WCAD Tax Parcel ID]],23)+1,7)),"")))</f>
        <v>R026957</v>
      </c>
      <c r="AS93" s="54">
        <f>IF(SP_AcqTract_DB[[#This Row],[WCAD Tax Parcel ID]]="",0,(LEN(SP_AcqTract_DB[[#This Row],[WCAD Tax Parcel ID]])-LEN(SUBSTITUTE(SP_AcqTract_DB[[#This Row],[WCAD Tax Parcel ID]],"#",""))+1)/2)</f>
        <v>1</v>
      </c>
      <c r="AT93" s="190">
        <f>IF(SP_AcqTract_DB[[#This Row],[WCAD Tax Parcel ID]]="",0,COUNTIF(SP_TaxPar_DB[Acquisition Tract No.],SP_AcqTract_DB[[#This Row],[Acquisition Tract No.]]))</f>
        <v>1</v>
      </c>
      <c r="AU93" s="189">
        <f>COUNTIF(ACQStatus_ACQTNo.,SP_AcqTract_DB[[#This Row],[Acquisition Tract No.]])</f>
        <v>1</v>
      </c>
    </row>
    <row r="94" spans="1:47" ht="19.5" customHeight="1" x14ac:dyDescent="0.2">
      <c r="A94" s="195" t="s">
        <v>5315</v>
      </c>
      <c r="B94" s="179" t="s">
        <v>3254</v>
      </c>
      <c r="C94" s="7" t="s">
        <v>2493</v>
      </c>
      <c r="D94" s="52" t="s">
        <v>1255</v>
      </c>
      <c r="E94" s="52"/>
      <c r="F94" s="52" t="s">
        <v>6464</v>
      </c>
      <c r="G94" s="8" t="s">
        <v>6206</v>
      </c>
      <c r="H94" s="8"/>
      <c r="I94" s="8"/>
      <c r="J94" s="8"/>
      <c r="K94" s="8"/>
      <c r="L94" s="8" t="s">
        <v>2483</v>
      </c>
      <c r="M94" s="8"/>
      <c r="N94" s="8"/>
      <c r="O94" s="57"/>
      <c r="P94" s="7"/>
      <c r="Q94" s="3"/>
      <c r="R94" s="16"/>
      <c r="S94" s="5">
        <v>0</v>
      </c>
      <c r="T94" s="4"/>
      <c r="U94" s="57"/>
      <c r="V94" s="8"/>
      <c r="W94" s="8"/>
      <c r="X94" s="8"/>
      <c r="Y94" s="8"/>
      <c r="Z94" s="8"/>
      <c r="AA94" s="7"/>
      <c r="AB94" s="7"/>
      <c r="AC94" s="8" t="s">
        <v>5316</v>
      </c>
      <c r="AD94" s="8" t="s">
        <v>4206</v>
      </c>
      <c r="AE94" s="26">
        <v>44008.317361111112</v>
      </c>
      <c r="AF94" s="8" t="s">
        <v>4206</v>
      </c>
      <c r="AG94" s="26">
        <v>43964.514317129629</v>
      </c>
      <c r="AH94" s="1"/>
      <c r="AI94" s="232">
        <v>98</v>
      </c>
      <c r="AJ94" s="232" t="s">
        <v>4939</v>
      </c>
      <c r="AK94" s="232" t="s">
        <v>3512</v>
      </c>
      <c r="AL94" s="232"/>
      <c r="AM94" s="232"/>
      <c r="AN94" s="232"/>
      <c r="AO94" s="233"/>
      <c r="AP94" s="230"/>
      <c r="AQ94" s="230"/>
      <c r="AR94" s="188" t="str">
        <f>IF(SP_AcqTract_DB[[#This Row],[Count '# in TaxID]]=1,LEFT(SP_AcqTract_DB[[#This Row],[WCAD Tax Parcel ID]],7),IF(SP_AcqTract_DB[[#This Row],[Count '# in TaxID]]=2,CONCATENATE(LEFT(SP_AcqTract_DB[[#This Row],[WCAD Tax Parcel ID]],7),";",MID(SP_AcqTract_DB[[#This Row],[WCAD Tax Parcel ID]],FIND("#",SP_AcqTract_DB[[#This Row],[WCAD Tax Parcel ID]],10)+1,7)),IF(SP_AcqTract_DB[[#This Row],[Count '# in TaxID]]&gt;2,CONCATENATE(LEFT(SP_AcqTract_DB[[#This Row],[WCAD Tax Parcel ID]],7),";",MID(SP_AcqTract_DB[[#This Row],[WCAD Tax Parcel ID]],FIND("#",SP_AcqTract_DB[[#This Row],[WCAD Tax Parcel ID]],10)+1,7),";",MID(SP_AcqTract_DB[[#This Row],[WCAD Tax Parcel ID]],FIND("#",SP_AcqTract_DB[[#This Row],[WCAD Tax Parcel ID]],23)+1,7)),"")))</f>
        <v>R026965</v>
      </c>
      <c r="AS94" s="54">
        <f>IF(SP_AcqTract_DB[[#This Row],[WCAD Tax Parcel ID]]="",0,(LEN(SP_AcqTract_DB[[#This Row],[WCAD Tax Parcel ID]])-LEN(SUBSTITUTE(SP_AcqTract_DB[[#This Row],[WCAD Tax Parcel ID]],"#",""))+1)/2)</f>
        <v>1</v>
      </c>
      <c r="AT94" s="190">
        <f>IF(SP_AcqTract_DB[[#This Row],[WCAD Tax Parcel ID]]="",0,COUNTIF(SP_TaxPar_DB[Acquisition Tract No.],SP_AcqTract_DB[[#This Row],[Acquisition Tract No.]]))</f>
        <v>1</v>
      </c>
      <c r="AU94" s="189">
        <f>COUNTIF(ACQStatus_ACQTNo.,SP_AcqTract_DB[[#This Row],[Acquisition Tract No.]])</f>
        <v>1</v>
      </c>
    </row>
    <row r="95" spans="1:47" ht="19.5" customHeight="1" x14ac:dyDescent="0.2">
      <c r="A95" s="195" t="s">
        <v>6484</v>
      </c>
      <c r="B95" s="179" t="s">
        <v>3256</v>
      </c>
      <c r="C95" s="7" t="s">
        <v>2493</v>
      </c>
      <c r="D95" s="52" t="s">
        <v>1255</v>
      </c>
      <c r="E95" s="52"/>
      <c r="F95" s="52"/>
      <c r="G95" s="8"/>
      <c r="H95" s="8"/>
      <c r="I95" s="8"/>
      <c r="J95" s="8"/>
      <c r="K95" s="8"/>
      <c r="L95" s="8"/>
      <c r="M95" s="8"/>
      <c r="N95" s="8"/>
      <c r="O95" s="57"/>
      <c r="P95" s="7"/>
      <c r="Q95" s="3"/>
      <c r="R95" s="16"/>
      <c r="S95" s="5">
        <v>0</v>
      </c>
      <c r="T95" s="4"/>
      <c r="U95" s="57"/>
      <c r="V95" s="8"/>
      <c r="W95" s="8"/>
      <c r="X95" s="8"/>
      <c r="Y95" s="8"/>
      <c r="Z95" s="8"/>
      <c r="AA95" s="7"/>
      <c r="AB95" s="7"/>
      <c r="AC95" s="8" t="s">
        <v>6614</v>
      </c>
      <c r="AD95" s="8" t="s">
        <v>4206</v>
      </c>
      <c r="AE95" s="26">
        <v>44020.495104166665</v>
      </c>
      <c r="AF95" s="8" t="s">
        <v>4206</v>
      </c>
      <c r="AG95" s="26">
        <v>44020.495104166665</v>
      </c>
      <c r="AH95" s="1"/>
      <c r="AI95" s="232">
        <v>148</v>
      </c>
      <c r="AJ95" s="232" t="s">
        <v>4939</v>
      </c>
      <c r="AK95" s="232" t="s">
        <v>3512</v>
      </c>
      <c r="AL95" s="232"/>
      <c r="AM95" s="232"/>
      <c r="AN95" s="232"/>
      <c r="AO95" s="233"/>
      <c r="AP95" s="230"/>
      <c r="AQ95" s="230"/>
      <c r="AR95" s="188" t="str">
        <f>IF(SP_AcqTract_DB[[#This Row],[Count '# in TaxID]]=1,LEFT(SP_AcqTract_DB[[#This Row],[WCAD Tax Parcel ID]],7),IF(SP_AcqTract_DB[[#This Row],[Count '# in TaxID]]=2,CONCATENATE(LEFT(SP_AcqTract_DB[[#This Row],[WCAD Tax Parcel ID]],7),";",MID(SP_AcqTract_DB[[#This Row],[WCAD Tax Parcel ID]],FIND("#",SP_AcqTract_DB[[#This Row],[WCAD Tax Parcel ID]],10)+1,7)),IF(SP_AcqTract_DB[[#This Row],[Count '# in TaxID]]&gt;2,CONCATENATE(LEFT(SP_AcqTract_DB[[#This Row],[WCAD Tax Parcel ID]],7),";",MID(SP_AcqTract_DB[[#This Row],[WCAD Tax Parcel ID]],FIND("#",SP_AcqTract_DB[[#This Row],[WCAD Tax Parcel ID]],10)+1,7),";",MID(SP_AcqTract_DB[[#This Row],[WCAD Tax Parcel ID]],FIND("#",SP_AcqTract_DB[[#This Row],[WCAD Tax Parcel ID]],23)+1,7)),"")))</f>
        <v>R026968</v>
      </c>
      <c r="AS95" s="54">
        <f>IF(SP_AcqTract_DB[[#This Row],[WCAD Tax Parcel ID]]="",0,(LEN(SP_AcqTract_DB[[#This Row],[WCAD Tax Parcel ID]])-LEN(SUBSTITUTE(SP_AcqTract_DB[[#This Row],[WCAD Tax Parcel ID]],"#",""))+1)/2)</f>
        <v>1</v>
      </c>
      <c r="AT95" s="190">
        <f>IF(SP_AcqTract_DB[[#This Row],[WCAD Tax Parcel ID]]="",0,COUNTIF(SP_TaxPar_DB[Acquisition Tract No.],SP_AcqTract_DB[[#This Row],[Acquisition Tract No.]]))</f>
        <v>1</v>
      </c>
      <c r="AU95" s="189">
        <f>COUNTIF(ACQStatus_ACQTNo.,SP_AcqTract_DB[[#This Row],[Acquisition Tract No.]])</f>
        <v>1</v>
      </c>
    </row>
    <row r="96" spans="1:47" ht="19.5" customHeight="1" x14ac:dyDescent="0.2">
      <c r="A96" s="195" t="s">
        <v>5317</v>
      </c>
      <c r="B96" s="179" t="s">
        <v>3260</v>
      </c>
      <c r="C96" s="7" t="s">
        <v>2493</v>
      </c>
      <c r="D96" s="52" t="s">
        <v>1255</v>
      </c>
      <c r="E96" s="52"/>
      <c r="F96" s="52" t="s">
        <v>5654</v>
      </c>
      <c r="G96" s="8" t="s">
        <v>6207</v>
      </c>
      <c r="H96" s="8"/>
      <c r="I96" s="8"/>
      <c r="J96" s="8"/>
      <c r="K96" s="8"/>
      <c r="L96" s="8" t="s">
        <v>2491</v>
      </c>
      <c r="M96" s="8"/>
      <c r="N96" s="8"/>
      <c r="O96" s="57"/>
      <c r="P96" s="7"/>
      <c r="Q96" s="3"/>
      <c r="R96" s="16"/>
      <c r="S96" s="5">
        <v>0</v>
      </c>
      <c r="T96" s="4"/>
      <c r="U96" s="57"/>
      <c r="V96" s="8"/>
      <c r="W96" s="8"/>
      <c r="X96" s="8"/>
      <c r="Y96" s="8"/>
      <c r="Z96" s="8"/>
      <c r="AA96" s="7"/>
      <c r="AB96" s="7"/>
      <c r="AC96" s="8" t="s">
        <v>5318</v>
      </c>
      <c r="AD96" s="8" t="s">
        <v>4206</v>
      </c>
      <c r="AE96" s="26">
        <v>43994.42864583333</v>
      </c>
      <c r="AF96" s="8" t="s">
        <v>4206</v>
      </c>
      <c r="AG96" s="26">
        <v>43977.475555555553</v>
      </c>
      <c r="AH96" s="1"/>
      <c r="AI96" s="232">
        <v>139</v>
      </c>
      <c r="AJ96" s="232" t="s">
        <v>4939</v>
      </c>
      <c r="AK96" s="232" t="s">
        <v>3512</v>
      </c>
      <c r="AL96" s="232"/>
      <c r="AM96" s="232"/>
      <c r="AN96" s="232"/>
      <c r="AO96" s="233"/>
      <c r="AP96" s="230"/>
      <c r="AQ96" s="230"/>
      <c r="AR96" s="188" t="str">
        <f>IF(SP_AcqTract_DB[[#This Row],[Count '# in TaxID]]=1,LEFT(SP_AcqTract_DB[[#This Row],[WCAD Tax Parcel ID]],7),IF(SP_AcqTract_DB[[#This Row],[Count '# in TaxID]]=2,CONCATENATE(LEFT(SP_AcqTract_DB[[#This Row],[WCAD Tax Parcel ID]],7),";",MID(SP_AcqTract_DB[[#This Row],[WCAD Tax Parcel ID]],FIND("#",SP_AcqTract_DB[[#This Row],[WCAD Tax Parcel ID]],10)+1,7)),IF(SP_AcqTract_DB[[#This Row],[Count '# in TaxID]]&gt;2,CONCATENATE(LEFT(SP_AcqTract_DB[[#This Row],[WCAD Tax Parcel ID]],7),";",MID(SP_AcqTract_DB[[#This Row],[WCAD Tax Parcel ID]],FIND("#",SP_AcqTract_DB[[#This Row],[WCAD Tax Parcel ID]],10)+1,7),";",MID(SP_AcqTract_DB[[#This Row],[WCAD Tax Parcel ID]],FIND("#",SP_AcqTract_DB[[#This Row],[WCAD Tax Parcel ID]],23)+1,7)),"")))</f>
        <v>R027013</v>
      </c>
      <c r="AS96" s="54">
        <f>IF(SP_AcqTract_DB[[#This Row],[WCAD Tax Parcel ID]]="",0,(LEN(SP_AcqTract_DB[[#This Row],[WCAD Tax Parcel ID]])-LEN(SUBSTITUTE(SP_AcqTract_DB[[#This Row],[WCAD Tax Parcel ID]],"#",""))+1)/2)</f>
        <v>1</v>
      </c>
      <c r="AT96" s="190">
        <f>IF(SP_AcqTract_DB[[#This Row],[WCAD Tax Parcel ID]]="",0,COUNTIF(SP_TaxPar_DB[Acquisition Tract No.],SP_AcqTract_DB[[#This Row],[Acquisition Tract No.]]))</f>
        <v>1</v>
      </c>
      <c r="AU96" s="189">
        <f>COUNTIF(ACQStatus_ACQTNo.,SP_AcqTract_DB[[#This Row],[Acquisition Tract No.]])</f>
        <v>1</v>
      </c>
    </row>
    <row r="97" spans="1:47" ht="19.5" customHeight="1" x14ac:dyDescent="0.2">
      <c r="A97" s="195" t="s">
        <v>5255</v>
      </c>
      <c r="B97" s="179" t="s">
        <v>605</v>
      </c>
      <c r="C97" s="7" t="s">
        <v>2493</v>
      </c>
      <c r="D97" s="52" t="s">
        <v>1255</v>
      </c>
      <c r="E97" s="52"/>
      <c r="F97" s="52"/>
      <c r="G97" s="8" t="s">
        <v>6208</v>
      </c>
      <c r="H97" s="8"/>
      <c r="I97" s="8"/>
      <c r="J97" s="8"/>
      <c r="K97" s="8"/>
      <c r="L97" s="8" t="s">
        <v>438</v>
      </c>
      <c r="M97" s="8"/>
      <c r="N97" s="8"/>
      <c r="O97" s="57"/>
      <c r="P97" s="7"/>
      <c r="Q97" s="3"/>
      <c r="R97" s="16"/>
      <c r="S97" s="5">
        <v>0</v>
      </c>
      <c r="T97" s="4"/>
      <c r="U97" s="57"/>
      <c r="V97" s="8"/>
      <c r="W97" s="8"/>
      <c r="X97" s="8"/>
      <c r="Y97" s="8"/>
      <c r="Z97" s="8"/>
      <c r="AA97" s="7"/>
      <c r="AB97" s="7"/>
      <c r="AC97" s="8" t="s">
        <v>5319</v>
      </c>
      <c r="AD97" s="8" t="s">
        <v>4206</v>
      </c>
      <c r="AE97" s="26">
        <v>43994.428657407407</v>
      </c>
      <c r="AF97" s="8" t="s">
        <v>4206</v>
      </c>
      <c r="AG97" s="26">
        <v>43964.51734953704</v>
      </c>
      <c r="AH97" s="1"/>
      <c r="AI97" s="232">
        <v>100</v>
      </c>
      <c r="AJ97" s="232" t="s">
        <v>4939</v>
      </c>
      <c r="AK97" s="232" t="s">
        <v>3512</v>
      </c>
      <c r="AL97" s="232"/>
      <c r="AM97" s="232"/>
      <c r="AN97" s="232"/>
      <c r="AO97" s="233"/>
      <c r="AP97" s="230"/>
      <c r="AQ97" s="230"/>
      <c r="AR97" s="188" t="str">
        <f>IF(SP_AcqTract_DB[[#This Row],[Count '# in TaxID]]=1,LEFT(SP_AcqTract_DB[[#This Row],[WCAD Tax Parcel ID]],7),IF(SP_AcqTract_DB[[#This Row],[Count '# in TaxID]]=2,CONCATENATE(LEFT(SP_AcqTract_DB[[#This Row],[WCAD Tax Parcel ID]],7),";",MID(SP_AcqTract_DB[[#This Row],[WCAD Tax Parcel ID]],FIND("#",SP_AcqTract_DB[[#This Row],[WCAD Tax Parcel ID]],10)+1,7)),IF(SP_AcqTract_DB[[#This Row],[Count '# in TaxID]]&gt;2,CONCATENATE(LEFT(SP_AcqTract_DB[[#This Row],[WCAD Tax Parcel ID]],7),";",MID(SP_AcqTract_DB[[#This Row],[WCAD Tax Parcel ID]],FIND("#",SP_AcqTract_DB[[#This Row],[WCAD Tax Parcel ID]],10)+1,7),";",MID(SP_AcqTract_DB[[#This Row],[WCAD Tax Parcel ID]],FIND("#",SP_AcqTract_DB[[#This Row],[WCAD Tax Parcel ID]],23)+1,7)),"")))</f>
        <v>R027668</v>
      </c>
      <c r="AS97" s="54">
        <f>IF(SP_AcqTract_DB[[#This Row],[WCAD Tax Parcel ID]]="",0,(LEN(SP_AcqTract_DB[[#This Row],[WCAD Tax Parcel ID]])-LEN(SUBSTITUTE(SP_AcqTract_DB[[#This Row],[WCAD Tax Parcel ID]],"#",""))+1)/2)</f>
        <v>1</v>
      </c>
      <c r="AT97" s="190">
        <f>IF(SP_AcqTract_DB[[#This Row],[WCAD Tax Parcel ID]]="",0,COUNTIF(SP_TaxPar_DB[Acquisition Tract No.],SP_AcqTract_DB[[#This Row],[Acquisition Tract No.]]))</f>
        <v>1</v>
      </c>
      <c r="AU97" s="189">
        <f>COUNTIF(ACQStatus_ACQTNo.,SP_AcqTract_DB[[#This Row],[Acquisition Tract No.]])</f>
        <v>1</v>
      </c>
    </row>
    <row r="98" spans="1:47" ht="19.5" customHeight="1" x14ac:dyDescent="0.2">
      <c r="A98" s="195" t="s">
        <v>5320</v>
      </c>
      <c r="B98" s="179" t="s">
        <v>610</v>
      </c>
      <c r="C98" s="7" t="s">
        <v>2493</v>
      </c>
      <c r="D98" s="52" t="s">
        <v>1255</v>
      </c>
      <c r="E98" s="52"/>
      <c r="F98" s="52"/>
      <c r="G98" s="8" t="s">
        <v>941</v>
      </c>
      <c r="H98" s="8"/>
      <c r="I98" s="8"/>
      <c r="J98" s="8"/>
      <c r="K98" s="8"/>
      <c r="L98" s="8" t="s">
        <v>478</v>
      </c>
      <c r="M98" s="8"/>
      <c r="N98" s="8"/>
      <c r="O98" s="57"/>
      <c r="P98" s="7"/>
      <c r="Q98" s="3"/>
      <c r="R98" s="16"/>
      <c r="S98" s="5">
        <v>0</v>
      </c>
      <c r="T98" s="4"/>
      <c r="U98" s="57"/>
      <c r="V98" s="8"/>
      <c r="W98" s="8"/>
      <c r="X98" s="8"/>
      <c r="Y98" s="8"/>
      <c r="Z98" s="8"/>
      <c r="AA98" s="7"/>
      <c r="AB98" s="7"/>
      <c r="AC98" s="8" t="s">
        <v>5321</v>
      </c>
      <c r="AD98" s="8" t="s">
        <v>4206</v>
      </c>
      <c r="AE98" s="26">
        <v>43994.428657407407</v>
      </c>
      <c r="AF98" s="8" t="s">
        <v>4206</v>
      </c>
      <c r="AG98" s="26">
        <v>43964.517928240741</v>
      </c>
      <c r="AH98" s="1"/>
      <c r="AI98" s="232">
        <v>101</v>
      </c>
      <c r="AJ98" s="232" t="s">
        <v>4939</v>
      </c>
      <c r="AK98" s="232" t="s">
        <v>3512</v>
      </c>
      <c r="AL98" s="232"/>
      <c r="AM98" s="232"/>
      <c r="AN98" s="232"/>
      <c r="AO98" s="233"/>
      <c r="AP98" s="230"/>
      <c r="AQ98" s="230"/>
      <c r="AR98" s="188" t="str">
        <f>IF(SP_AcqTract_DB[[#This Row],[Count '# in TaxID]]=1,LEFT(SP_AcqTract_DB[[#This Row],[WCAD Tax Parcel ID]],7),IF(SP_AcqTract_DB[[#This Row],[Count '# in TaxID]]=2,CONCATENATE(LEFT(SP_AcqTract_DB[[#This Row],[WCAD Tax Parcel ID]],7),";",MID(SP_AcqTract_DB[[#This Row],[WCAD Tax Parcel ID]],FIND("#",SP_AcqTract_DB[[#This Row],[WCAD Tax Parcel ID]],10)+1,7)),IF(SP_AcqTract_DB[[#This Row],[Count '# in TaxID]]&gt;2,CONCATENATE(LEFT(SP_AcqTract_DB[[#This Row],[WCAD Tax Parcel ID]],7),";",MID(SP_AcqTract_DB[[#This Row],[WCAD Tax Parcel ID]],FIND("#",SP_AcqTract_DB[[#This Row],[WCAD Tax Parcel ID]],10)+1,7),";",MID(SP_AcqTract_DB[[#This Row],[WCAD Tax Parcel ID]],FIND("#",SP_AcqTract_DB[[#This Row],[WCAD Tax Parcel ID]],23)+1,7)),"")))</f>
        <v>R027694</v>
      </c>
      <c r="AS98" s="54">
        <f>IF(SP_AcqTract_DB[[#This Row],[WCAD Tax Parcel ID]]="",0,(LEN(SP_AcqTract_DB[[#This Row],[WCAD Tax Parcel ID]])-LEN(SUBSTITUTE(SP_AcqTract_DB[[#This Row],[WCAD Tax Parcel ID]],"#",""))+1)/2)</f>
        <v>1</v>
      </c>
      <c r="AT98" s="190">
        <f>IF(SP_AcqTract_DB[[#This Row],[WCAD Tax Parcel ID]]="",0,COUNTIF(SP_TaxPar_DB[Acquisition Tract No.],SP_AcqTract_DB[[#This Row],[Acquisition Tract No.]]))</f>
        <v>1</v>
      </c>
      <c r="AU98" s="189">
        <f>COUNTIF(ACQStatus_ACQTNo.,SP_AcqTract_DB[[#This Row],[Acquisition Tract No.]])</f>
        <v>1</v>
      </c>
    </row>
    <row r="99" spans="1:47" ht="19.5" customHeight="1" x14ac:dyDescent="0.2">
      <c r="A99" s="195" t="s">
        <v>5322</v>
      </c>
      <c r="B99" s="179" t="s">
        <v>3271</v>
      </c>
      <c r="C99" s="7" t="s">
        <v>2493</v>
      </c>
      <c r="D99" s="52" t="s">
        <v>1255</v>
      </c>
      <c r="E99" s="52"/>
      <c r="F99" s="52" t="s">
        <v>1809</v>
      </c>
      <c r="G99" s="8" t="s">
        <v>6209</v>
      </c>
      <c r="H99" s="8"/>
      <c r="I99" s="8"/>
      <c r="J99" s="8"/>
      <c r="K99" s="8"/>
      <c r="L99" s="8" t="s">
        <v>2503</v>
      </c>
      <c r="M99" s="8"/>
      <c r="N99" s="8"/>
      <c r="O99" s="57"/>
      <c r="P99" s="7"/>
      <c r="Q99" s="3"/>
      <c r="R99" s="16"/>
      <c r="S99" s="5">
        <v>0</v>
      </c>
      <c r="T99" s="4"/>
      <c r="U99" s="57"/>
      <c r="V99" s="8"/>
      <c r="W99" s="8"/>
      <c r="X99" s="8"/>
      <c r="Y99" s="8"/>
      <c r="Z99" s="8"/>
      <c r="AA99" s="7"/>
      <c r="AB99" s="7"/>
      <c r="AC99" s="8" t="s">
        <v>5323</v>
      </c>
      <c r="AD99" s="8" t="s">
        <v>4206</v>
      </c>
      <c r="AE99" s="26">
        <v>43994.428657407407</v>
      </c>
      <c r="AF99" s="8" t="s">
        <v>4206</v>
      </c>
      <c r="AG99" s="26">
        <v>43964.518611111111</v>
      </c>
      <c r="AH99" s="1"/>
      <c r="AI99" s="232">
        <v>102</v>
      </c>
      <c r="AJ99" s="232" t="s">
        <v>4939</v>
      </c>
      <c r="AK99" s="232" t="s">
        <v>3512</v>
      </c>
      <c r="AL99" s="232"/>
      <c r="AM99" s="232"/>
      <c r="AN99" s="232"/>
      <c r="AO99" s="233"/>
      <c r="AP99" s="230"/>
      <c r="AQ99" s="230"/>
      <c r="AR99" s="188" t="str">
        <f>IF(SP_AcqTract_DB[[#This Row],[Count '# in TaxID]]=1,LEFT(SP_AcqTract_DB[[#This Row],[WCAD Tax Parcel ID]],7),IF(SP_AcqTract_DB[[#This Row],[Count '# in TaxID]]=2,CONCATENATE(LEFT(SP_AcqTract_DB[[#This Row],[WCAD Tax Parcel ID]],7),";",MID(SP_AcqTract_DB[[#This Row],[WCAD Tax Parcel ID]],FIND("#",SP_AcqTract_DB[[#This Row],[WCAD Tax Parcel ID]],10)+1,7)),IF(SP_AcqTract_DB[[#This Row],[Count '# in TaxID]]&gt;2,CONCATENATE(LEFT(SP_AcqTract_DB[[#This Row],[WCAD Tax Parcel ID]],7),";",MID(SP_AcqTract_DB[[#This Row],[WCAD Tax Parcel ID]],FIND("#",SP_AcqTract_DB[[#This Row],[WCAD Tax Parcel ID]],10)+1,7),";",MID(SP_AcqTract_DB[[#This Row],[WCAD Tax Parcel ID]],FIND("#",SP_AcqTract_DB[[#This Row],[WCAD Tax Parcel ID]],23)+1,7)),"")))</f>
        <v>R032037</v>
      </c>
      <c r="AS99" s="54">
        <f>IF(SP_AcqTract_DB[[#This Row],[WCAD Tax Parcel ID]]="",0,(LEN(SP_AcqTract_DB[[#This Row],[WCAD Tax Parcel ID]])-LEN(SUBSTITUTE(SP_AcqTract_DB[[#This Row],[WCAD Tax Parcel ID]],"#",""))+1)/2)</f>
        <v>1</v>
      </c>
      <c r="AT99" s="190">
        <f>IF(SP_AcqTract_DB[[#This Row],[WCAD Tax Parcel ID]]="",0,COUNTIF(SP_TaxPar_DB[Acquisition Tract No.],SP_AcqTract_DB[[#This Row],[Acquisition Tract No.]]))</f>
        <v>1</v>
      </c>
      <c r="AU99" s="189">
        <f>COUNTIF(ACQStatus_ACQTNo.,SP_AcqTract_DB[[#This Row],[Acquisition Tract No.]])</f>
        <v>1</v>
      </c>
    </row>
    <row r="100" spans="1:47" ht="19.5" customHeight="1" x14ac:dyDescent="0.2">
      <c r="A100" s="195" t="s">
        <v>5324</v>
      </c>
      <c r="B100" s="179" t="s">
        <v>3272</v>
      </c>
      <c r="C100" s="7" t="s">
        <v>2493</v>
      </c>
      <c r="D100" s="52" t="s">
        <v>1255</v>
      </c>
      <c r="E100" s="52"/>
      <c r="F100" s="52" t="s">
        <v>1809</v>
      </c>
      <c r="G100" s="8" t="s">
        <v>6210</v>
      </c>
      <c r="H100" s="8"/>
      <c r="I100" s="8"/>
      <c r="J100" s="8"/>
      <c r="K100" s="8"/>
      <c r="L100" s="8" t="s">
        <v>2508</v>
      </c>
      <c r="M100" s="8"/>
      <c r="N100" s="8"/>
      <c r="O100" s="57"/>
      <c r="P100" s="7"/>
      <c r="Q100" s="3"/>
      <c r="R100" s="16"/>
      <c r="S100" s="5">
        <v>0</v>
      </c>
      <c r="T100" s="4"/>
      <c r="U100" s="57"/>
      <c r="V100" s="8"/>
      <c r="W100" s="8"/>
      <c r="X100" s="8"/>
      <c r="Y100" s="8"/>
      <c r="Z100" s="8"/>
      <c r="AA100" s="7"/>
      <c r="AB100" s="7"/>
      <c r="AC100" s="8" t="s">
        <v>5325</v>
      </c>
      <c r="AD100" s="8" t="s">
        <v>4206</v>
      </c>
      <c r="AE100" s="26">
        <v>43994.428657407407</v>
      </c>
      <c r="AF100" s="8" t="s">
        <v>4206</v>
      </c>
      <c r="AG100" s="26">
        <v>43964.519004629627</v>
      </c>
      <c r="AH100" s="1"/>
      <c r="AI100" s="232">
        <v>103</v>
      </c>
      <c r="AJ100" s="232" t="s">
        <v>4939</v>
      </c>
      <c r="AK100" s="232" t="s">
        <v>3512</v>
      </c>
      <c r="AL100" s="232"/>
      <c r="AM100" s="232"/>
      <c r="AN100" s="232"/>
      <c r="AO100" s="233"/>
      <c r="AP100" s="230"/>
      <c r="AQ100" s="230"/>
      <c r="AR100" s="188" t="str">
        <f>IF(SP_AcqTract_DB[[#This Row],[Count '# in TaxID]]=1,LEFT(SP_AcqTract_DB[[#This Row],[WCAD Tax Parcel ID]],7),IF(SP_AcqTract_DB[[#This Row],[Count '# in TaxID]]=2,CONCATENATE(LEFT(SP_AcqTract_DB[[#This Row],[WCAD Tax Parcel ID]],7),";",MID(SP_AcqTract_DB[[#This Row],[WCAD Tax Parcel ID]],FIND("#",SP_AcqTract_DB[[#This Row],[WCAD Tax Parcel ID]],10)+1,7)),IF(SP_AcqTract_DB[[#This Row],[Count '# in TaxID]]&gt;2,CONCATENATE(LEFT(SP_AcqTract_DB[[#This Row],[WCAD Tax Parcel ID]],7),";",MID(SP_AcqTract_DB[[#This Row],[WCAD Tax Parcel ID]],FIND("#",SP_AcqTract_DB[[#This Row],[WCAD Tax Parcel ID]],10)+1,7),";",MID(SP_AcqTract_DB[[#This Row],[WCAD Tax Parcel ID]],FIND("#",SP_AcqTract_DB[[#This Row],[WCAD Tax Parcel ID]],23)+1,7)),"")))</f>
        <v>R032053</v>
      </c>
      <c r="AS100" s="54">
        <f>IF(SP_AcqTract_DB[[#This Row],[WCAD Tax Parcel ID]]="",0,(LEN(SP_AcqTract_DB[[#This Row],[WCAD Tax Parcel ID]])-LEN(SUBSTITUTE(SP_AcqTract_DB[[#This Row],[WCAD Tax Parcel ID]],"#",""))+1)/2)</f>
        <v>1</v>
      </c>
      <c r="AT100" s="190">
        <f>IF(SP_AcqTract_DB[[#This Row],[WCAD Tax Parcel ID]]="",0,COUNTIF(SP_TaxPar_DB[Acquisition Tract No.],SP_AcqTract_DB[[#This Row],[Acquisition Tract No.]]))</f>
        <v>1</v>
      </c>
      <c r="AU100" s="189">
        <f>COUNTIF(ACQStatus_ACQTNo.,SP_AcqTract_DB[[#This Row],[Acquisition Tract No.]])</f>
        <v>1</v>
      </c>
    </row>
    <row r="101" spans="1:47" ht="19.5" customHeight="1" x14ac:dyDescent="0.2">
      <c r="A101" s="195" t="s">
        <v>5326</v>
      </c>
      <c r="B101" s="179" t="s">
        <v>3273</v>
      </c>
      <c r="C101" s="7" t="s">
        <v>2493</v>
      </c>
      <c r="D101" s="52" t="s">
        <v>1255</v>
      </c>
      <c r="E101" s="52"/>
      <c r="F101" s="52" t="s">
        <v>5643</v>
      </c>
      <c r="G101" s="8" t="s">
        <v>6211</v>
      </c>
      <c r="H101" s="8"/>
      <c r="I101" s="8"/>
      <c r="J101" s="8"/>
      <c r="K101" s="8"/>
      <c r="L101" s="8" t="s">
        <v>2513</v>
      </c>
      <c r="M101" s="8"/>
      <c r="N101" s="8"/>
      <c r="O101" s="57"/>
      <c r="P101" s="7"/>
      <c r="Q101" s="3"/>
      <c r="R101" s="16"/>
      <c r="S101" s="5">
        <v>0</v>
      </c>
      <c r="T101" s="4"/>
      <c r="U101" s="57"/>
      <c r="V101" s="8"/>
      <c r="W101" s="8"/>
      <c r="X101" s="8"/>
      <c r="Y101" s="8"/>
      <c r="Z101" s="8"/>
      <c r="AA101" s="7"/>
      <c r="AB101" s="7"/>
      <c r="AC101" s="8" t="s">
        <v>5327</v>
      </c>
      <c r="AD101" s="8" t="s">
        <v>4206</v>
      </c>
      <c r="AE101" s="26">
        <v>43994.428657407407</v>
      </c>
      <c r="AF101" s="8" t="s">
        <v>4206</v>
      </c>
      <c r="AG101" s="26">
        <v>43964.51934027778</v>
      </c>
      <c r="AH101" s="1"/>
      <c r="AI101" s="232">
        <v>104</v>
      </c>
      <c r="AJ101" s="232" t="s">
        <v>4939</v>
      </c>
      <c r="AK101" s="232" t="s">
        <v>3512</v>
      </c>
      <c r="AL101" s="232"/>
      <c r="AM101" s="232"/>
      <c r="AN101" s="232"/>
      <c r="AO101" s="233"/>
      <c r="AP101" s="230"/>
      <c r="AQ101" s="230"/>
      <c r="AR101" s="188" t="str">
        <f>IF(SP_AcqTract_DB[[#This Row],[Count '# in TaxID]]=1,LEFT(SP_AcqTract_DB[[#This Row],[WCAD Tax Parcel ID]],7),IF(SP_AcqTract_DB[[#This Row],[Count '# in TaxID]]=2,CONCATENATE(LEFT(SP_AcqTract_DB[[#This Row],[WCAD Tax Parcel ID]],7),";",MID(SP_AcqTract_DB[[#This Row],[WCAD Tax Parcel ID]],FIND("#",SP_AcqTract_DB[[#This Row],[WCAD Tax Parcel ID]],10)+1,7)),IF(SP_AcqTract_DB[[#This Row],[Count '# in TaxID]]&gt;2,CONCATENATE(LEFT(SP_AcqTract_DB[[#This Row],[WCAD Tax Parcel ID]],7),";",MID(SP_AcqTract_DB[[#This Row],[WCAD Tax Parcel ID]],FIND("#",SP_AcqTract_DB[[#This Row],[WCAD Tax Parcel ID]],10)+1,7),";",MID(SP_AcqTract_DB[[#This Row],[WCAD Tax Parcel ID]],FIND("#",SP_AcqTract_DB[[#This Row],[WCAD Tax Parcel ID]],23)+1,7)),"")))</f>
        <v>R032127</v>
      </c>
      <c r="AS101" s="54">
        <f>IF(SP_AcqTract_DB[[#This Row],[WCAD Tax Parcel ID]]="",0,(LEN(SP_AcqTract_DB[[#This Row],[WCAD Tax Parcel ID]])-LEN(SUBSTITUTE(SP_AcqTract_DB[[#This Row],[WCAD Tax Parcel ID]],"#",""))+1)/2)</f>
        <v>1</v>
      </c>
      <c r="AT101" s="190">
        <f>IF(SP_AcqTract_DB[[#This Row],[WCAD Tax Parcel ID]]="",0,COUNTIF(SP_TaxPar_DB[Acquisition Tract No.],SP_AcqTract_DB[[#This Row],[Acquisition Tract No.]]))</f>
        <v>1</v>
      </c>
      <c r="AU101" s="189">
        <f>COUNTIF(ACQStatus_ACQTNo.,SP_AcqTract_DB[[#This Row],[Acquisition Tract No.]])</f>
        <v>1</v>
      </c>
    </row>
    <row r="102" spans="1:47" ht="19.5" customHeight="1" x14ac:dyDescent="0.2">
      <c r="A102" s="195" t="s">
        <v>5328</v>
      </c>
      <c r="B102" s="179" t="s">
        <v>3274</v>
      </c>
      <c r="C102" s="7" t="s">
        <v>2493</v>
      </c>
      <c r="D102" s="52" t="s">
        <v>1255</v>
      </c>
      <c r="E102" s="52"/>
      <c r="F102" s="52" t="s">
        <v>5654</v>
      </c>
      <c r="G102" s="8" t="s">
        <v>6212</v>
      </c>
      <c r="H102" s="8"/>
      <c r="I102" s="8"/>
      <c r="J102" s="8"/>
      <c r="K102" s="8"/>
      <c r="L102" s="8" t="s">
        <v>2519</v>
      </c>
      <c r="M102" s="8"/>
      <c r="N102" s="8"/>
      <c r="O102" s="57"/>
      <c r="P102" s="7"/>
      <c r="Q102" s="3"/>
      <c r="R102" s="16"/>
      <c r="S102" s="5">
        <v>0</v>
      </c>
      <c r="T102" s="4"/>
      <c r="U102" s="57"/>
      <c r="V102" s="8"/>
      <c r="W102" s="8"/>
      <c r="X102" s="8"/>
      <c r="Y102" s="8"/>
      <c r="Z102" s="8"/>
      <c r="AA102" s="7"/>
      <c r="AB102" s="7"/>
      <c r="AC102" s="8" t="s">
        <v>5329</v>
      </c>
      <c r="AD102" s="8" t="s">
        <v>4206</v>
      </c>
      <c r="AE102" s="26">
        <v>43994.428657407407</v>
      </c>
      <c r="AF102" s="8" t="s">
        <v>4206</v>
      </c>
      <c r="AG102" s="26">
        <v>43964.521261574075</v>
      </c>
      <c r="AH102" s="1"/>
      <c r="AI102" s="232">
        <v>105</v>
      </c>
      <c r="AJ102" s="232" t="s">
        <v>4939</v>
      </c>
      <c r="AK102" s="232" t="s">
        <v>3512</v>
      </c>
      <c r="AL102" s="232"/>
      <c r="AM102" s="232"/>
      <c r="AN102" s="232"/>
      <c r="AO102" s="233"/>
      <c r="AP102" s="230"/>
      <c r="AQ102" s="230"/>
      <c r="AR102" s="188" t="str">
        <f>IF(SP_AcqTract_DB[[#This Row],[Count '# in TaxID]]=1,LEFT(SP_AcqTract_DB[[#This Row],[WCAD Tax Parcel ID]],7),IF(SP_AcqTract_DB[[#This Row],[Count '# in TaxID]]=2,CONCATENATE(LEFT(SP_AcqTract_DB[[#This Row],[WCAD Tax Parcel ID]],7),";",MID(SP_AcqTract_DB[[#This Row],[WCAD Tax Parcel ID]],FIND("#",SP_AcqTract_DB[[#This Row],[WCAD Tax Parcel ID]],10)+1,7)),IF(SP_AcqTract_DB[[#This Row],[Count '# in TaxID]]&gt;2,CONCATENATE(LEFT(SP_AcqTract_DB[[#This Row],[WCAD Tax Parcel ID]],7),";",MID(SP_AcqTract_DB[[#This Row],[WCAD Tax Parcel ID]],FIND("#",SP_AcqTract_DB[[#This Row],[WCAD Tax Parcel ID]],10)+1,7),";",MID(SP_AcqTract_DB[[#This Row],[WCAD Tax Parcel ID]],FIND("#",SP_AcqTract_DB[[#This Row],[WCAD Tax Parcel ID]],23)+1,7)),"")))</f>
        <v>R032139</v>
      </c>
      <c r="AS102" s="54">
        <f>IF(SP_AcqTract_DB[[#This Row],[WCAD Tax Parcel ID]]="",0,(LEN(SP_AcqTract_DB[[#This Row],[WCAD Tax Parcel ID]])-LEN(SUBSTITUTE(SP_AcqTract_DB[[#This Row],[WCAD Tax Parcel ID]],"#",""))+1)/2)</f>
        <v>1</v>
      </c>
      <c r="AT102" s="190">
        <f>IF(SP_AcqTract_DB[[#This Row],[WCAD Tax Parcel ID]]="",0,COUNTIF(SP_TaxPar_DB[Acquisition Tract No.],SP_AcqTract_DB[[#This Row],[Acquisition Tract No.]]))</f>
        <v>1</v>
      </c>
      <c r="AU102" s="189">
        <f>COUNTIF(ACQStatus_ACQTNo.,SP_AcqTract_DB[[#This Row],[Acquisition Tract No.]])</f>
        <v>1</v>
      </c>
    </row>
    <row r="103" spans="1:47" ht="19.5" customHeight="1" x14ac:dyDescent="0.2">
      <c r="A103" s="195" t="s">
        <v>5330</v>
      </c>
      <c r="B103" s="179" t="s">
        <v>3275</v>
      </c>
      <c r="C103" s="7" t="s">
        <v>2493</v>
      </c>
      <c r="D103" s="52" t="s">
        <v>1255</v>
      </c>
      <c r="E103" s="52"/>
      <c r="F103" s="52" t="s">
        <v>5654</v>
      </c>
      <c r="G103" s="8" t="s">
        <v>6212</v>
      </c>
      <c r="H103" s="8"/>
      <c r="I103" s="8"/>
      <c r="J103" s="8"/>
      <c r="K103" s="8"/>
      <c r="L103" s="8" t="s">
        <v>2522</v>
      </c>
      <c r="M103" s="8"/>
      <c r="N103" s="8"/>
      <c r="O103" s="57"/>
      <c r="P103" s="7"/>
      <c r="Q103" s="3"/>
      <c r="R103" s="16"/>
      <c r="S103" s="5">
        <v>0</v>
      </c>
      <c r="T103" s="4"/>
      <c r="U103" s="57"/>
      <c r="V103" s="8"/>
      <c r="W103" s="8"/>
      <c r="X103" s="8"/>
      <c r="Y103" s="8"/>
      <c r="Z103" s="8"/>
      <c r="AA103" s="7"/>
      <c r="AB103" s="7"/>
      <c r="AC103" s="8" t="s">
        <v>5331</v>
      </c>
      <c r="AD103" s="8" t="s">
        <v>4206</v>
      </c>
      <c r="AE103" s="26">
        <v>43994.428657407407</v>
      </c>
      <c r="AF103" s="8" t="s">
        <v>4206</v>
      </c>
      <c r="AG103" s="26">
        <v>43964.521678240744</v>
      </c>
      <c r="AH103" s="1"/>
      <c r="AI103" s="232">
        <v>106</v>
      </c>
      <c r="AJ103" s="232" t="s">
        <v>4939</v>
      </c>
      <c r="AK103" s="232" t="s">
        <v>3512</v>
      </c>
      <c r="AL103" s="232"/>
      <c r="AM103" s="232"/>
      <c r="AN103" s="232"/>
      <c r="AO103" s="233"/>
      <c r="AP103" s="230"/>
      <c r="AQ103" s="230"/>
      <c r="AR103" s="188" t="str">
        <f>IF(SP_AcqTract_DB[[#This Row],[Count '# in TaxID]]=1,LEFT(SP_AcqTract_DB[[#This Row],[WCAD Tax Parcel ID]],7),IF(SP_AcqTract_DB[[#This Row],[Count '# in TaxID]]=2,CONCATENATE(LEFT(SP_AcqTract_DB[[#This Row],[WCAD Tax Parcel ID]],7),";",MID(SP_AcqTract_DB[[#This Row],[WCAD Tax Parcel ID]],FIND("#",SP_AcqTract_DB[[#This Row],[WCAD Tax Parcel ID]],10)+1,7)),IF(SP_AcqTract_DB[[#This Row],[Count '# in TaxID]]&gt;2,CONCATENATE(LEFT(SP_AcqTract_DB[[#This Row],[WCAD Tax Parcel ID]],7),";",MID(SP_AcqTract_DB[[#This Row],[WCAD Tax Parcel ID]],FIND("#",SP_AcqTract_DB[[#This Row],[WCAD Tax Parcel ID]],10)+1,7),";",MID(SP_AcqTract_DB[[#This Row],[WCAD Tax Parcel ID]],FIND("#",SP_AcqTract_DB[[#This Row],[WCAD Tax Parcel ID]],23)+1,7)),"")))</f>
        <v>R032141</v>
      </c>
      <c r="AS103" s="54">
        <f>IF(SP_AcqTract_DB[[#This Row],[WCAD Tax Parcel ID]]="",0,(LEN(SP_AcqTract_DB[[#This Row],[WCAD Tax Parcel ID]])-LEN(SUBSTITUTE(SP_AcqTract_DB[[#This Row],[WCAD Tax Parcel ID]],"#",""))+1)/2)</f>
        <v>1</v>
      </c>
      <c r="AT103" s="190">
        <f>IF(SP_AcqTract_DB[[#This Row],[WCAD Tax Parcel ID]]="",0,COUNTIF(SP_TaxPar_DB[Acquisition Tract No.],SP_AcqTract_DB[[#This Row],[Acquisition Tract No.]]))</f>
        <v>1</v>
      </c>
      <c r="AU103" s="189">
        <f>COUNTIF(ACQStatus_ACQTNo.,SP_AcqTract_DB[[#This Row],[Acquisition Tract No.]])</f>
        <v>1</v>
      </c>
    </row>
    <row r="104" spans="1:47" ht="19.5" customHeight="1" x14ac:dyDescent="0.2">
      <c r="A104" s="195" t="s">
        <v>5332</v>
      </c>
      <c r="B104" s="179" t="s">
        <v>3276</v>
      </c>
      <c r="C104" s="7" t="s">
        <v>2493</v>
      </c>
      <c r="D104" s="52" t="s">
        <v>1255</v>
      </c>
      <c r="E104" s="52"/>
      <c r="F104" s="52" t="s">
        <v>5654</v>
      </c>
      <c r="G104" s="8" t="s">
        <v>6213</v>
      </c>
      <c r="H104" s="8"/>
      <c r="I104" s="8"/>
      <c r="J104" s="8"/>
      <c r="K104" s="8"/>
      <c r="L104" s="8" t="s">
        <v>2527</v>
      </c>
      <c r="M104" s="8"/>
      <c r="N104" s="8"/>
      <c r="O104" s="57"/>
      <c r="P104" s="7"/>
      <c r="Q104" s="3"/>
      <c r="R104" s="16"/>
      <c r="S104" s="5">
        <v>0</v>
      </c>
      <c r="T104" s="4"/>
      <c r="U104" s="57"/>
      <c r="V104" s="8"/>
      <c r="W104" s="8"/>
      <c r="X104" s="8"/>
      <c r="Y104" s="8"/>
      <c r="Z104" s="8"/>
      <c r="AA104" s="7"/>
      <c r="AB104" s="7"/>
      <c r="AC104" s="8" t="s">
        <v>5333</v>
      </c>
      <c r="AD104" s="8" t="s">
        <v>4206</v>
      </c>
      <c r="AE104" s="26">
        <v>43994.428657407407</v>
      </c>
      <c r="AF104" s="8" t="s">
        <v>4206</v>
      </c>
      <c r="AG104" s="26">
        <v>43964.567106481481</v>
      </c>
      <c r="AH104" s="1"/>
      <c r="AI104" s="232">
        <v>107</v>
      </c>
      <c r="AJ104" s="232" t="s">
        <v>4939</v>
      </c>
      <c r="AK104" s="232" t="s">
        <v>3512</v>
      </c>
      <c r="AL104" s="232"/>
      <c r="AM104" s="232"/>
      <c r="AN104" s="232"/>
      <c r="AO104" s="233"/>
      <c r="AP104" s="230"/>
      <c r="AQ104" s="230"/>
      <c r="AR104" s="188" t="str">
        <f>IF(SP_AcqTract_DB[[#This Row],[Count '# in TaxID]]=1,LEFT(SP_AcqTract_DB[[#This Row],[WCAD Tax Parcel ID]],7),IF(SP_AcqTract_DB[[#This Row],[Count '# in TaxID]]=2,CONCATENATE(LEFT(SP_AcqTract_DB[[#This Row],[WCAD Tax Parcel ID]],7),";",MID(SP_AcqTract_DB[[#This Row],[WCAD Tax Parcel ID]],FIND("#",SP_AcqTract_DB[[#This Row],[WCAD Tax Parcel ID]],10)+1,7)),IF(SP_AcqTract_DB[[#This Row],[Count '# in TaxID]]&gt;2,CONCATENATE(LEFT(SP_AcqTract_DB[[#This Row],[WCAD Tax Parcel ID]],7),";",MID(SP_AcqTract_DB[[#This Row],[WCAD Tax Parcel ID]],FIND("#",SP_AcqTract_DB[[#This Row],[WCAD Tax Parcel ID]],10)+1,7),";",MID(SP_AcqTract_DB[[#This Row],[WCAD Tax Parcel ID]],FIND("#",SP_AcqTract_DB[[#This Row],[WCAD Tax Parcel ID]],23)+1,7)),"")))</f>
        <v>R032142</v>
      </c>
      <c r="AS104" s="54">
        <f>IF(SP_AcqTract_DB[[#This Row],[WCAD Tax Parcel ID]]="",0,(LEN(SP_AcqTract_DB[[#This Row],[WCAD Tax Parcel ID]])-LEN(SUBSTITUTE(SP_AcqTract_DB[[#This Row],[WCAD Tax Parcel ID]],"#",""))+1)/2)</f>
        <v>1</v>
      </c>
      <c r="AT104" s="190">
        <f>IF(SP_AcqTract_DB[[#This Row],[WCAD Tax Parcel ID]]="",0,COUNTIF(SP_TaxPar_DB[Acquisition Tract No.],SP_AcqTract_DB[[#This Row],[Acquisition Tract No.]]))</f>
        <v>1</v>
      </c>
      <c r="AU104" s="189">
        <f>COUNTIF(ACQStatus_ACQTNo.,SP_AcqTract_DB[[#This Row],[Acquisition Tract No.]])</f>
        <v>1</v>
      </c>
    </row>
    <row r="105" spans="1:47" ht="19.5" customHeight="1" x14ac:dyDescent="0.2">
      <c r="A105" s="195" t="s">
        <v>5334</v>
      </c>
      <c r="B105" s="179" t="s">
        <v>3277</v>
      </c>
      <c r="C105" s="7" t="s">
        <v>2493</v>
      </c>
      <c r="D105" s="52" t="s">
        <v>1255</v>
      </c>
      <c r="E105" s="52"/>
      <c r="F105" s="52" t="s">
        <v>5654</v>
      </c>
      <c r="G105" s="8" t="s">
        <v>6214</v>
      </c>
      <c r="H105" s="8"/>
      <c r="I105" s="8"/>
      <c r="J105" s="8"/>
      <c r="K105" s="8"/>
      <c r="L105" s="8" t="s">
        <v>2531</v>
      </c>
      <c r="M105" s="8"/>
      <c r="N105" s="8"/>
      <c r="O105" s="57"/>
      <c r="P105" s="7"/>
      <c r="Q105" s="3"/>
      <c r="R105" s="16"/>
      <c r="S105" s="5">
        <v>0</v>
      </c>
      <c r="T105" s="4"/>
      <c r="U105" s="57"/>
      <c r="V105" s="8"/>
      <c r="W105" s="8"/>
      <c r="X105" s="8"/>
      <c r="Y105" s="8"/>
      <c r="Z105" s="8"/>
      <c r="AA105" s="7"/>
      <c r="AB105" s="7"/>
      <c r="AC105" s="8" t="s">
        <v>5335</v>
      </c>
      <c r="AD105" s="8" t="s">
        <v>4206</v>
      </c>
      <c r="AE105" s="26">
        <v>43994.428657407407</v>
      </c>
      <c r="AF105" s="8" t="s">
        <v>4206</v>
      </c>
      <c r="AG105" s="26">
        <v>43964.56759259259</v>
      </c>
      <c r="AH105" s="1"/>
      <c r="AI105" s="232">
        <v>108</v>
      </c>
      <c r="AJ105" s="232" t="s">
        <v>4939</v>
      </c>
      <c r="AK105" s="232" t="s">
        <v>3512</v>
      </c>
      <c r="AL105" s="232"/>
      <c r="AM105" s="232"/>
      <c r="AN105" s="232"/>
      <c r="AO105" s="233"/>
      <c r="AP105" s="230"/>
      <c r="AQ105" s="230"/>
      <c r="AR105" s="188" t="str">
        <f>IF(SP_AcqTract_DB[[#This Row],[Count '# in TaxID]]=1,LEFT(SP_AcqTract_DB[[#This Row],[WCAD Tax Parcel ID]],7),IF(SP_AcqTract_DB[[#This Row],[Count '# in TaxID]]=2,CONCATENATE(LEFT(SP_AcqTract_DB[[#This Row],[WCAD Tax Parcel ID]],7),";",MID(SP_AcqTract_DB[[#This Row],[WCAD Tax Parcel ID]],FIND("#",SP_AcqTract_DB[[#This Row],[WCAD Tax Parcel ID]],10)+1,7)),IF(SP_AcqTract_DB[[#This Row],[Count '# in TaxID]]&gt;2,CONCATENATE(LEFT(SP_AcqTract_DB[[#This Row],[WCAD Tax Parcel ID]],7),";",MID(SP_AcqTract_DB[[#This Row],[WCAD Tax Parcel ID]],FIND("#",SP_AcqTract_DB[[#This Row],[WCAD Tax Parcel ID]],10)+1,7),";",MID(SP_AcqTract_DB[[#This Row],[WCAD Tax Parcel ID]],FIND("#",SP_AcqTract_DB[[#This Row],[WCAD Tax Parcel ID]],23)+1,7)),"")))</f>
        <v>R032145</v>
      </c>
      <c r="AS105" s="54">
        <f>IF(SP_AcqTract_DB[[#This Row],[WCAD Tax Parcel ID]]="",0,(LEN(SP_AcqTract_DB[[#This Row],[WCAD Tax Parcel ID]])-LEN(SUBSTITUTE(SP_AcqTract_DB[[#This Row],[WCAD Tax Parcel ID]],"#",""))+1)/2)</f>
        <v>1</v>
      </c>
      <c r="AT105" s="190">
        <f>IF(SP_AcqTract_DB[[#This Row],[WCAD Tax Parcel ID]]="",0,COUNTIF(SP_TaxPar_DB[Acquisition Tract No.],SP_AcqTract_DB[[#This Row],[Acquisition Tract No.]]))</f>
        <v>1</v>
      </c>
      <c r="AU105" s="189">
        <f>COUNTIF(ACQStatus_ACQTNo.,SP_AcqTract_DB[[#This Row],[Acquisition Tract No.]])</f>
        <v>1</v>
      </c>
    </row>
    <row r="106" spans="1:47" ht="19.5" customHeight="1" x14ac:dyDescent="0.2">
      <c r="A106" s="195" t="s">
        <v>5336</v>
      </c>
      <c r="B106" s="179" t="s">
        <v>3281</v>
      </c>
      <c r="C106" s="7" t="s">
        <v>2493</v>
      </c>
      <c r="D106" s="52" t="s">
        <v>1255</v>
      </c>
      <c r="E106" s="52"/>
      <c r="F106" s="52" t="s">
        <v>1809</v>
      </c>
      <c r="G106" s="8" t="s">
        <v>6215</v>
      </c>
      <c r="H106" s="8"/>
      <c r="I106" s="8"/>
      <c r="J106" s="8"/>
      <c r="K106" s="8"/>
      <c r="L106" s="8" t="s">
        <v>2542</v>
      </c>
      <c r="M106" s="8"/>
      <c r="N106" s="8"/>
      <c r="O106" s="57"/>
      <c r="P106" s="7"/>
      <c r="Q106" s="3"/>
      <c r="R106" s="16"/>
      <c r="S106" s="5">
        <v>0</v>
      </c>
      <c r="T106" s="4"/>
      <c r="U106" s="57"/>
      <c r="V106" s="8"/>
      <c r="W106" s="8"/>
      <c r="X106" s="8"/>
      <c r="Y106" s="8"/>
      <c r="Z106" s="8"/>
      <c r="AA106" s="7"/>
      <c r="AB106" s="7"/>
      <c r="AC106" s="8" t="s">
        <v>5337</v>
      </c>
      <c r="AD106" s="8" t="s">
        <v>4206</v>
      </c>
      <c r="AE106" s="26">
        <v>43994.428657407407</v>
      </c>
      <c r="AF106" s="8" t="s">
        <v>4206</v>
      </c>
      <c r="AG106" s="26">
        <v>43964.568090277775</v>
      </c>
      <c r="AH106" s="1"/>
      <c r="AI106" s="232">
        <v>109</v>
      </c>
      <c r="AJ106" s="232" t="s">
        <v>4939</v>
      </c>
      <c r="AK106" s="232" t="s">
        <v>3512</v>
      </c>
      <c r="AL106" s="232"/>
      <c r="AM106" s="232"/>
      <c r="AN106" s="232"/>
      <c r="AO106" s="233"/>
      <c r="AP106" s="230"/>
      <c r="AQ106" s="230"/>
      <c r="AR106" s="188" t="str">
        <f>IF(SP_AcqTract_DB[[#This Row],[Count '# in TaxID]]=1,LEFT(SP_AcqTract_DB[[#This Row],[WCAD Tax Parcel ID]],7),IF(SP_AcqTract_DB[[#This Row],[Count '# in TaxID]]=2,CONCATENATE(LEFT(SP_AcqTract_DB[[#This Row],[WCAD Tax Parcel ID]],7),";",MID(SP_AcqTract_DB[[#This Row],[WCAD Tax Parcel ID]],FIND("#",SP_AcqTract_DB[[#This Row],[WCAD Tax Parcel ID]],10)+1,7)),IF(SP_AcqTract_DB[[#This Row],[Count '# in TaxID]]&gt;2,CONCATENATE(LEFT(SP_AcqTract_DB[[#This Row],[WCAD Tax Parcel ID]],7),";",MID(SP_AcqTract_DB[[#This Row],[WCAD Tax Parcel ID]],FIND("#",SP_AcqTract_DB[[#This Row],[WCAD Tax Parcel ID]],10)+1,7),";",MID(SP_AcqTract_DB[[#This Row],[WCAD Tax Parcel ID]],FIND("#",SP_AcqTract_DB[[#This Row],[WCAD Tax Parcel ID]],23)+1,7)),"")))</f>
        <v>R050108</v>
      </c>
      <c r="AS106" s="54">
        <f>IF(SP_AcqTract_DB[[#This Row],[WCAD Tax Parcel ID]]="",0,(LEN(SP_AcqTract_DB[[#This Row],[WCAD Tax Parcel ID]])-LEN(SUBSTITUTE(SP_AcqTract_DB[[#This Row],[WCAD Tax Parcel ID]],"#",""))+1)/2)</f>
        <v>1</v>
      </c>
      <c r="AT106" s="190">
        <f>IF(SP_AcqTract_DB[[#This Row],[WCAD Tax Parcel ID]]="",0,COUNTIF(SP_TaxPar_DB[Acquisition Tract No.],SP_AcqTract_DB[[#This Row],[Acquisition Tract No.]]))</f>
        <v>1</v>
      </c>
      <c r="AU106" s="189">
        <f>COUNTIF(ACQStatus_ACQTNo.,SP_AcqTract_DB[[#This Row],[Acquisition Tract No.]])</f>
        <v>1</v>
      </c>
    </row>
    <row r="107" spans="1:47" ht="19.5" customHeight="1" x14ac:dyDescent="0.2">
      <c r="A107" s="195" t="s">
        <v>5338</v>
      </c>
      <c r="B107" s="179" t="s">
        <v>3300</v>
      </c>
      <c r="C107" s="7" t="s">
        <v>2493</v>
      </c>
      <c r="D107" s="52" t="s">
        <v>1255</v>
      </c>
      <c r="E107" s="52"/>
      <c r="F107" s="52" t="s">
        <v>1809</v>
      </c>
      <c r="G107" s="8" t="s">
        <v>6110</v>
      </c>
      <c r="H107" s="8"/>
      <c r="I107" s="8" t="s">
        <v>6110</v>
      </c>
      <c r="J107" s="8" t="s">
        <v>6276</v>
      </c>
      <c r="K107" s="8" t="s">
        <v>1814</v>
      </c>
      <c r="L107" s="8" t="s">
        <v>2560</v>
      </c>
      <c r="M107" s="8"/>
      <c r="N107" s="8"/>
      <c r="O107" s="57"/>
      <c r="P107" s="7"/>
      <c r="Q107" s="3"/>
      <c r="R107" s="16"/>
      <c r="S107" s="5">
        <v>0</v>
      </c>
      <c r="T107" s="4"/>
      <c r="U107" s="57"/>
      <c r="V107" s="8"/>
      <c r="W107" s="8"/>
      <c r="X107" s="8"/>
      <c r="Y107" s="8"/>
      <c r="Z107" s="8"/>
      <c r="AA107" s="7"/>
      <c r="AB107" s="7"/>
      <c r="AC107" s="8" t="s">
        <v>5339</v>
      </c>
      <c r="AD107" s="8" t="s">
        <v>4206</v>
      </c>
      <c r="AE107" s="26">
        <v>43999.408472222225</v>
      </c>
      <c r="AF107" s="8" t="s">
        <v>4206</v>
      </c>
      <c r="AG107" s="26">
        <v>43964.570034722223</v>
      </c>
      <c r="AH107" s="1"/>
      <c r="AI107" s="232">
        <v>111</v>
      </c>
      <c r="AJ107" s="232" t="s">
        <v>4939</v>
      </c>
      <c r="AK107" s="232" t="s">
        <v>3512</v>
      </c>
      <c r="AL107" s="232"/>
      <c r="AM107" s="232"/>
      <c r="AN107" s="232"/>
      <c r="AO107" s="233"/>
      <c r="AP107" s="230"/>
      <c r="AQ107" s="230"/>
      <c r="AR107" s="188" t="str">
        <f>IF(SP_AcqTract_DB[[#This Row],[Count '# in TaxID]]=1,LEFT(SP_AcqTract_DB[[#This Row],[WCAD Tax Parcel ID]],7),IF(SP_AcqTract_DB[[#This Row],[Count '# in TaxID]]=2,CONCATENATE(LEFT(SP_AcqTract_DB[[#This Row],[WCAD Tax Parcel ID]],7),";",MID(SP_AcqTract_DB[[#This Row],[WCAD Tax Parcel ID]],FIND("#",SP_AcqTract_DB[[#This Row],[WCAD Tax Parcel ID]],10)+1,7)),IF(SP_AcqTract_DB[[#This Row],[Count '# in TaxID]]&gt;2,CONCATENATE(LEFT(SP_AcqTract_DB[[#This Row],[WCAD Tax Parcel ID]],7),";",MID(SP_AcqTract_DB[[#This Row],[WCAD Tax Parcel ID]],FIND("#",SP_AcqTract_DB[[#This Row],[WCAD Tax Parcel ID]],10)+1,7),";",MID(SP_AcqTract_DB[[#This Row],[WCAD Tax Parcel ID]],FIND("#",SP_AcqTract_DB[[#This Row],[WCAD Tax Parcel ID]],23)+1,7)),"")))</f>
        <v>R053788</v>
      </c>
      <c r="AS107" s="54">
        <f>IF(SP_AcqTract_DB[[#This Row],[WCAD Tax Parcel ID]]="",0,(LEN(SP_AcqTract_DB[[#This Row],[WCAD Tax Parcel ID]])-LEN(SUBSTITUTE(SP_AcqTract_DB[[#This Row],[WCAD Tax Parcel ID]],"#",""))+1)/2)</f>
        <v>1</v>
      </c>
      <c r="AT107" s="190">
        <f>IF(SP_AcqTract_DB[[#This Row],[WCAD Tax Parcel ID]]="",0,COUNTIF(SP_TaxPar_DB[Acquisition Tract No.],SP_AcqTract_DB[[#This Row],[Acquisition Tract No.]]))</f>
        <v>1</v>
      </c>
      <c r="AU107" s="189">
        <f>COUNTIF(ACQStatus_ACQTNo.,SP_AcqTract_DB[[#This Row],[Acquisition Tract No.]])</f>
        <v>1</v>
      </c>
    </row>
    <row r="108" spans="1:47" ht="19.5" customHeight="1" x14ac:dyDescent="0.2">
      <c r="A108" s="195" t="s">
        <v>5340</v>
      </c>
      <c r="B108" s="179" t="s">
        <v>3303</v>
      </c>
      <c r="C108" s="7" t="s">
        <v>2493</v>
      </c>
      <c r="D108" s="52" t="s">
        <v>1255</v>
      </c>
      <c r="E108" s="52"/>
      <c r="F108" s="52" t="s">
        <v>1809</v>
      </c>
      <c r="G108" s="8" t="s">
        <v>6110</v>
      </c>
      <c r="H108" s="8"/>
      <c r="I108" s="8" t="s">
        <v>6110</v>
      </c>
      <c r="J108" s="8" t="s">
        <v>6276</v>
      </c>
      <c r="K108" s="8" t="s">
        <v>1814</v>
      </c>
      <c r="L108" s="8" t="s">
        <v>2563</v>
      </c>
      <c r="M108" s="8"/>
      <c r="N108" s="8"/>
      <c r="O108" s="57"/>
      <c r="P108" s="7"/>
      <c r="Q108" s="3"/>
      <c r="R108" s="16"/>
      <c r="S108" s="5">
        <v>0</v>
      </c>
      <c r="T108" s="4"/>
      <c r="U108" s="57"/>
      <c r="V108" s="8"/>
      <c r="W108" s="8"/>
      <c r="X108" s="8"/>
      <c r="Y108" s="8"/>
      <c r="Z108" s="8"/>
      <c r="AA108" s="7"/>
      <c r="AB108" s="7"/>
      <c r="AC108" s="8" t="s">
        <v>5341</v>
      </c>
      <c r="AD108" s="8" t="s">
        <v>4206</v>
      </c>
      <c r="AE108" s="26">
        <v>43999.409641203703</v>
      </c>
      <c r="AF108" s="8" t="s">
        <v>4206</v>
      </c>
      <c r="AG108" s="26">
        <v>43964.570405092592</v>
      </c>
      <c r="AH108" s="1"/>
      <c r="AI108" s="232">
        <v>112</v>
      </c>
      <c r="AJ108" s="232" t="s">
        <v>4939</v>
      </c>
      <c r="AK108" s="232" t="s">
        <v>3512</v>
      </c>
      <c r="AL108" s="232"/>
      <c r="AM108" s="232"/>
      <c r="AN108" s="232"/>
      <c r="AO108" s="233"/>
      <c r="AP108" s="230"/>
      <c r="AQ108" s="230"/>
      <c r="AR108" s="188" t="str">
        <f>IF(SP_AcqTract_DB[[#This Row],[Count '# in TaxID]]=1,LEFT(SP_AcqTract_DB[[#This Row],[WCAD Tax Parcel ID]],7),IF(SP_AcqTract_DB[[#This Row],[Count '# in TaxID]]=2,CONCATENATE(LEFT(SP_AcqTract_DB[[#This Row],[WCAD Tax Parcel ID]],7),";",MID(SP_AcqTract_DB[[#This Row],[WCAD Tax Parcel ID]],FIND("#",SP_AcqTract_DB[[#This Row],[WCAD Tax Parcel ID]],10)+1,7)),IF(SP_AcqTract_DB[[#This Row],[Count '# in TaxID]]&gt;2,CONCATENATE(LEFT(SP_AcqTract_DB[[#This Row],[WCAD Tax Parcel ID]],7),";",MID(SP_AcqTract_DB[[#This Row],[WCAD Tax Parcel ID]],FIND("#",SP_AcqTract_DB[[#This Row],[WCAD Tax Parcel ID]],10)+1,7),";",MID(SP_AcqTract_DB[[#This Row],[WCAD Tax Parcel ID]],FIND("#",SP_AcqTract_DB[[#This Row],[WCAD Tax Parcel ID]],23)+1,7)),"")))</f>
        <v>R053789</v>
      </c>
      <c r="AS108" s="54">
        <f>IF(SP_AcqTract_DB[[#This Row],[WCAD Tax Parcel ID]]="",0,(LEN(SP_AcqTract_DB[[#This Row],[WCAD Tax Parcel ID]])-LEN(SUBSTITUTE(SP_AcqTract_DB[[#This Row],[WCAD Tax Parcel ID]],"#",""))+1)/2)</f>
        <v>1</v>
      </c>
      <c r="AT108" s="190">
        <f>IF(SP_AcqTract_DB[[#This Row],[WCAD Tax Parcel ID]]="",0,COUNTIF(SP_TaxPar_DB[Acquisition Tract No.],SP_AcqTract_DB[[#This Row],[Acquisition Tract No.]]))</f>
        <v>1</v>
      </c>
      <c r="AU108" s="189">
        <f>COUNTIF(ACQStatus_ACQTNo.,SP_AcqTract_DB[[#This Row],[Acquisition Tract No.]])</f>
        <v>1</v>
      </c>
    </row>
    <row r="109" spans="1:47" ht="19.5" customHeight="1" x14ac:dyDescent="0.2">
      <c r="A109" s="195" t="s">
        <v>5342</v>
      </c>
      <c r="B109" s="179" t="s">
        <v>3330</v>
      </c>
      <c r="C109" s="7" t="s">
        <v>2493</v>
      </c>
      <c r="D109" s="52" t="s">
        <v>1255</v>
      </c>
      <c r="E109" s="52"/>
      <c r="F109" s="52" t="s">
        <v>5654</v>
      </c>
      <c r="G109" s="8" t="s">
        <v>6216</v>
      </c>
      <c r="H109" s="8"/>
      <c r="I109" s="8"/>
      <c r="J109" s="8"/>
      <c r="K109" s="8"/>
      <c r="L109" s="8" t="s">
        <v>2587</v>
      </c>
      <c r="M109" s="8"/>
      <c r="N109" s="8"/>
      <c r="O109" s="57"/>
      <c r="P109" s="7"/>
      <c r="Q109" s="3"/>
      <c r="R109" s="16"/>
      <c r="S109" s="5">
        <v>0</v>
      </c>
      <c r="T109" s="4"/>
      <c r="U109" s="57"/>
      <c r="V109" s="8"/>
      <c r="W109" s="8"/>
      <c r="X109" s="8"/>
      <c r="Y109" s="8"/>
      <c r="Z109" s="8"/>
      <c r="AA109" s="7"/>
      <c r="AB109" s="7"/>
      <c r="AC109" s="8" t="s">
        <v>5343</v>
      </c>
      <c r="AD109" s="8" t="s">
        <v>4206</v>
      </c>
      <c r="AE109" s="26">
        <v>43994.42864583333</v>
      </c>
      <c r="AF109" s="8" t="s">
        <v>4206</v>
      </c>
      <c r="AG109" s="26">
        <v>43964.570868055554</v>
      </c>
      <c r="AH109" s="1"/>
      <c r="AI109" s="232">
        <v>113</v>
      </c>
      <c r="AJ109" s="232" t="s">
        <v>4939</v>
      </c>
      <c r="AK109" s="232" t="s">
        <v>3512</v>
      </c>
      <c r="AL109" s="232"/>
      <c r="AM109" s="232"/>
      <c r="AN109" s="232"/>
      <c r="AO109" s="233"/>
      <c r="AP109" s="230"/>
      <c r="AQ109" s="230"/>
      <c r="AR109" s="188" t="str">
        <f>IF(SP_AcqTract_DB[[#This Row],[Count '# in TaxID]]=1,LEFT(SP_AcqTract_DB[[#This Row],[WCAD Tax Parcel ID]],7),IF(SP_AcqTract_DB[[#This Row],[Count '# in TaxID]]=2,CONCATENATE(LEFT(SP_AcqTract_DB[[#This Row],[WCAD Tax Parcel ID]],7),";",MID(SP_AcqTract_DB[[#This Row],[WCAD Tax Parcel ID]],FIND("#",SP_AcqTract_DB[[#This Row],[WCAD Tax Parcel ID]],10)+1,7)),IF(SP_AcqTract_DB[[#This Row],[Count '# in TaxID]]&gt;2,CONCATENATE(LEFT(SP_AcqTract_DB[[#This Row],[WCAD Tax Parcel ID]],7),";",MID(SP_AcqTract_DB[[#This Row],[WCAD Tax Parcel ID]],FIND("#",SP_AcqTract_DB[[#This Row],[WCAD Tax Parcel ID]],10)+1,7),";",MID(SP_AcqTract_DB[[#This Row],[WCAD Tax Parcel ID]],FIND("#",SP_AcqTract_DB[[#This Row],[WCAD Tax Parcel ID]],23)+1,7)),"")))</f>
        <v>R055173</v>
      </c>
      <c r="AS109" s="54">
        <f>IF(SP_AcqTract_DB[[#This Row],[WCAD Tax Parcel ID]]="",0,(LEN(SP_AcqTract_DB[[#This Row],[WCAD Tax Parcel ID]])-LEN(SUBSTITUTE(SP_AcqTract_DB[[#This Row],[WCAD Tax Parcel ID]],"#",""))+1)/2)</f>
        <v>1</v>
      </c>
      <c r="AT109" s="190">
        <f>IF(SP_AcqTract_DB[[#This Row],[WCAD Tax Parcel ID]]="",0,COUNTIF(SP_TaxPar_DB[Acquisition Tract No.],SP_AcqTract_DB[[#This Row],[Acquisition Tract No.]]))</f>
        <v>1</v>
      </c>
      <c r="AU109" s="189">
        <f>COUNTIF(ACQStatus_ACQTNo.,SP_AcqTract_DB[[#This Row],[Acquisition Tract No.]])</f>
        <v>1</v>
      </c>
    </row>
    <row r="110" spans="1:47" ht="19.5" customHeight="1" x14ac:dyDescent="0.2">
      <c r="A110" s="195" t="s">
        <v>5344</v>
      </c>
      <c r="B110" s="179" t="s">
        <v>3331</v>
      </c>
      <c r="C110" s="7" t="s">
        <v>2493</v>
      </c>
      <c r="D110" s="52" t="s">
        <v>1255</v>
      </c>
      <c r="E110" s="52"/>
      <c r="F110" s="52"/>
      <c r="G110" s="8" t="s">
        <v>6217</v>
      </c>
      <c r="H110" s="8"/>
      <c r="I110" s="8"/>
      <c r="J110" s="8"/>
      <c r="K110" s="8"/>
      <c r="L110" s="8" t="s">
        <v>2592</v>
      </c>
      <c r="M110" s="8"/>
      <c r="N110" s="8"/>
      <c r="O110" s="57"/>
      <c r="P110" s="7"/>
      <c r="Q110" s="3"/>
      <c r="R110" s="16"/>
      <c r="S110" s="5">
        <v>0</v>
      </c>
      <c r="T110" s="4"/>
      <c r="U110" s="57"/>
      <c r="V110" s="8"/>
      <c r="W110" s="8"/>
      <c r="X110" s="8"/>
      <c r="Y110" s="8"/>
      <c r="Z110" s="8"/>
      <c r="AA110" s="7"/>
      <c r="AB110" s="7"/>
      <c r="AC110" s="8" t="s">
        <v>5345</v>
      </c>
      <c r="AD110" s="8" t="s">
        <v>4206</v>
      </c>
      <c r="AE110" s="26">
        <v>43994.42864583333</v>
      </c>
      <c r="AF110" s="8" t="s">
        <v>4206</v>
      </c>
      <c r="AG110" s="26">
        <v>43977.475925925923</v>
      </c>
      <c r="AH110" s="1"/>
      <c r="AI110" s="232">
        <v>140</v>
      </c>
      <c r="AJ110" s="232" t="s">
        <v>4939</v>
      </c>
      <c r="AK110" s="232" t="s">
        <v>3512</v>
      </c>
      <c r="AL110" s="232"/>
      <c r="AM110" s="232"/>
      <c r="AN110" s="232"/>
      <c r="AO110" s="233"/>
      <c r="AP110" s="230"/>
      <c r="AQ110" s="230"/>
      <c r="AR110" s="188" t="str">
        <f>IF(SP_AcqTract_DB[[#This Row],[Count '# in TaxID]]=1,LEFT(SP_AcqTract_DB[[#This Row],[WCAD Tax Parcel ID]],7),IF(SP_AcqTract_DB[[#This Row],[Count '# in TaxID]]=2,CONCATENATE(LEFT(SP_AcqTract_DB[[#This Row],[WCAD Tax Parcel ID]],7),";",MID(SP_AcqTract_DB[[#This Row],[WCAD Tax Parcel ID]],FIND("#",SP_AcqTract_DB[[#This Row],[WCAD Tax Parcel ID]],10)+1,7)),IF(SP_AcqTract_DB[[#This Row],[Count '# in TaxID]]&gt;2,CONCATENATE(LEFT(SP_AcqTract_DB[[#This Row],[WCAD Tax Parcel ID]],7),";",MID(SP_AcqTract_DB[[#This Row],[WCAD Tax Parcel ID]],FIND("#",SP_AcqTract_DB[[#This Row],[WCAD Tax Parcel ID]],10)+1,7),";",MID(SP_AcqTract_DB[[#This Row],[WCAD Tax Parcel ID]],FIND("#",SP_AcqTract_DB[[#This Row],[WCAD Tax Parcel ID]],23)+1,7)),"")))</f>
        <v>R056464</v>
      </c>
      <c r="AS110" s="54">
        <f>IF(SP_AcqTract_DB[[#This Row],[WCAD Tax Parcel ID]]="",0,(LEN(SP_AcqTract_DB[[#This Row],[WCAD Tax Parcel ID]])-LEN(SUBSTITUTE(SP_AcqTract_DB[[#This Row],[WCAD Tax Parcel ID]],"#",""))+1)/2)</f>
        <v>1</v>
      </c>
      <c r="AT110" s="190">
        <f>IF(SP_AcqTract_DB[[#This Row],[WCAD Tax Parcel ID]]="",0,COUNTIF(SP_TaxPar_DB[Acquisition Tract No.],SP_AcqTract_DB[[#This Row],[Acquisition Tract No.]]))</f>
        <v>1</v>
      </c>
      <c r="AU110" s="189">
        <f>COUNTIF(ACQStatus_ACQTNo.,SP_AcqTract_DB[[#This Row],[Acquisition Tract No.]])</f>
        <v>1</v>
      </c>
    </row>
    <row r="111" spans="1:47" ht="19.5" customHeight="1" x14ac:dyDescent="0.2">
      <c r="A111" s="195" t="s">
        <v>5346</v>
      </c>
      <c r="B111" s="179" t="s">
        <v>3332</v>
      </c>
      <c r="C111" s="7" t="s">
        <v>2493</v>
      </c>
      <c r="D111" s="52" t="s">
        <v>1255</v>
      </c>
      <c r="E111" s="52"/>
      <c r="F111" s="52" t="s">
        <v>5654</v>
      </c>
      <c r="G111" s="8" t="s">
        <v>6218</v>
      </c>
      <c r="H111" s="8"/>
      <c r="I111" s="8"/>
      <c r="J111" s="8"/>
      <c r="K111" s="8"/>
      <c r="L111" s="8" t="s">
        <v>2596</v>
      </c>
      <c r="M111" s="8"/>
      <c r="N111" s="8"/>
      <c r="O111" s="57"/>
      <c r="P111" s="7"/>
      <c r="Q111" s="3"/>
      <c r="R111" s="16"/>
      <c r="S111" s="5">
        <v>0</v>
      </c>
      <c r="T111" s="4"/>
      <c r="U111" s="57"/>
      <c r="V111" s="8"/>
      <c r="W111" s="8"/>
      <c r="X111" s="8"/>
      <c r="Y111" s="8"/>
      <c r="Z111" s="8"/>
      <c r="AA111" s="7"/>
      <c r="AB111" s="7"/>
      <c r="AC111" s="8" t="s">
        <v>5347</v>
      </c>
      <c r="AD111" s="8" t="s">
        <v>4206</v>
      </c>
      <c r="AE111" s="26">
        <v>43994.42864583333</v>
      </c>
      <c r="AF111" s="8" t="s">
        <v>4206</v>
      </c>
      <c r="AG111" s="26">
        <v>43964.571215277778</v>
      </c>
      <c r="AH111" s="1"/>
      <c r="AI111" s="232">
        <v>114</v>
      </c>
      <c r="AJ111" s="232" t="s">
        <v>4939</v>
      </c>
      <c r="AK111" s="232" t="s">
        <v>3512</v>
      </c>
      <c r="AL111" s="232"/>
      <c r="AM111" s="232"/>
      <c r="AN111" s="232"/>
      <c r="AO111" s="233"/>
      <c r="AP111" s="230"/>
      <c r="AQ111" s="230"/>
      <c r="AR111" s="188" t="str">
        <f>IF(SP_AcqTract_DB[[#This Row],[Count '# in TaxID]]=1,LEFT(SP_AcqTract_DB[[#This Row],[WCAD Tax Parcel ID]],7),IF(SP_AcqTract_DB[[#This Row],[Count '# in TaxID]]=2,CONCATENATE(LEFT(SP_AcqTract_DB[[#This Row],[WCAD Tax Parcel ID]],7),";",MID(SP_AcqTract_DB[[#This Row],[WCAD Tax Parcel ID]],FIND("#",SP_AcqTract_DB[[#This Row],[WCAD Tax Parcel ID]],10)+1,7)),IF(SP_AcqTract_DB[[#This Row],[Count '# in TaxID]]&gt;2,CONCATENATE(LEFT(SP_AcqTract_DB[[#This Row],[WCAD Tax Parcel ID]],7),";",MID(SP_AcqTract_DB[[#This Row],[WCAD Tax Parcel ID]],FIND("#",SP_AcqTract_DB[[#This Row],[WCAD Tax Parcel ID]],10)+1,7),";",MID(SP_AcqTract_DB[[#This Row],[WCAD Tax Parcel ID]],FIND("#",SP_AcqTract_DB[[#This Row],[WCAD Tax Parcel ID]],23)+1,7)),"")))</f>
        <v>R056478</v>
      </c>
      <c r="AS111" s="54">
        <f>IF(SP_AcqTract_DB[[#This Row],[WCAD Tax Parcel ID]]="",0,(LEN(SP_AcqTract_DB[[#This Row],[WCAD Tax Parcel ID]])-LEN(SUBSTITUTE(SP_AcqTract_DB[[#This Row],[WCAD Tax Parcel ID]],"#",""))+1)/2)</f>
        <v>1</v>
      </c>
      <c r="AT111" s="190">
        <f>IF(SP_AcqTract_DB[[#This Row],[WCAD Tax Parcel ID]]="",0,COUNTIF(SP_TaxPar_DB[Acquisition Tract No.],SP_AcqTract_DB[[#This Row],[Acquisition Tract No.]]))</f>
        <v>1</v>
      </c>
      <c r="AU111" s="189">
        <f>COUNTIF(ACQStatus_ACQTNo.,SP_AcqTract_DB[[#This Row],[Acquisition Tract No.]])</f>
        <v>1</v>
      </c>
    </row>
    <row r="112" spans="1:47" ht="19.5" customHeight="1" x14ac:dyDescent="0.2">
      <c r="A112" s="195" t="s">
        <v>5348</v>
      </c>
      <c r="B112" s="179" t="s">
        <v>3333</v>
      </c>
      <c r="C112" s="7" t="s">
        <v>2493</v>
      </c>
      <c r="D112" s="52" t="s">
        <v>1255</v>
      </c>
      <c r="E112" s="52"/>
      <c r="F112" s="52" t="s">
        <v>5654</v>
      </c>
      <c r="G112" s="8" t="s">
        <v>6219</v>
      </c>
      <c r="H112" s="8"/>
      <c r="I112" s="8"/>
      <c r="J112" s="8"/>
      <c r="K112" s="8"/>
      <c r="L112" s="8" t="s">
        <v>2477</v>
      </c>
      <c r="M112" s="8"/>
      <c r="N112" s="8"/>
      <c r="O112" s="57"/>
      <c r="P112" s="7"/>
      <c r="Q112" s="3"/>
      <c r="R112" s="16"/>
      <c r="S112" s="5">
        <v>0</v>
      </c>
      <c r="T112" s="4"/>
      <c r="U112" s="57"/>
      <c r="V112" s="8"/>
      <c r="W112" s="8"/>
      <c r="X112" s="8"/>
      <c r="Y112" s="8"/>
      <c r="Z112" s="8"/>
      <c r="AA112" s="7"/>
      <c r="AB112" s="7"/>
      <c r="AC112" s="8" t="s">
        <v>5349</v>
      </c>
      <c r="AD112" s="8" t="s">
        <v>4206</v>
      </c>
      <c r="AE112" s="26">
        <v>43994.42864583333</v>
      </c>
      <c r="AF112" s="8" t="s">
        <v>4206</v>
      </c>
      <c r="AG112" s="26">
        <v>43964.57172453704</v>
      </c>
      <c r="AH112" s="1"/>
      <c r="AI112" s="232">
        <v>115</v>
      </c>
      <c r="AJ112" s="232" t="s">
        <v>4939</v>
      </c>
      <c r="AK112" s="232" t="s">
        <v>3512</v>
      </c>
      <c r="AL112" s="232"/>
      <c r="AM112" s="232"/>
      <c r="AN112" s="232"/>
      <c r="AO112" s="233"/>
      <c r="AP112" s="230"/>
      <c r="AQ112" s="230"/>
      <c r="AR112" s="188" t="str">
        <f>IF(SP_AcqTract_DB[[#This Row],[Count '# in TaxID]]=1,LEFT(SP_AcqTract_DB[[#This Row],[WCAD Tax Parcel ID]],7),IF(SP_AcqTract_DB[[#This Row],[Count '# in TaxID]]=2,CONCATENATE(LEFT(SP_AcqTract_DB[[#This Row],[WCAD Tax Parcel ID]],7),";",MID(SP_AcqTract_DB[[#This Row],[WCAD Tax Parcel ID]],FIND("#",SP_AcqTract_DB[[#This Row],[WCAD Tax Parcel ID]],10)+1,7)),IF(SP_AcqTract_DB[[#This Row],[Count '# in TaxID]]&gt;2,CONCATENATE(LEFT(SP_AcqTract_DB[[#This Row],[WCAD Tax Parcel ID]],7),";",MID(SP_AcqTract_DB[[#This Row],[WCAD Tax Parcel ID]],FIND("#",SP_AcqTract_DB[[#This Row],[WCAD Tax Parcel ID]],10)+1,7),";",MID(SP_AcqTract_DB[[#This Row],[WCAD Tax Parcel ID]],FIND("#",SP_AcqTract_DB[[#This Row],[WCAD Tax Parcel ID]],23)+1,7)),"")))</f>
        <v>R056480</v>
      </c>
      <c r="AS112" s="54">
        <f>IF(SP_AcqTract_DB[[#This Row],[WCAD Tax Parcel ID]]="",0,(LEN(SP_AcqTract_DB[[#This Row],[WCAD Tax Parcel ID]])-LEN(SUBSTITUTE(SP_AcqTract_DB[[#This Row],[WCAD Tax Parcel ID]],"#",""))+1)/2)</f>
        <v>1</v>
      </c>
      <c r="AT112" s="190">
        <f>IF(SP_AcqTract_DB[[#This Row],[WCAD Tax Parcel ID]]="",0,COUNTIF(SP_TaxPar_DB[Acquisition Tract No.],SP_AcqTract_DB[[#This Row],[Acquisition Tract No.]]))</f>
        <v>1</v>
      </c>
      <c r="AU112" s="189">
        <f>COUNTIF(ACQStatus_ACQTNo.,SP_AcqTract_DB[[#This Row],[Acquisition Tract No.]])</f>
        <v>1</v>
      </c>
    </row>
    <row r="113" spans="1:47" ht="19.5" customHeight="1" x14ac:dyDescent="0.2">
      <c r="A113" s="195" t="s">
        <v>5350</v>
      </c>
      <c r="B113" s="179" t="s">
        <v>3334</v>
      </c>
      <c r="C113" s="7" t="s">
        <v>2493</v>
      </c>
      <c r="D113" s="52" t="s">
        <v>1255</v>
      </c>
      <c r="E113" s="52"/>
      <c r="F113" s="52" t="s">
        <v>5654</v>
      </c>
      <c r="G113" s="8" t="s">
        <v>6220</v>
      </c>
      <c r="H113" s="8"/>
      <c r="I113" s="8"/>
      <c r="J113" s="8"/>
      <c r="K113" s="8"/>
      <c r="L113" s="8" t="s">
        <v>2605</v>
      </c>
      <c r="M113" s="8"/>
      <c r="N113" s="8"/>
      <c r="O113" s="57"/>
      <c r="P113" s="7"/>
      <c r="Q113" s="3"/>
      <c r="R113" s="16"/>
      <c r="S113" s="5">
        <v>0</v>
      </c>
      <c r="T113" s="4"/>
      <c r="U113" s="57"/>
      <c r="V113" s="8"/>
      <c r="W113" s="8"/>
      <c r="X113" s="8"/>
      <c r="Y113" s="8"/>
      <c r="Z113" s="8"/>
      <c r="AA113" s="7"/>
      <c r="AB113" s="7"/>
      <c r="AC113" s="8" t="s">
        <v>5351</v>
      </c>
      <c r="AD113" s="8" t="s">
        <v>4206</v>
      </c>
      <c r="AE113" s="26">
        <v>43994.42864583333</v>
      </c>
      <c r="AF113" s="8" t="s">
        <v>4206</v>
      </c>
      <c r="AG113" s="26">
        <v>43964.57203703704</v>
      </c>
      <c r="AH113" s="1"/>
      <c r="AI113" s="232">
        <v>116</v>
      </c>
      <c r="AJ113" s="232" t="s">
        <v>4939</v>
      </c>
      <c r="AK113" s="232" t="s">
        <v>3512</v>
      </c>
      <c r="AL113" s="232"/>
      <c r="AM113" s="232"/>
      <c r="AN113" s="232"/>
      <c r="AO113" s="233"/>
      <c r="AP113" s="230"/>
      <c r="AQ113" s="230"/>
      <c r="AR113" s="188" t="str">
        <f>IF(SP_AcqTract_DB[[#This Row],[Count '# in TaxID]]=1,LEFT(SP_AcqTract_DB[[#This Row],[WCAD Tax Parcel ID]],7),IF(SP_AcqTract_DB[[#This Row],[Count '# in TaxID]]=2,CONCATENATE(LEFT(SP_AcqTract_DB[[#This Row],[WCAD Tax Parcel ID]],7),";",MID(SP_AcqTract_DB[[#This Row],[WCAD Tax Parcel ID]],FIND("#",SP_AcqTract_DB[[#This Row],[WCAD Tax Parcel ID]],10)+1,7)),IF(SP_AcqTract_DB[[#This Row],[Count '# in TaxID]]&gt;2,CONCATENATE(LEFT(SP_AcqTract_DB[[#This Row],[WCAD Tax Parcel ID]],7),";",MID(SP_AcqTract_DB[[#This Row],[WCAD Tax Parcel ID]],FIND("#",SP_AcqTract_DB[[#This Row],[WCAD Tax Parcel ID]],10)+1,7),";",MID(SP_AcqTract_DB[[#This Row],[WCAD Tax Parcel ID]],FIND("#",SP_AcqTract_DB[[#This Row],[WCAD Tax Parcel ID]],23)+1,7)),"")))</f>
        <v>R059308</v>
      </c>
      <c r="AS113" s="54">
        <f>IF(SP_AcqTract_DB[[#This Row],[WCAD Tax Parcel ID]]="",0,(LEN(SP_AcqTract_DB[[#This Row],[WCAD Tax Parcel ID]])-LEN(SUBSTITUTE(SP_AcqTract_DB[[#This Row],[WCAD Tax Parcel ID]],"#",""))+1)/2)</f>
        <v>1</v>
      </c>
      <c r="AT113" s="190">
        <f>IF(SP_AcqTract_DB[[#This Row],[WCAD Tax Parcel ID]]="",0,COUNTIF(SP_TaxPar_DB[Acquisition Tract No.],SP_AcqTract_DB[[#This Row],[Acquisition Tract No.]]))</f>
        <v>1</v>
      </c>
      <c r="AU113" s="189">
        <f>COUNTIF(ACQStatus_ACQTNo.,SP_AcqTract_DB[[#This Row],[Acquisition Tract No.]])</f>
        <v>1</v>
      </c>
    </row>
    <row r="114" spans="1:47" ht="19.5" customHeight="1" x14ac:dyDescent="0.2">
      <c r="A114" s="195" t="s">
        <v>5352</v>
      </c>
      <c r="B114" s="179" t="s">
        <v>3335</v>
      </c>
      <c r="C114" s="7" t="s">
        <v>2493</v>
      </c>
      <c r="D114" s="52" t="s">
        <v>1255</v>
      </c>
      <c r="E114" s="52"/>
      <c r="F114" s="52" t="s">
        <v>5654</v>
      </c>
      <c r="G114" s="8" t="s">
        <v>6129</v>
      </c>
      <c r="H114" s="8"/>
      <c r="I114" s="8"/>
      <c r="J114" s="8"/>
      <c r="K114" s="8"/>
      <c r="L114" s="8" t="s">
        <v>2609</v>
      </c>
      <c r="M114" s="8"/>
      <c r="N114" s="8"/>
      <c r="O114" s="57"/>
      <c r="P114" s="7"/>
      <c r="Q114" s="3"/>
      <c r="R114" s="16"/>
      <c r="S114" s="5">
        <v>0</v>
      </c>
      <c r="T114" s="4"/>
      <c r="U114" s="57"/>
      <c r="V114" s="8"/>
      <c r="W114" s="8"/>
      <c r="X114" s="8"/>
      <c r="Y114" s="8"/>
      <c r="Z114" s="8"/>
      <c r="AA114" s="7"/>
      <c r="AB114" s="7"/>
      <c r="AC114" s="8" t="s">
        <v>5353</v>
      </c>
      <c r="AD114" s="8" t="s">
        <v>4206</v>
      </c>
      <c r="AE114" s="26">
        <v>43994.42864583333</v>
      </c>
      <c r="AF114" s="8" t="s">
        <v>4206</v>
      </c>
      <c r="AG114" s="26">
        <v>43964.57236111111</v>
      </c>
      <c r="AH114" s="1"/>
      <c r="AI114" s="232">
        <v>117</v>
      </c>
      <c r="AJ114" s="232" t="s">
        <v>4939</v>
      </c>
      <c r="AK114" s="232" t="s">
        <v>3512</v>
      </c>
      <c r="AL114" s="232"/>
      <c r="AM114" s="232"/>
      <c r="AN114" s="232"/>
      <c r="AO114" s="233"/>
      <c r="AP114" s="230"/>
      <c r="AQ114" s="230"/>
      <c r="AR114" s="188" t="str">
        <f>IF(SP_AcqTract_DB[[#This Row],[Count '# in TaxID]]=1,LEFT(SP_AcqTract_DB[[#This Row],[WCAD Tax Parcel ID]],7),IF(SP_AcqTract_DB[[#This Row],[Count '# in TaxID]]=2,CONCATENATE(LEFT(SP_AcqTract_DB[[#This Row],[WCAD Tax Parcel ID]],7),";",MID(SP_AcqTract_DB[[#This Row],[WCAD Tax Parcel ID]],FIND("#",SP_AcqTract_DB[[#This Row],[WCAD Tax Parcel ID]],10)+1,7)),IF(SP_AcqTract_DB[[#This Row],[Count '# in TaxID]]&gt;2,CONCATENATE(LEFT(SP_AcqTract_DB[[#This Row],[WCAD Tax Parcel ID]],7),";",MID(SP_AcqTract_DB[[#This Row],[WCAD Tax Parcel ID]],FIND("#",SP_AcqTract_DB[[#This Row],[WCAD Tax Parcel ID]],10)+1,7),";",MID(SP_AcqTract_DB[[#This Row],[WCAD Tax Parcel ID]],FIND("#",SP_AcqTract_DB[[#This Row],[WCAD Tax Parcel ID]],23)+1,7)),"")))</f>
        <v>R059447</v>
      </c>
      <c r="AS114" s="54">
        <f>IF(SP_AcqTract_DB[[#This Row],[WCAD Tax Parcel ID]]="",0,(LEN(SP_AcqTract_DB[[#This Row],[WCAD Tax Parcel ID]])-LEN(SUBSTITUTE(SP_AcqTract_DB[[#This Row],[WCAD Tax Parcel ID]],"#",""))+1)/2)</f>
        <v>1</v>
      </c>
      <c r="AT114" s="190">
        <f>IF(SP_AcqTract_DB[[#This Row],[WCAD Tax Parcel ID]]="",0,COUNTIF(SP_TaxPar_DB[Acquisition Tract No.],SP_AcqTract_DB[[#This Row],[Acquisition Tract No.]]))</f>
        <v>1</v>
      </c>
      <c r="AU114" s="189">
        <f>COUNTIF(ACQStatus_ACQTNo.,SP_AcqTract_DB[[#This Row],[Acquisition Tract No.]])</f>
        <v>1</v>
      </c>
    </row>
    <row r="115" spans="1:47" ht="19.5" customHeight="1" x14ac:dyDescent="0.2">
      <c r="A115" s="195" t="s">
        <v>5354</v>
      </c>
      <c r="B115" s="179" t="s">
        <v>3336</v>
      </c>
      <c r="C115" s="7" t="s">
        <v>2493</v>
      </c>
      <c r="D115" s="52" t="s">
        <v>1255</v>
      </c>
      <c r="E115" s="52"/>
      <c r="F115" s="52" t="s">
        <v>5654</v>
      </c>
      <c r="G115" s="8" t="s">
        <v>6221</v>
      </c>
      <c r="H115" s="8"/>
      <c r="I115" s="8"/>
      <c r="J115" s="8"/>
      <c r="K115" s="8"/>
      <c r="L115" s="8" t="s">
        <v>2614</v>
      </c>
      <c r="M115" s="8"/>
      <c r="N115" s="8"/>
      <c r="O115" s="57"/>
      <c r="P115" s="7"/>
      <c r="Q115" s="3"/>
      <c r="R115" s="16"/>
      <c r="S115" s="5">
        <v>0</v>
      </c>
      <c r="T115" s="4"/>
      <c r="U115" s="57"/>
      <c r="V115" s="8"/>
      <c r="W115" s="8"/>
      <c r="X115" s="8"/>
      <c r="Y115" s="8"/>
      <c r="Z115" s="8"/>
      <c r="AA115" s="7"/>
      <c r="AB115" s="7"/>
      <c r="AC115" s="8" t="s">
        <v>5355</v>
      </c>
      <c r="AD115" s="8" t="s">
        <v>4206</v>
      </c>
      <c r="AE115" s="26">
        <v>43994.42864583333</v>
      </c>
      <c r="AF115" s="8" t="s">
        <v>4206</v>
      </c>
      <c r="AG115" s="26">
        <v>43977.476238425923</v>
      </c>
      <c r="AH115" s="1"/>
      <c r="AI115" s="232">
        <v>141</v>
      </c>
      <c r="AJ115" s="232" t="s">
        <v>4939</v>
      </c>
      <c r="AK115" s="232" t="s">
        <v>3512</v>
      </c>
      <c r="AL115" s="232"/>
      <c r="AM115" s="232"/>
      <c r="AN115" s="232"/>
      <c r="AO115" s="233"/>
      <c r="AP115" s="230"/>
      <c r="AQ115" s="230"/>
      <c r="AR115" s="188" t="str">
        <f>IF(SP_AcqTract_DB[[#This Row],[Count '# in TaxID]]=1,LEFT(SP_AcqTract_DB[[#This Row],[WCAD Tax Parcel ID]],7),IF(SP_AcqTract_DB[[#This Row],[Count '# in TaxID]]=2,CONCATENATE(LEFT(SP_AcqTract_DB[[#This Row],[WCAD Tax Parcel ID]],7),";",MID(SP_AcqTract_DB[[#This Row],[WCAD Tax Parcel ID]],FIND("#",SP_AcqTract_DB[[#This Row],[WCAD Tax Parcel ID]],10)+1,7)),IF(SP_AcqTract_DB[[#This Row],[Count '# in TaxID]]&gt;2,CONCATENATE(LEFT(SP_AcqTract_DB[[#This Row],[WCAD Tax Parcel ID]],7),";",MID(SP_AcqTract_DB[[#This Row],[WCAD Tax Parcel ID]],FIND("#",SP_AcqTract_DB[[#This Row],[WCAD Tax Parcel ID]],10)+1,7),";",MID(SP_AcqTract_DB[[#This Row],[WCAD Tax Parcel ID]],FIND("#",SP_AcqTract_DB[[#This Row],[WCAD Tax Parcel ID]],23)+1,7)),"")))</f>
        <v>R060210</v>
      </c>
      <c r="AS115" s="54">
        <f>IF(SP_AcqTract_DB[[#This Row],[WCAD Tax Parcel ID]]="",0,(LEN(SP_AcqTract_DB[[#This Row],[WCAD Tax Parcel ID]])-LEN(SUBSTITUTE(SP_AcqTract_DB[[#This Row],[WCAD Tax Parcel ID]],"#",""))+1)/2)</f>
        <v>1</v>
      </c>
      <c r="AT115" s="190">
        <f>IF(SP_AcqTract_DB[[#This Row],[WCAD Tax Parcel ID]]="",0,COUNTIF(SP_TaxPar_DB[Acquisition Tract No.],SP_AcqTract_DB[[#This Row],[Acquisition Tract No.]]))</f>
        <v>1</v>
      </c>
      <c r="AU115" s="189">
        <f>COUNTIF(ACQStatus_ACQTNo.,SP_AcqTract_DB[[#This Row],[Acquisition Tract No.]])</f>
        <v>1</v>
      </c>
    </row>
    <row r="116" spans="1:47" ht="19.5" customHeight="1" x14ac:dyDescent="0.2">
      <c r="A116" s="195" t="s">
        <v>5356</v>
      </c>
      <c r="B116" s="179" t="s">
        <v>3347</v>
      </c>
      <c r="C116" s="7" t="s">
        <v>2493</v>
      </c>
      <c r="D116" s="52" t="s">
        <v>1255</v>
      </c>
      <c r="E116" s="52"/>
      <c r="F116" s="52" t="s">
        <v>5643</v>
      </c>
      <c r="G116" s="8" t="s">
        <v>6211</v>
      </c>
      <c r="H116" s="8"/>
      <c r="I116" s="8"/>
      <c r="J116" s="8"/>
      <c r="K116" s="8"/>
      <c r="L116" s="8" t="s">
        <v>2629</v>
      </c>
      <c r="M116" s="8"/>
      <c r="N116" s="8"/>
      <c r="O116" s="57"/>
      <c r="P116" s="7"/>
      <c r="Q116" s="3"/>
      <c r="R116" s="16"/>
      <c r="S116" s="5">
        <v>0</v>
      </c>
      <c r="T116" s="4"/>
      <c r="U116" s="57"/>
      <c r="V116" s="8"/>
      <c r="W116" s="8"/>
      <c r="X116" s="8"/>
      <c r="Y116" s="8"/>
      <c r="Z116" s="8"/>
      <c r="AA116" s="7"/>
      <c r="AB116" s="7"/>
      <c r="AC116" s="8" t="s">
        <v>5357</v>
      </c>
      <c r="AD116" s="8" t="s">
        <v>4206</v>
      </c>
      <c r="AE116" s="26">
        <v>43994.42864583333</v>
      </c>
      <c r="AF116" s="8" t="s">
        <v>4206</v>
      </c>
      <c r="AG116" s="26">
        <v>43964.573148148149</v>
      </c>
      <c r="AH116" s="1"/>
      <c r="AI116" s="232">
        <v>119</v>
      </c>
      <c r="AJ116" s="232" t="s">
        <v>4939</v>
      </c>
      <c r="AK116" s="232" t="s">
        <v>3512</v>
      </c>
      <c r="AL116" s="232"/>
      <c r="AM116" s="232"/>
      <c r="AN116" s="232"/>
      <c r="AO116" s="233"/>
      <c r="AP116" s="230"/>
      <c r="AQ116" s="230"/>
      <c r="AR116" s="188" t="str">
        <f>IF(SP_AcqTract_DB[[#This Row],[Count '# in TaxID]]=1,LEFT(SP_AcqTract_DB[[#This Row],[WCAD Tax Parcel ID]],7),IF(SP_AcqTract_DB[[#This Row],[Count '# in TaxID]]=2,CONCATENATE(LEFT(SP_AcqTract_DB[[#This Row],[WCAD Tax Parcel ID]],7),";",MID(SP_AcqTract_DB[[#This Row],[WCAD Tax Parcel ID]],FIND("#",SP_AcqTract_DB[[#This Row],[WCAD Tax Parcel ID]],10)+1,7)),IF(SP_AcqTract_DB[[#This Row],[Count '# in TaxID]]&gt;2,CONCATENATE(LEFT(SP_AcqTract_DB[[#This Row],[WCAD Tax Parcel ID]],7),";",MID(SP_AcqTract_DB[[#This Row],[WCAD Tax Parcel ID]],FIND("#",SP_AcqTract_DB[[#This Row],[WCAD Tax Parcel ID]],10)+1,7),";",MID(SP_AcqTract_DB[[#This Row],[WCAD Tax Parcel ID]],FIND("#",SP_AcqTract_DB[[#This Row],[WCAD Tax Parcel ID]],23)+1,7)),"")))</f>
        <v>R068966</v>
      </c>
      <c r="AS116" s="54">
        <f>IF(SP_AcqTract_DB[[#This Row],[WCAD Tax Parcel ID]]="",0,(LEN(SP_AcqTract_DB[[#This Row],[WCAD Tax Parcel ID]])-LEN(SUBSTITUTE(SP_AcqTract_DB[[#This Row],[WCAD Tax Parcel ID]],"#",""))+1)/2)</f>
        <v>1</v>
      </c>
      <c r="AT116" s="190">
        <f>IF(SP_AcqTract_DB[[#This Row],[WCAD Tax Parcel ID]]="",0,COUNTIF(SP_TaxPar_DB[Acquisition Tract No.],SP_AcqTract_DB[[#This Row],[Acquisition Tract No.]]))</f>
        <v>1</v>
      </c>
      <c r="AU116" s="189">
        <f>COUNTIF(ACQStatus_ACQTNo.,SP_AcqTract_DB[[#This Row],[Acquisition Tract No.]])</f>
        <v>1</v>
      </c>
    </row>
    <row r="117" spans="1:47" ht="19.5" customHeight="1" x14ac:dyDescent="0.2">
      <c r="A117" s="195" t="s">
        <v>5358</v>
      </c>
      <c r="B117" s="179" t="s">
        <v>603</v>
      </c>
      <c r="C117" s="7" t="s">
        <v>2493</v>
      </c>
      <c r="D117" s="52" t="s">
        <v>1255</v>
      </c>
      <c r="E117" s="52"/>
      <c r="F117" s="52"/>
      <c r="G117" s="8" t="s">
        <v>954</v>
      </c>
      <c r="H117" s="8"/>
      <c r="I117" s="8"/>
      <c r="J117" s="8"/>
      <c r="K117" s="8"/>
      <c r="L117" s="8" t="s">
        <v>550</v>
      </c>
      <c r="M117" s="8"/>
      <c r="N117" s="8"/>
      <c r="O117" s="57"/>
      <c r="P117" s="7"/>
      <c r="Q117" s="3"/>
      <c r="R117" s="16"/>
      <c r="S117" s="5">
        <v>0</v>
      </c>
      <c r="T117" s="4"/>
      <c r="U117" s="57"/>
      <c r="V117" s="8"/>
      <c r="W117" s="8"/>
      <c r="X117" s="8"/>
      <c r="Y117" s="8"/>
      <c r="Z117" s="8"/>
      <c r="AA117" s="7"/>
      <c r="AB117" s="7"/>
      <c r="AC117" s="8" t="s">
        <v>5359</v>
      </c>
      <c r="AD117" s="8" t="s">
        <v>4206</v>
      </c>
      <c r="AE117" s="26">
        <v>43994.428657407407</v>
      </c>
      <c r="AF117" s="8" t="s">
        <v>4206</v>
      </c>
      <c r="AG117" s="26">
        <v>43964.573472222219</v>
      </c>
      <c r="AH117" s="1"/>
      <c r="AI117" s="232">
        <v>120</v>
      </c>
      <c r="AJ117" s="232" t="s">
        <v>4939</v>
      </c>
      <c r="AK117" s="232" t="s">
        <v>3512</v>
      </c>
      <c r="AL117" s="232"/>
      <c r="AM117" s="232"/>
      <c r="AN117" s="232"/>
      <c r="AO117" s="233"/>
      <c r="AP117" s="230"/>
      <c r="AQ117" s="230"/>
      <c r="AR117" s="188" t="str">
        <f>IF(SP_AcqTract_DB[[#This Row],[Count '# in TaxID]]=1,LEFT(SP_AcqTract_DB[[#This Row],[WCAD Tax Parcel ID]],7),IF(SP_AcqTract_DB[[#This Row],[Count '# in TaxID]]=2,CONCATENATE(LEFT(SP_AcqTract_DB[[#This Row],[WCAD Tax Parcel ID]],7),";",MID(SP_AcqTract_DB[[#This Row],[WCAD Tax Parcel ID]],FIND("#",SP_AcqTract_DB[[#This Row],[WCAD Tax Parcel ID]],10)+1,7)),IF(SP_AcqTract_DB[[#This Row],[Count '# in TaxID]]&gt;2,CONCATENATE(LEFT(SP_AcqTract_DB[[#This Row],[WCAD Tax Parcel ID]],7),";",MID(SP_AcqTract_DB[[#This Row],[WCAD Tax Parcel ID]],FIND("#",SP_AcqTract_DB[[#This Row],[WCAD Tax Parcel ID]],10)+1,7),";",MID(SP_AcqTract_DB[[#This Row],[WCAD Tax Parcel ID]],FIND("#",SP_AcqTract_DB[[#This Row],[WCAD Tax Parcel ID]],23)+1,7)),"")))</f>
        <v>R070099</v>
      </c>
      <c r="AS117" s="54">
        <f>IF(SP_AcqTract_DB[[#This Row],[WCAD Tax Parcel ID]]="",0,(LEN(SP_AcqTract_DB[[#This Row],[WCAD Tax Parcel ID]])-LEN(SUBSTITUTE(SP_AcqTract_DB[[#This Row],[WCAD Tax Parcel ID]],"#",""))+1)/2)</f>
        <v>1</v>
      </c>
      <c r="AT117" s="190">
        <f>IF(SP_AcqTract_DB[[#This Row],[WCAD Tax Parcel ID]]="",0,COUNTIF(SP_TaxPar_DB[Acquisition Tract No.],SP_AcqTract_DB[[#This Row],[Acquisition Tract No.]]))</f>
        <v>1</v>
      </c>
      <c r="AU117" s="189">
        <f>COUNTIF(ACQStatus_ACQTNo.,SP_AcqTract_DB[[#This Row],[Acquisition Tract No.]])</f>
        <v>1</v>
      </c>
    </row>
    <row r="118" spans="1:47" ht="19.5" customHeight="1" x14ac:dyDescent="0.2">
      <c r="A118" s="195" t="s">
        <v>5256</v>
      </c>
      <c r="B118" s="179" t="s">
        <v>602</v>
      </c>
      <c r="C118" s="7" t="s">
        <v>2493</v>
      </c>
      <c r="D118" s="52" t="s">
        <v>1255</v>
      </c>
      <c r="E118" s="52"/>
      <c r="F118" s="52" t="s">
        <v>5643</v>
      </c>
      <c r="G118" s="8" t="s">
        <v>957</v>
      </c>
      <c r="H118" s="8"/>
      <c r="I118" s="8"/>
      <c r="J118" s="8"/>
      <c r="K118" s="8"/>
      <c r="L118" s="8" t="s">
        <v>560</v>
      </c>
      <c r="M118" s="8"/>
      <c r="N118" s="8"/>
      <c r="O118" s="57"/>
      <c r="P118" s="7"/>
      <c r="Q118" s="3"/>
      <c r="R118" s="16"/>
      <c r="S118" s="5">
        <v>0</v>
      </c>
      <c r="T118" s="4"/>
      <c r="U118" s="57"/>
      <c r="V118" s="8"/>
      <c r="W118" s="8"/>
      <c r="X118" s="8"/>
      <c r="Y118" s="8"/>
      <c r="Z118" s="8"/>
      <c r="AA118" s="7"/>
      <c r="AB118" s="7"/>
      <c r="AC118" s="8" t="s">
        <v>5360</v>
      </c>
      <c r="AD118" s="8" t="s">
        <v>4206</v>
      </c>
      <c r="AE118" s="26">
        <v>43994.428657407407</v>
      </c>
      <c r="AF118" s="8" t="s">
        <v>4206</v>
      </c>
      <c r="AG118" s="26">
        <v>43964.574097222219</v>
      </c>
      <c r="AH118" s="1"/>
      <c r="AI118" s="232">
        <v>122</v>
      </c>
      <c r="AJ118" s="232" t="s">
        <v>4939</v>
      </c>
      <c r="AK118" s="232" t="s">
        <v>3512</v>
      </c>
      <c r="AL118" s="232"/>
      <c r="AM118" s="232"/>
      <c r="AN118" s="232"/>
      <c r="AO118" s="233"/>
      <c r="AP118" s="230"/>
      <c r="AQ118" s="230"/>
      <c r="AR118" s="188" t="str">
        <f>IF(SP_AcqTract_DB[[#This Row],[Count '# in TaxID]]=1,LEFT(SP_AcqTract_DB[[#This Row],[WCAD Tax Parcel ID]],7),IF(SP_AcqTract_DB[[#This Row],[Count '# in TaxID]]=2,CONCATENATE(LEFT(SP_AcqTract_DB[[#This Row],[WCAD Tax Parcel ID]],7),";",MID(SP_AcqTract_DB[[#This Row],[WCAD Tax Parcel ID]],FIND("#",SP_AcqTract_DB[[#This Row],[WCAD Tax Parcel ID]],10)+1,7)),IF(SP_AcqTract_DB[[#This Row],[Count '# in TaxID]]&gt;2,CONCATENATE(LEFT(SP_AcqTract_DB[[#This Row],[WCAD Tax Parcel ID]],7),";",MID(SP_AcqTract_DB[[#This Row],[WCAD Tax Parcel ID]],FIND("#",SP_AcqTract_DB[[#This Row],[WCAD Tax Parcel ID]],10)+1,7),";",MID(SP_AcqTract_DB[[#This Row],[WCAD Tax Parcel ID]],FIND("#",SP_AcqTract_DB[[#This Row],[WCAD Tax Parcel ID]],23)+1,7)),"")))</f>
        <v>R070101</v>
      </c>
      <c r="AS118" s="54">
        <f>IF(SP_AcqTract_DB[[#This Row],[WCAD Tax Parcel ID]]="",0,(LEN(SP_AcqTract_DB[[#This Row],[WCAD Tax Parcel ID]])-LEN(SUBSTITUTE(SP_AcqTract_DB[[#This Row],[WCAD Tax Parcel ID]],"#",""))+1)/2)</f>
        <v>1</v>
      </c>
      <c r="AT118" s="190">
        <f>IF(SP_AcqTract_DB[[#This Row],[WCAD Tax Parcel ID]]="",0,COUNTIF(SP_TaxPar_DB[Acquisition Tract No.],SP_AcqTract_DB[[#This Row],[Acquisition Tract No.]]))</f>
        <v>1</v>
      </c>
      <c r="AU118" s="189">
        <f>COUNTIF(ACQStatus_ACQTNo.,SP_AcqTract_DB[[#This Row],[Acquisition Tract No.]])</f>
        <v>1</v>
      </c>
    </row>
    <row r="119" spans="1:47" ht="19.5" customHeight="1" x14ac:dyDescent="0.2">
      <c r="A119" s="195" t="s">
        <v>5361</v>
      </c>
      <c r="B119" s="179" t="s">
        <v>3353</v>
      </c>
      <c r="C119" s="7" t="s">
        <v>2493</v>
      </c>
      <c r="D119" s="52" t="s">
        <v>1255</v>
      </c>
      <c r="E119" s="52"/>
      <c r="F119" s="52" t="s">
        <v>5654</v>
      </c>
      <c r="G119" s="8" t="s">
        <v>6129</v>
      </c>
      <c r="H119" s="8"/>
      <c r="I119" s="8"/>
      <c r="J119" s="8"/>
      <c r="K119" s="8"/>
      <c r="L119" s="8" t="s">
        <v>2636</v>
      </c>
      <c r="M119" s="8"/>
      <c r="N119" s="8"/>
      <c r="O119" s="57"/>
      <c r="P119" s="7"/>
      <c r="Q119" s="3"/>
      <c r="R119" s="16"/>
      <c r="S119" s="5">
        <v>0</v>
      </c>
      <c r="T119" s="4"/>
      <c r="U119" s="57"/>
      <c r="V119" s="8"/>
      <c r="W119" s="8"/>
      <c r="X119" s="8"/>
      <c r="Y119" s="8"/>
      <c r="Z119" s="8"/>
      <c r="AA119" s="7"/>
      <c r="AB119" s="7"/>
      <c r="AC119" s="8" t="s">
        <v>5362</v>
      </c>
      <c r="AD119" s="8" t="s">
        <v>4206</v>
      </c>
      <c r="AE119" s="26">
        <v>43994.428657407407</v>
      </c>
      <c r="AF119" s="8" t="s">
        <v>4206</v>
      </c>
      <c r="AG119" s="26">
        <v>43964.574583333335</v>
      </c>
      <c r="AH119" s="1"/>
      <c r="AI119" s="232">
        <v>123</v>
      </c>
      <c r="AJ119" s="232" t="s">
        <v>4939</v>
      </c>
      <c r="AK119" s="232" t="s">
        <v>3512</v>
      </c>
      <c r="AL119" s="232"/>
      <c r="AM119" s="232"/>
      <c r="AN119" s="232"/>
      <c r="AO119" s="233"/>
      <c r="AP119" s="230"/>
      <c r="AQ119" s="230"/>
      <c r="AR119" s="188" t="str">
        <f>IF(SP_AcqTract_DB[[#This Row],[Count '# in TaxID]]=1,LEFT(SP_AcqTract_DB[[#This Row],[WCAD Tax Parcel ID]],7),IF(SP_AcqTract_DB[[#This Row],[Count '# in TaxID]]=2,CONCATENATE(LEFT(SP_AcqTract_DB[[#This Row],[WCAD Tax Parcel ID]],7),";",MID(SP_AcqTract_DB[[#This Row],[WCAD Tax Parcel ID]],FIND("#",SP_AcqTract_DB[[#This Row],[WCAD Tax Parcel ID]],10)+1,7)),IF(SP_AcqTract_DB[[#This Row],[Count '# in TaxID]]&gt;2,CONCATENATE(LEFT(SP_AcqTract_DB[[#This Row],[WCAD Tax Parcel ID]],7),";",MID(SP_AcqTract_DB[[#This Row],[WCAD Tax Parcel ID]],FIND("#",SP_AcqTract_DB[[#This Row],[WCAD Tax Parcel ID]],10)+1,7),";",MID(SP_AcqTract_DB[[#This Row],[WCAD Tax Parcel ID]],FIND("#",SP_AcqTract_DB[[#This Row],[WCAD Tax Parcel ID]],23)+1,7)),"")))</f>
        <v>R072725</v>
      </c>
      <c r="AS119" s="54">
        <f>IF(SP_AcqTract_DB[[#This Row],[WCAD Tax Parcel ID]]="",0,(LEN(SP_AcqTract_DB[[#This Row],[WCAD Tax Parcel ID]])-LEN(SUBSTITUTE(SP_AcqTract_DB[[#This Row],[WCAD Tax Parcel ID]],"#",""))+1)/2)</f>
        <v>1</v>
      </c>
      <c r="AT119" s="190">
        <f>IF(SP_AcqTract_DB[[#This Row],[WCAD Tax Parcel ID]]="",0,COUNTIF(SP_TaxPar_DB[Acquisition Tract No.],SP_AcqTract_DB[[#This Row],[Acquisition Tract No.]]))</f>
        <v>1</v>
      </c>
      <c r="AU119" s="189">
        <f>COUNTIF(ACQStatus_ACQTNo.,SP_AcqTract_DB[[#This Row],[Acquisition Tract No.]])</f>
        <v>1</v>
      </c>
    </row>
    <row r="120" spans="1:47" ht="19.5" customHeight="1" x14ac:dyDescent="0.2">
      <c r="A120" s="195" t="s">
        <v>5363</v>
      </c>
      <c r="B120" s="179" t="s">
        <v>3354</v>
      </c>
      <c r="C120" s="7" t="s">
        <v>2493</v>
      </c>
      <c r="D120" s="52" t="s">
        <v>1255</v>
      </c>
      <c r="E120" s="52"/>
      <c r="F120" s="52" t="s">
        <v>1809</v>
      </c>
      <c r="G120" s="8" t="s">
        <v>6222</v>
      </c>
      <c r="H120" s="8"/>
      <c r="I120" s="8"/>
      <c r="J120" s="8"/>
      <c r="K120" s="8"/>
      <c r="L120" s="8" t="s">
        <v>2641</v>
      </c>
      <c r="M120" s="8"/>
      <c r="N120" s="8"/>
      <c r="O120" s="57"/>
      <c r="P120" s="7"/>
      <c r="Q120" s="3"/>
      <c r="R120" s="16"/>
      <c r="S120" s="5">
        <v>0</v>
      </c>
      <c r="T120" s="4"/>
      <c r="U120" s="57"/>
      <c r="V120" s="8"/>
      <c r="W120" s="8"/>
      <c r="X120" s="8"/>
      <c r="Y120" s="8"/>
      <c r="Z120" s="8"/>
      <c r="AA120" s="7"/>
      <c r="AB120" s="7"/>
      <c r="AC120" s="8" t="s">
        <v>5364</v>
      </c>
      <c r="AD120" s="8" t="s">
        <v>4206</v>
      </c>
      <c r="AE120" s="26">
        <v>43994.428657407407</v>
      </c>
      <c r="AF120" s="8" t="s">
        <v>4206</v>
      </c>
      <c r="AG120" s="26">
        <v>43964.575243055559</v>
      </c>
      <c r="AH120" s="1"/>
      <c r="AI120" s="232">
        <v>125</v>
      </c>
      <c r="AJ120" s="232" t="s">
        <v>4939</v>
      </c>
      <c r="AK120" s="232" t="s">
        <v>3512</v>
      </c>
      <c r="AL120" s="232"/>
      <c r="AM120" s="232"/>
      <c r="AN120" s="232"/>
      <c r="AO120" s="233"/>
      <c r="AP120" s="230"/>
      <c r="AQ120" s="230"/>
      <c r="AR120" s="188" t="str">
        <f>IF(SP_AcqTract_DB[[#This Row],[Count '# in TaxID]]=1,LEFT(SP_AcqTract_DB[[#This Row],[WCAD Tax Parcel ID]],7),IF(SP_AcqTract_DB[[#This Row],[Count '# in TaxID]]=2,CONCATENATE(LEFT(SP_AcqTract_DB[[#This Row],[WCAD Tax Parcel ID]],7),";",MID(SP_AcqTract_DB[[#This Row],[WCAD Tax Parcel ID]],FIND("#",SP_AcqTract_DB[[#This Row],[WCAD Tax Parcel ID]],10)+1,7)),IF(SP_AcqTract_DB[[#This Row],[Count '# in TaxID]]&gt;2,CONCATENATE(LEFT(SP_AcqTract_DB[[#This Row],[WCAD Tax Parcel ID]],7),";",MID(SP_AcqTract_DB[[#This Row],[WCAD Tax Parcel ID]],FIND("#",SP_AcqTract_DB[[#This Row],[WCAD Tax Parcel ID]],10)+1,7),";",MID(SP_AcqTract_DB[[#This Row],[WCAD Tax Parcel ID]],FIND("#",SP_AcqTract_DB[[#This Row],[WCAD Tax Parcel ID]],23)+1,7)),"")))</f>
        <v>R073362</v>
      </c>
      <c r="AS120" s="54">
        <f>IF(SP_AcqTract_DB[[#This Row],[WCAD Tax Parcel ID]]="",0,(LEN(SP_AcqTract_DB[[#This Row],[WCAD Tax Parcel ID]])-LEN(SUBSTITUTE(SP_AcqTract_DB[[#This Row],[WCAD Tax Parcel ID]],"#",""))+1)/2)</f>
        <v>1</v>
      </c>
      <c r="AT120" s="190">
        <f>IF(SP_AcqTract_DB[[#This Row],[WCAD Tax Parcel ID]]="",0,COUNTIF(SP_TaxPar_DB[Acquisition Tract No.],SP_AcqTract_DB[[#This Row],[Acquisition Tract No.]]))</f>
        <v>1</v>
      </c>
      <c r="AU120" s="189">
        <f>COUNTIF(ACQStatus_ACQTNo.,SP_AcqTract_DB[[#This Row],[Acquisition Tract No.]])</f>
        <v>1</v>
      </c>
    </row>
    <row r="121" spans="1:47" ht="19.5" customHeight="1" x14ac:dyDescent="0.2">
      <c r="A121" s="195" t="s">
        <v>5365</v>
      </c>
      <c r="B121" s="179" t="s">
        <v>5067</v>
      </c>
      <c r="C121" s="7" t="s">
        <v>2493</v>
      </c>
      <c r="D121" s="52" t="s">
        <v>1255</v>
      </c>
      <c r="E121" s="52" t="s">
        <v>5068</v>
      </c>
      <c r="F121" s="52" t="s">
        <v>6464</v>
      </c>
      <c r="G121" s="8" t="s">
        <v>6223</v>
      </c>
      <c r="H121" s="8" t="s">
        <v>5070</v>
      </c>
      <c r="I121" s="8" t="s">
        <v>5069</v>
      </c>
      <c r="J121" s="8" t="s">
        <v>5071</v>
      </c>
      <c r="K121" s="8" t="s">
        <v>1007</v>
      </c>
      <c r="L121" s="8" t="s">
        <v>5071</v>
      </c>
      <c r="M121" s="8" t="s">
        <v>5072</v>
      </c>
      <c r="N121" s="8"/>
      <c r="O121" s="57"/>
      <c r="P121" s="7"/>
      <c r="Q121" s="3"/>
      <c r="R121" s="16"/>
      <c r="S121" s="5">
        <v>0</v>
      </c>
      <c r="T121" s="4"/>
      <c r="U121" s="57"/>
      <c r="V121" s="8"/>
      <c r="W121" s="8"/>
      <c r="X121" s="8"/>
      <c r="Y121" s="8"/>
      <c r="Z121" s="8"/>
      <c r="AA121" s="7"/>
      <c r="AB121" s="7" t="s">
        <v>29</v>
      </c>
      <c r="AC121" s="8" t="s">
        <v>5366</v>
      </c>
      <c r="AD121" s="8" t="s">
        <v>4206</v>
      </c>
      <c r="AE121" s="26">
        <v>44008.317546296297</v>
      </c>
      <c r="AF121" s="8" t="s">
        <v>4205</v>
      </c>
      <c r="AG121" s="26">
        <v>43962.665960648148</v>
      </c>
      <c r="AH121" s="1"/>
      <c r="AI121" s="232">
        <v>76</v>
      </c>
      <c r="AJ121" s="232" t="s">
        <v>4939</v>
      </c>
      <c r="AK121" s="232" t="s">
        <v>3512</v>
      </c>
      <c r="AL121" s="232"/>
      <c r="AM121" s="232"/>
      <c r="AN121" s="232"/>
      <c r="AO121" s="233"/>
      <c r="AP121" s="230"/>
      <c r="AQ121" s="230"/>
      <c r="AR121" s="188" t="str">
        <f>IF(SP_AcqTract_DB[[#This Row],[Count '# in TaxID]]=1,LEFT(SP_AcqTract_DB[[#This Row],[WCAD Tax Parcel ID]],7),IF(SP_AcqTract_DB[[#This Row],[Count '# in TaxID]]=2,CONCATENATE(LEFT(SP_AcqTract_DB[[#This Row],[WCAD Tax Parcel ID]],7),";",MID(SP_AcqTract_DB[[#This Row],[WCAD Tax Parcel ID]],FIND("#",SP_AcqTract_DB[[#This Row],[WCAD Tax Parcel ID]],10)+1,7)),IF(SP_AcqTract_DB[[#This Row],[Count '# in TaxID]]&gt;2,CONCATENATE(LEFT(SP_AcqTract_DB[[#This Row],[WCAD Tax Parcel ID]],7),";",MID(SP_AcqTract_DB[[#This Row],[WCAD Tax Parcel ID]],FIND("#",SP_AcqTract_DB[[#This Row],[WCAD Tax Parcel ID]],10)+1,7),";",MID(SP_AcqTract_DB[[#This Row],[WCAD Tax Parcel ID]],FIND("#",SP_AcqTract_DB[[#This Row],[WCAD Tax Parcel ID]],23)+1,7)),"")))</f>
        <v>R020854</v>
      </c>
      <c r="AS121" s="54">
        <f>IF(SP_AcqTract_DB[[#This Row],[WCAD Tax Parcel ID]]="",0,(LEN(SP_AcqTract_DB[[#This Row],[WCAD Tax Parcel ID]])-LEN(SUBSTITUTE(SP_AcqTract_DB[[#This Row],[WCAD Tax Parcel ID]],"#",""))+1)/2)</f>
        <v>1</v>
      </c>
      <c r="AT121" s="190">
        <f>IF(SP_AcqTract_DB[[#This Row],[WCAD Tax Parcel ID]]="",0,COUNTIF(SP_TaxPar_DB[Acquisition Tract No.],SP_AcqTract_DB[[#This Row],[Acquisition Tract No.]]))</f>
        <v>1</v>
      </c>
      <c r="AU121" s="189">
        <f>COUNTIF(ACQStatus_ACQTNo.,SP_AcqTract_DB[[#This Row],[Acquisition Tract No.]])</f>
        <v>1</v>
      </c>
    </row>
    <row r="122" spans="1:47" ht="19.5" customHeight="1" x14ac:dyDescent="0.2">
      <c r="A122" s="195" t="s">
        <v>5367</v>
      </c>
      <c r="B122" s="179" t="s">
        <v>5073</v>
      </c>
      <c r="C122" s="7" t="s">
        <v>2493</v>
      </c>
      <c r="D122" s="52" t="s">
        <v>1255</v>
      </c>
      <c r="E122" s="52" t="s">
        <v>5068</v>
      </c>
      <c r="F122" s="52" t="s">
        <v>6464</v>
      </c>
      <c r="G122" s="8" t="s">
        <v>6224</v>
      </c>
      <c r="H122" s="8"/>
      <c r="I122" s="8" t="s">
        <v>5074</v>
      </c>
      <c r="J122" s="8" t="s">
        <v>5075</v>
      </c>
      <c r="K122" s="8" t="s">
        <v>5076</v>
      </c>
      <c r="L122" s="8" t="s">
        <v>5075</v>
      </c>
      <c r="M122" s="8"/>
      <c r="N122" s="8"/>
      <c r="O122" s="57"/>
      <c r="P122" s="7"/>
      <c r="Q122" s="3"/>
      <c r="R122" s="16"/>
      <c r="S122" s="5">
        <v>0</v>
      </c>
      <c r="T122" s="4"/>
      <c r="U122" s="57"/>
      <c r="V122" s="8"/>
      <c r="W122" s="8"/>
      <c r="X122" s="8"/>
      <c r="Y122" s="8"/>
      <c r="Z122" s="8"/>
      <c r="AA122" s="7"/>
      <c r="AB122" s="7" t="s">
        <v>29</v>
      </c>
      <c r="AC122" s="8" t="s">
        <v>5368</v>
      </c>
      <c r="AD122" s="8" t="s">
        <v>4206</v>
      </c>
      <c r="AE122" s="26">
        <v>44008.318773148145</v>
      </c>
      <c r="AF122" s="8" t="s">
        <v>4205</v>
      </c>
      <c r="AG122" s="26">
        <v>43962.710821759261</v>
      </c>
      <c r="AH122" s="1"/>
      <c r="AI122" s="232">
        <v>78</v>
      </c>
      <c r="AJ122" s="232" t="s">
        <v>4939</v>
      </c>
      <c r="AK122" s="232" t="s">
        <v>3512</v>
      </c>
      <c r="AL122" s="232"/>
      <c r="AM122" s="232"/>
      <c r="AN122" s="232"/>
      <c r="AO122" s="233"/>
      <c r="AP122" s="230"/>
      <c r="AQ122" s="230"/>
      <c r="AR122" s="188" t="str">
        <f>IF(SP_AcqTract_DB[[#This Row],[Count '# in TaxID]]=1,LEFT(SP_AcqTract_DB[[#This Row],[WCAD Tax Parcel ID]],7),IF(SP_AcqTract_DB[[#This Row],[Count '# in TaxID]]=2,CONCATENATE(LEFT(SP_AcqTract_DB[[#This Row],[WCAD Tax Parcel ID]],7),";",MID(SP_AcqTract_DB[[#This Row],[WCAD Tax Parcel ID]],FIND("#",SP_AcqTract_DB[[#This Row],[WCAD Tax Parcel ID]],10)+1,7)),IF(SP_AcqTract_DB[[#This Row],[Count '# in TaxID]]&gt;2,CONCATENATE(LEFT(SP_AcqTract_DB[[#This Row],[WCAD Tax Parcel ID]],7),";",MID(SP_AcqTract_DB[[#This Row],[WCAD Tax Parcel ID]],FIND("#",SP_AcqTract_DB[[#This Row],[WCAD Tax Parcel ID]],10)+1,7),";",MID(SP_AcqTract_DB[[#This Row],[WCAD Tax Parcel ID]],FIND("#",SP_AcqTract_DB[[#This Row],[WCAD Tax Parcel ID]],23)+1,7)),"")))</f>
        <v>R020855</v>
      </c>
      <c r="AS122" s="54">
        <f>IF(SP_AcqTract_DB[[#This Row],[WCAD Tax Parcel ID]]="",0,(LEN(SP_AcqTract_DB[[#This Row],[WCAD Tax Parcel ID]])-LEN(SUBSTITUTE(SP_AcqTract_DB[[#This Row],[WCAD Tax Parcel ID]],"#",""))+1)/2)</f>
        <v>1</v>
      </c>
      <c r="AT122" s="190">
        <f>IF(SP_AcqTract_DB[[#This Row],[WCAD Tax Parcel ID]]="",0,COUNTIF(SP_TaxPar_DB[Acquisition Tract No.],SP_AcqTract_DB[[#This Row],[Acquisition Tract No.]]))</f>
        <v>1</v>
      </c>
      <c r="AU122" s="189">
        <f>COUNTIF(ACQStatus_ACQTNo.,SP_AcqTract_DB[[#This Row],[Acquisition Tract No.]])</f>
        <v>1</v>
      </c>
    </row>
    <row r="123" spans="1:47" ht="19.5" customHeight="1" x14ac:dyDescent="0.2">
      <c r="A123" s="195" t="s">
        <v>5369</v>
      </c>
      <c r="B123" s="179" t="s">
        <v>5077</v>
      </c>
      <c r="C123" s="7" t="s">
        <v>2493</v>
      </c>
      <c r="D123" s="52" t="s">
        <v>1255</v>
      </c>
      <c r="E123" s="52" t="s">
        <v>5068</v>
      </c>
      <c r="F123" s="52" t="s">
        <v>1809</v>
      </c>
      <c r="G123" s="8" t="s">
        <v>6225</v>
      </c>
      <c r="H123" s="8"/>
      <c r="I123" s="8"/>
      <c r="J123" s="8" t="s">
        <v>5079</v>
      </c>
      <c r="K123" s="8" t="s">
        <v>5076</v>
      </c>
      <c r="L123" s="8" t="s">
        <v>5079</v>
      </c>
      <c r="M123" s="8"/>
      <c r="N123" s="8"/>
      <c r="O123" s="57"/>
      <c r="P123" s="7"/>
      <c r="Q123" s="3"/>
      <c r="R123" s="16"/>
      <c r="S123" s="5">
        <v>0</v>
      </c>
      <c r="T123" s="4"/>
      <c r="U123" s="57"/>
      <c r="V123" s="8"/>
      <c r="W123" s="8"/>
      <c r="X123" s="8"/>
      <c r="Y123" s="8"/>
      <c r="Z123" s="8"/>
      <c r="AA123" s="7"/>
      <c r="AB123" s="7" t="s">
        <v>29</v>
      </c>
      <c r="AC123" s="8" t="s">
        <v>5370</v>
      </c>
      <c r="AD123" s="8" t="s">
        <v>4206</v>
      </c>
      <c r="AE123" s="26">
        <v>43994.428657407407</v>
      </c>
      <c r="AF123" s="8" t="s">
        <v>4205</v>
      </c>
      <c r="AG123" s="26">
        <v>43962.713900462964</v>
      </c>
      <c r="AH123" s="1"/>
      <c r="AI123" s="232">
        <v>79</v>
      </c>
      <c r="AJ123" s="232" t="s">
        <v>4939</v>
      </c>
      <c r="AK123" s="232" t="s">
        <v>3512</v>
      </c>
      <c r="AL123" s="232"/>
      <c r="AM123" s="232"/>
      <c r="AN123" s="232"/>
      <c r="AO123" s="233"/>
      <c r="AP123" s="230"/>
      <c r="AQ123" s="230"/>
      <c r="AR123" s="188" t="str">
        <f>IF(SP_AcqTract_DB[[#This Row],[Count '# in TaxID]]=1,LEFT(SP_AcqTract_DB[[#This Row],[WCAD Tax Parcel ID]],7),IF(SP_AcqTract_DB[[#This Row],[Count '# in TaxID]]=2,CONCATENATE(LEFT(SP_AcqTract_DB[[#This Row],[WCAD Tax Parcel ID]],7),";",MID(SP_AcqTract_DB[[#This Row],[WCAD Tax Parcel ID]],FIND("#",SP_AcqTract_DB[[#This Row],[WCAD Tax Parcel ID]],10)+1,7)),IF(SP_AcqTract_DB[[#This Row],[Count '# in TaxID]]&gt;2,CONCATENATE(LEFT(SP_AcqTract_DB[[#This Row],[WCAD Tax Parcel ID]],7),";",MID(SP_AcqTract_DB[[#This Row],[WCAD Tax Parcel ID]],FIND("#",SP_AcqTract_DB[[#This Row],[WCAD Tax Parcel ID]],10)+1,7),";",MID(SP_AcqTract_DB[[#This Row],[WCAD Tax Parcel ID]],FIND("#",SP_AcqTract_DB[[#This Row],[WCAD Tax Parcel ID]],23)+1,7)),"")))</f>
        <v>R020856</v>
      </c>
      <c r="AS123" s="54">
        <f>IF(SP_AcqTract_DB[[#This Row],[WCAD Tax Parcel ID]]="",0,(LEN(SP_AcqTract_DB[[#This Row],[WCAD Tax Parcel ID]])-LEN(SUBSTITUTE(SP_AcqTract_DB[[#This Row],[WCAD Tax Parcel ID]],"#",""))+1)/2)</f>
        <v>1</v>
      </c>
      <c r="AT123" s="190">
        <f>IF(SP_AcqTract_DB[[#This Row],[WCAD Tax Parcel ID]]="",0,COUNTIF(SP_TaxPar_DB[Acquisition Tract No.],SP_AcqTract_DB[[#This Row],[Acquisition Tract No.]]))</f>
        <v>1</v>
      </c>
      <c r="AU123" s="189">
        <f>COUNTIF(ACQStatus_ACQTNo.,SP_AcqTract_DB[[#This Row],[Acquisition Tract No.]])</f>
        <v>1</v>
      </c>
    </row>
    <row r="124" spans="1:47" ht="19.5" customHeight="1" x14ac:dyDescent="0.2">
      <c r="A124" s="195" t="s">
        <v>5371</v>
      </c>
      <c r="B124" s="179" t="s">
        <v>5081</v>
      </c>
      <c r="C124" s="7" t="s">
        <v>2493</v>
      </c>
      <c r="D124" s="52" t="s">
        <v>1255</v>
      </c>
      <c r="E124" s="52" t="s">
        <v>5068</v>
      </c>
      <c r="F124" s="52"/>
      <c r="G124" s="8" t="s">
        <v>6226</v>
      </c>
      <c r="H124" s="8" t="s">
        <v>5082</v>
      </c>
      <c r="I124" s="8"/>
      <c r="J124" s="8" t="s">
        <v>5083</v>
      </c>
      <c r="K124" s="8" t="s">
        <v>5084</v>
      </c>
      <c r="L124" s="8" t="s">
        <v>79</v>
      </c>
      <c r="M124" s="8"/>
      <c r="N124" s="8"/>
      <c r="O124" s="57"/>
      <c r="P124" s="7"/>
      <c r="Q124" s="3"/>
      <c r="R124" s="16"/>
      <c r="S124" s="5">
        <v>0</v>
      </c>
      <c r="T124" s="4"/>
      <c r="U124" s="57"/>
      <c r="V124" s="8"/>
      <c r="W124" s="8"/>
      <c r="X124" s="8"/>
      <c r="Y124" s="8"/>
      <c r="Z124" s="8"/>
      <c r="AA124" s="7"/>
      <c r="AB124" s="7" t="s">
        <v>4343</v>
      </c>
      <c r="AC124" s="8" t="s">
        <v>5372</v>
      </c>
      <c r="AD124" s="8" t="s">
        <v>4206</v>
      </c>
      <c r="AE124" s="26">
        <v>43994.428657407407</v>
      </c>
      <c r="AF124" s="8" t="s">
        <v>4205</v>
      </c>
      <c r="AG124" s="26">
        <v>43962.717048611114</v>
      </c>
      <c r="AH124" s="1"/>
      <c r="AI124" s="232">
        <v>80</v>
      </c>
      <c r="AJ124" s="232" t="s">
        <v>4939</v>
      </c>
      <c r="AK124" s="232" t="s">
        <v>3512</v>
      </c>
      <c r="AL124" s="232"/>
      <c r="AM124" s="232"/>
      <c r="AN124" s="232"/>
      <c r="AO124" s="233"/>
      <c r="AP124" s="230"/>
      <c r="AQ124" s="230"/>
      <c r="AR124" s="188" t="str">
        <f>IF(SP_AcqTract_DB[[#This Row],[Count '# in TaxID]]=1,LEFT(SP_AcqTract_DB[[#This Row],[WCAD Tax Parcel ID]],7),IF(SP_AcqTract_DB[[#This Row],[Count '# in TaxID]]=2,CONCATENATE(LEFT(SP_AcqTract_DB[[#This Row],[WCAD Tax Parcel ID]],7),";",MID(SP_AcqTract_DB[[#This Row],[WCAD Tax Parcel ID]],FIND("#",SP_AcqTract_DB[[#This Row],[WCAD Tax Parcel ID]],10)+1,7)),IF(SP_AcqTract_DB[[#This Row],[Count '# in TaxID]]&gt;2,CONCATENATE(LEFT(SP_AcqTract_DB[[#This Row],[WCAD Tax Parcel ID]],7),";",MID(SP_AcqTract_DB[[#This Row],[WCAD Tax Parcel ID]],FIND("#",SP_AcqTract_DB[[#This Row],[WCAD Tax Parcel ID]],10)+1,7),";",MID(SP_AcqTract_DB[[#This Row],[WCAD Tax Parcel ID]],FIND("#",SP_AcqTract_DB[[#This Row],[WCAD Tax Parcel ID]],23)+1,7)),"")))</f>
        <v>R031201</v>
      </c>
      <c r="AS124" s="54">
        <f>IF(SP_AcqTract_DB[[#This Row],[WCAD Tax Parcel ID]]="",0,(LEN(SP_AcqTract_DB[[#This Row],[WCAD Tax Parcel ID]])-LEN(SUBSTITUTE(SP_AcqTract_DB[[#This Row],[WCAD Tax Parcel ID]],"#",""))+1)/2)</f>
        <v>1</v>
      </c>
      <c r="AT124" s="190">
        <f>IF(SP_AcqTract_DB[[#This Row],[WCAD Tax Parcel ID]]="",0,COUNTIF(SP_TaxPar_DB[Acquisition Tract No.],SP_AcqTract_DB[[#This Row],[Acquisition Tract No.]]))</f>
        <v>1</v>
      </c>
      <c r="AU124" s="189">
        <f>COUNTIF(ACQStatus_ACQTNo.,SP_AcqTract_DB[[#This Row],[Acquisition Tract No.]])</f>
        <v>1</v>
      </c>
    </row>
    <row r="125" spans="1:47" ht="19.5" customHeight="1" x14ac:dyDescent="0.2">
      <c r="A125" s="195" t="s">
        <v>5373</v>
      </c>
      <c r="B125" s="179" t="s">
        <v>5085</v>
      </c>
      <c r="C125" s="7" t="s">
        <v>2493</v>
      </c>
      <c r="D125" s="52" t="s">
        <v>1255</v>
      </c>
      <c r="E125" s="52" t="s">
        <v>5068</v>
      </c>
      <c r="F125" s="52"/>
      <c r="G125" s="8" t="s">
        <v>6226</v>
      </c>
      <c r="H125" s="8" t="s">
        <v>5082</v>
      </c>
      <c r="I125" s="8"/>
      <c r="J125" s="8" t="s">
        <v>5083</v>
      </c>
      <c r="K125" s="8" t="s">
        <v>5084</v>
      </c>
      <c r="L125" s="8" t="s">
        <v>5086</v>
      </c>
      <c r="M125" s="8"/>
      <c r="N125" s="8"/>
      <c r="O125" s="57"/>
      <c r="P125" s="7"/>
      <c r="Q125" s="3"/>
      <c r="R125" s="16"/>
      <c r="S125" s="5">
        <v>0</v>
      </c>
      <c r="T125" s="4"/>
      <c r="U125" s="57"/>
      <c r="V125" s="8"/>
      <c r="W125" s="8"/>
      <c r="X125" s="8"/>
      <c r="Y125" s="8"/>
      <c r="Z125" s="8"/>
      <c r="AA125" s="7"/>
      <c r="AB125" s="7" t="s">
        <v>4343</v>
      </c>
      <c r="AC125" s="8" t="s">
        <v>5374</v>
      </c>
      <c r="AD125" s="8" t="s">
        <v>4206</v>
      </c>
      <c r="AE125" s="26">
        <v>43994.428657407407</v>
      </c>
      <c r="AF125" s="8" t="s">
        <v>4205</v>
      </c>
      <c r="AG125" s="26">
        <v>43962.719907407409</v>
      </c>
      <c r="AH125" s="1"/>
      <c r="AI125" s="232">
        <v>81</v>
      </c>
      <c r="AJ125" s="232" t="s">
        <v>4939</v>
      </c>
      <c r="AK125" s="232" t="s">
        <v>3512</v>
      </c>
      <c r="AL125" s="232"/>
      <c r="AM125" s="232"/>
      <c r="AN125" s="232"/>
      <c r="AO125" s="233"/>
      <c r="AP125" s="230"/>
      <c r="AQ125" s="230"/>
      <c r="AR125" s="188" t="str">
        <f>IF(SP_AcqTract_DB[[#This Row],[Count '# in TaxID]]=1,LEFT(SP_AcqTract_DB[[#This Row],[WCAD Tax Parcel ID]],7),IF(SP_AcqTract_DB[[#This Row],[Count '# in TaxID]]=2,CONCATENATE(LEFT(SP_AcqTract_DB[[#This Row],[WCAD Tax Parcel ID]],7),";",MID(SP_AcqTract_DB[[#This Row],[WCAD Tax Parcel ID]],FIND("#",SP_AcqTract_DB[[#This Row],[WCAD Tax Parcel ID]],10)+1,7)),IF(SP_AcqTract_DB[[#This Row],[Count '# in TaxID]]&gt;2,CONCATENATE(LEFT(SP_AcqTract_DB[[#This Row],[WCAD Tax Parcel ID]],7),";",MID(SP_AcqTract_DB[[#This Row],[WCAD Tax Parcel ID]],FIND("#",SP_AcqTract_DB[[#This Row],[WCAD Tax Parcel ID]],10)+1,7),";",MID(SP_AcqTract_DB[[#This Row],[WCAD Tax Parcel ID]],FIND("#",SP_AcqTract_DB[[#This Row],[WCAD Tax Parcel ID]],23)+1,7)),"")))</f>
        <v>R032035</v>
      </c>
      <c r="AS125" s="54">
        <f>IF(SP_AcqTract_DB[[#This Row],[WCAD Tax Parcel ID]]="",0,(LEN(SP_AcqTract_DB[[#This Row],[WCAD Tax Parcel ID]])-LEN(SUBSTITUTE(SP_AcqTract_DB[[#This Row],[WCAD Tax Parcel ID]],"#",""))+1)/2)</f>
        <v>1</v>
      </c>
      <c r="AT125" s="190">
        <f>IF(SP_AcqTract_DB[[#This Row],[WCAD Tax Parcel ID]]="",0,COUNTIF(SP_TaxPar_DB[Acquisition Tract No.],SP_AcqTract_DB[[#This Row],[Acquisition Tract No.]]))</f>
        <v>1</v>
      </c>
      <c r="AU125" s="189">
        <f>COUNTIF(ACQStatus_ACQTNo.,SP_AcqTract_DB[[#This Row],[Acquisition Tract No.]])</f>
        <v>1</v>
      </c>
    </row>
    <row r="126" spans="1:47" ht="19.5" customHeight="1" x14ac:dyDescent="0.2">
      <c r="A126" s="195" t="s">
        <v>5375</v>
      </c>
      <c r="B126" s="179" t="s">
        <v>5087</v>
      </c>
      <c r="C126" s="7" t="s">
        <v>2493</v>
      </c>
      <c r="D126" s="52" t="s">
        <v>1255</v>
      </c>
      <c r="E126" s="52" t="s">
        <v>5068</v>
      </c>
      <c r="F126" s="52" t="s">
        <v>5654</v>
      </c>
      <c r="G126" s="8" t="s">
        <v>6227</v>
      </c>
      <c r="H126" s="8"/>
      <c r="I126" s="8"/>
      <c r="J126" s="8" t="s">
        <v>5088</v>
      </c>
      <c r="K126" s="8" t="s">
        <v>5076</v>
      </c>
      <c r="L126" s="8" t="s">
        <v>5088</v>
      </c>
      <c r="M126" s="8"/>
      <c r="N126" s="8"/>
      <c r="O126" s="57"/>
      <c r="P126" s="7"/>
      <c r="Q126" s="3"/>
      <c r="R126" s="16"/>
      <c r="S126" s="5">
        <v>0</v>
      </c>
      <c r="T126" s="4"/>
      <c r="U126" s="57"/>
      <c r="V126" s="8"/>
      <c r="W126" s="8"/>
      <c r="X126" s="8"/>
      <c r="Y126" s="8"/>
      <c r="Z126" s="8"/>
      <c r="AA126" s="7"/>
      <c r="AB126" s="7" t="s">
        <v>29</v>
      </c>
      <c r="AC126" s="8" t="s">
        <v>5376</v>
      </c>
      <c r="AD126" s="8" t="s">
        <v>4206</v>
      </c>
      <c r="AE126" s="26">
        <v>43994.428657407407</v>
      </c>
      <c r="AF126" s="8" t="s">
        <v>4205</v>
      </c>
      <c r="AG126" s="26">
        <v>43962.722349537034</v>
      </c>
      <c r="AH126" s="1"/>
      <c r="AI126" s="232">
        <v>82</v>
      </c>
      <c r="AJ126" s="232" t="s">
        <v>4939</v>
      </c>
      <c r="AK126" s="232" t="s">
        <v>3512</v>
      </c>
      <c r="AL126" s="232"/>
      <c r="AM126" s="232"/>
      <c r="AN126" s="232"/>
      <c r="AO126" s="233"/>
      <c r="AP126" s="230"/>
      <c r="AQ126" s="230"/>
      <c r="AR126" s="188" t="str">
        <f>IF(SP_AcqTract_DB[[#This Row],[Count '# in TaxID]]=1,LEFT(SP_AcqTract_DB[[#This Row],[WCAD Tax Parcel ID]],7),IF(SP_AcqTract_DB[[#This Row],[Count '# in TaxID]]=2,CONCATENATE(LEFT(SP_AcqTract_DB[[#This Row],[WCAD Tax Parcel ID]],7),";",MID(SP_AcqTract_DB[[#This Row],[WCAD Tax Parcel ID]],FIND("#",SP_AcqTract_DB[[#This Row],[WCAD Tax Parcel ID]],10)+1,7)),IF(SP_AcqTract_DB[[#This Row],[Count '# in TaxID]]&gt;2,CONCATENATE(LEFT(SP_AcqTract_DB[[#This Row],[WCAD Tax Parcel ID]],7),";",MID(SP_AcqTract_DB[[#This Row],[WCAD Tax Parcel ID]],FIND("#",SP_AcqTract_DB[[#This Row],[WCAD Tax Parcel ID]],10)+1,7),";",MID(SP_AcqTract_DB[[#This Row],[WCAD Tax Parcel ID]],FIND("#",SP_AcqTract_DB[[#This Row],[WCAD Tax Parcel ID]],23)+1,7)),"")))</f>
        <v>R032147</v>
      </c>
      <c r="AS126" s="54">
        <f>IF(SP_AcqTract_DB[[#This Row],[WCAD Tax Parcel ID]]="",0,(LEN(SP_AcqTract_DB[[#This Row],[WCAD Tax Parcel ID]])-LEN(SUBSTITUTE(SP_AcqTract_DB[[#This Row],[WCAD Tax Parcel ID]],"#",""))+1)/2)</f>
        <v>1</v>
      </c>
      <c r="AT126" s="190">
        <f>IF(SP_AcqTract_DB[[#This Row],[WCAD Tax Parcel ID]]="",0,COUNTIF(SP_TaxPar_DB[Acquisition Tract No.],SP_AcqTract_DB[[#This Row],[Acquisition Tract No.]]))</f>
        <v>1</v>
      </c>
      <c r="AU126" s="189">
        <f>COUNTIF(ACQStatus_ACQTNo.,SP_AcqTract_DB[[#This Row],[Acquisition Tract No.]])</f>
        <v>1</v>
      </c>
    </row>
    <row r="127" spans="1:47" ht="19.5" customHeight="1" x14ac:dyDescent="0.2">
      <c r="A127" s="195" t="s">
        <v>5377</v>
      </c>
      <c r="B127" s="179" t="s">
        <v>5089</v>
      </c>
      <c r="C127" s="7" t="s">
        <v>2493</v>
      </c>
      <c r="D127" s="52" t="s">
        <v>1255</v>
      </c>
      <c r="E127" s="52" t="s">
        <v>5068</v>
      </c>
      <c r="F127" s="52" t="s">
        <v>5654</v>
      </c>
      <c r="G127" s="8" t="s">
        <v>6228</v>
      </c>
      <c r="H127" s="8"/>
      <c r="I127" s="8"/>
      <c r="J127" s="8" t="s">
        <v>5091</v>
      </c>
      <c r="K127" s="8" t="s">
        <v>5076</v>
      </c>
      <c r="L127" s="8" t="s">
        <v>5091</v>
      </c>
      <c r="M127" s="8"/>
      <c r="N127" s="8"/>
      <c r="O127" s="57"/>
      <c r="P127" s="7"/>
      <c r="Q127" s="3"/>
      <c r="R127" s="16"/>
      <c r="S127" s="5">
        <v>0</v>
      </c>
      <c r="T127" s="4"/>
      <c r="U127" s="57"/>
      <c r="V127" s="8"/>
      <c r="W127" s="8"/>
      <c r="X127" s="8"/>
      <c r="Y127" s="8"/>
      <c r="Z127" s="8"/>
      <c r="AA127" s="7"/>
      <c r="AB127" s="7" t="s">
        <v>29</v>
      </c>
      <c r="AC127" s="8" t="s">
        <v>5378</v>
      </c>
      <c r="AD127" s="8" t="s">
        <v>4206</v>
      </c>
      <c r="AE127" s="26">
        <v>43994.428657407407</v>
      </c>
      <c r="AF127" s="8" t="s">
        <v>4205</v>
      </c>
      <c r="AG127" s="26">
        <v>43962.724745370368</v>
      </c>
      <c r="AH127" s="1"/>
      <c r="AI127" s="232">
        <v>83</v>
      </c>
      <c r="AJ127" s="232" t="s">
        <v>4939</v>
      </c>
      <c r="AK127" s="232" t="s">
        <v>3512</v>
      </c>
      <c r="AL127" s="232"/>
      <c r="AM127" s="232"/>
      <c r="AN127" s="232"/>
      <c r="AO127" s="233"/>
      <c r="AP127" s="230"/>
      <c r="AQ127" s="230"/>
      <c r="AR127" s="188" t="str">
        <f>IF(SP_AcqTract_DB[[#This Row],[Count '# in TaxID]]=1,LEFT(SP_AcqTract_DB[[#This Row],[WCAD Tax Parcel ID]],7),IF(SP_AcqTract_DB[[#This Row],[Count '# in TaxID]]=2,CONCATENATE(LEFT(SP_AcqTract_DB[[#This Row],[WCAD Tax Parcel ID]],7),";",MID(SP_AcqTract_DB[[#This Row],[WCAD Tax Parcel ID]],FIND("#",SP_AcqTract_DB[[#This Row],[WCAD Tax Parcel ID]],10)+1,7)),IF(SP_AcqTract_DB[[#This Row],[Count '# in TaxID]]&gt;2,CONCATENATE(LEFT(SP_AcqTract_DB[[#This Row],[WCAD Tax Parcel ID]],7),";",MID(SP_AcqTract_DB[[#This Row],[WCAD Tax Parcel ID]],FIND("#",SP_AcqTract_DB[[#This Row],[WCAD Tax Parcel ID]],10)+1,7),";",MID(SP_AcqTract_DB[[#This Row],[WCAD Tax Parcel ID]],FIND("#",SP_AcqTract_DB[[#This Row],[WCAD Tax Parcel ID]],23)+1,7)),"")))</f>
        <v>R032148</v>
      </c>
      <c r="AS127" s="54">
        <f>IF(SP_AcqTract_DB[[#This Row],[WCAD Tax Parcel ID]]="",0,(LEN(SP_AcqTract_DB[[#This Row],[WCAD Tax Parcel ID]])-LEN(SUBSTITUTE(SP_AcqTract_DB[[#This Row],[WCAD Tax Parcel ID]],"#",""))+1)/2)</f>
        <v>1</v>
      </c>
      <c r="AT127" s="190">
        <f>IF(SP_AcqTract_DB[[#This Row],[WCAD Tax Parcel ID]]="",0,COUNTIF(SP_TaxPar_DB[Acquisition Tract No.],SP_AcqTract_DB[[#This Row],[Acquisition Tract No.]]))</f>
        <v>1</v>
      </c>
      <c r="AU127" s="189">
        <f>COUNTIF(ACQStatus_ACQTNo.,SP_AcqTract_DB[[#This Row],[Acquisition Tract No.]])</f>
        <v>1</v>
      </c>
    </row>
    <row r="128" spans="1:47" ht="19.5" customHeight="1" x14ac:dyDescent="0.2">
      <c r="A128" s="195" t="s">
        <v>5379</v>
      </c>
      <c r="B128" s="179" t="s">
        <v>5092</v>
      </c>
      <c r="C128" s="7" t="s">
        <v>2493</v>
      </c>
      <c r="D128" s="52" t="s">
        <v>1255</v>
      </c>
      <c r="E128" s="52" t="s">
        <v>5068</v>
      </c>
      <c r="F128" s="52" t="s">
        <v>5654</v>
      </c>
      <c r="G128" s="8" t="s">
        <v>6229</v>
      </c>
      <c r="H128" s="8"/>
      <c r="I128" s="8"/>
      <c r="J128" s="8" t="s">
        <v>5094</v>
      </c>
      <c r="K128" s="8" t="s">
        <v>5076</v>
      </c>
      <c r="L128" s="8" t="s">
        <v>5094</v>
      </c>
      <c r="M128" s="8"/>
      <c r="N128" s="8"/>
      <c r="O128" s="57"/>
      <c r="P128" s="7"/>
      <c r="Q128" s="3"/>
      <c r="R128" s="16"/>
      <c r="S128" s="5">
        <v>0</v>
      </c>
      <c r="T128" s="4"/>
      <c r="U128" s="57"/>
      <c r="V128" s="8"/>
      <c r="W128" s="8"/>
      <c r="X128" s="8"/>
      <c r="Y128" s="8"/>
      <c r="Z128" s="8"/>
      <c r="AA128" s="7"/>
      <c r="AB128" s="7" t="s">
        <v>29</v>
      </c>
      <c r="AC128" s="8" t="s">
        <v>5380</v>
      </c>
      <c r="AD128" s="8" t="s">
        <v>4206</v>
      </c>
      <c r="AE128" s="26">
        <v>43994.428657407407</v>
      </c>
      <c r="AF128" s="8" t="s">
        <v>4205</v>
      </c>
      <c r="AG128" s="26">
        <v>43962.727430555555</v>
      </c>
      <c r="AH128" s="1"/>
      <c r="AI128" s="232">
        <v>84</v>
      </c>
      <c r="AJ128" s="232" t="s">
        <v>4939</v>
      </c>
      <c r="AK128" s="232" t="s">
        <v>3512</v>
      </c>
      <c r="AL128" s="232"/>
      <c r="AM128" s="232"/>
      <c r="AN128" s="232"/>
      <c r="AO128" s="233"/>
      <c r="AP128" s="230"/>
      <c r="AQ128" s="230"/>
      <c r="AR128" s="188" t="str">
        <f>IF(SP_AcqTract_DB[[#This Row],[Count '# in TaxID]]=1,LEFT(SP_AcqTract_DB[[#This Row],[WCAD Tax Parcel ID]],7),IF(SP_AcqTract_DB[[#This Row],[Count '# in TaxID]]=2,CONCATENATE(LEFT(SP_AcqTract_DB[[#This Row],[WCAD Tax Parcel ID]],7),";",MID(SP_AcqTract_DB[[#This Row],[WCAD Tax Parcel ID]],FIND("#",SP_AcqTract_DB[[#This Row],[WCAD Tax Parcel ID]],10)+1,7)),IF(SP_AcqTract_DB[[#This Row],[Count '# in TaxID]]&gt;2,CONCATENATE(LEFT(SP_AcqTract_DB[[#This Row],[WCAD Tax Parcel ID]],7),";",MID(SP_AcqTract_DB[[#This Row],[WCAD Tax Parcel ID]],FIND("#",SP_AcqTract_DB[[#This Row],[WCAD Tax Parcel ID]],10)+1,7),";",MID(SP_AcqTract_DB[[#This Row],[WCAD Tax Parcel ID]],FIND("#",SP_AcqTract_DB[[#This Row],[WCAD Tax Parcel ID]],23)+1,7)),"")))</f>
        <v>R032149</v>
      </c>
      <c r="AS128" s="54">
        <f>IF(SP_AcqTract_DB[[#This Row],[WCAD Tax Parcel ID]]="",0,(LEN(SP_AcqTract_DB[[#This Row],[WCAD Tax Parcel ID]])-LEN(SUBSTITUTE(SP_AcqTract_DB[[#This Row],[WCAD Tax Parcel ID]],"#",""))+1)/2)</f>
        <v>1</v>
      </c>
      <c r="AT128" s="190">
        <f>IF(SP_AcqTract_DB[[#This Row],[WCAD Tax Parcel ID]]="",0,COUNTIF(SP_TaxPar_DB[Acquisition Tract No.],SP_AcqTract_DB[[#This Row],[Acquisition Tract No.]]))</f>
        <v>1</v>
      </c>
      <c r="AU128" s="189">
        <f>COUNTIF(ACQStatus_ACQTNo.,SP_AcqTract_DB[[#This Row],[Acquisition Tract No.]])</f>
        <v>1</v>
      </c>
    </row>
    <row r="129" spans="1:47" ht="19.5" customHeight="1" x14ac:dyDescent="0.2">
      <c r="A129" s="195" t="s">
        <v>5381</v>
      </c>
      <c r="B129" s="179" t="s">
        <v>5095</v>
      </c>
      <c r="C129" s="7" t="s">
        <v>2493</v>
      </c>
      <c r="D129" s="52" t="s">
        <v>1255</v>
      </c>
      <c r="E129" s="52" t="s">
        <v>5068</v>
      </c>
      <c r="F129" s="52"/>
      <c r="G129" s="8" t="s">
        <v>6226</v>
      </c>
      <c r="H129" s="8"/>
      <c r="I129" s="8"/>
      <c r="J129" s="8" t="s">
        <v>5083</v>
      </c>
      <c r="K129" s="8" t="s">
        <v>5084</v>
      </c>
      <c r="L129" s="8" t="s">
        <v>5096</v>
      </c>
      <c r="M129" s="8"/>
      <c r="N129" s="8"/>
      <c r="O129" s="57"/>
      <c r="P129" s="7"/>
      <c r="Q129" s="3"/>
      <c r="R129" s="16"/>
      <c r="S129" s="5">
        <v>0</v>
      </c>
      <c r="T129" s="4"/>
      <c r="U129" s="57"/>
      <c r="V129" s="8"/>
      <c r="W129" s="8"/>
      <c r="X129" s="8"/>
      <c r="Y129" s="8"/>
      <c r="Z129" s="8"/>
      <c r="AA129" s="7"/>
      <c r="AB129" s="7" t="s">
        <v>4343</v>
      </c>
      <c r="AC129" s="8" t="s">
        <v>5382</v>
      </c>
      <c r="AD129" s="8" t="s">
        <v>4206</v>
      </c>
      <c r="AE129" s="26">
        <v>43994.428657407407</v>
      </c>
      <c r="AF129" s="8" t="s">
        <v>4205</v>
      </c>
      <c r="AG129" s="26">
        <v>43962.733912037038</v>
      </c>
      <c r="AH129" s="1"/>
      <c r="AI129" s="232">
        <v>85</v>
      </c>
      <c r="AJ129" s="232" t="s">
        <v>4939</v>
      </c>
      <c r="AK129" s="232" t="s">
        <v>3512</v>
      </c>
      <c r="AL129" s="232"/>
      <c r="AM129" s="232"/>
      <c r="AN129" s="232"/>
      <c r="AO129" s="233"/>
      <c r="AP129" s="230"/>
      <c r="AQ129" s="230"/>
      <c r="AR129" s="188" t="str">
        <f>IF(SP_AcqTract_DB[[#This Row],[Count '# in TaxID]]=1,LEFT(SP_AcqTract_DB[[#This Row],[WCAD Tax Parcel ID]],7),IF(SP_AcqTract_DB[[#This Row],[Count '# in TaxID]]=2,CONCATENATE(LEFT(SP_AcqTract_DB[[#This Row],[WCAD Tax Parcel ID]],7),";",MID(SP_AcqTract_DB[[#This Row],[WCAD Tax Parcel ID]],FIND("#",SP_AcqTract_DB[[#This Row],[WCAD Tax Parcel ID]],10)+1,7)),IF(SP_AcqTract_DB[[#This Row],[Count '# in TaxID]]&gt;2,CONCATENATE(LEFT(SP_AcqTract_DB[[#This Row],[WCAD Tax Parcel ID]],7),";",MID(SP_AcqTract_DB[[#This Row],[WCAD Tax Parcel ID]],FIND("#",SP_AcqTract_DB[[#This Row],[WCAD Tax Parcel ID]],10)+1,7),";",MID(SP_AcqTract_DB[[#This Row],[WCAD Tax Parcel ID]],FIND("#",SP_AcqTract_DB[[#This Row],[WCAD Tax Parcel ID]],23)+1,7)),"")))</f>
        <v>R058366</v>
      </c>
      <c r="AS129" s="54">
        <f>IF(SP_AcqTract_DB[[#This Row],[WCAD Tax Parcel ID]]="",0,(LEN(SP_AcqTract_DB[[#This Row],[WCAD Tax Parcel ID]])-LEN(SUBSTITUTE(SP_AcqTract_DB[[#This Row],[WCAD Tax Parcel ID]],"#",""))+1)/2)</f>
        <v>1</v>
      </c>
      <c r="AT129" s="190">
        <f>IF(SP_AcqTract_DB[[#This Row],[WCAD Tax Parcel ID]]="",0,COUNTIF(SP_TaxPar_DB[Acquisition Tract No.],SP_AcqTract_DB[[#This Row],[Acquisition Tract No.]]))</f>
        <v>1</v>
      </c>
      <c r="AU129" s="189">
        <f>COUNTIF(ACQStatus_ACQTNo.,SP_AcqTract_DB[[#This Row],[Acquisition Tract No.]])</f>
        <v>1</v>
      </c>
    </row>
    <row r="130" spans="1:47" ht="19.5" customHeight="1" x14ac:dyDescent="0.2">
      <c r="A130" s="195" t="s">
        <v>5383</v>
      </c>
      <c r="B130" s="179" t="s">
        <v>5844</v>
      </c>
      <c r="C130" s="7" t="s">
        <v>2493</v>
      </c>
      <c r="D130" s="52" t="s">
        <v>1255</v>
      </c>
      <c r="E130" s="52"/>
      <c r="F130" s="52"/>
      <c r="G130" s="8" t="s">
        <v>536</v>
      </c>
      <c r="H130" s="8"/>
      <c r="I130" s="8"/>
      <c r="J130" s="8"/>
      <c r="K130" s="8"/>
      <c r="L130" s="8" t="s">
        <v>79</v>
      </c>
      <c r="M130" s="8"/>
      <c r="N130" s="8"/>
      <c r="O130" s="57"/>
      <c r="P130" s="7"/>
      <c r="Q130" s="3"/>
      <c r="R130" s="16"/>
      <c r="S130" s="5">
        <v>0</v>
      </c>
      <c r="T130" s="4"/>
      <c r="U130" s="57"/>
      <c r="V130" s="8"/>
      <c r="W130" s="8"/>
      <c r="X130" s="8"/>
      <c r="Y130" s="8"/>
      <c r="Z130" s="8"/>
      <c r="AA130" s="7"/>
      <c r="AB130" s="7"/>
      <c r="AC130" s="8" t="s">
        <v>5384</v>
      </c>
      <c r="AD130" s="8" t="s">
        <v>4206</v>
      </c>
      <c r="AE130" s="26">
        <v>43994.428657407407</v>
      </c>
      <c r="AF130" s="8" t="s">
        <v>4206</v>
      </c>
      <c r="AG130" s="26">
        <v>43977.476967592593</v>
      </c>
      <c r="AH130" s="1"/>
      <c r="AI130" s="232">
        <v>142</v>
      </c>
      <c r="AJ130" s="232" t="s">
        <v>4939</v>
      </c>
      <c r="AK130" s="232" t="s">
        <v>3512</v>
      </c>
      <c r="AL130" s="232"/>
      <c r="AM130" s="232"/>
      <c r="AN130" s="232"/>
      <c r="AO130" s="233"/>
      <c r="AP130" s="230"/>
      <c r="AQ130" s="230"/>
      <c r="AR130" s="188" t="str">
        <f>IF(SP_AcqTract_DB[[#This Row],[Count '# in TaxID]]=1,LEFT(SP_AcqTract_DB[[#This Row],[WCAD Tax Parcel ID]],7),IF(SP_AcqTract_DB[[#This Row],[Count '# in TaxID]]=2,CONCATENATE(LEFT(SP_AcqTract_DB[[#This Row],[WCAD Tax Parcel ID]],7),";",MID(SP_AcqTract_DB[[#This Row],[WCAD Tax Parcel ID]],FIND("#",SP_AcqTract_DB[[#This Row],[WCAD Tax Parcel ID]],10)+1,7)),IF(SP_AcqTract_DB[[#This Row],[Count '# in TaxID]]&gt;2,CONCATENATE(LEFT(SP_AcqTract_DB[[#This Row],[WCAD Tax Parcel ID]],7),";",MID(SP_AcqTract_DB[[#This Row],[WCAD Tax Parcel ID]],FIND("#",SP_AcqTract_DB[[#This Row],[WCAD Tax Parcel ID]],10)+1,7),";",MID(SP_AcqTract_DB[[#This Row],[WCAD Tax Parcel ID]],FIND("#",SP_AcqTract_DB[[#This Row],[WCAD Tax Parcel ID]],23)+1,7)),"")))</f>
        <v>Ro68875</v>
      </c>
      <c r="AS130" s="54">
        <f>IF(SP_AcqTract_DB[[#This Row],[WCAD Tax Parcel ID]]="",0,(LEN(SP_AcqTract_DB[[#This Row],[WCAD Tax Parcel ID]])-LEN(SUBSTITUTE(SP_AcqTract_DB[[#This Row],[WCAD Tax Parcel ID]],"#",""))+1)/2)</f>
        <v>1</v>
      </c>
      <c r="AT130" s="190">
        <f>IF(SP_AcqTract_DB[[#This Row],[WCAD Tax Parcel ID]]="",0,COUNTIF(SP_TaxPar_DB[Acquisition Tract No.],SP_AcqTract_DB[[#This Row],[Acquisition Tract No.]]))</f>
        <v>1</v>
      </c>
      <c r="AU130" s="189">
        <f>COUNTIF(ACQStatus_ACQTNo.,SP_AcqTract_DB[[#This Row],[Acquisition Tract No.]])</f>
        <v>1</v>
      </c>
    </row>
    <row r="131" spans="1:47" ht="19.5" customHeight="1" x14ac:dyDescent="0.2">
      <c r="A131" s="195" t="s">
        <v>5710</v>
      </c>
      <c r="B131" s="179" t="s">
        <v>5711</v>
      </c>
      <c r="C131" s="7" t="s">
        <v>2493</v>
      </c>
      <c r="D131" s="52" t="s">
        <v>1255</v>
      </c>
      <c r="E131" s="52"/>
      <c r="F131" s="52"/>
      <c r="G131" s="8" t="s">
        <v>6230</v>
      </c>
      <c r="H131" s="8"/>
      <c r="I131" s="8"/>
      <c r="J131" s="8"/>
      <c r="K131" s="8"/>
      <c r="L131" s="8" t="s">
        <v>5713</v>
      </c>
      <c r="M131" s="8"/>
      <c r="N131" s="8"/>
      <c r="O131" s="57"/>
      <c r="P131" s="7"/>
      <c r="Q131" s="3"/>
      <c r="R131" s="16"/>
      <c r="S131" s="5">
        <v>0</v>
      </c>
      <c r="T131" s="4"/>
      <c r="U131" s="57"/>
      <c r="V131" s="8"/>
      <c r="W131" s="8"/>
      <c r="X131" s="8"/>
      <c r="Y131" s="8"/>
      <c r="Z131" s="8"/>
      <c r="AA131" s="7"/>
      <c r="AB131" s="7"/>
      <c r="AC131" s="8" t="s">
        <v>5714</v>
      </c>
      <c r="AD131" s="8" t="s">
        <v>4206</v>
      </c>
      <c r="AE131" s="26">
        <v>43994.428657407407</v>
      </c>
      <c r="AF131" s="8" t="s">
        <v>4206</v>
      </c>
      <c r="AG131" s="26">
        <v>43985.557013888887</v>
      </c>
      <c r="AH131" s="1"/>
      <c r="AI131" s="232">
        <v>147</v>
      </c>
      <c r="AJ131" s="232" t="s">
        <v>4939</v>
      </c>
      <c r="AK131" s="232" t="s">
        <v>3512</v>
      </c>
      <c r="AL131" s="232"/>
      <c r="AM131" s="232"/>
      <c r="AN131" s="232"/>
      <c r="AO131" s="233"/>
      <c r="AP131" s="230"/>
      <c r="AQ131" s="230"/>
      <c r="AR131" s="188" t="str">
        <f>IF(SP_AcqTract_DB[[#This Row],[Count '# in TaxID]]=1,LEFT(SP_AcqTract_DB[[#This Row],[WCAD Tax Parcel ID]],7),IF(SP_AcqTract_DB[[#This Row],[Count '# in TaxID]]=2,CONCATENATE(LEFT(SP_AcqTract_DB[[#This Row],[WCAD Tax Parcel ID]],7),";",MID(SP_AcqTract_DB[[#This Row],[WCAD Tax Parcel ID]],FIND("#",SP_AcqTract_DB[[#This Row],[WCAD Tax Parcel ID]],10)+1,7)),IF(SP_AcqTract_DB[[#This Row],[Count '# in TaxID]]&gt;2,CONCATENATE(LEFT(SP_AcqTract_DB[[#This Row],[WCAD Tax Parcel ID]],7),";",MID(SP_AcqTract_DB[[#This Row],[WCAD Tax Parcel ID]],FIND("#",SP_AcqTract_DB[[#This Row],[WCAD Tax Parcel ID]],10)+1,7),";",MID(SP_AcqTract_DB[[#This Row],[WCAD Tax Parcel ID]],FIND("#",SP_AcqTract_DB[[#This Row],[WCAD Tax Parcel ID]],23)+1,7)),"")))</f>
        <v>R068877</v>
      </c>
      <c r="AS131" s="54">
        <f>IF(SP_AcqTract_DB[[#This Row],[WCAD Tax Parcel ID]]="",0,(LEN(SP_AcqTract_DB[[#This Row],[WCAD Tax Parcel ID]])-LEN(SUBSTITUTE(SP_AcqTract_DB[[#This Row],[WCAD Tax Parcel ID]],"#",""))+1)/2)</f>
        <v>1</v>
      </c>
      <c r="AT131" s="190">
        <f>IF(SP_AcqTract_DB[[#This Row],[WCAD Tax Parcel ID]]="",0,COUNTIF(SP_TaxPar_DB[Acquisition Tract No.],SP_AcqTract_DB[[#This Row],[Acquisition Tract No.]]))</f>
        <v>1</v>
      </c>
      <c r="AU131" s="189">
        <f>COUNTIF(ACQStatus_ACQTNo.,SP_AcqTract_DB[[#This Row],[Acquisition Tract No.]])</f>
        <v>1</v>
      </c>
    </row>
    <row r="132" spans="1:47" ht="19.5" customHeight="1" x14ac:dyDescent="0.2">
      <c r="A132" s="195" t="s">
        <v>5715</v>
      </c>
      <c r="B132" s="179" t="s">
        <v>5716</v>
      </c>
      <c r="C132" s="7" t="s">
        <v>2493</v>
      </c>
      <c r="D132" s="52" t="s">
        <v>1255</v>
      </c>
      <c r="E132" s="52"/>
      <c r="F132" s="52"/>
      <c r="G132" s="8" t="s">
        <v>6158</v>
      </c>
      <c r="H132" s="8"/>
      <c r="I132" s="8"/>
      <c r="J132" s="8"/>
      <c r="K132" s="8"/>
      <c r="L132" s="8" t="s">
        <v>5718</v>
      </c>
      <c r="M132" s="8"/>
      <c r="N132" s="8"/>
      <c r="O132" s="57"/>
      <c r="P132" s="7"/>
      <c r="Q132" s="3"/>
      <c r="R132" s="16"/>
      <c r="S132" s="5">
        <v>0</v>
      </c>
      <c r="T132" s="4"/>
      <c r="U132" s="57"/>
      <c r="V132" s="8"/>
      <c r="W132" s="8"/>
      <c r="X132" s="8"/>
      <c r="Y132" s="8"/>
      <c r="Z132" s="8"/>
      <c r="AA132" s="7"/>
      <c r="AB132" s="7"/>
      <c r="AC132" s="8" t="s">
        <v>5719</v>
      </c>
      <c r="AD132" s="8" t="s">
        <v>4206</v>
      </c>
      <c r="AE132" s="26">
        <v>43994.428657407407</v>
      </c>
      <c r="AF132" s="8" t="s">
        <v>4206</v>
      </c>
      <c r="AG132" s="26">
        <v>43985.554861111108</v>
      </c>
      <c r="AH132" s="1"/>
      <c r="AI132" s="232">
        <v>144</v>
      </c>
      <c r="AJ132" s="232" t="s">
        <v>4939</v>
      </c>
      <c r="AK132" s="232" t="s">
        <v>3512</v>
      </c>
      <c r="AL132" s="232"/>
      <c r="AM132" s="232"/>
      <c r="AN132" s="232"/>
      <c r="AO132" s="233"/>
      <c r="AP132" s="230"/>
      <c r="AQ132" s="230"/>
      <c r="AR132" s="188" t="str">
        <f>IF(SP_AcqTract_DB[[#This Row],[Count '# in TaxID]]=1,LEFT(SP_AcqTract_DB[[#This Row],[WCAD Tax Parcel ID]],7),IF(SP_AcqTract_DB[[#This Row],[Count '# in TaxID]]=2,CONCATENATE(LEFT(SP_AcqTract_DB[[#This Row],[WCAD Tax Parcel ID]],7),";",MID(SP_AcqTract_DB[[#This Row],[WCAD Tax Parcel ID]],FIND("#",SP_AcqTract_DB[[#This Row],[WCAD Tax Parcel ID]],10)+1,7)),IF(SP_AcqTract_DB[[#This Row],[Count '# in TaxID]]&gt;2,CONCATENATE(LEFT(SP_AcqTract_DB[[#This Row],[WCAD Tax Parcel ID]],7),";",MID(SP_AcqTract_DB[[#This Row],[WCAD Tax Parcel ID]],FIND("#",SP_AcqTract_DB[[#This Row],[WCAD Tax Parcel ID]],10)+1,7),";",MID(SP_AcqTract_DB[[#This Row],[WCAD Tax Parcel ID]],FIND("#",SP_AcqTract_DB[[#This Row],[WCAD Tax Parcel ID]],23)+1,7)),"")))</f>
        <v>R020858</v>
      </c>
      <c r="AS132" s="54">
        <f>IF(SP_AcqTract_DB[[#This Row],[WCAD Tax Parcel ID]]="",0,(LEN(SP_AcqTract_DB[[#This Row],[WCAD Tax Parcel ID]])-LEN(SUBSTITUTE(SP_AcqTract_DB[[#This Row],[WCAD Tax Parcel ID]],"#",""))+1)/2)</f>
        <v>1</v>
      </c>
      <c r="AT132" s="190">
        <f>IF(SP_AcqTract_DB[[#This Row],[WCAD Tax Parcel ID]]="",0,COUNTIF(SP_TaxPar_DB[Acquisition Tract No.],SP_AcqTract_DB[[#This Row],[Acquisition Tract No.]]))</f>
        <v>1</v>
      </c>
      <c r="AU132" s="189">
        <f>COUNTIF(ACQStatus_ACQTNo.,SP_AcqTract_DB[[#This Row],[Acquisition Tract No.]])</f>
        <v>1</v>
      </c>
    </row>
    <row r="133" spans="1:47" ht="19.5" customHeight="1" x14ac:dyDescent="0.2">
      <c r="A133" s="195" t="s">
        <v>5536</v>
      </c>
      <c r="B133" s="179" t="s">
        <v>3288</v>
      </c>
      <c r="C133" s="7" t="s">
        <v>2493</v>
      </c>
      <c r="D133" s="52" t="s">
        <v>1255</v>
      </c>
      <c r="E133" s="52"/>
      <c r="F133" s="52"/>
      <c r="G133" s="8" t="s">
        <v>6211</v>
      </c>
      <c r="H133" s="8"/>
      <c r="I133" s="8"/>
      <c r="J133" s="8"/>
      <c r="K133" s="8"/>
      <c r="L133" s="8" t="s">
        <v>2522</v>
      </c>
      <c r="M133" s="8"/>
      <c r="N133" s="8"/>
      <c r="O133" s="57"/>
      <c r="P133" s="7"/>
      <c r="Q133" s="3"/>
      <c r="R133" s="16"/>
      <c r="S133" s="5">
        <v>0</v>
      </c>
      <c r="T133" s="4"/>
      <c r="U133" s="57"/>
      <c r="V133" s="8"/>
      <c r="W133" s="8"/>
      <c r="X133" s="8"/>
      <c r="Y133" s="8"/>
      <c r="Z133" s="8"/>
      <c r="AA133" s="7"/>
      <c r="AB133" s="7"/>
      <c r="AC133" s="8" t="s">
        <v>5646</v>
      </c>
      <c r="AD133" s="8" t="s">
        <v>4206</v>
      </c>
      <c r="AE133" s="26">
        <v>43994.428657407407</v>
      </c>
      <c r="AF133" s="8" t="s">
        <v>4206</v>
      </c>
      <c r="AG133" s="26">
        <v>43964.569513888891</v>
      </c>
      <c r="AH133" s="1"/>
      <c r="AI133" s="232">
        <v>110</v>
      </c>
      <c r="AJ133" s="232" t="s">
        <v>4939</v>
      </c>
      <c r="AK133" s="232" t="s">
        <v>3512</v>
      </c>
      <c r="AL133" s="232"/>
      <c r="AM133" s="232"/>
      <c r="AN133" s="232"/>
      <c r="AO133" s="233"/>
      <c r="AP133" s="230"/>
      <c r="AQ133" s="230"/>
      <c r="AR133" s="188" t="str">
        <f>IF(SP_AcqTract_DB[[#This Row],[Count '# in TaxID]]=1,LEFT(SP_AcqTract_DB[[#This Row],[WCAD Tax Parcel ID]],7),IF(SP_AcqTract_DB[[#This Row],[Count '# in TaxID]]=2,CONCATENATE(LEFT(SP_AcqTract_DB[[#This Row],[WCAD Tax Parcel ID]],7),";",MID(SP_AcqTract_DB[[#This Row],[WCAD Tax Parcel ID]],FIND("#",SP_AcqTract_DB[[#This Row],[WCAD Tax Parcel ID]],10)+1,7)),IF(SP_AcqTract_DB[[#This Row],[Count '# in TaxID]]&gt;2,CONCATENATE(LEFT(SP_AcqTract_DB[[#This Row],[WCAD Tax Parcel ID]],7),";",MID(SP_AcqTract_DB[[#This Row],[WCAD Tax Parcel ID]],FIND("#",SP_AcqTract_DB[[#This Row],[WCAD Tax Parcel ID]],10)+1,7),";",MID(SP_AcqTract_DB[[#This Row],[WCAD Tax Parcel ID]],FIND("#",SP_AcqTract_DB[[#This Row],[WCAD Tax Parcel ID]],23)+1,7)),"")))</f>
        <v>R052351</v>
      </c>
      <c r="AS133" s="54">
        <f>IF(SP_AcqTract_DB[[#This Row],[WCAD Tax Parcel ID]]="",0,(LEN(SP_AcqTract_DB[[#This Row],[WCAD Tax Parcel ID]])-LEN(SUBSTITUTE(SP_AcqTract_DB[[#This Row],[WCAD Tax Parcel ID]],"#",""))+1)/2)</f>
        <v>1</v>
      </c>
      <c r="AT133" s="190">
        <f>IF(SP_AcqTract_DB[[#This Row],[WCAD Tax Parcel ID]]="",0,COUNTIF(SP_TaxPar_DB[Acquisition Tract No.],SP_AcqTract_DB[[#This Row],[Acquisition Tract No.]]))</f>
        <v>1</v>
      </c>
      <c r="AU133" s="189">
        <f>COUNTIF(ACQStatus_ACQTNo.,SP_AcqTract_DB[[#This Row],[Acquisition Tract No.]])</f>
        <v>1</v>
      </c>
    </row>
    <row r="134" spans="1:47" ht="19.5" customHeight="1" x14ac:dyDescent="0.2">
      <c r="A134" s="195" t="s">
        <v>5720</v>
      </c>
      <c r="B134" s="179" t="s">
        <v>5721</v>
      </c>
      <c r="C134" s="7" t="s">
        <v>2493</v>
      </c>
      <c r="D134" s="52" t="s">
        <v>1255</v>
      </c>
      <c r="E134" s="52"/>
      <c r="F134" s="52"/>
      <c r="G134" s="8" t="s">
        <v>6158</v>
      </c>
      <c r="H134" s="8"/>
      <c r="I134" s="8"/>
      <c r="J134" s="8"/>
      <c r="K134" s="8"/>
      <c r="L134" s="8" t="s">
        <v>5722</v>
      </c>
      <c r="M134" s="8"/>
      <c r="N134" s="8"/>
      <c r="O134" s="57"/>
      <c r="P134" s="7"/>
      <c r="Q134" s="3"/>
      <c r="R134" s="16"/>
      <c r="S134" s="5">
        <v>0</v>
      </c>
      <c r="T134" s="4"/>
      <c r="U134" s="57"/>
      <c r="V134" s="8"/>
      <c r="W134" s="8"/>
      <c r="X134" s="8"/>
      <c r="Y134" s="8"/>
      <c r="Z134" s="8"/>
      <c r="AA134" s="7"/>
      <c r="AB134" s="7"/>
      <c r="AC134" s="8" t="s">
        <v>5723</v>
      </c>
      <c r="AD134" s="8" t="s">
        <v>4206</v>
      </c>
      <c r="AE134" s="26">
        <v>43994.428657407407</v>
      </c>
      <c r="AF134" s="8" t="s">
        <v>4206</v>
      </c>
      <c r="AG134" s="26">
        <v>43985.555648148147</v>
      </c>
      <c r="AH134" s="1"/>
      <c r="AI134" s="232">
        <v>145</v>
      </c>
      <c r="AJ134" s="232" t="s">
        <v>4939</v>
      </c>
      <c r="AK134" s="232" t="s">
        <v>3512</v>
      </c>
      <c r="AL134" s="232"/>
      <c r="AM134" s="232"/>
      <c r="AN134" s="232"/>
      <c r="AO134" s="233"/>
      <c r="AP134" s="230"/>
      <c r="AQ134" s="230"/>
      <c r="AR134" s="188" t="str">
        <f>IF(SP_AcqTract_DB[[#This Row],[Count '# in TaxID]]=1,LEFT(SP_AcqTract_DB[[#This Row],[WCAD Tax Parcel ID]],7),IF(SP_AcqTract_DB[[#This Row],[Count '# in TaxID]]=2,CONCATENATE(LEFT(SP_AcqTract_DB[[#This Row],[WCAD Tax Parcel ID]],7),";",MID(SP_AcqTract_DB[[#This Row],[WCAD Tax Parcel ID]],FIND("#",SP_AcqTract_DB[[#This Row],[WCAD Tax Parcel ID]],10)+1,7)),IF(SP_AcqTract_DB[[#This Row],[Count '# in TaxID]]&gt;2,CONCATENATE(LEFT(SP_AcqTract_DB[[#This Row],[WCAD Tax Parcel ID]],7),";",MID(SP_AcqTract_DB[[#This Row],[WCAD Tax Parcel ID]],FIND("#",SP_AcqTract_DB[[#This Row],[WCAD Tax Parcel ID]],10)+1,7),";",MID(SP_AcqTract_DB[[#This Row],[WCAD Tax Parcel ID]],FIND("#",SP_AcqTract_DB[[#This Row],[WCAD Tax Parcel ID]],23)+1,7)),"")))</f>
        <v>R062755</v>
      </c>
      <c r="AS134" s="54">
        <f>IF(SP_AcqTract_DB[[#This Row],[WCAD Tax Parcel ID]]="",0,(LEN(SP_AcqTract_DB[[#This Row],[WCAD Tax Parcel ID]])-LEN(SUBSTITUTE(SP_AcqTract_DB[[#This Row],[WCAD Tax Parcel ID]],"#",""))+1)/2)</f>
        <v>1</v>
      </c>
      <c r="AT134" s="190">
        <f>IF(SP_AcqTract_DB[[#This Row],[WCAD Tax Parcel ID]]="",0,COUNTIF(SP_TaxPar_DB[Acquisition Tract No.],SP_AcqTract_DB[[#This Row],[Acquisition Tract No.]]))</f>
        <v>1</v>
      </c>
      <c r="AU134" s="189">
        <f>COUNTIF(ACQStatus_ACQTNo.,SP_AcqTract_DB[[#This Row],[Acquisition Tract No.]])</f>
        <v>1</v>
      </c>
    </row>
    <row r="135" spans="1:47" ht="19.5" customHeight="1" x14ac:dyDescent="0.2">
      <c r="A135" s="195" t="s">
        <v>5385</v>
      </c>
      <c r="B135" s="179" t="s">
        <v>2938</v>
      </c>
      <c r="C135" s="7" t="s">
        <v>2493</v>
      </c>
      <c r="D135" s="52" t="s">
        <v>1255</v>
      </c>
      <c r="E135" s="52"/>
      <c r="F135" s="52"/>
      <c r="G135" s="8" t="s">
        <v>6231</v>
      </c>
      <c r="H135" s="8"/>
      <c r="I135" s="8"/>
      <c r="J135" s="8"/>
      <c r="K135" s="8"/>
      <c r="L135" s="8" t="s">
        <v>2074</v>
      </c>
      <c r="M135" s="8"/>
      <c r="N135" s="8"/>
      <c r="O135" s="57"/>
      <c r="P135" s="7"/>
      <c r="Q135" s="3"/>
      <c r="R135" s="16"/>
      <c r="S135" s="5">
        <v>0</v>
      </c>
      <c r="T135" s="4"/>
      <c r="U135" s="57"/>
      <c r="V135" s="8"/>
      <c r="W135" s="8"/>
      <c r="X135" s="8"/>
      <c r="Y135" s="8"/>
      <c r="Z135" s="8"/>
      <c r="AA135" s="7"/>
      <c r="AB135" s="7"/>
      <c r="AC135" s="8" t="s">
        <v>5386</v>
      </c>
      <c r="AD135" s="8" t="s">
        <v>4206</v>
      </c>
      <c r="AE135" s="26">
        <v>43994.428657407407</v>
      </c>
      <c r="AF135" s="8" t="s">
        <v>4206</v>
      </c>
      <c r="AG135" s="26">
        <v>43977.472673611112</v>
      </c>
      <c r="AH135" s="1"/>
      <c r="AI135" s="232">
        <v>132</v>
      </c>
      <c r="AJ135" s="232" t="s">
        <v>4939</v>
      </c>
      <c r="AK135" s="232" t="s">
        <v>3512</v>
      </c>
      <c r="AL135" s="232"/>
      <c r="AM135" s="232"/>
      <c r="AN135" s="232"/>
      <c r="AO135" s="233"/>
      <c r="AP135" s="230"/>
      <c r="AQ135" s="230"/>
      <c r="AR135" s="188" t="str">
        <f>IF(SP_AcqTract_DB[[#This Row],[Count '# in TaxID]]=1,LEFT(SP_AcqTract_DB[[#This Row],[WCAD Tax Parcel ID]],7),IF(SP_AcqTract_DB[[#This Row],[Count '# in TaxID]]=2,CONCATENATE(LEFT(SP_AcqTract_DB[[#This Row],[WCAD Tax Parcel ID]],7),";",MID(SP_AcqTract_DB[[#This Row],[WCAD Tax Parcel ID]],FIND("#",SP_AcqTract_DB[[#This Row],[WCAD Tax Parcel ID]],10)+1,7)),IF(SP_AcqTract_DB[[#This Row],[Count '# in TaxID]]&gt;2,CONCATENATE(LEFT(SP_AcqTract_DB[[#This Row],[WCAD Tax Parcel ID]],7),";",MID(SP_AcqTract_DB[[#This Row],[WCAD Tax Parcel ID]],FIND("#",SP_AcqTract_DB[[#This Row],[WCAD Tax Parcel ID]],10)+1,7),";",MID(SP_AcqTract_DB[[#This Row],[WCAD Tax Parcel ID]],FIND("#",SP_AcqTract_DB[[#This Row],[WCAD Tax Parcel ID]],23)+1,7)),"")))</f>
        <v>R018699</v>
      </c>
      <c r="AS135" s="54">
        <f>IF(SP_AcqTract_DB[[#This Row],[WCAD Tax Parcel ID]]="",0,(LEN(SP_AcqTract_DB[[#This Row],[WCAD Tax Parcel ID]])-LEN(SUBSTITUTE(SP_AcqTract_DB[[#This Row],[WCAD Tax Parcel ID]],"#",""))+1)/2)</f>
        <v>1</v>
      </c>
      <c r="AT135" s="190">
        <f>IF(SP_AcqTract_DB[[#This Row],[WCAD Tax Parcel ID]]="",0,COUNTIF(SP_TaxPar_DB[Acquisition Tract No.],SP_AcqTract_DB[[#This Row],[Acquisition Tract No.]]))</f>
        <v>1</v>
      </c>
      <c r="AU135" s="189">
        <f>COUNTIF(ACQStatus_ACQTNo.,SP_AcqTract_DB[[#This Row],[Acquisition Tract No.]])</f>
        <v>1</v>
      </c>
    </row>
    <row r="136" spans="1:47" ht="19.5" customHeight="1" x14ac:dyDescent="0.2">
      <c r="A136" s="195" t="s">
        <v>5724</v>
      </c>
      <c r="B136" s="179" t="s">
        <v>5725</v>
      </c>
      <c r="C136" s="7" t="s">
        <v>2493</v>
      </c>
      <c r="D136" s="52" t="s">
        <v>1255</v>
      </c>
      <c r="E136" s="52"/>
      <c r="F136" s="52"/>
      <c r="G136" s="8" t="s">
        <v>6158</v>
      </c>
      <c r="H136" s="8"/>
      <c r="I136" s="8"/>
      <c r="J136" s="8"/>
      <c r="K136" s="8"/>
      <c r="L136" s="8" t="s">
        <v>5726</v>
      </c>
      <c r="M136" s="8"/>
      <c r="N136" s="8"/>
      <c r="O136" s="57"/>
      <c r="P136" s="7"/>
      <c r="Q136" s="3"/>
      <c r="R136" s="16"/>
      <c r="S136" s="5">
        <v>0</v>
      </c>
      <c r="T136" s="4"/>
      <c r="U136" s="57"/>
      <c r="V136" s="8"/>
      <c r="W136" s="8"/>
      <c r="X136" s="8"/>
      <c r="Y136" s="8"/>
      <c r="Z136" s="8"/>
      <c r="AA136" s="7"/>
      <c r="AB136" s="7"/>
      <c r="AC136" s="8" t="s">
        <v>5727</v>
      </c>
      <c r="AD136" s="8" t="s">
        <v>4206</v>
      </c>
      <c r="AE136" s="26">
        <v>43994.428657407407</v>
      </c>
      <c r="AF136" s="8" t="s">
        <v>4206</v>
      </c>
      <c r="AG136" s="26">
        <v>43985.556319444448</v>
      </c>
      <c r="AH136" s="1"/>
      <c r="AI136" s="232">
        <v>146</v>
      </c>
      <c r="AJ136" s="232" t="s">
        <v>4939</v>
      </c>
      <c r="AK136" s="232" t="s">
        <v>3512</v>
      </c>
      <c r="AL136" s="232"/>
      <c r="AM136" s="232"/>
      <c r="AN136" s="232"/>
      <c r="AO136" s="233"/>
      <c r="AP136" s="230"/>
      <c r="AQ136" s="230"/>
      <c r="AR136" s="188" t="str">
        <f>IF(SP_AcqTract_DB[[#This Row],[Count '# in TaxID]]=1,LEFT(SP_AcqTract_DB[[#This Row],[WCAD Tax Parcel ID]],7),IF(SP_AcqTract_DB[[#This Row],[Count '# in TaxID]]=2,CONCATENATE(LEFT(SP_AcqTract_DB[[#This Row],[WCAD Tax Parcel ID]],7),";",MID(SP_AcqTract_DB[[#This Row],[WCAD Tax Parcel ID]],FIND("#",SP_AcqTract_DB[[#This Row],[WCAD Tax Parcel ID]],10)+1,7)),IF(SP_AcqTract_DB[[#This Row],[Count '# in TaxID]]&gt;2,CONCATENATE(LEFT(SP_AcqTract_DB[[#This Row],[WCAD Tax Parcel ID]],7),";",MID(SP_AcqTract_DB[[#This Row],[WCAD Tax Parcel ID]],FIND("#",SP_AcqTract_DB[[#This Row],[WCAD Tax Parcel ID]],10)+1,7),";",MID(SP_AcqTract_DB[[#This Row],[WCAD Tax Parcel ID]],FIND("#",SP_AcqTract_DB[[#This Row],[WCAD Tax Parcel ID]],23)+1,7)),"")))</f>
        <v>R062995</v>
      </c>
      <c r="AS136" s="54">
        <f>IF(SP_AcqTract_DB[[#This Row],[WCAD Tax Parcel ID]]="",0,(LEN(SP_AcqTract_DB[[#This Row],[WCAD Tax Parcel ID]])-LEN(SUBSTITUTE(SP_AcqTract_DB[[#This Row],[WCAD Tax Parcel ID]],"#",""))+1)/2)</f>
        <v>1</v>
      </c>
      <c r="AT136" s="190">
        <f>IF(SP_AcqTract_DB[[#This Row],[WCAD Tax Parcel ID]]="",0,COUNTIF(SP_TaxPar_DB[Acquisition Tract No.],SP_AcqTract_DB[[#This Row],[Acquisition Tract No.]]))</f>
        <v>1</v>
      </c>
      <c r="AU136" s="189">
        <f>COUNTIF(ACQStatus_ACQTNo.,SP_AcqTract_DB[[#This Row],[Acquisition Tract No.]])</f>
        <v>1</v>
      </c>
    </row>
    <row r="137" spans="1:47" ht="19.5" customHeight="1" x14ac:dyDescent="0.2">
      <c r="A137" s="195" t="s">
        <v>5257</v>
      </c>
      <c r="B137" s="179" t="s">
        <v>595</v>
      </c>
      <c r="C137" s="7" t="s">
        <v>2493</v>
      </c>
      <c r="D137" s="52" t="s">
        <v>1255</v>
      </c>
      <c r="E137" s="52"/>
      <c r="F137" s="52" t="s">
        <v>5654</v>
      </c>
      <c r="G137" s="8" t="s">
        <v>6129</v>
      </c>
      <c r="H137" s="8"/>
      <c r="I137" s="8"/>
      <c r="J137" s="8"/>
      <c r="K137" s="8"/>
      <c r="L137" s="8" t="s">
        <v>433</v>
      </c>
      <c r="M137" s="8"/>
      <c r="N137" s="8"/>
      <c r="O137" s="57"/>
      <c r="P137" s="7"/>
      <c r="Q137" s="3"/>
      <c r="R137" s="16"/>
      <c r="S137" s="5">
        <v>0</v>
      </c>
      <c r="T137" s="4"/>
      <c r="U137" s="57"/>
      <c r="V137" s="8"/>
      <c r="W137" s="8"/>
      <c r="X137" s="8"/>
      <c r="Y137" s="8"/>
      <c r="Z137" s="8"/>
      <c r="AA137" s="7"/>
      <c r="AB137" s="7"/>
      <c r="AC137" s="8" t="s">
        <v>5387</v>
      </c>
      <c r="AD137" s="8" t="s">
        <v>4206</v>
      </c>
      <c r="AE137" s="26">
        <v>43994.428668981483</v>
      </c>
      <c r="AF137" s="8" t="s">
        <v>4206</v>
      </c>
      <c r="AG137" s="26">
        <v>43964.516076388885</v>
      </c>
      <c r="AH137" s="1"/>
      <c r="AI137" s="232">
        <v>99</v>
      </c>
      <c r="AJ137" s="232" t="s">
        <v>4939</v>
      </c>
      <c r="AK137" s="232" t="s">
        <v>3512</v>
      </c>
      <c r="AL137" s="232"/>
      <c r="AM137" s="232"/>
      <c r="AN137" s="232"/>
      <c r="AO137" s="233"/>
      <c r="AP137" s="230"/>
      <c r="AQ137" s="230"/>
      <c r="AR137" s="188" t="str">
        <f>IF(SP_AcqTract_DB[[#This Row],[Count '# in TaxID]]=1,LEFT(SP_AcqTract_DB[[#This Row],[WCAD Tax Parcel ID]],7),IF(SP_AcqTract_DB[[#This Row],[Count '# in TaxID]]=2,CONCATENATE(LEFT(SP_AcqTract_DB[[#This Row],[WCAD Tax Parcel ID]],7),";",MID(SP_AcqTract_DB[[#This Row],[WCAD Tax Parcel ID]],FIND("#",SP_AcqTract_DB[[#This Row],[WCAD Tax Parcel ID]],10)+1,7)),IF(SP_AcqTract_DB[[#This Row],[Count '# in TaxID]]&gt;2,CONCATENATE(LEFT(SP_AcqTract_DB[[#This Row],[WCAD Tax Parcel ID]],7),";",MID(SP_AcqTract_DB[[#This Row],[WCAD Tax Parcel ID]],FIND("#",SP_AcqTract_DB[[#This Row],[WCAD Tax Parcel ID]],10)+1,7),";",MID(SP_AcqTract_DB[[#This Row],[WCAD Tax Parcel ID]],FIND("#",SP_AcqTract_DB[[#This Row],[WCAD Tax Parcel ID]],23)+1,7)),"")))</f>
        <v>R027667</v>
      </c>
      <c r="AS137" s="54">
        <f>IF(SP_AcqTract_DB[[#This Row],[WCAD Tax Parcel ID]]="",0,(LEN(SP_AcqTract_DB[[#This Row],[WCAD Tax Parcel ID]])-LEN(SUBSTITUTE(SP_AcqTract_DB[[#This Row],[WCAD Tax Parcel ID]],"#",""))+1)/2)</f>
        <v>1</v>
      </c>
      <c r="AT137" s="190">
        <f>IF(SP_AcqTract_DB[[#This Row],[WCAD Tax Parcel ID]]="",0,COUNTIF(SP_TaxPar_DB[Acquisition Tract No.],SP_AcqTract_DB[[#This Row],[Acquisition Tract No.]]))</f>
        <v>1</v>
      </c>
      <c r="AU137" s="189">
        <f>COUNTIF(ACQStatus_ACQTNo.,SP_AcqTract_DB[[#This Row],[Acquisition Tract No.]])</f>
        <v>1</v>
      </c>
    </row>
    <row r="138" spans="1:47" ht="19.5" customHeight="1" x14ac:dyDescent="0.2">
      <c r="A138" s="195" t="s">
        <v>5388</v>
      </c>
      <c r="B138" s="179" t="s">
        <v>5845</v>
      </c>
      <c r="C138" s="7" t="s">
        <v>2493</v>
      </c>
      <c r="D138" s="52" t="s">
        <v>1255</v>
      </c>
      <c r="E138" s="52"/>
      <c r="F138" s="52"/>
      <c r="G138" s="8" t="s">
        <v>536</v>
      </c>
      <c r="H138" s="8"/>
      <c r="I138" s="8"/>
      <c r="J138" s="8"/>
      <c r="K138" s="8"/>
      <c r="L138" s="8" t="s">
        <v>79</v>
      </c>
      <c r="M138" s="8"/>
      <c r="N138" s="8"/>
      <c r="O138" s="57"/>
      <c r="P138" s="7"/>
      <c r="Q138" s="3"/>
      <c r="R138" s="16"/>
      <c r="S138" s="5">
        <v>0</v>
      </c>
      <c r="T138" s="4"/>
      <c r="U138" s="57"/>
      <c r="V138" s="8"/>
      <c r="W138" s="8"/>
      <c r="X138" s="8"/>
      <c r="Y138" s="8"/>
      <c r="Z138" s="8"/>
      <c r="AA138" s="7"/>
      <c r="AB138" s="7"/>
      <c r="AC138" s="8" t="s">
        <v>5389</v>
      </c>
      <c r="AD138" s="8" t="s">
        <v>4206</v>
      </c>
      <c r="AE138" s="26">
        <v>43994.428668981483</v>
      </c>
      <c r="AF138" s="8" t="s">
        <v>4206</v>
      </c>
      <c r="AG138" s="26">
        <v>43964.572743055556</v>
      </c>
      <c r="AH138" s="1"/>
      <c r="AI138" s="232">
        <v>118</v>
      </c>
      <c r="AJ138" s="232" t="s">
        <v>4939</v>
      </c>
      <c r="AK138" s="232" t="s">
        <v>3512</v>
      </c>
      <c r="AL138" s="232"/>
      <c r="AM138" s="232"/>
      <c r="AN138" s="232"/>
      <c r="AO138" s="233"/>
      <c r="AP138" s="230"/>
      <c r="AQ138" s="230"/>
      <c r="AR138" s="188" t="str">
        <f>IF(SP_AcqTract_DB[[#This Row],[Count '# in TaxID]]=1,LEFT(SP_AcqTract_DB[[#This Row],[WCAD Tax Parcel ID]],7),IF(SP_AcqTract_DB[[#This Row],[Count '# in TaxID]]=2,CONCATENATE(LEFT(SP_AcqTract_DB[[#This Row],[WCAD Tax Parcel ID]],7),";",MID(SP_AcqTract_DB[[#This Row],[WCAD Tax Parcel ID]],FIND("#",SP_AcqTract_DB[[#This Row],[WCAD Tax Parcel ID]],10)+1,7)),IF(SP_AcqTract_DB[[#This Row],[Count '# in TaxID]]&gt;2,CONCATENATE(LEFT(SP_AcqTract_DB[[#This Row],[WCAD Tax Parcel ID]],7),";",MID(SP_AcqTract_DB[[#This Row],[WCAD Tax Parcel ID]],FIND("#",SP_AcqTract_DB[[#This Row],[WCAD Tax Parcel ID]],10)+1,7),";",MID(SP_AcqTract_DB[[#This Row],[WCAD Tax Parcel ID]],FIND("#",SP_AcqTract_DB[[#This Row],[WCAD Tax Parcel ID]],23)+1,7)),"")))</f>
        <v>Ro68876</v>
      </c>
      <c r="AS138" s="54">
        <f>IF(SP_AcqTract_DB[[#This Row],[WCAD Tax Parcel ID]]="",0,(LEN(SP_AcqTract_DB[[#This Row],[WCAD Tax Parcel ID]])-LEN(SUBSTITUTE(SP_AcqTract_DB[[#This Row],[WCAD Tax Parcel ID]],"#",""))+1)/2)</f>
        <v>1</v>
      </c>
      <c r="AT138" s="190">
        <f>IF(SP_AcqTract_DB[[#This Row],[WCAD Tax Parcel ID]]="",0,COUNTIF(SP_TaxPar_DB[Acquisition Tract No.],SP_AcqTract_DB[[#This Row],[Acquisition Tract No.]]))</f>
        <v>1</v>
      </c>
      <c r="AU138" s="189">
        <f>COUNTIF(ACQStatus_ACQTNo.,SP_AcqTract_DB[[#This Row],[Acquisition Tract No.]])</f>
        <v>1</v>
      </c>
    </row>
    <row r="139" spans="1:47" ht="19.5" customHeight="1" x14ac:dyDescent="0.2">
      <c r="A139" s="195" t="s">
        <v>5258</v>
      </c>
      <c r="B139" s="179" t="s">
        <v>601</v>
      </c>
      <c r="C139" s="7" t="s">
        <v>2493</v>
      </c>
      <c r="D139" s="52" t="s">
        <v>1255</v>
      </c>
      <c r="E139" s="52"/>
      <c r="F139" s="52" t="s">
        <v>5654</v>
      </c>
      <c r="G139" s="8" t="s">
        <v>6232</v>
      </c>
      <c r="H139" s="8"/>
      <c r="I139" s="8" t="s">
        <v>5754</v>
      </c>
      <c r="J139" s="8" t="s">
        <v>5755</v>
      </c>
      <c r="K139" s="8" t="s">
        <v>5756</v>
      </c>
      <c r="L139" s="8" t="s">
        <v>433</v>
      </c>
      <c r="M139" s="8"/>
      <c r="N139" s="8"/>
      <c r="O139" s="57"/>
      <c r="P139" s="7"/>
      <c r="Q139" s="3"/>
      <c r="R139" s="16"/>
      <c r="S139" s="5">
        <v>0</v>
      </c>
      <c r="T139" s="4"/>
      <c r="U139" s="57"/>
      <c r="V139" s="8"/>
      <c r="W139" s="8"/>
      <c r="X139" s="8"/>
      <c r="Y139" s="8"/>
      <c r="Z139" s="8"/>
      <c r="AA139" s="7"/>
      <c r="AB139" s="7" t="s">
        <v>4343</v>
      </c>
      <c r="AC139" s="8" t="s">
        <v>5390</v>
      </c>
      <c r="AD139" s="8" t="s">
        <v>4206</v>
      </c>
      <c r="AE139" s="26">
        <v>43994.428668981483</v>
      </c>
      <c r="AF139" s="8" t="s">
        <v>4206</v>
      </c>
      <c r="AG139" s="26">
        <v>43964.573761574073</v>
      </c>
      <c r="AH139" s="1"/>
      <c r="AI139" s="232">
        <v>121</v>
      </c>
      <c r="AJ139" s="232" t="s">
        <v>4939</v>
      </c>
      <c r="AK139" s="232" t="s">
        <v>3512</v>
      </c>
      <c r="AL139" s="232"/>
      <c r="AM139" s="232"/>
      <c r="AN139" s="232"/>
      <c r="AO139" s="233"/>
      <c r="AP139" s="230"/>
      <c r="AQ139" s="230"/>
      <c r="AR139" s="188" t="str">
        <f>IF(SP_AcqTract_DB[[#This Row],[Count '# in TaxID]]=1,LEFT(SP_AcqTract_DB[[#This Row],[WCAD Tax Parcel ID]],7),IF(SP_AcqTract_DB[[#This Row],[Count '# in TaxID]]=2,CONCATENATE(LEFT(SP_AcqTract_DB[[#This Row],[WCAD Tax Parcel ID]],7),";",MID(SP_AcqTract_DB[[#This Row],[WCAD Tax Parcel ID]],FIND("#",SP_AcqTract_DB[[#This Row],[WCAD Tax Parcel ID]],10)+1,7)),IF(SP_AcqTract_DB[[#This Row],[Count '# in TaxID]]&gt;2,CONCATENATE(LEFT(SP_AcqTract_DB[[#This Row],[WCAD Tax Parcel ID]],7),";",MID(SP_AcqTract_DB[[#This Row],[WCAD Tax Parcel ID]],FIND("#",SP_AcqTract_DB[[#This Row],[WCAD Tax Parcel ID]],10)+1,7),";",MID(SP_AcqTract_DB[[#This Row],[WCAD Tax Parcel ID]],FIND("#",SP_AcqTract_DB[[#This Row],[WCAD Tax Parcel ID]],23)+1,7)),"")))</f>
        <v>R070100</v>
      </c>
      <c r="AS139" s="54">
        <f>IF(SP_AcqTract_DB[[#This Row],[WCAD Tax Parcel ID]]="",0,(LEN(SP_AcqTract_DB[[#This Row],[WCAD Tax Parcel ID]])-LEN(SUBSTITUTE(SP_AcqTract_DB[[#This Row],[WCAD Tax Parcel ID]],"#",""))+1)/2)</f>
        <v>1</v>
      </c>
      <c r="AT139" s="190">
        <f>IF(SP_AcqTract_DB[[#This Row],[WCAD Tax Parcel ID]]="",0,COUNTIF(SP_TaxPar_DB[Acquisition Tract No.],SP_AcqTract_DB[[#This Row],[Acquisition Tract No.]]))</f>
        <v>1</v>
      </c>
      <c r="AU139" s="189">
        <f>COUNTIF(ACQStatus_ACQTNo.,SP_AcqTract_DB[[#This Row],[Acquisition Tract No.]])</f>
        <v>1</v>
      </c>
    </row>
    <row r="140" spans="1:47" ht="19.5" customHeight="1" x14ac:dyDescent="0.2">
      <c r="A140" s="277" t="s">
        <v>5259</v>
      </c>
      <c r="B140" s="179" t="s">
        <v>597</v>
      </c>
      <c r="C140" s="7" t="s">
        <v>2493</v>
      </c>
      <c r="D140" s="52" t="s">
        <v>1255</v>
      </c>
      <c r="E140" s="52"/>
      <c r="F140" s="52" t="s">
        <v>5654</v>
      </c>
      <c r="G140" s="8" t="s">
        <v>971</v>
      </c>
      <c r="H140" s="8"/>
      <c r="I140" s="8"/>
      <c r="J140" s="8"/>
      <c r="K140" s="8"/>
      <c r="L140" s="8" t="s">
        <v>580</v>
      </c>
      <c r="M140" s="8"/>
      <c r="N140" s="8"/>
      <c r="O140" s="57"/>
      <c r="P140" s="7"/>
      <c r="Q140" s="3"/>
      <c r="R140" s="16"/>
      <c r="S140" s="5">
        <v>0</v>
      </c>
      <c r="T140" s="4"/>
      <c r="U140" s="57"/>
      <c r="V140" s="8"/>
      <c r="W140" s="8"/>
      <c r="X140" s="8"/>
      <c r="Y140" s="8"/>
      <c r="Z140" s="8"/>
      <c r="AA140" s="7"/>
      <c r="AB140" s="7"/>
      <c r="AC140" s="8" t="s">
        <v>5391</v>
      </c>
      <c r="AD140" s="8" t="s">
        <v>4206</v>
      </c>
      <c r="AE140" s="26">
        <v>43994.428668981483</v>
      </c>
      <c r="AF140" s="8" t="s">
        <v>4206</v>
      </c>
      <c r="AG140" s="26">
        <v>43964.574872685182</v>
      </c>
      <c r="AH140" s="1"/>
      <c r="AI140" s="232">
        <v>124</v>
      </c>
      <c r="AJ140" s="232" t="s">
        <v>4939</v>
      </c>
      <c r="AK140" s="232" t="s">
        <v>3512</v>
      </c>
      <c r="AL140" s="232"/>
      <c r="AM140" s="232"/>
      <c r="AN140" s="232"/>
      <c r="AO140" s="233"/>
      <c r="AP140" s="233"/>
      <c r="AQ140" s="233"/>
      <c r="AR140" s="188" t="str">
        <f>IF(SP_AcqTract_DB[[#This Row],[Count '# in TaxID]]=1,LEFT(SP_AcqTract_DB[[#This Row],[WCAD Tax Parcel ID]],7),IF(SP_AcqTract_DB[[#This Row],[Count '# in TaxID]]=2,CONCATENATE(LEFT(SP_AcqTract_DB[[#This Row],[WCAD Tax Parcel ID]],7),";",MID(SP_AcqTract_DB[[#This Row],[WCAD Tax Parcel ID]],FIND("#",SP_AcqTract_DB[[#This Row],[WCAD Tax Parcel ID]],10)+1,7)),IF(SP_AcqTract_DB[[#This Row],[Count '# in TaxID]]&gt;2,CONCATENATE(LEFT(SP_AcqTract_DB[[#This Row],[WCAD Tax Parcel ID]],7),";",MID(SP_AcqTract_DB[[#This Row],[WCAD Tax Parcel ID]],FIND("#",SP_AcqTract_DB[[#This Row],[WCAD Tax Parcel ID]],10)+1,7),";",MID(SP_AcqTract_DB[[#This Row],[WCAD Tax Parcel ID]],FIND("#",SP_AcqTract_DB[[#This Row],[WCAD Tax Parcel ID]],23)+1,7)),"")))</f>
        <v>R073246</v>
      </c>
      <c r="AS140" s="54">
        <f>IF(SP_AcqTract_DB[[#This Row],[WCAD Tax Parcel ID]]="",0,(LEN(SP_AcqTract_DB[[#This Row],[WCAD Tax Parcel ID]])-LEN(SUBSTITUTE(SP_AcqTract_DB[[#This Row],[WCAD Tax Parcel ID]],"#",""))+1)/2)</f>
        <v>1</v>
      </c>
      <c r="AT140" s="190">
        <f>IF(SP_AcqTract_DB[[#This Row],[WCAD Tax Parcel ID]]="",0,COUNTIF(SP_TaxPar_DB[Acquisition Tract No.],SP_AcqTract_DB[[#This Row],[Acquisition Tract No.]]))</f>
        <v>1</v>
      </c>
      <c r="AU140" s="189">
        <f>COUNTIF(ACQStatus_ACQTNo.,SP_AcqTract_DB[[#This Row],[Acquisition Tract No.]])</f>
        <v>1</v>
      </c>
    </row>
    <row r="141" spans="1:47" ht="19.5" customHeight="1" x14ac:dyDescent="0.25">
      <c r="A141" s="267">
        <f>SUBTOTAL(103,SP_AcqTract_DB[Acquisition Tract No.])</f>
        <v>139</v>
      </c>
      <c r="B141" s="267">
        <f>SUBTOTAL(103,SP_AcqTract_DB[WCAD Tax Parcel ID])</f>
        <v>139</v>
      </c>
      <c r="C141" s="267">
        <f>SUBTOTAL(103,SP_AcqTract_DB[Phase])</f>
        <v>139</v>
      </c>
      <c r="D141" s="267">
        <f>SUBTOTAL(103,SP_AcqTract_DB[Acquisition Status])</f>
        <v>139</v>
      </c>
      <c r="E141" s="267">
        <f>SUBTOTAL(103,SP_AcqTract_DB[Acquisition Interest])</f>
        <v>70</v>
      </c>
      <c r="F141" s="267">
        <f>SUBTOTAL(103,SP_AcqTract_DB[ROW Agent])</f>
        <v>104</v>
      </c>
      <c r="G141" s="267">
        <f>SUBTOTAL(103,SP_AcqTract_DB[Property Owner Vested Name])</f>
        <v>138</v>
      </c>
      <c r="H141" s="267">
        <f>SUBTOTAL(103,SP_AcqTract_DB[Owner Company Name])</f>
        <v>20</v>
      </c>
      <c r="I141" s="267">
        <f>SUBTOTAL(103,SP_AcqTract_DB[Property Owner Mailing Name])</f>
        <v>58</v>
      </c>
      <c r="J141" s="267">
        <f>SUBTOTAL(103,SP_AcqTract_DB[Owner Mailing Address])</f>
        <v>65</v>
      </c>
      <c r="K141" s="267">
        <f>SUBTOTAL(103,SP_AcqTract_DB[Owner City, ST  Zip])</f>
        <v>63</v>
      </c>
      <c r="L141" s="267">
        <f>SUBTOTAL(103,SP_AcqTract_DB[Property Situs Address])</f>
        <v>126</v>
      </c>
      <c r="M141" s="267">
        <f>SUBTOTAL(103,SP_AcqTract_DB[Title Co.])</f>
        <v>52</v>
      </c>
      <c r="N141" s="267">
        <f>SUBTOTAL(103,SP_AcqTract_DB[Title GF No.])</f>
        <v>48</v>
      </c>
      <c r="O141" s="267">
        <f>SUBTOTAL(103,SP_AcqTract_DB[Title Ordered])</f>
        <v>53</v>
      </c>
      <c r="P141" s="267">
        <f>SUBTOTAL(103,SP_AcqTract_DB[Appraisal Firm])</f>
        <v>51</v>
      </c>
      <c r="Q141" s="267">
        <f>SUBTOTAL(103,SP_AcqTract_DB[Reviewer])</f>
        <v>48</v>
      </c>
      <c r="R141" s="267">
        <f>SUBTOTAL(103,SP_AcqTract_DB[Appraisal Requested])</f>
        <v>42</v>
      </c>
      <c r="S141" s="267">
        <f>SUBTOTAL(103,SP_AcqTract_DB[Survey Acres])</f>
        <v>139</v>
      </c>
      <c r="T141" s="267">
        <f>SUBTOTAL(103,SP_AcqTract_DB[Survey SqFt])</f>
        <v>53</v>
      </c>
      <c r="U141" s="267">
        <f>SUBTOTAL(103,SP_AcqTract_DB[Survey Requested])</f>
        <v>38</v>
      </c>
      <c r="V141" s="267">
        <f>SUBTOTAL(103,SP_AcqTract_DB[Appraiser])</f>
        <v>49</v>
      </c>
      <c r="W141" s="267"/>
      <c r="X141" s="267"/>
      <c r="Y141" s="267">
        <f>SUBTOTAL(103,SP_AcqTract_DB[Utility Easements])</f>
        <v>11</v>
      </c>
      <c r="Z141" s="267">
        <f>SUBTOTAL(103,SP_AcqTract_DB[Mineral Rights])</f>
        <v>20</v>
      </c>
      <c r="AA141" s="267">
        <f>SUBTOTAL(103,SP_AcqTract_DB[Improv])</f>
        <v>4</v>
      </c>
      <c r="AB141" s="267">
        <f>SUBTOTAL(103,SP_AcqTract_DB[Use])</f>
        <v>51</v>
      </c>
      <c r="AC141" s="267">
        <f>SUBTOTAL(103,SP_AcqTract_DB[ACQ Filename Prefix])</f>
        <v>139</v>
      </c>
      <c r="AD141" s="267">
        <f>SUBTOTAL(103,SP_AcqTract_DB[Modified By])</f>
        <v>139</v>
      </c>
      <c r="AE141" s="267">
        <f>SUBTOTAL(103,SP_AcqTract_DB[Modified])</f>
        <v>139</v>
      </c>
      <c r="AF141" s="267">
        <f>SUBTOTAL(103,SP_AcqTract_DB[Created By])</f>
        <v>139</v>
      </c>
      <c r="AG141" s="267">
        <f>SUBTOTAL(103,SP_AcqTract_DB[Created])</f>
        <v>139</v>
      </c>
      <c r="AH141" s="267">
        <f>SUBTOTAL(103,SP_AcqTract_DB[Acquisition Comments])</f>
        <v>53</v>
      </c>
      <c r="AI141" s="268">
        <f>SUBTOTAL(103,SP_AcqTract_DB[ID])</f>
        <v>139</v>
      </c>
      <c r="AJ141" s="268"/>
      <c r="AK141" s="268"/>
      <c r="AL141" s="268">
        <f>SUBTOTAL(103,SP_AcqTract_DB[City Survey Needed])</f>
        <v>63</v>
      </c>
      <c r="AM141" s="268">
        <f>SUBTOTAL(103,SP_AcqTract_DB[USACOE Survey Needed])</f>
        <v>63</v>
      </c>
      <c r="AN141" s="268">
        <f>SUBTOTAL(103,SP_AcqTract_DB[No. of Interests for USACOE])</f>
        <v>58</v>
      </c>
      <c r="AO141" s="268">
        <f>SUBTOTAL(103,SP_AcqTract_DB[Appraisal Received2])</f>
        <v>24</v>
      </c>
      <c r="AP141" s="268"/>
      <c r="AQ141" s="269"/>
      <c r="AR141" s="262"/>
      <c r="AS141" s="259"/>
      <c r="AT141" s="270">
        <f>SUBTOTAL(109,SP_AcqTract_DB[Count in TaxPar DB])</f>
        <v>149</v>
      </c>
      <c r="AU141" s="271">
        <f>SUBTOTAL(109,SP_AcqTract_DB[Count in ACQ Status])</f>
        <v>139</v>
      </c>
    </row>
  </sheetData>
  <phoneticPr fontId="65" type="noConversion"/>
  <conditionalFormatting sqref="AS2:AU140">
    <cfRule type="expression" dxfId="336" priority="1">
      <formula>$AS2&lt;&gt;$AT2</formula>
    </cfRule>
  </conditionalFormatting>
  <pageMargins left="0.7" right="0.7" top="0.75" bottom="0.75" header="0.3" footer="0.3"/>
  <pageSetup orientation="portrait" horizontalDpi="1200" verticalDpi="1200" r:id="rId1"/>
  <tableParts count="1">
    <tablePart r:id="rId2"/>
  </tableParts>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6">
    <tabColor theme="8" tint="-0.249977111117893"/>
  </sheetPr>
  <dimension ref="A1:U288"/>
  <sheetViews>
    <sheetView workbookViewId="0">
      <pane ySplit="1" topLeftCell="A26" activePane="bottomLeft" state="frozen"/>
      <selection pane="bottomLeft" activeCell="U281" sqref="U281"/>
    </sheetView>
  </sheetViews>
  <sheetFormatPr defaultRowHeight="18" customHeight="1" outlineLevelCol="1" x14ac:dyDescent="0.2"/>
  <cols>
    <col min="1" max="1" width="13.42578125" customWidth="1"/>
    <col min="2" max="2" width="11.42578125" customWidth="1"/>
    <col min="3" max="3" width="14.42578125" customWidth="1"/>
    <col min="4" max="4" width="6" customWidth="1"/>
    <col min="5" max="5" width="23.85546875" customWidth="1"/>
    <col min="6" max="6" width="22.85546875" customWidth="1"/>
    <col min="7" max="7" width="12.140625" customWidth="1"/>
    <col min="8" max="8" width="7.140625" customWidth="1"/>
    <col min="9" max="9" width="8.5703125" customWidth="1"/>
    <col min="10" max="10" width="13.85546875" customWidth="1"/>
    <col min="11" max="11" width="25.140625" customWidth="1"/>
    <col min="12" max="12" width="8.42578125" customWidth="1"/>
    <col min="13" max="13" width="12.85546875" customWidth="1"/>
    <col min="14" max="14" width="12.42578125" bestFit="1" customWidth="1"/>
    <col min="15" max="15" width="12.5703125" customWidth="1"/>
    <col min="16" max="16" width="15.5703125" hidden="1" customWidth="1" outlineLevel="1"/>
    <col min="17" max="17" width="14.42578125" customWidth="1" collapsed="1"/>
    <col min="18" max="18" width="14.140625" hidden="1" customWidth="1" outlineLevel="1"/>
    <col min="19" max="19" width="13.5703125" customWidth="1" collapsed="1"/>
    <col min="20" max="20" width="6" customWidth="1"/>
    <col min="22" max="23" width="6" customWidth="1"/>
    <col min="24" max="24" width="7.5703125" customWidth="1"/>
    <col min="25" max="25" width="21.5703125" bestFit="1" customWidth="1"/>
    <col min="26" max="26" width="21.5703125" customWidth="1"/>
    <col min="27" max="27" width="9.85546875" customWidth="1"/>
    <col min="28" max="28" width="11.5703125" customWidth="1"/>
    <col min="29" max="29" width="21.5703125" bestFit="1" customWidth="1"/>
    <col min="30" max="30" width="12.42578125" bestFit="1" customWidth="1"/>
    <col min="31" max="31" width="46" bestFit="1" customWidth="1"/>
  </cols>
  <sheetData>
    <row r="1" spans="1:21" ht="38.25" x14ac:dyDescent="0.2">
      <c r="A1" s="9" t="s">
        <v>6</v>
      </c>
      <c r="B1" s="2" t="s">
        <v>1281</v>
      </c>
      <c r="C1" s="2" t="s">
        <v>2689</v>
      </c>
      <c r="D1" s="50" t="s">
        <v>70</v>
      </c>
      <c r="E1" s="2" t="s">
        <v>72</v>
      </c>
      <c r="F1" s="2" t="s">
        <v>237</v>
      </c>
      <c r="G1" s="51" t="s">
        <v>238</v>
      </c>
      <c r="H1" s="51" t="s">
        <v>239</v>
      </c>
      <c r="I1" s="51" t="s">
        <v>240</v>
      </c>
      <c r="J1" s="2" t="s">
        <v>1378</v>
      </c>
      <c r="K1" s="2" t="s">
        <v>1379</v>
      </c>
      <c r="L1" s="2" t="s">
        <v>1380</v>
      </c>
      <c r="M1" s="2" t="s">
        <v>1381</v>
      </c>
      <c r="N1" s="2" t="s">
        <v>1382</v>
      </c>
      <c r="O1" s="2" t="s">
        <v>241</v>
      </c>
      <c r="P1" s="2" t="s">
        <v>18</v>
      </c>
      <c r="Q1" s="2" t="s">
        <v>19</v>
      </c>
      <c r="R1" s="2" t="s">
        <v>17</v>
      </c>
      <c r="S1" s="2" t="s">
        <v>20</v>
      </c>
      <c r="T1" s="2" t="s">
        <v>588</v>
      </c>
      <c r="U1" s="2" t="s">
        <v>5392</v>
      </c>
    </row>
    <row r="2" spans="1:21" ht="18" customHeight="1" x14ac:dyDescent="0.2">
      <c r="A2" s="47" t="s">
        <v>1820</v>
      </c>
      <c r="B2" s="15"/>
      <c r="C2" s="15" t="s">
        <v>2721</v>
      </c>
      <c r="D2" s="20" t="s">
        <v>1808</v>
      </c>
      <c r="E2" s="8" t="s">
        <v>1821</v>
      </c>
      <c r="F2" s="8" t="s">
        <v>1822</v>
      </c>
      <c r="G2" s="8" t="s">
        <v>1007</v>
      </c>
      <c r="H2" s="3" t="s">
        <v>26</v>
      </c>
      <c r="I2" s="8" t="s">
        <v>1823</v>
      </c>
      <c r="J2" s="8" t="s">
        <v>4628</v>
      </c>
      <c r="K2" s="12" t="s">
        <v>1824</v>
      </c>
      <c r="L2" s="13"/>
      <c r="M2" s="8"/>
      <c r="N2" s="8"/>
      <c r="O2" s="8"/>
      <c r="P2" s="3" t="s">
        <v>4205</v>
      </c>
      <c r="Q2" s="11">
        <v>43910.605925925927</v>
      </c>
      <c r="R2" s="3" t="s">
        <v>4207</v>
      </c>
      <c r="S2" s="11">
        <v>43852.715104166666</v>
      </c>
      <c r="T2" s="7">
        <v>94</v>
      </c>
      <c r="U2" s="13">
        <f>COUNTIF('TAX Parcel Status Report'!$A$6:$A$290,SP_TaxPar_DB[[#This Row],[Tax Parcel ID]])</f>
        <v>1</v>
      </c>
    </row>
    <row r="3" spans="1:21" ht="18" customHeight="1" x14ac:dyDescent="0.2">
      <c r="A3" s="6" t="s">
        <v>1825</v>
      </c>
      <c r="B3" s="15"/>
      <c r="C3" s="15" t="s">
        <v>2724</v>
      </c>
      <c r="D3" s="20" t="s">
        <v>1808</v>
      </c>
      <c r="E3" s="8" t="s">
        <v>4657</v>
      </c>
      <c r="F3" s="8" t="s">
        <v>1826</v>
      </c>
      <c r="G3" s="8" t="s">
        <v>1827</v>
      </c>
      <c r="H3" s="3" t="s">
        <v>26</v>
      </c>
      <c r="I3" s="8" t="s">
        <v>882</v>
      </c>
      <c r="J3" s="8" t="s">
        <v>4658</v>
      </c>
      <c r="K3" s="12" t="s">
        <v>1828</v>
      </c>
      <c r="L3" s="13"/>
      <c r="M3" s="8"/>
      <c r="N3" s="8"/>
      <c r="O3" s="8"/>
      <c r="P3" s="3" t="s">
        <v>4205</v>
      </c>
      <c r="Q3" s="11">
        <v>43910.606874999998</v>
      </c>
      <c r="R3" s="3" t="s">
        <v>4207</v>
      </c>
      <c r="S3" s="11">
        <v>43852.715115740742</v>
      </c>
      <c r="T3" s="7">
        <v>95</v>
      </c>
      <c r="U3" s="13">
        <f>COUNTIF('TAX Parcel Status Report'!$A$6:$A$290,SP_TaxPar_DB[[#This Row],[Tax Parcel ID]])</f>
        <v>1</v>
      </c>
    </row>
    <row r="4" spans="1:21" ht="18" customHeight="1" x14ac:dyDescent="0.2">
      <c r="A4" s="47" t="s">
        <v>1829</v>
      </c>
      <c r="B4" s="15"/>
      <c r="C4" s="15" t="s">
        <v>2726</v>
      </c>
      <c r="D4" s="20" t="s">
        <v>1808</v>
      </c>
      <c r="E4" s="8" t="s">
        <v>1830</v>
      </c>
      <c r="F4" s="8" t="s">
        <v>1831</v>
      </c>
      <c r="G4" s="8" t="s">
        <v>1832</v>
      </c>
      <c r="H4" s="3" t="s">
        <v>26</v>
      </c>
      <c r="I4" s="8" t="s">
        <v>1833</v>
      </c>
      <c r="J4" s="8" t="s">
        <v>4659</v>
      </c>
      <c r="K4" s="12" t="s">
        <v>1834</v>
      </c>
      <c r="L4" s="13"/>
      <c r="M4" s="8"/>
      <c r="N4" s="8"/>
      <c r="O4" s="8"/>
      <c r="P4" s="3" t="s">
        <v>4205</v>
      </c>
      <c r="Q4" s="11">
        <v>43910.607291666667</v>
      </c>
      <c r="R4" s="3" t="s">
        <v>4207</v>
      </c>
      <c r="S4" s="11">
        <v>43852.715115740742</v>
      </c>
      <c r="T4" s="7">
        <v>96</v>
      </c>
      <c r="U4" s="13">
        <f>COUNTIF('TAX Parcel Status Report'!$A$6:$A$290,SP_TaxPar_DB[[#This Row],[Tax Parcel ID]])</f>
        <v>1</v>
      </c>
    </row>
    <row r="5" spans="1:21" ht="18" customHeight="1" x14ac:dyDescent="0.2">
      <c r="A5" s="195" t="s">
        <v>1835</v>
      </c>
      <c r="B5" s="193" t="s">
        <v>22</v>
      </c>
      <c r="C5" s="193" t="s">
        <v>2729</v>
      </c>
      <c r="D5" s="20" t="s">
        <v>1808</v>
      </c>
      <c r="E5" s="8" t="s">
        <v>1836</v>
      </c>
      <c r="F5" s="8" t="s">
        <v>1837</v>
      </c>
      <c r="G5" s="8" t="s">
        <v>1838</v>
      </c>
      <c r="H5" s="3" t="s">
        <v>26</v>
      </c>
      <c r="I5" s="8" t="s">
        <v>1839</v>
      </c>
      <c r="J5" s="8"/>
      <c r="K5" s="12" t="s">
        <v>1840</v>
      </c>
      <c r="L5" s="13"/>
      <c r="M5" s="8"/>
      <c r="N5" s="8"/>
      <c r="O5" s="8"/>
      <c r="P5" s="3" t="s">
        <v>4207</v>
      </c>
      <c r="Q5" s="11">
        <v>43861.442037037035</v>
      </c>
      <c r="R5" s="3" t="s">
        <v>4207</v>
      </c>
      <c r="S5" s="11">
        <v>43852.715115740742</v>
      </c>
      <c r="T5" s="7">
        <v>97</v>
      </c>
      <c r="U5" s="13">
        <f>COUNTIF('TAX Parcel Status Report'!$A$6:$A$290,SP_TaxPar_DB[[#This Row],[Tax Parcel ID]])</f>
        <v>1</v>
      </c>
    </row>
    <row r="6" spans="1:21" ht="18" customHeight="1" x14ac:dyDescent="0.2">
      <c r="A6" s="47" t="s">
        <v>1841</v>
      </c>
      <c r="B6" s="15" t="s">
        <v>22</v>
      </c>
      <c r="C6" s="15" t="s">
        <v>2691</v>
      </c>
      <c r="D6" s="20" t="s">
        <v>1808</v>
      </c>
      <c r="E6" s="8" t="s">
        <v>1842</v>
      </c>
      <c r="F6" s="8" t="s">
        <v>1843</v>
      </c>
      <c r="G6" s="8" t="s">
        <v>1007</v>
      </c>
      <c r="H6" s="3" t="s">
        <v>26</v>
      </c>
      <c r="I6" s="8" t="s">
        <v>78</v>
      </c>
      <c r="J6" s="8" t="s">
        <v>1843</v>
      </c>
      <c r="K6" s="12" t="s">
        <v>1844</v>
      </c>
      <c r="L6" s="13"/>
      <c r="M6" s="8"/>
      <c r="N6" s="8"/>
      <c r="O6" s="8"/>
      <c r="P6" s="3" t="s">
        <v>4207</v>
      </c>
      <c r="Q6" s="11">
        <v>43861.418877314813</v>
      </c>
      <c r="R6" s="3" t="s">
        <v>4207</v>
      </c>
      <c r="S6" s="11">
        <v>43858.550115740742</v>
      </c>
      <c r="T6" s="7">
        <v>98</v>
      </c>
      <c r="U6" s="13">
        <f>COUNTIF('TAX Parcel Status Report'!$A$6:$A$290,SP_TaxPar_DB[[#This Row],[Tax Parcel ID]])</f>
        <v>1</v>
      </c>
    </row>
    <row r="7" spans="1:21" ht="18" customHeight="1" x14ac:dyDescent="0.2">
      <c r="A7" s="6" t="s">
        <v>1845</v>
      </c>
      <c r="B7" s="15" t="s">
        <v>22</v>
      </c>
      <c r="C7" s="15" t="s">
        <v>2705</v>
      </c>
      <c r="D7" s="20" t="s">
        <v>1808</v>
      </c>
      <c r="E7" s="8" t="s">
        <v>1846</v>
      </c>
      <c r="F7" s="8" t="s">
        <v>1847</v>
      </c>
      <c r="G7" s="8" t="s">
        <v>1007</v>
      </c>
      <c r="H7" s="3" t="s">
        <v>26</v>
      </c>
      <c r="I7" s="8" t="s">
        <v>1848</v>
      </c>
      <c r="J7" s="8" t="s">
        <v>1847</v>
      </c>
      <c r="K7" s="12" t="s">
        <v>1849</v>
      </c>
      <c r="L7" s="13"/>
      <c r="M7" s="8"/>
      <c r="N7" s="8"/>
      <c r="O7" s="8"/>
      <c r="P7" s="3" t="s">
        <v>4207</v>
      </c>
      <c r="Q7" s="11">
        <v>43861.419039351851</v>
      </c>
      <c r="R7" s="3" t="s">
        <v>4207</v>
      </c>
      <c r="S7" s="11">
        <v>43858.550127314818</v>
      </c>
      <c r="T7" s="7">
        <v>99</v>
      </c>
      <c r="U7" s="13">
        <f>COUNTIF('TAX Parcel Status Report'!$A$6:$A$290,SP_TaxPar_DB[[#This Row],[Tax Parcel ID]])</f>
        <v>1</v>
      </c>
    </row>
    <row r="8" spans="1:21" ht="18" customHeight="1" x14ac:dyDescent="0.2">
      <c r="A8" s="47" t="s">
        <v>1850</v>
      </c>
      <c r="B8" s="15" t="s">
        <v>22</v>
      </c>
      <c r="C8" s="15" t="s">
        <v>2706</v>
      </c>
      <c r="D8" s="20" t="s">
        <v>1808</v>
      </c>
      <c r="E8" s="8" t="s">
        <v>1851</v>
      </c>
      <c r="F8" s="8" t="s">
        <v>1852</v>
      </c>
      <c r="G8" s="8" t="s">
        <v>1007</v>
      </c>
      <c r="H8" s="3" t="s">
        <v>26</v>
      </c>
      <c r="I8" s="8" t="s">
        <v>78</v>
      </c>
      <c r="J8" s="8" t="s">
        <v>1853</v>
      </c>
      <c r="K8" s="12" t="s">
        <v>1854</v>
      </c>
      <c r="L8" s="13"/>
      <c r="M8" s="8"/>
      <c r="N8" s="8"/>
      <c r="O8" s="8"/>
      <c r="P8" s="3" t="s">
        <v>4207</v>
      </c>
      <c r="Q8" s="11">
        <v>43861.41920138889</v>
      </c>
      <c r="R8" s="3" t="s">
        <v>4207</v>
      </c>
      <c r="S8" s="11">
        <v>43858.550127314818</v>
      </c>
      <c r="T8" s="7">
        <v>100</v>
      </c>
      <c r="U8" s="13">
        <f>COUNTIF('TAX Parcel Status Report'!$A$6:$A$290,SP_TaxPar_DB[[#This Row],[Tax Parcel ID]])</f>
        <v>1</v>
      </c>
    </row>
    <row r="9" spans="1:21" ht="18" customHeight="1" x14ac:dyDescent="0.2">
      <c r="A9" s="47" t="s">
        <v>1855</v>
      </c>
      <c r="B9" s="15"/>
      <c r="C9" s="15" t="s">
        <v>2743</v>
      </c>
      <c r="D9" s="20" t="s">
        <v>1808</v>
      </c>
      <c r="E9" s="8" t="s">
        <v>1856</v>
      </c>
      <c r="F9" s="8" t="s">
        <v>1857</v>
      </c>
      <c r="G9" s="8" t="s">
        <v>1007</v>
      </c>
      <c r="H9" s="3" t="s">
        <v>26</v>
      </c>
      <c r="I9" s="8" t="s">
        <v>78</v>
      </c>
      <c r="J9" s="8" t="s">
        <v>1858</v>
      </c>
      <c r="K9" s="12" t="s">
        <v>1859</v>
      </c>
      <c r="L9" s="13"/>
      <c r="M9" s="8"/>
      <c r="N9" s="8"/>
      <c r="O9" s="8"/>
      <c r="P9" s="3" t="s">
        <v>4207</v>
      </c>
      <c r="Q9" s="11">
        <v>43861.41946759259</v>
      </c>
      <c r="R9" s="3" t="s">
        <v>4207</v>
      </c>
      <c r="S9" s="11">
        <v>43858.550127314818</v>
      </c>
      <c r="T9" s="7">
        <v>101</v>
      </c>
      <c r="U9" s="13">
        <f>COUNTIF('TAX Parcel Status Report'!$A$6:$A$290,SP_TaxPar_DB[[#This Row],[Tax Parcel ID]])</f>
        <v>1</v>
      </c>
    </row>
    <row r="10" spans="1:21" ht="18" customHeight="1" x14ac:dyDescent="0.2">
      <c r="A10" s="6" t="s">
        <v>1860</v>
      </c>
      <c r="B10" s="15"/>
      <c r="C10" s="15" t="s">
        <v>2692</v>
      </c>
      <c r="D10" s="20" t="s">
        <v>1808</v>
      </c>
      <c r="E10" s="8" t="s">
        <v>1861</v>
      </c>
      <c r="F10" s="8" t="s">
        <v>1862</v>
      </c>
      <c r="G10" s="8" t="s">
        <v>1007</v>
      </c>
      <c r="H10" s="3" t="s">
        <v>26</v>
      </c>
      <c r="I10" s="8" t="s">
        <v>78</v>
      </c>
      <c r="J10" s="8" t="s">
        <v>1862</v>
      </c>
      <c r="K10" s="12" t="s">
        <v>1863</v>
      </c>
      <c r="L10" s="13"/>
      <c r="M10" s="8"/>
      <c r="N10" s="8"/>
      <c r="O10" s="8"/>
      <c r="P10" s="3" t="s">
        <v>4207</v>
      </c>
      <c r="Q10" s="11">
        <v>43861.41951388889</v>
      </c>
      <c r="R10" s="3" t="s">
        <v>4207</v>
      </c>
      <c r="S10" s="11">
        <v>43858.550127314818</v>
      </c>
      <c r="T10" s="7">
        <v>102</v>
      </c>
      <c r="U10" s="13">
        <f>COUNTIF('TAX Parcel Status Report'!$A$6:$A$290,SP_TaxPar_DB[[#This Row],[Tax Parcel ID]])</f>
        <v>1</v>
      </c>
    </row>
    <row r="11" spans="1:21" ht="18" customHeight="1" x14ac:dyDescent="0.2">
      <c r="A11" s="47" t="s">
        <v>1864</v>
      </c>
      <c r="B11" s="15"/>
      <c r="C11" s="15" t="s">
        <v>2694</v>
      </c>
      <c r="D11" s="20" t="s">
        <v>1808</v>
      </c>
      <c r="E11" s="8" t="s">
        <v>1851</v>
      </c>
      <c r="F11" s="8" t="s">
        <v>1852</v>
      </c>
      <c r="G11" s="8" t="s">
        <v>1007</v>
      </c>
      <c r="H11" s="3" t="s">
        <v>26</v>
      </c>
      <c r="I11" s="8" t="s">
        <v>78</v>
      </c>
      <c r="J11" s="8" t="s">
        <v>1865</v>
      </c>
      <c r="K11" s="12" t="s">
        <v>1866</v>
      </c>
      <c r="L11" s="13"/>
      <c r="M11" s="8"/>
      <c r="N11" s="8"/>
      <c r="O11" s="8"/>
      <c r="P11" s="3" t="s">
        <v>4207</v>
      </c>
      <c r="Q11" s="11">
        <v>43861.419560185182</v>
      </c>
      <c r="R11" s="3" t="s">
        <v>4207</v>
      </c>
      <c r="S11" s="11">
        <v>43858.550127314818</v>
      </c>
      <c r="T11" s="7">
        <v>103</v>
      </c>
      <c r="U11" s="13">
        <f>COUNTIF('TAX Parcel Status Report'!$A$6:$A$290,SP_TaxPar_DB[[#This Row],[Tax Parcel ID]])</f>
        <v>1</v>
      </c>
    </row>
    <row r="12" spans="1:21" ht="18" customHeight="1" x14ac:dyDescent="0.2">
      <c r="A12" s="6" t="s">
        <v>1867</v>
      </c>
      <c r="B12" s="15"/>
      <c r="C12" s="15" t="s">
        <v>2696</v>
      </c>
      <c r="D12" s="20" t="s">
        <v>1808</v>
      </c>
      <c r="E12" s="8" t="s">
        <v>1868</v>
      </c>
      <c r="F12" s="8" t="s">
        <v>1869</v>
      </c>
      <c r="G12" s="8" t="s">
        <v>1007</v>
      </c>
      <c r="H12" s="3" t="s">
        <v>26</v>
      </c>
      <c r="I12" s="8" t="s">
        <v>78</v>
      </c>
      <c r="J12" s="8" t="s">
        <v>1869</v>
      </c>
      <c r="K12" s="12" t="s">
        <v>1870</v>
      </c>
      <c r="L12" s="13"/>
      <c r="M12" s="8"/>
      <c r="N12" s="8"/>
      <c r="O12" s="8"/>
      <c r="P12" s="3" t="s">
        <v>4207</v>
      </c>
      <c r="Q12" s="11">
        <v>43861.419618055559</v>
      </c>
      <c r="R12" s="3" t="s">
        <v>4207</v>
      </c>
      <c r="S12" s="11">
        <v>43858.550127314818</v>
      </c>
      <c r="T12" s="7">
        <v>104</v>
      </c>
      <c r="U12" s="13">
        <f>COUNTIF('TAX Parcel Status Report'!$A$6:$A$290,SP_TaxPar_DB[[#This Row],[Tax Parcel ID]])</f>
        <v>1</v>
      </c>
    </row>
    <row r="13" spans="1:21" ht="18" customHeight="1" x14ac:dyDescent="0.2">
      <c r="A13" s="47" t="s">
        <v>1871</v>
      </c>
      <c r="B13" s="15"/>
      <c r="C13" s="15" t="s">
        <v>2756</v>
      </c>
      <c r="D13" s="20" t="s">
        <v>1808</v>
      </c>
      <c r="E13" s="8" t="s">
        <v>1868</v>
      </c>
      <c r="F13" s="8" t="s">
        <v>1869</v>
      </c>
      <c r="G13" s="8" t="s">
        <v>1007</v>
      </c>
      <c r="H13" s="3" t="s">
        <v>26</v>
      </c>
      <c r="I13" s="8" t="s">
        <v>78</v>
      </c>
      <c r="J13" s="8" t="s">
        <v>1872</v>
      </c>
      <c r="K13" s="12" t="s">
        <v>1873</v>
      </c>
      <c r="L13" s="13"/>
      <c r="M13" s="8"/>
      <c r="N13" s="8"/>
      <c r="O13" s="8"/>
      <c r="P13" s="3" t="s">
        <v>4207</v>
      </c>
      <c r="Q13" s="11">
        <v>43861.419675925928</v>
      </c>
      <c r="R13" s="3" t="s">
        <v>4207</v>
      </c>
      <c r="S13" s="11">
        <v>43858.550127314818</v>
      </c>
      <c r="T13" s="7">
        <v>105</v>
      </c>
      <c r="U13" s="13">
        <f>COUNTIF('TAX Parcel Status Report'!$A$6:$A$290,SP_TaxPar_DB[[#This Row],[Tax Parcel ID]])</f>
        <v>1</v>
      </c>
    </row>
    <row r="14" spans="1:21" ht="18" customHeight="1" x14ac:dyDescent="0.2">
      <c r="A14" s="47" t="s">
        <v>1874</v>
      </c>
      <c r="B14" s="15"/>
      <c r="C14" s="15" t="s">
        <v>2761</v>
      </c>
      <c r="D14" s="20" t="s">
        <v>1808</v>
      </c>
      <c r="E14" s="8" t="s">
        <v>1875</v>
      </c>
      <c r="F14" s="8" t="s">
        <v>1876</v>
      </c>
      <c r="G14" s="8" t="s">
        <v>1007</v>
      </c>
      <c r="H14" s="3" t="s">
        <v>26</v>
      </c>
      <c r="I14" s="8" t="s">
        <v>78</v>
      </c>
      <c r="J14" s="8" t="s">
        <v>1876</v>
      </c>
      <c r="K14" s="12" t="s">
        <v>1877</v>
      </c>
      <c r="L14" s="13"/>
      <c r="M14" s="8"/>
      <c r="N14" s="8"/>
      <c r="O14" s="8"/>
      <c r="P14" s="3" t="s">
        <v>4207</v>
      </c>
      <c r="Q14" s="11">
        <v>43861.419733796298</v>
      </c>
      <c r="R14" s="3" t="s">
        <v>4207</v>
      </c>
      <c r="S14" s="11">
        <v>43858.550127314818</v>
      </c>
      <c r="T14" s="7">
        <v>106</v>
      </c>
      <c r="U14" s="13">
        <f>COUNTIF('TAX Parcel Status Report'!$A$6:$A$290,SP_TaxPar_DB[[#This Row],[Tax Parcel ID]])</f>
        <v>1</v>
      </c>
    </row>
    <row r="15" spans="1:21" ht="18" customHeight="1" x14ac:dyDescent="0.2">
      <c r="A15" s="6" t="s">
        <v>1878</v>
      </c>
      <c r="B15" s="15"/>
      <c r="C15" s="15" t="s">
        <v>2766</v>
      </c>
      <c r="D15" s="20" t="s">
        <v>1808</v>
      </c>
      <c r="E15" s="8" t="s">
        <v>1879</v>
      </c>
      <c r="F15" s="8" t="s">
        <v>1880</v>
      </c>
      <c r="G15" s="8" t="s">
        <v>1007</v>
      </c>
      <c r="H15" s="3" t="s">
        <v>26</v>
      </c>
      <c r="I15" s="8" t="s">
        <v>78</v>
      </c>
      <c r="J15" s="8" t="s">
        <v>1881</v>
      </c>
      <c r="K15" s="12" t="s">
        <v>1882</v>
      </c>
      <c r="L15" s="13"/>
      <c r="M15" s="8"/>
      <c r="N15" s="8"/>
      <c r="O15" s="8"/>
      <c r="P15" s="3" t="s">
        <v>4207</v>
      </c>
      <c r="Q15" s="11">
        <v>43861.419791666667</v>
      </c>
      <c r="R15" s="3" t="s">
        <v>4207</v>
      </c>
      <c r="S15" s="11">
        <v>43858.550127314818</v>
      </c>
      <c r="T15" s="7">
        <v>107</v>
      </c>
      <c r="U15" s="13">
        <f>COUNTIF('TAX Parcel Status Report'!$A$6:$A$290,SP_TaxPar_DB[[#This Row],[Tax Parcel ID]])</f>
        <v>1</v>
      </c>
    </row>
    <row r="16" spans="1:21" ht="18" customHeight="1" x14ac:dyDescent="0.2">
      <c r="A16" s="47" t="s">
        <v>1883</v>
      </c>
      <c r="B16" s="15"/>
      <c r="C16" s="15" t="s">
        <v>2771</v>
      </c>
      <c r="D16" s="20" t="s">
        <v>1808</v>
      </c>
      <c r="E16" s="8" t="s">
        <v>1884</v>
      </c>
      <c r="F16" s="8" t="s">
        <v>1885</v>
      </c>
      <c r="G16" s="8" t="s">
        <v>1886</v>
      </c>
      <c r="H16" s="3" t="s">
        <v>1887</v>
      </c>
      <c r="I16" s="8" t="s">
        <v>1888</v>
      </c>
      <c r="J16" s="8" t="s">
        <v>1889</v>
      </c>
      <c r="K16" s="12" t="s">
        <v>1890</v>
      </c>
      <c r="L16" s="13"/>
      <c r="M16" s="8"/>
      <c r="N16" s="8"/>
      <c r="O16" s="8"/>
      <c r="P16" s="3" t="s">
        <v>4207</v>
      </c>
      <c r="Q16" s="11">
        <v>43861.419849537036</v>
      </c>
      <c r="R16" s="3" t="s">
        <v>4207</v>
      </c>
      <c r="S16" s="11">
        <v>43858.550127314818</v>
      </c>
      <c r="T16" s="7">
        <v>108</v>
      </c>
      <c r="U16" s="13">
        <f>COUNTIF('TAX Parcel Status Report'!$A$6:$A$290,SP_TaxPar_DB[[#This Row],[Tax Parcel ID]])</f>
        <v>1</v>
      </c>
    </row>
    <row r="17" spans="1:21" ht="18" customHeight="1" x14ac:dyDescent="0.2">
      <c r="A17" s="47" t="s">
        <v>1891</v>
      </c>
      <c r="B17" s="15"/>
      <c r="C17" s="15" t="s">
        <v>2773</v>
      </c>
      <c r="D17" s="20" t="s">
        <v>1808</v>
      </c>
      <c r="E17" s="8" t="s">
        <v>1892</v>
      </c>
      <c r="F17" s="8" t="s">
        <v>1893</v>
      </c>
      <c r="G17" s="8" t="s">
        <v>1007</v>
      </c>
      <c r="H17" s="3" t="s">
        <v>26</v>
      </c>
      <c r="I17" s="8" t="s">
        <v>78</v>
      </c>
      <c r="J17" s="8" t="s">
        <v>1894</v>
      </c>
      <c r="K17" s="12" t="s">
        <v>1895</v>
      </c>
      <c r="L17" s="13"/>
      <c r="M17" s="8"/>
      <c r="N17" s="8"/>
      <c r="O17" s="8"/>
      <c r="P17" s="3" t="s">
        <v>4207</v>
      </c>
      <c r="Q17" s="11">
        <v>43861.419895833336</v>
      </c>
      <c r="R17" s="3" t="s">
        <v>4207</v>
      </c>
      <c r="S17" s="11">
        <v>43858.550127314818</v>
      </c>
      <c r="T17" s="7">
        <v>109</v>
      </c>
      <c r="U17" s="13">
        <f>COUNTIF('TAX Parcel Status Report'!$A$6:$A$290,SP_TaxPar_DB[[#This Row],[Tax Parcel ID]])</f>
        <v>1</v>
      </c>
    </row>
    <row r="18" spans="1:21" ht="18" customHeight="1" x14ac:dyDescent="0.2">
      <c r="A18" s="47" t="s">
        <v>1896</v>
      </c>
      <c r="B18" s="15"/>
      <c r="C18" s="15" t="s">
        <v>2778</v>
      </c>
      <c r="D18" s="20" t="s">
        <v>1808</v>
      </c>
      <c r="E18" s="8" t="s">
        <v>1897</v>
      </c>
      <c r="F18" s="8" t="s">
        <v>1898</v>
      </c>
      <c r="G18" s="8" t="s">
        <v>1007</v>
      </c>
      <c r="H18" s="3" t="s">
        <v>26</v>
      </c>
      <c r="I18" s="8" t="s">
        <v>78</v>
      </c>
      <c r="J18" s="8" t="s">
        <v>1898</v>
      </c>
      <c r="K18" s="12" t="s">
        <v>1899</v>
      </c>
      <c r="L18" s="13"/>
      <c r="M18" s="8"/>
      <c r="N18" s="8"/>
      <c r="O18" s="8"/>
      <c r="P18" s="3" t="s">
        <v>4207</v>
      </c>
      <c r="Q18" s="11">
        <v>43861.419953703706</v>
      </c>
      <c r="R18" s="3" t="s">
        <v>4207</v>
      </c>
      <c r="S18" s="11">
        <v>43858.550127314818</v>
      </c>
      <c r="T18" s="7">
        <v>110</v>
      </c>
      <c r="U18" s="13">
        <f>COUNTIF('TAX Parcel Status Report'!$A$6:$A$290,SP_TaxPar_DB[[#This Row],[Tax Parcel ID]])</f>
        <v>1</v>
      </c>
    </row>
    <row r="19" spans="1:21" ht="18" customHeight="1" x14ac:dyDescent="0.2">
      <c r="A19" s="6" t="s">
        <v>1900</v>
      </c>
      <c r="B19" s="15"/>
      <c r="C19" s="15" t="s">
        <v>2783</v>
      </c>
      <c r="D19" s="20" t="s">
        <v>1808</v>
      </c>
      <c r="E19" s="8" t="s">
        <v>1901</v>
      </c>
      <c r="F19" s="8" t="s">
        <v>1893</v>
      </c>
      <c r="G19" s="8" t="s">
        <v>1007</v>
      </c>
      <c r="H19" s="3" t="s">
        <v>26</v>
      </c>
      <c r="I19" s="8" t="s">
        <v>78</v>
      </c>
      <c r="J19" s="8" t="s">
        <v>1902</v>
      </c>
      <c r="K19" s="12" t="s">
        <v>1903</v>
      </c>
      <c r="L19" s="13"/>
      <c r="M19" s="8"/>
      <c r="N19" s="8"/>
      <c r="O19" s="8"/>
      <c r="P19" s="3" t="s">
        <v>4207</v>
      </c>
      <c r="Q19" s="11">
        <v>43861.424479166664</v>
      </c>
      <c r="R19" s="3" t="s">
        <v>4207</v>
      </c>
      <c r="S19" s="11">
        <v>43858.550127314818</v>
      </c>
      <c r="T19" s="7">
        <v>111</v>
      </c>
      <c r="U19" s="13">
        <f>COUNTIF('TAX Parcel Status Report'!$A$6:$A$290,SP_TaxPar_DB[[#This Row],[Tax Parcel ID]])</f>
        <v>1</v>
      </c>
    </row>
    <row r="20" spans="1:21" ht="18" customHeight="1" x14ac:dyDescent="0.2">
      <c r="A20" s="47" t="s">
        <v>242</v>
      </c>
      <c r="B20" s="15" t="s">
        <v>54</v>
      </c>
      <c r="C20" s="15"/>
      <c r="D20" s="20" t="s">
        <v>1811</v>
      </c>
      <c r="E20" s="8" t="s">
        <v>243</v>
      </c>
      <c r="F20" s="8" t="s">
        <v>244</v>
      </c>
      <c r="G20" s="8" t="s">
        <v>196</v>
      </c>
      <c r="H20" s="3" t="s">
        <v>26</v>
      </c>
      <c r="I20" s="8" t="s">
        <v>197</v>
      </c>
      <c r="J20" s="8" t="s">
        <v>245</v>
      </c>
      <c r="K20" s="12" t="s">
        <v>246</v>
      </c>
      <c r="L20" s="13">
        <v>0.34520000000000001</v>
      </c>
      <c r="M20" s="8"/>
      <c r="N20" s="8"/>
      <c r="O20" s="8"/>
      <c r="P20" s="3" t="s">
        <v>4207</v>
      </c>
      <c r="Q20" s="11">
        <v>43851.576539351852</v>
      </c>
      <c r="R20" s="3" t="s">
        <v>23</v>
      </c>
      <c r="S20" s="11">
        <v>43682.658506944441</v>
      </c>
      <c r="T20" s="7">
        <v>51</v>
      </c>
      <c r="U20" s="13">
        <f>COUNTIF('TAX Parcel Status Report'!$A$6:$A$290,SP_TaxPar_DB[[#This Row],[Tax Parcel ID]])</f>
        <v>1</v>
      </c>
    </row>
    <row r="21" spans="1:21" ht="18" customHeight="1" x14ac:dyDescent="0.2">
      <c r="A21" s="47" t="s">
        <v>247</v>
      </c>
      <c r="B21" s="15" t="s">
        <v>58</v>
      </c>
      <c r="C21" s="15"/>
      <c r="D21" s="20" t="s">
        <v>1811</v>
      </c>
      <c r="E21" s="8" t="s">
        <v>4727</v>
      </c>
      <c r="F21" s="8" t="s">
        <v>4728</v>
      </c>
      <c r="G21" s="8" t="s">
        <v>248</v>
      </c>
      <c r="H21" s="3" t="s">
        <v>249</v>
      </c>
      <c r="I21" s="8" t="s">
        <v>1695</v>
      </c>
      <c r="J21" s="8" t="s">
        <v>205</v>
      </c>
      <c r="K21" s="12" t="s">
        <v>250</v>
      </c>
      <c r="L21" s="13">
        <v>0.1726</v>
      </c>
      <c r="M21" s="8" t="s">
        <v>251</v>
      </c>
      <c r="N21" s="8" t="s">
        <v>252</v>
      </c>
      <c r="O21" s="8" t="s">
        <v>4729</v>
      </c>
      <c r="P21" s="3" t="s">
        <v>4205</v>
      </c>
      <c r="Q21" s="11">
        <v>43931.379525462966</v>
      </c>
      <c r="R21" s="3" t="s">
        <v>23</v>
      </c>
      <c r="S21" s="11">
        <v>43682.658506944441</v>
      </c>
      <c r="T21" s="7">
        <v>57</v>
      </c>
      <c r="U21" s="13">
        <f>COUNTIF('TAX Parcel Status Report'!$A$6:$A$290,SP_TaxPar_DB[[#This Row],[Tax Parcel ID]])</f>
        <v>1</v>
      </c>
    </row>
    <row r="22" spans="1:21" ht="18" customHeight="1" x14ac:dyDescent="0.2">
      <c r="A22" s="47" t="s">
        <v>253</v>
      </c>
      <c r="B22" s="15" t="s">
        <v>57</v>
      </c>
      <c r="C22" s="15"/>
      <c r="D22" s="20" t="s">
        <v>1811</v>
      </c>
      <c r="E22" s="8" t="s">
        <v>254</v>
      </c>
      <c r="F22" s="8" t="s">
        <v>255</v>
      </c>
      <c r="G22" s="8" t="s">
        <v>77</v>
      </c>
      <c r="H22" s="3" t="s">
        <v>26</v>
      </c>
      <c r="I22" s="8" t="s">
        <v>78</v>
      </c>
      <c r="J22" s="8" t="s">
        <v>200</v>
      </c>
      <c r="K22" s="12" t="s">
        <v>256</v>
      </c>
      <c r="L22" s="13">
        <v>9.6600000000000005E-2</v>
      </c>
      <c r="M22" s="8" t="s">
        <v>257</v>
      </c>
      <c r="N22" s="8" t="s">
        <v>258</v>
      </c>
      <c r="O22" s="8"/>
      <c r="P22" s="3" t="s">
        <v>4207</v>
      </c>
      <c r="Q22" s="11">
        <v>43851.576574074075</v>
      </c>
      <c r="R22" s="3" t="s">
        <v>23</v>
      </c>
      <c r="S22" s="11">
        <v>43682.658506944441</v>
      </c>
      <c r="T22" s="7">
        <v>55</v>
      </c>
      <c r="U22" s="13">
        <f>COUNTIF('TAX Parcel Status Report'!$A$6:$A$290,SP_TaxPar_DB[[#This Row],[Tax Parcel ID]])</f>
        <v>1</v>
      </c>
    </row>
    <row r="23" spans="1:21" ht="18" customHeight="1" x14ac:dyDescent="0.2">
      <c r="A23" s="47" t="s">
        <v>259</v>
      </c>
      <c r="B23" s="15" t="s">
        <v>57</v>
      </c>
      <c r="C23" s="15"/>
      <c r="D23" s="20" t="s">
        <v>1811</v>
      </c>
      <c r="E23" s="8" t="s">
        <v>254</v>
      </c>
      <c r="F23" s="8" t="s">
        <v>255</v>
      </c>
      <c r="G23" s="8" t="s">
        <v>77</v>
      </c>
      <c r="H23" s="3" t="s">
        <v>26</v>
      </c>
      <c r="I23" s="8" t="s">
        <v>78</v>
      </c>
      <c r="J23" s="8" t="s">
        <v>200</v>
      </c>
      <c r="K23" s="12" t="s">
        <v>260</v>
      </c>
      <c r="L23" s="13">
        <v>9.6600000000000005E-2</v>
      </c>
      <c r="M23" s="8" t="s">
        <v>257</v>
      </c>
      <c r="N23" s="8" t="s">
        <v>261</v>
      </c>
      <c r="O23" s="8"/>
      <c r="P23" s="3" t="s">
        <v>4207</v>
      </c>
      <c r="Q23" s="11">
        <v>43851.576585648145</v>
      </c>
      <c r="R23" s="3" t="s">
        <v>23</v>
      </c>
      <c r="S23" s="11">
        <v>43682.658506944441</v>
      </c>
      <c r="T23" s="7">
        <v>56</v>
      </c>
      <c r="U23" s="13">
        <f>COUNTIF('TAX Parcel Status Report'!$A$6:$A$290,SP_TaxPar_DB[[#This Row],[Tax Parcel ID]])</f>
        <v>1</v>
      </c>
    </row>
    <row r="24" spans="1:21" ht="18" customHeight="1" x14ac:dyDescent="0.2">
      <c r="A24" s="47" t="s">
        <v>262</v>
      </c>
      <c r="B24" s="15" t="s">
        <v>55</v>
      </c>
      <c r="C24" s="15"/>
      <c r="D24" s="20" t="s">
        <v>1811</v>
      </c>
      <c r="E24" s="8" t="s">
        <v>199</v>
      </c>
      <c r="F24" s="8" t="s">
        <v>263</v>
      </c>
      <c r="G24" s="8" t="s">
        <v>77</v>
      </c>
      <c r="H24" s="3" t="s">
        <v>26</v>
      </c>
      <c r="I24" s="8" t="s">
        <v>78</v>
      </c>
      <c r="J24" s="8" t="s">
        <v>200</v>
      </c>
      <c r="K24" s="12" t="s">
        <v>264</v>
      </c>
      <c r="L24" s="13">
        <v>9.6600000000000005E-2</v>
      </c>
      <c r="M24" s="8" t="s">
        <v>257</v>
      </c>
      <c r="N24" s="8" t="s">
        <v>265</v>
      </c>
      <c r="O24" s="8"/>
      <c r="P24" s="3" t="s">
        <v>4207</v>
      </c>
      <c r="Q24" s="11">
        <v>43851.576550925929</v>
      </c>
      <c r="R24" s="3" t="s">
        <v>23</v>
      </c>
      <c r="S24" s="11">
        <v>43682.658506944441</v>
      </c>
      <c r="T24" s="7">
        <v>52</v>
      </c>
      <c r="U24" s="13">
        <f>COUNTIF('TAX Parcel Status Report'!$A$6:$A$290,SP_TaxPar_DB[[#This Row],[Tax Parcel ID]])</f>
        <v>1</v>
      </c>
    </row>
    <row r="25" spans="1:21" ht="18" customHeight="1" x14ac:dyDescent="0.2">
      <c r="A25" s="6" t="s">
        <v>266</v>
      </c>
      <c r="B25" s="15" t="s">
        <v>53</v>
      </c>
      <c r="C25" s="15"/>
      <c r="D25" s="20" t="s">
        <v>1811</v>
      </c>
      <c r="E25" s="8" t="s">
        <v>1713</v>
      </c>
      <c r="F25" s="8" t="s">
        <v>267</v>
      </c>
      <c r="G25" s="8" t="s">
        <v>77</v>
      </c>
      <c r="H25" s="3" t="s">
        <v>26</v>
      </c>
      <c r="I25" s="8" t="s">
        <v>78</v>
      </c>
      <c r="J25" s="8" t="s">
        <v>192</v>
      </c>
      <c r="K25" s="12" t="s">
        <v>268</v>
      </c>
      <c r="L25" s="13">
        <v>0.19309999999999999</v>
      </c>
      <c r="M25" s="8" t="s">
        <v>257</v>
      </c>
      <c r="N25" s="8"/>
      <c r="O25" s="8" t="s">
        <v>269</v>
      </c>
      <c r="P25" s="3" t="s">
        <v>4207</v>
      </c>
      <c r="Q25" s="11">
        <v>43851.576539351852</v>
      </c>
      <c r="R25" s="3" t="s">
        <v>23</v>
      </c>
      <c r="S25" s="11">
        <v>43682.658506944441</v>
      </c>
      <c r="T25" s="7">
        <v>50</v>
      </c>
      <c r="U25" s="13">
        <f>COUNTIF('TAX Parcel Status Report'!$A$6:$A$290,SP_TaxPar_DB[[#This Row],[Tax Parcel ID]])</f>
        <v>1</v>
      </c>
    </row>
    <row r="26" spans="1:21" ht="18" customHeight="1" x14ac:dyDescent="0.2">
      <c r="A26" s="47" t="s">
        <v>270</v>
      </c>
      <c r="B26" s="15" t="s">
        <v>56</v>
      </c>
      <c r="C26" s="15"/>
      <c r="D26" s="20" t="s">
        <v>1811</v>
      </c>
      <c r="E26" s="8" t="s">
        <v>271</v>
      </c>
      <c r="F26" s="8" t="s">
        <v>263</v>
      </c>
      <c r="G26" s="8" t="s">
        <v>77</v>
      </c>
      <c r="H26" s="3" t="s">
        <v>26</v>
      </c>
      <c r="I26" s="8" t="s">
        <v>78</v>
      </c>
      <c r="J26" s="8" t="s">
        <v>202</v>
      </c>
      <c r="K26" s="12" t="s">
        <v>272</v>
      </c>
      <c r="L26" s="13">
        <v>9.6299999999999997E-2</v>
      </c>
      <c r="M26" s="8" t="s">
        <v>251</v>
      </c>
      <c r="N26" s="8" t="s">
        <v>273</v>
      </c>
      <c r="O26" s="8"/>
      <c r="P26" s="3" t="s">
        <v>4207</v>
      </c>
      <c r="Q26" s="11">
        <v>43851.576562499999</v>
      </c>
      <c r="R26" s="3" t="s">
        <v>23</v>
      </c>
      <c r="S26" s="11">
        <v>43682.658506944441</v>
      </c>
      <c r="T26" s="7">
        <v>53</v>
      </c>
      <c r="U26" s="13">
        <f>COUNTIF('TAX Parcel Status Report'!$A$6:$A$290,SP_TaxPar_DB[[#This Row],[Tax Parcel ID]])</f>
        <v>1</v>
      </c>
    </row>
    <row r="27" spans="1:21" ht="18" customHeight="1" x14ac:dyDescent="0.2">
      <c r="A27" s="6" t="s">
        <v>274</v>
      </c>
      <c r="B27" s="15" t="s">
        <v>56</v>
      </c>
      <c r="C27" s="15"/>
      <c r="D27" s="20" t="s">
        <v>1811</v>
      </c>
      <c r="E27" s="8" t="s">
        <v>271</v>
      </c>
      <c r="F27" s="8" t="s">
        <v>263</v>
      </c>
      <c r="G27" s="8" t="s">
        <v>77</v>
      </c>
      <c r="H27" s="3" t="s">
        <v>26</v>
      </c>
      <c r="I27" s="8" t="s">
        <v>78</v>
      </c>
      <c r="J27" s="8" t="s">
        <v>202</v>
      </c>
      <c r="K27" s="12" t="s">
        <v>275</v>
      </c>
      <c r="L27" s="13">
        <v>0.1923</v>
      </c>
      <c r="M27" s="8" t="s">
        <v>251</v>
      </c>
      <c r="N27" s="8" t="s">
        <v>273</v>
      </c>
      <c r="O27" s="8" t="s">
        <v>276</v>
      </c>
      <c r="P27" s="3" t="s">
        <v>4207</v>
      </c>
      <c r="Q27" s="11">
        <v>43851.576562499999</v>
      </c>
      <c r="R27" s="3" t="s">
        <v>23</v>
      </c>
      <c r="S27" s="11">
        <v>43682.658506944441</v>
      </c>
      <c r="T27" s="7">
        <v>54</v>
      </c>
      <c r="U27" s="13">
        <f>COUNTIF('TAX Parcel Status Report'!$A$6:$A$290,SP_TaxPar_DB[[#This Row],[Tax Parcel ID]])</f>
        <v>1</v>
      </c>
    </row>
    <row r="28" spans="1:21" ht="18" customHeight="1" x14ac:dyDescent="0.2">
      <c r="A28" s="6" t="s">
        <v>277</v>
      </c>
      <c r="B28" s="15" t="s">
        <v>30</v>
      </c>
      <c r="C28" s="15"/>
      <c r="D28" s="20" t="s">
        <v>1811</v>
      </c>
      <c r="E28" s="8" t="s">
        <v>278</v>
      </c>
      <c r="F28" s="8" t="s">
        <v>279</v>
      </c>
      <c r="G28" s="8" t="s">
        <v>280</v>
      </c>
      <c r="H28" s="3" t="s">
        <v>281</v>
      </c>
      <c r="I28" s="8" t="s">
        <v>282</v>
      </c>
      <c r="J28" s="8" t="s">
        <v>1720</v>
      </c>
      <c r="K28" s="12" t="s">
        <v>283</v>
      </c>
      <c r="L28" s="13">
        <v>6.3771000000000004</v>
      </c>
      <c r="M28" s="8" t="s">
        <v>284</v>
      </c>
      <c r="N28" s="8"/>
      <c r="O28" s="8"/>
      <c r="P28" s="3" t="s">
        <v>4207</v>
      </c>
      <c r="Q28" s="11">
        <v>43851.575891203705</v>
      </c>
      <c r="R28" s="3" t="s">
        <v>23</v>
      </c>
      <c r="S28" s="11">
        <v>43682.658495370371</v>
      </c>
      <c r="T28" s="7">
        <v>4</v>
      </c>
      <c r="U28" s="13">
        <f>COUNTIF('TAX Parcel Status Report'!$A$6:$A$290,SP_TaxPar_DB[[#This Row],[Tax Parcel ID]])</f>
        <v>1</v>
      </c>
    </row>
    <row r="29" spans="1:21" ht="18" customHeight="1" x14ac:dyDescent="0.2">
      <c r="A29" s="47" t="s">
        <v>1904</v>
      </c>
      <c r="B29" s="15"/>
      <c r="C29" s="15" t="s">
        <v>2788</v>
      </c>
      <c r="D29" s="20" t="s">
        <v>1808</v>
      </c>
      <c r="E29" s="8" t="s">
        <v>1905</v>
      </c>
      <c r="F29" s="8" t="s">
        <v>1906</v>
      </c>
      <c r="G29" s="8" t="s">
        <v>1907</v>
      </c>
      <c r="H29" s="3" t="s">
        <v>281</v>
      </c>
      <c r="I29" s="8" t="s">
        <v>282</v>
      </c>
      <c r="J29" s="8" t="s">
        <v>1908</v>
      </c>
      <c r="K29" s="12" t="s">
        <v>1909</v>
      </c>
      <c r="L29" s="13"/>
      <c r="M29" s="8"/>
      <c r="N29" s="8"/>
      <c r="O29" s="8"/>
      <c r="P29" s="3" t="s">
        <v>4207</v>
      </c>
      <c r="Q29" s="11">
        <v>43861.424629629626</v>
      </c>
      <c r="R29" s="3" t="s">
        <v>4207</v>
      </c>
      <c r="S29" s="11">
        <v>43858.550127314818</v>
      </c>
      <c r="T29" s="7">
        <v>112</v>
      </c>
      <c r="U29" s="13">
        <f>COUNTIF('TAX Parcel Status Report'!$A$6:$A$290,SP_TaxPar_DB[[#This Row],[Tax Parcel ID]])</f>
        <v>1</v>
      </c>
    </row>
    <row r="30" spans="1:21" ht="18" customHeight="1" x14ac:dyDescent="0.2">
      <c r="A30" s="6" t="s">
        <v>1910</v>
      </c>
      <c r="B30" s="15"/>
      <c r="C30" s="15" t="s">
        <v>2793</v>
      </c>
      <c r="D30" s="20" t="s">
        <v>1808</v>
      </c>
      <c r="E30" s="8" t="s">
        <v>1911</v>
      </c>
      <c r="F30" s="8" t="s">
        <v>1912</v>
      </c>
      <c r="G30" s="8" t="s">
        <v>1913</v>
      </c>
      <c r="H30" s="3" t="s">
        <v>26</v>
      </c>
      <c r="I30" s="8" t="s">
        <v>1914</v>
      </c>
      <c r="J30" s="8" t="s">
        <v>1915</v>
      </c>
      <c r="K30" s="12" t="s">
        <v>1916</v>
      </c>
      <c r="L30" s="13"/>
      <c r="M30" s="8"/>
      <c r="N30" s="8"/>
      <c r="O30" s="8"/>
      <c r="P30" s="3" t="s">
        <v>4207</v>
      </c>
      <c r="Q30" s="11">
        <v>43861.424699074072</v>
      </c>
      <c r="R30" s="3" t="s">
        <v>4207</v>
      </c>
      <c r="S30" s="11">
        <v>43858.550127314818</v>
      </c>
      <c r="T30" s="7">
        <v>113</v>
      </c>
      <c r="U30" s="13">
        <f>COUNTIF('TAX Parcel Status Report'!$A$6:$A$290,SP_TaxPar_DB[[#This Row],[Tax Parcel ID]])</f>
        <v>1</v>
      </c>
    </row>
    <row r="31" spans="1:21" ht="18" customHeight="1" x14ac:dyDescent="0.2">
      <c r="A31" s="6" t="s">
        <v>1917</v>
      </c>
      <c r="B31" s="15"/>
      <c r="C31" s="15" t="s">
        <v>2798</v>
      </c>
      <c r="D31" s="20" t="s">
        <v>1808</v>
      </c>
      <c r="E31" s="8" t="s">
        <v>1918</v>
      </c>
      <c r="F31" s="8" t="s">
        <v>1919</v>
      </c>
      <c r="G31" s="8" t="s">
        <v>1007</v>
      </c>
      <c r="H31" s="3" t="s">
        <v>26</v>
      </c>
      <c r="I31" s="8" t="s">
        <v>78</v>
      </c>
      <c r="J31" s="8" t="s">
        <v>1919</v>
      </c>
      <c r="K31" s="12" t="s">
        <v>1920</v>
      </c>
      <c r="L31" s="13"/>
      <c r="M31" s="8"/>
      <c r="N31" s="8"/>
      <c r="O31" s="8"/>
      <c r="P31" s="3" t="s">
        <v>4207</v>
      </c>
      <c r="Q31" s="11">
        <v>43861.424791666665</v>
      </c>
      <c r="R31" s="3" t="s">
        <v>4207</v>
      </c>
      <c r="S31" s="11">
        <v>43858.550127314818</v>
      </c>
      <c r="T31" s="7">
        <v>114</v>
      </c>
      <c r="U31" s="13">
        <f>COUNTIF('TAX Parcel Status Report'!$A$6:$A$290,SP_TaxPar_DB[[#This Row],[Tax Parcel ID]])</f>
        <v>1</v>
      </c>
    </row>
    <row r="32" spans="1:21" ht="18" customHeight="1" x14ac:dyDescent="0.2">
      <c r="A32" s="47" t="s">
        <v>1921</v>
      </c>
      <c r="B32" s="15"/>
      <c r="C32" s="15" t="s">
        <v>2803</v>
      </c>
      <c r="D32" s="20" t="s">
        <v>1808</v>
      </c>
      <c r="E32" s="8" t="s">
        <v>1922</v>
      </c>
      <c r="F32" s="8" t="s">
        <v>1923</v>
      </c>
      <c r="G32" s="8" t="s">
        <v>1924</v>
      </c>
      <c r="H32" s="3" t="s">
        <v>26</v>
      </c>
      <c r="I32" s="8" t="s">
        <v>1925</v>
      </c>
      <c r="J32" s="8" t="s">
        <v>1926</v>
      </c>
      <c r="K32" s="12" t="s">
        <v>1927</v>
      </c>
      <c r="L32" s="13"/>
      <c r="M32" s="8"/>
      <c r="N32" s="8"/>
      <c r="O32" s="8"/>
      <c r="P32" s="3" t="s">
        <v>4207</v>
      </c>
      <c r="Q32" s="11">
        <v>43861.424907407411</v>
      </c>
      <c r="R32" s="3" t="s">
        <v>4207</v>
      </c>
      <c r="S32" s="11">
        <v>43858.550127314818</v>
      </c>
      <c r="T32" s="7">
        <v>115</v>
      </c>
      <c r="U32" s="13">
        <f>COUNTIF('TAX Parcel Status Report'!$A$6:$A$290,SP_TaxPar_DB[[#This Row],[Tax Parcel ID]])</f>
        <v>1</v>
      </c>
    </row>
    <row r="33" spans="1:21" ht="18" customHeight="1" x14ac:dyDescent="0.2">
      <c r="A33" s="47" t="s">
        <v>1928</v>
      </c>
      <c r="B33" s="15"/>
      <c r="C33" s="15" t="s">
        <v>2808</v>
      </c>
      <c r="D33" s="20" t="s">
        <v>1808</v>
      </c>
      <c r="E33" s="8" t="s">
        <v>1929</v>
      </c>
      <c r="F33" s="8" t="s">
        <v>1930</v>
      </c>
      <c r="G33" s="8" t="s">
        <v>1907</v>
      </c>
      <c r="H33" s="3" t="s">
        <v>281</v>
      </c>
      <c r="I33" s="8" t="s">
        <v>1931</v>
      </c>
      <c r="J33" s="8" t="s">
        <v>1926</v>
      </c>
      <c r="K33" s="12" t="s">
        <v>1932</v>
      </c>
      <c r="L33" s="13"/>
      <c r="M33" s="8"/>
      <c r="N33" s="8"/>
      <c r="O33" s="8"/>
      <c r="P33" s="3" t="s">
        <v>4207</v>
      </c>
      <c r="Q33" s="11">
        <v>43861.424953703703</v>
      </c>
      <c r="R33" s="3" t="s">
        <v>4207</v>
      </c>
      <c r="S33" s="11">
        <v>43858.550127314818</v>
      </c>
      <c r="T33" s="7">
        <v>116</v>
      </c>
      <c r="U33" s="13">
        <f>COUNTIF('TAX Parcel Status Report'!$A$6:$A$290,SP_TaxPar_DB[[#This Row],[Tax Parcel ID]])</f>
        <v>1</v>
      </c>
    </row>
    <row r="34" spans="1:21" ht="15" x14ac:dyDescent="0.2">
      <c r="A34" s="47" t="s">
        <v>1933</v>
      </c>
      <c r="B34" s="15"/>
      <c r="C34" s="15" t="s">
        <v>2813</v>
      </c>
      <c r="D34" s="20" t="s">
        <v>1808</v>
      </c>
      <c r="E34" s="8" t="s">
        <v>1934</v>
      </c>
      <c r="F34" s="8" t="s">
        <v>1919</v>
      </c>
      <c r="G34" s="8" t="s">
        <v>1007</v>
      </c>
      <c r="H34" s="3" t="s">
        <v>26</v>
      </c>
      <c r="I34" s="8" t="s">
        <v>78</v>
      </c>
      <c r="J34" s="8" t="s">
        <v>1666</v>
      </c>
      <c r="K34" s="12" t="s">
        <v>1935</v>
      </c>
      <c r="L34" s="13"/>
      <c r="M34" s="8"/>
      <c r="N34" s="8"/>
      <c r="O34" s="8"/>
      <c r="P34" s="3" t="s">
        <v>4207</v>
      </c>
      <c r="Q34" s="11">
        <v>43861.425000000003</v>
      </c>
      <c r="R34" s="3" t="s">
        <v>4207</v>
      </c>
      <c r="S34" s="11">
        <v>43858.550127314818</v>
      </c>
      <c r="T34" s="7">
        <v>117</v>
      </c>
      <c r="U34" s="13">
        <f>COUNTIF('TAX Parcel Status Report'!$A$6:$A$290,SP_TaxPar_DB[[#This Row],[Tax Parcel ID]])</f>
        <v>1</v>
      </c>
    </row>
    <row r="35" spans="1:21" ht="18" customHeight="1" x14ac:dyDescent="0.2">
      <c r="A35" s="47" t="s">
        <v>1936</v>
      </c>
      <c r="B35" s="15"/>
      <c r="C35" s="15" t="s">
        <v>2818</v>
      </c>
      <c r="D35" s="20" t="s">
        <v>1808</v>
      </c>
      <c r="E35" s="8" t="s">
        <v>1937</v>
      </c>
      <c r="F35" s="8" t="s">
        <v>1938</v>
      </c>
      <c r="G35" s="8" t="s">
        <v>1007</v>
      </c>
      <c r="H35" s="3" t="s">
        <v>26</v>
      </c>
      <c r="I35" s="8" t="s">
        <v>78</v>
      </c>
      <c r="J35" s="8" t="s">
        <v>1666</v>
      </c>
      <c r="K35" s="12" t="s">
        <v>1939</v>
      </c>
      <c r="L35" s="13"/>
      <c r="M35" s="8"/>
      <c r="N35" s="8"/>
      <c r="O35" s="8"/>
      <c r="P35" s="3" t="s">
        <v>4207</v>
      </c>
      <c r="Q35" s="11">
        <v>43861.425046296295</v>
      </c>
      <c r="R35" s="3" t="s">
        <v>4207</v>
      </c>
      <c r="S35" s="11">
        <v>43858.550127314818</v>
      </c>
      <c r="T35" s="7">
        <v>118</v>
      </c>
      <c r="U35" s="13">
        <f>COUNTIF('TAX Parcel Status Report'!$A$6:$A$290,SP_TaxPar_DB[[#This Row],[Tax Parcel ID]])</f>
        <v>1</v>
      </c>
    </row>
    <row r="36" spans="1:21" ht="18" customHeight="1" x14ac:dyDescent="0.2">
      <c r="A36" s="47" t="s">
        <v>1940</v>
      </c>
      <c r="B36" s="15"/>
      <c r="C36" s="15" t="s">
        <v>2823</v>
      </c>
      <c r="D36" s="20" t="s">
        <v>1808</v>
      </c>
      <c r="E36" s="8" t="s">
        <v>1937</v>
      </c>
      <c r="F36" s="8" t="s">
        <v>1938</v>
      </c>
      <c r="G36" s="8" t="s">
        <v>1007</v>
      </c>
      <c r="H36" s="3" t="s">
        <v>26</v>
      </c>
      <c r="I36" s="8" t="s">
        <v>78</v>
      </c>
      <c r="J36" s="8" t="s">
        <v>1666</v>
      </c>
      <c r="K36" s="12" t="s">
        <v>1941</v>
      </c>
      <c r="L36" s="13"/>
      <c r="M36" s="8"/>
      <c r="N36" s="8"/>
      <c r="O36" s="8"/>
      <c r="P36" s="3" t="s">
        <v>4207</v>
      </c>
      <c r="Q36" s="11">
        <v>43861.425532407404</v>
      </c>
      <c r="R36" s="3" t="s">
        <v>4207</v>
      </c>
      <c r="S36" s="11">
        <v>43858.550127314818</v>
      </c>
      <c r="T36" s="7">
        <v>119</v>
      </c>
      <c r="U36" s="13">
        <f>COUNTIF('TAX Parcel Status Report'!$A$6:$A$290,SP_TaxPar_DB[[#This Row],[Tax Parcel ID]])</f>
        <v>1</v>
      </c>
    </row>
    <row r="37" spans="1:21" ht="18" customHeight="1" x14ac:dyDescent="0.2">
      <c r="A37" s="47" t="s">
        <v>1942</v>
      </c>
      <c r="B37" s="15"/>
      <c r="C37" s="15" t="s">
        <v>2698</v>
      </c>
      <c r="D37" s="20" t="s">
        <v>1808</v>
      </c>
      <c r="E37" s="8" t="s">
        <v>1943</v>
      </c>
      <c r="F37" s="8" t="s">
        <v>1944</v>
      </c>
      <c r="G37" s="8" t="s">
        <v>1832</v>
      </c>
      <c r="H37" s="3" t="s">
        <v>26</v>
      </c>
      <c r="I37" s="8" t="s">
        <v>1945</v>
      </c>
      <c r="J37" s="8" t="s">
        <v>1946</v>
      </c>
      <c r="K37" s="12" t="s">
        <v>1947</v>
      </c>
      <c r="L37" s="13"/>
      <c r="M37" s="8"/>
      <c r="N37" s="8"/>
      <c r="O37" s="8"/>
      <c r="P37" s="3" t="s">
        <v>4207</v>
      </c>
      <c r="Q37" s="11">
        <v>43861.425578703704</v>
      </c>
      <c r="R37" s="3" t="s">
        <v>4207</v>
      </c>
      <c r="S37" s="11">
        <v>43858.550127314818</v>
      </c>
      <c r="T37" s="7">
        <v>120</v>
      </c>
      <c r="U37" s="13">
        <f>COUNTIF('TAX Parcel Status Report'!$A$6:$A$290,SP_TaxPar_DB[[#This Row],[Tax Parcel ID]])</f>
        <v>1</v>
      </c>
    </row>
    <row r="38" spans="1:21" ht="18" customHeight="1" x14ac:dyDescent="0.2">
      <c r="A38" s="47" t="s">
        <v>285</v>
      </c>
      <c r="B38" s="15" t="s">
        <v>39</v>
      </c>
      <c r="C38" s="15"/>
      <c r="D38" s="20" t="s">
        <v>1811</v>
      </c>
      <c r="E38" s="8" t="s">
        <v>114</v>
      </c>
      <c r="F38" s="8" t="s">
        <v>224</v>
      </c>
      <c r="G38" s="8" t="s">
        <v>77</v>
      </c>
      <c r="H38" s="3" t="s">
        <v>26</v>
      </c>
      <c r="I38" s="8" t="s">
        <v>78</v>
      </c>
      <c r="J38" s="8" t="s">
        <v>115</v>
      </c>
      <c r="K38" s="12" t="s">
        <v>287</v>
      </c>
      <c r="L38" s="13">
        <v>18.962700000000002</v>
      </c>
      <c r="M38" s="8"/>
      <c r="N38" s="8"/>
      <c r="O38" s="8"/>
      <c r="P38" s="3" t="s">
        <v>4207</v>
      </c>
      <c r="Q38" s="11">
        <v>43851.576122685183</v>
      </c>
      <c r="R38" s="3" t="s">
        <v>23</v>
      </c>
      <c r="S38" s="11">
        <v>43682.658506944441</v>
      </c>
      <c r="T38" s="7">
        <v>22</v>
      </c>
      <c r="U38" s="13">
        <f>COUNTIF('TAX Parcel Status Report'!$A$6:$A$290,SP_TaxPar_DB[[#This Row],[Tax Parcel ID]])</f>
        <v>1</v>
      </c>
    </row>
    <row r="39" spans="1:21" ht="18" customHeight="1" x14ac:dyDescent="0.2">
      <c r="A39" s="6" t="s">
        <v>1948</v>
      </c>
      <c r="B39" s="15"/>
      <c r="C39" s="15" t="s">
        <v>2831</v>
      </c>
      <c r="D39" s="20" t="s">
        <v>1808</v>
      </c>
      <c r="E39" s="8" t="s">
        <v>1949</v>
      </c>
      <c r="F39" s="8" t="s">
        <v>1950</v>
      </c>
      <c r="G39" s="8" t="s">
        <v>1007</v>
      </c>
      <c r="H39" s="3" t="s">
        <v>26</v>
      </c>
      <c r="I39" s="8" t="s">
        <v>78</v>
      </c>
      <c r="J39" s="8" t="s">
        <v>1950</v>
      </c>
      <c r="K39" s="12" t="s">
        <v>1951</v>
      </c>
      <c r="L39" s="13"/>
      <c r="M39" s="8"/>
      <c r="N39" s="8"/>
      <c r="O39" s="8"/>
      <c r="P39" s="3" t="s">
        <v>4207</v>
      </c>
      <c r="Q39" s="11">
        <v>43861.425636574073</v>
      </c>
      <c r="R39" s="3" t="s">
        <v>4207</v>
      </c>
      <c r="S39" s="11">
        <v>43858.550127314818</v>
      </c>
      <c r="T39" s="7">
        <v>121</v>
      </c>
      <c r="U39" s="13">
        <f>COUNTIF('TAX Parcel Status Report'!$A$6:$A$290,SP_TaxPar_DB[[#This Row],[Tax Parcel ID]])</f>
        <v>1</v>
      </c>
    </row>
    <row r="40" spans="1:21" ht="18" customHeight="1" x14ac:dyDescent="0.2">
      <c r="A40" s="47" t="s">
        <v>1952</v>
      </c>
      <c r="B40" s="15"/>
      <c r="C40" s="15" t="s">
        <v>2836</v>
      </c>
      <c r="D40" s="20" t="s">
        <v>1808</v>
      </c>
      <c r="E40" s="8" t="s">
        <v>1953</v>
      </c>
      <c r="F40" s="8" t="s">
        <v>1954</v>
      </c>
      <c r="G40" s="8" t="s">
        <v>1007</v>
      </c>
      <c r="H40" s="3" t="s">
        <v>26</v>
      </c>
      <c r="I40" s="8" t="s">
        <v>1955</v>
      </c>
      <c r="J40" s="8" t="s">
        <v>1956</v>
      </c>
      <c r="K40" s="12" t="s">
        <v>1957</v>
      </c>
      <c r="L40" s="13"/>
      <c r="M40" s="8"/>
      <c r="N40" s="8"/>
      <c r="O40" s="8"/>
      <c r="P40" s="3" t="s">
        <v>4207</v>
      </c>
      <c r="Q40" s="11">
        <v>43861.425682870373</v>
      </c>
      <c r="R40" s="3" t="s">
        <v>4207</v>
      </c>
      <c r="S40" s="11">
        <v>43858.550127314818</v>
      </c>
      <c r="T40" s="7">
        <v>122</v>
      </c>
      <c r="U40" s="13">
        <f>COUNTIF('TAX Parcel Status Report'!$A$6:$A$290,SP_TaxPar_DB[[#This Row],[Tax Parcel ID]])</f>
        <v>1</v>
      </c>
    </row>
    <row r="41" spans="1:21" ht="18" customHeight="1" x14ac:dyDescent="0.2">
      <c r="A41" s="47" t="s">
        <v>167</v>
      </c>
      <c r="B41" s="15" t="s">
        <v>45</v>
      </c>
      <c r="C41" s="15"/>
      <c r="D41" s="20" t="s">
        <v>1811</v>
      </c>
      <c r="E41" s="8" t="s">
        <v>288</v>
      </c>
      <c r="F41" s="8" t="s">
        <v>66</v>
      </c>
      <c r="G41" s="8" t="s">
        <v>25</v>
      </c>
      <c r="H41" s="3" t="s">
        <v>26</v>
      </c>
      <c r="I41" s="8" t="s">
        <v>289</v>
      </c>
      <c r="J41" s="8"/>
      <c r="K41" s="12" t="s">
        <v>290</v>
      </c>
      <c r="L41" s="13">
        <v>1.8540000000000001</v>
      </c>
      <c r="M41" s="8" t="s">
        <v>291</v>
      </c>
      <c r="N41" s="8"/>
      <c r="O41" s="8"/>
      <c r="P41" s="3" t="s">
        <v>4207</v>
      </c>
      <c r="Q41" s="11">
        <v>43851.576342592591</v>
      </c>
      <c r="R41" s="3" t="s">
        <v>23</v>
      </c>
      <c r="S41" s="11">
        <v>43682.658506944441</v>
      </c>
      <c r="T41" s="7">
        <v>39</v>
      </c>
      <c r="U41" s="13">
        <f>COUNTIF('TAX Parcel Status Report'!$A$6:$A$290,SP_TaxPar_DB[[#This Row],[Tax Parcel ID]])</f>
        <v>1</v>
      </c>
    </row>
    <row r="42" spans="1:21" ht="18" customHeight="1" x14ac:dyDescent="0.2">
      <c r="A42" s="6" t="s">
        <v>1958</v>
      </c>
      <c r="B42" s="15"/>
      <c r="C42" s="15" t="s">
        <v>2841</v>
      </c>
      <c r="D42" s="20" t="s">
        <v>1808</v>
      </c>
      <c r="E42" s="8" t="s">
        <v>1959</v>
      </c>
      <c r="F42" s="8" t="s">
        <v>1960</v>
      </c>
      <c r="G42" s="8" t="s">
        <v>1007</v>
      </c>
      <c r="H42" s="3" t="s">
        <v>26</v>
      </c>
      <c r="I42" s="8" t="s">
        <v>78</v>
      </c>
      <c r="J42" s="8" t="s">
        <v>1960</v>
      </c>
      <c r="K42" s="12" t="s">
        <v>1961</v>
      </c>
      <c r="L42" s="13"/>
      <c r="M42" s="8"/>
      <c r="N42" s="8"/>
      <c r="O42" s="8"/>
      <c r="P42" s="3" t="s">
        <v>4207</v>
      </c>
      <c r="Q42" s="11">
        <v>43861.425729166665</v>
      </c>
      <c r="R42" s="3" t="s">
        <v>4207</v>
      </c>
      <c r="S42" s="11">
        <v>43858.550127314818</v>
      </c>
      <c r="T42" s="7">
        <v>123</v>
      </c>
      <c r="U42" s="13">
        <f>COUNTIF('TAX Parcel Status Report'!$A$6:$A$290,SP_TaxPar_DB[[#This Row],[Tax Parcel ID]])</f>
        <v>1</v>
      </c>
    </row>
    <row r="43" spans="1:21" ht="18" customHeight="1" x14ac:dyDescent="0.2">
      <c r="A43" s="6" t="s">
        <v>1962</v>
      </c>
      <c r="B43" s="15"/>
      <c r="C43" s="15" t="s">
        <v>2846</v>
      </c>
      <c r="D43" s="20" t="s">
        <v>1808</v>
      </c>
      <c r="E43" s="8" t="s">
        <v>1959</v>
      </c>
      <c r="F43" s="8" t="s">
        <v>1960</v>
      </c>
      <c r="G43" s="8" t="s">
        <v>1007</v>
      </c>
      <c r="H43" s="3" t="s">
        <v>26</v>
      </c>
      <c r="I43" s="8" t="s">
        <v>78</v>
      </c>
      <c r="J43" s="8" t="s">
        <v>1963</v>
      </c>
      <c r="K43" s="12" t="s">
        <v>1964</v>
      </c>
      <c r="L43" s="13"/>
      <c r="M43" s="8"/>
      <c r="N43" s="8"/>
      <c r="O43" s="8"/>
      <c r="P43" s="3" t="s">
        <v>4207</v>
      </c>
      <c r="Q43" s="11">
        <v>43861.425798611112</v>
      </c>
      <c r="R43" s="3" t="s">
        <v>4207</v>
      </c>
      <c r="S43" s="11">
        <v>43858.550127314818</v>
      </c>
      <c r="T43" s="7">
        <v>124</v>
      </c>
      <c r="U43" s="13">
        <f>COUNTIF('TAX Parcel Status Report'!$A$6:$A$290,SP_TaxPar_DB[[#This Row],[Tax Parcel ID]])</f>
        <v>1</v>
      </c>
    </row>
    <row r="44" spans="1:21" ht="18" customHeight="1" x14ac:dyDescent="0.2">
      <c r="A44" s="47" t="s">
        <v>1965</v>
      </c>
      <c r="B44" s="15"/>
      <c r="C44" s="15" t="s">
        <v>2851</v>
      </c>
      <c r="D44" s="20" t="s">
        <v>1808</v>
      </c>
      <c r="E44" s="8" t="s">
        <v>1966</v>
      </c>
      <c r="F44" s="8" t="s">
        <v>1960</v>
      </c>
      <c r="G44" s="8" t="s">
        <v>1007</v>
      </c>
      <c r="H44" s="3" t="s">
        <v>26</v>
      </c>
      <c r="I44" s="8" t="s">
        <v>78</v>
      </c>
      <c r="J44" s="8" t="s">
        <v>1967</v>
      </c>
      <c r="K44" s="12" t="s">
        <v>1968</v>
      </c>
      <c r="L44" s="13"/>
      <c r="M44" s="8"/>
      <c r="N44" s="8"/>
      <c r="O44" s="8"/>
      <c r="P44" s="3" t="s">
        <v>4207</v>
      </c>
      <c r="Q44" s="11">
        <v>43861.425856481481</v>
      </c>
      <c r="R44" s="3" t="s">
        <v>4207</v>
      </c>
      <c r="S44" s="11">
        <v>43858.550127314818</v>
      </c>
      <c r="T44" s="7">
        <v>125</v>
      </c>
      <c r="U44" s="13">
        <f>COUNTIF('TAX Parcel Status Report'!$A$6:$A$290,SP_TaxPar_DB[[#This Row],[Tax Parcel ID]])</f>
        <v>1</v>
      </c>
    </row>
    <row r="45" spans="1:21" ht="18" customHeight="1" x14ac:dyDescent="0.2">
      <c r="A45" s="47" t="s">
        <v>1969</v>
      </c>
      <c r="B45" s="15"/>
      <c r="C45" s="15" t="s">
        <v>2856</v>
      </c>
      <c r="D45" s="20" t="s">
        <v>1808</v>
      </c>
      <c r="E45" s="8" t="s">
        <v>1970</v>
      </c>
      <c r="F45" s="8" t="s">
        <v>1971</v>
      </c>
      <c r="G45" s="8" t="s">
        <v>1007</v>
      </c>
      <c r="H45" s="3" t="s">
        <v>26</v>
      </c>
      <c r="I45" s="8" t="s">
        <v>1972</v>
      </c>
      <c r="J45" s="8" t="s">
        <v>1971</v>
      </c>
      <c r="K45" s="12" t="s">
        <v>1973</v>
      </c>
      <c r="L45" s="13"/>
      <c r="M45" s="8"/>
      <c r="N45" s="8"/>
      <c r="O45" s="8"/>
      <c r="P45" s="3" t="s">
        <v>4207</v>
      </c>
      <c r="Q45" s="11">
        <v>43861.425925925927</v>
      </c>
      <c r="R45" s="3" t="s">
        <v>4207</v>
      </c>
      <c r="S45" s="11">
        <v>43858.550127314818</v>
      </c>
      <c r="T45" s="7">
        <v>126</v>
      </c>
      <c r="U45" s="13">
        <f>COUNTIF('TAX Parcel Status Report'!$A$6:$A$290,SP_TaxPar_DB[[#This Row],[Tax Parcel ID]])</f>
        <v>1</v>
      </c>
    </row>
    <row r="46" spans="1:21" ht="18" customHeight="1" x14ac:dyDescent="0.2">
      <c r="A46" s="47" t="s">
        <v>1974</v>
      </c>
      <c r="B46" s="15"/>
      <c r="C46" s="15" t="s">
        <v>2861</v>
      </c>
      <c r="D46" s="20" t="s">
        <v>1808</v>
      </c>
      <c r="E46" s="8" t="s">
        <v>1975</v>
      </c>
      <c r="F46" s="8" t="s">
        <v>1976</v>
      </c>
      <c r="G46" s="8" t="s">
        <v>1007</v>
      </c>
      <c r="H46" s="3" t="s">
        <v>26</v>
      </c>
      <c r="I46" s="8" t="s">
        <v>78</v>
      </c>
      <c r="J46" s="8" t="s">
        <v>1977</v>
      </c>
      <c r="K46" s="12" t="s">
        <v>1978</v>
      </c>
      <c r="L46" s="13"/>
      <c r="M46" s="8"/>
      <c r="N46" s="8"/>
      <c r="O46" s="8"/>
      <c r="P46" s="3" t="s">
        <v>4207</v>
      </c>
      <c r="Q46" s="11">
        <v>43861.42597222222</v>
      </c>
      <c r="R46" s="3" t="s">
        <v>4207</v>
      </c>
      <c r="S46" s="11">
        <v>43858.550127314818</v>
      </c>
      <c r="T46" s="7">
        <v>127</v>
      </c>
      <c r="U46" s="13">
        <f>COUNTIF('TAX Parcel Status Report'!$A$6:$A$290,SP_TaxPar_DB[[#This Row],[Tax Parcel ID]])</f>
        <v>1</v>
      </c>
    </row>
    <row r="47" spans="1:21" ht="18" customHeight="1" x14ac:dyDescent="0.2">
      <c r="A47" s="23" t="s">
        <v>1979</v>
      </c>
      <c r="B47" s="15"/>
      <c r="C47" s="15" t="s">
        <v>2866</v>
      </c>
      <c r="D47" s="20" t="s">
        <v>1808</v>
      </c>
      <c r="E47" s="8" t="s">
        <v>1980</v>
      </c>
      <c r="F47" s="8" t="s">
        <v>1976</v>
      </c>
      <c r="G47" s="8" t="s">
        <v>1007</v>
      </c>
      <c r="H47" s="3" t="s">
        <v>26</v>
      </c>
      <c r="I47" s="8" t="s">
        <v>78</v>
      </c>
      <c r="J47" s="8" t="s">
        <v>1976</v>
      </c>
      <c r="K47" s="12" t="s">
        <v>1981</v>
      </c>
      <c r="L47" s="13"/>
      <c r="M47" s="8"/>
      <c r="N47" s="8"/>
      <c r="O47" s="8"/>
      <c r="P47" s="3" t="s">
        <v>4207</v>
      </c>
      <c r="Q47" s="11">
        <v>43861.426041666666</v>
      </c>
      <c r="R47" s="3" t="s">
        <v>4207</v>
      </c>
      <c r="S47" s="11">
        <v>43858.550127314818</v>
      </c>
      <c r="T47" s="7">
        <v>128</v>
      </c>
      <c r="U47" s="13">
        <f>COUNTIF('TAX Parcel Status Report'!$A$6:$A$290,SP_TaxPar_DB[[#This Row],[Tax Parcel ID]])</f>
        <v>1</v>
      </c>
    </row>
    <row r="48" spans="1:21" ht="18" customHeight="1" x14ac:dyDescent="0.2">
      <c r="A48" s="6" t="s">
        <v>1982</v>
      </c>
      <c r="B48" s="15"/>
      <c r="C48" s="15" t="s">
        <v>2871</v>
      </c>
      <c r="D48" s="20" t="s">
        <v>1808</v>
      </c>
      <c r="E48" s="8" t="s">
        <v>1983</v>
      </c>
      <c r="F48" s="8" t="s">
        <v>1984</v>
      </c>
      <c r="G48" s="8" t="s">
        <v>1007</v>
      </c>
      <c r="H48" s="3" t="s">
        <v>26</v>
      </c>
      <c r="I48" s="8" t="s">
        <v>78</v>
      </c>
      <c r="J48" s="8" t="s">
        <v>1984</v>
      </c>
      <c r="K48" s="12" t="s">
        <v>1985</v>
      </c>
      <c r="L48" s="13"/>
      <c r="M48" s="8"/>
      <c r="N48" s="8"/>
      <c r="O48" s="8"/>
      <c r="P48" s="3" t="s">
        <v>4207</v>
      </c>
      <c r="Q48" s="11">
        <v>43861.426076388889</v>
      </c>
      <c r="R48" s="3" t="s">
        <v>4207</v>
      </c>
      <c r="S48" s="11">
        <v>43858.550127314818</v>
      </c>
      <c r="T48" s="7">
        <v>129</v>
      </c>
      <c r="U48" s="13">
        <f>COUNTIF('TAX Parcel Status Report'!$A$6:$A$290,SP_TaxPar_DB[[#This Row],[Tax Parcel ID]])</f>
        <v>1</v>
      </c>
    </row>
    <row r="49" spans="1:21" ht="18" customHeight="1" x14ac:dyDescent="0.2">
      <c r="A49" s="47" t="s">
        <v>1986</v>
      </c>
      <c r="B49" s="15"/>
      <c r="C49" s="15" t="s">
        <v>2876</v>
      </c>
      <c r="D49" s="20" t="s">
        <v>1808</v>
      </c>
      <c r="E49" s="8" t="s">
        <v>1987</v>
      </c>
      <c r="F49" s="8" t="s">
        <v>1988</v>
      </c>
      <c r="G49" s="8" t="s">
        <v>1007</v>
      </c>
      <c r="H49" s="3" t="s">
        <v>26</v>
      </c>
      <c r="I49" s="8" t="s">
        <v>78</v>
      </c>
      <c r="J49" s="8" t="s">
        <v>1988</v>
      </c>
      <c r="K49" s="12" t="s">
        <v>1989</v>
      </c>
      <c r="L49" s="13"/>
      <c r="M49" s="8"/>
      <c r="N49" s="8"/>
      <c r="O49" s="8"/>
      <c r="P49" s="3" t="s">
        <v>4207</v>
      </c>
      <c r="Q49" s="11">
        <v>43861.426122685189</v>
      </c>
      <c r="R49" s="3" t="s">
        <v>4207</v>
      </c>
      <c r="S49" s="11">
        <v>43858.550127314818</v>
      </c>
      <c r="T49" s="7">
        <v>130</v>
      </c>
      <c r="U49" s="13">
        <f>COUNTIF('TAX Parcel Status Report'!$A$6:$A$290,SP_TaxPar_DB[[#This Row],[Tax Parcel ID]])</f>
        <v>1</v>
      </c>
    </row>
    <row r="50" spans="1:21" ht="18" customHeight="1" x14ac:dyDescent="0.2">
      <c r="A50" s="47" t="s">
        <v>1990</v>
      </c>
      <c r="B50" s="15"/>
      <c r="C50" s="15" t="s">
        <v>2881</v>
      </c>
      <c r="D50" s="20" t="s">
        <v>1808</v>
      </c>
      <c r="E50" s="8" t="s">
        <v>1991</v>
      </c>
      <c r="F50" s="8" t="s">
        <v>1992</v>
      </c>
      <c r="G50" s="8" t="s">
        <v>1007</v>
      </c>
      <c r="H50" s="3" t="s">
        <v>26</v>
      </c>
      <c r="I50" s="8" t="s">
        <v>78</v>
      </c>
      <c r="J50" s="8" t="s">
        <v>1993</v>
      </c>
      <c r="K50" s="12" t="s">
        <v>1994</v>
      </c>
      <c r="L50" s="13"/>
      <c r="M50" s="8"/>
      <c r="N50" s="8"/>
      <c r="O50" s="8"/>
      <c r="P50" s="3" t="s">
        <v>4207</v>
      </c>
      <c r="Q50" s="11">
        <v>43861.426157407404</v>
      </c>
      <c r="R50" s="3" t="s">
        <v>4207</v>
      </c>
      <c r="S50" s="11">
        <v>43858.550127314818</v>
      </c>
      <c r="T50" s="7">
        <v>131</v>
      </c>
      <c r="U50" s="13">
        <f>COUNTIF('TAX Parcel Status Report'!$A$6:$A$290,SP_TaxPar_DB[[#This Row],[Tax Parcel ID]])</f>
        <v>1</v>
      </c>
    </row>
    <row r="51" spans="1:21" ht="18" customHeight="1" x14ac:dyDescent="0.2">
      <c r="A51" s="6" t="s">
        <v>1995</v>
      </c>
      <c r="B51" s="15"/>
      <c r="C51" s="15" t="s">
        <v>2886</v>
      </c>
      <c r="D51" s="20" t="s">
        <v>1808</v>
      </c>
      <c r="E51" s="8" t="s">
        <v>1996</v>
      </c>
      <c r="F51" s="8" t="s">
        <v>1997</v>
      </c>
      <c r="G51" s="8" t="s">
        <v>1007</v>
      </c>
      <c r="H51" s="3" t="s">
        <v>26</v>
      </c>
      <c r="I51" s="8" t="s">
        <v>78</v>
      </c>
      <c r="J51" s="8" t="s">
        <v>1997</v>
      </c>
      <c r="K51" s="12" t="s">
        <v>1998</v>
      </c>
      <c r="L51" s="13"/>
      <c r="M51" s="8"/>
      <c r="N51" s="8"/>
      <c r="O51" s="8"/>
      <c r="P51" s="3" t="s">
        <v>4207</v>
      </c>
      <c r="Q51" s="11">
        <v>43861.426249999997</v>
      </c>
      <c r="R51" s="3" t="s">
        <v>4207</v>
      </c>
      <c r="S51" s="11">
        <v>43858.550127314818</v>
      </c>
      <c r="T51" s="7">
        <v>132</v>
      </c>
      <c r="U51" s="13">
        <f>COUNTIF('TAX Parcel Status Report'!$A$6:$A$290,SP_TaxPar_DB[[#This Row],[Tax Parcel ID]])</f>
        <v>1</v>
      </c>
    </row>
    <row r="52" spans="1:21" ht="18" customHeight="1" x14ac:dyDescent="0.2">
      <c r="A52" s="47" t="s">
        <v>1999</v>
      </c>
      <c r="B52" s="15"/>
      <c r="C52" s="15" t="s">
        <v>2891</v>
      </c>
      <c r="D52" s="20" t="s">
        <v>1808</v>
      </c>
      <c r="E52" s="8" t="s">
        <v>2000</v>
      </c>
      <c r="F52" s="8" t="s">
        <v>2001</v>
      </c>
      <c r="G52" s="8" t="s">
        <v>1007</v>
      </c>
      <c r="H52" s="3" t="s">
        <v>26</v>
      </c>
      <c r="I52" s="8" t="s">
        <v>78</v>
      </c>
      <c r="J52" s="8" t="s">
        <v>2002</v>
      </c>
      <c r="K52" s="12" t="s">
        <v>2003</v>
      </c>
      <c r="L52" s="13"/>
      <c r="M52" s="8"/>
      <c r="N52" s="8"/>
      <c r="O52" s="8"/>
      <c r="P52" s="3" t="s">
        <v>4207</v>
      </c>
      <c r="Q52" s="11">
        <v>43861.42633101852</v>
      </c>
      <c r="R52" s="3" t="s">
        <v>4207</v>
      </c>
      <c r="S52" s="11">
        <v>43858.550127314818</v>
      </c>
      <c r="T52" s="7">
        <v>133</v>
      </c>
      <c r="U52" s="13">
        <f>COUNTIF('TAX Parcel Status Report'!$A$6:$A$290,SP_TaxPar_DB[[#This Row],[Tax Parcel ID]])</f>
        <v>1</v>
      </c>
    </row>
    <row r="53" spans="1:21" ht="18" customHeight="1" x14ac:dyDescent="0.2">
      <c r="A53" s="47" t="s">
        <v>2004</v>
      </c>
      <c r="B53" s="15"/>
      <c r="C53" s="15" t="s">
        <v>2896</v>
      </c>
      <c r="D53" s="20" t="s">
        <v>1808</v>
      </c>
      <c r="E53" s="8" t="s">
        <v>2005</v>
      </c>
      <c r="F53" s="8" t="s">
        <v>2006</v>
      </c>
      <c r="G53" s="8" t="s">
        <v>1007</v>
      </c>
      <c r="H53" s="3" t="s">
        <v>26</v>
      </c>
      <c r="I53" s="8" t="s">
        <v>78</v>
      </c>
      <c r="J53" s="8" t="s">
        <v>2007</v>
      </c>
      <c r="K53" s="12" t="s">
        <v>2008</v>
      </c>
      <c r="L53" s="13"/>
      <c r="M53" s="8"/>
      <c r="N53" s="8"/>
      <c r="O53" s="8"/>
      <c r="P53" s="3" t="s">
        <v>4207</v>
      </c>
      <c r="Q53" s="11">
        <v>43861.426388888889</v>
      </c>
      <c r="R53" s="3" t="s">
        <v>4207</v>
      </c>
      <c r="S53" s="11">
        <v>43858.550127314818</v>
      </c>
      <c r="T53" s="7">
        <v>134</v>
      </c>
      <c r="U53" s="13">
        <f>COUNTIF('TAX Parcel Status Report'!$A$6:$A$290,SP_TaxPar_DB[[#This Row],[Tax Parcel ID]])</f>
        <v>1</v>
      </c>
    </row>
    <row r="54" spans="1:21" ht="18" customHeight="1" x14ac:dyDescent="0.2">
      <c r="A54" s="6" t="s">
        <v>2009</v>
      </c>
      <c r="B54" s="15"/>
      <c r="C54" s="15" t="s">
        <v>2901</v>
      </c>
      <c r="D54" s="20" t="s">
        <v>1808</v>
      </c>
      <c r="E54" s="8" t="s">
        <v>2010</v>
      </c>
      <c r="F54" s="8" t="s">
        <v>2011</v>
      </c>
      <c r="G54" s="8" t="s">
        <v>2012</v>
      </c>
      <c r="H54" s="3" t="s">
        <v>26</v>
      </c>
      <c r="I54" s="8" t="s">
        <v>2013</v>
      </c>
      <c r="J54" s="8" t="s">
        <v>2014</v>
      </c>
      <c r="K54" s="12" t="s">
        <v>2015</v>
      </c>
      <c r="L54" s="13"/>
      <c r="M54" s="8"/>
      <c r="N54" s="8"/>
      <c r="O54" s="8"/>
      <c r="P54" s="3" t="s">
        <v>4207</v>
      </c>
      <c r="Q54" s="11">
        <v>43861.426701388889</v>
      </c>
      <c r="R54" s="3" t="s">
        <v>4207</v>
      </c>
      <c r="S54" s="11">
        <v>43858.550127314818</v>
      </c>
      <c r="T54" s="7">
        <v>135</v>
      </c>
      <c r="U54" s="13">
        <f>COUNTIF('TAX Parcel Status Report'!$A$6:$A$290,SP_TaxPar_DB[[#This Row],[Tax Parcel ID]])</f>
        <v>1</v>
      </c>
    </row>
    <row r="55" spans="1:21" ht="18" customHeight="1" x14ac:dyDescent="0.2">
      <c r="A55" s="6" t="s">
        <v>2016</v>
      </c>
      <c r="B55" s="15"/>
      <c r="C55" s="15" t="s">
        <v>2906</v>
      </c>
      <c r="D55" s="20" t="s">
        <v>1808</v>
      </c>
      <c r="E55" s="8" t="s">
        <v>2000</v>
      </c>
      <c r="F55" s="8" t="s">
        <v>2001</v>
      </c>
      <c r="G55" s="8" t="s">
        <v>1007</v>
      </c>
      <c r="H55" s="3" t="s">
        <v>26</v>
      </c>
      <c r="I55" s="8" t="s">
        <v>78</v>
      </c>
      <c r="J55" s="8" t="s">
        <v>2001</v>
      </c>
      <c r="K55" s="12" t="s">
        <v>2017</v>
      </c>
      <c r="L55" s="13"/>
      <c r="M55" s="8"/>
      <c r="N55" s="8"/>
      <c r="O55" s="8"/>
      <c r="P55" s="3" t="s">
        <v>4207</v>
      </c>
      <c r="Q55" s="11">
        <v>43861.426736111112</v>
      </c>
      <c r="R55" s="3" t="s">
        <v>4207</v>
      </c>
      <c r="S55" s="11">
        <v>43858.550127314818</v>
      </c>
      <c r="T55" s="7">
        <v>136</v>
      </c>
      <c r="U55" s="13">
        <f>COUNTIF('TAX Parcel Status Report'!$A$6:$A$290,SP_TaxPar_DB[[#This Row],[Tax Parcel ID]])</f>
        <v>1</v>
      </c>
    </row>
    <row r="56" spans="1:21" ht="18" customHeight="1" x14ac:dyDescent="0.2">
      <c r="A56" s="6" t="s">
        <v>2018</v>
      </c>
      <c r="B56" s="15"/>
      <c r="C56" s="15" t="s">
        <v>2911</v>
      </c>
      <c r="D56" s="20" t="s">
        <v>1808</v>
      </c>
      <c r="E56" s="8" t="s">
        <v>2019</v>
      </c>
      <c r="F56" s="8" t="s">
        <v>1984</v>
      </c>
      <c r="G56" s="8" t="s">
        <v>1007</v>
      </c>
      <c r="H56" s="3" t="s">
        <v>26</v>
      </c>
      <c r="I56" s="8" t="s">
        <v>78</v>
      </c>
      <c r="J56" s="8" t="s">
        <v>2020</v>
      </c>
      <c r="K56" s="12" t="s">
        <v>2021</v>
      </c>
      <c r="L56" s="13"/>
      <c r="M56" s="8"/>
      <c r="N56" s="8"/>
      <c r="O56" s="8"/>
      <c r="P56" s="3" t="s">
        <v>4207</v>
      </c>
      <c r="Q56" s="11">
        <v>43861.426770833335</v>
      </c>
      <c r="R56" s="3" t="s">
        <v>4207</v>
      </c>
      <c r="S56" s="11">
        <v>43858.550127314818</v>
      </c>
      <c r="T56" s="7">
        <v>137</v>
      </c>
      <c r="U56" s="13">
        <f>COUNTIF('TAX Parcel Status Report'!$A$6:$A$290,SP_TaxPar_DB[[#This Row],[Tax Parcel ID]])</f>
        <v>1</v>
      </c>
    </row>
    <row r="57" spans="1:21" ht="18" customHeight="1" x14ac:dyDescent="0.2">
      <c r="A57" s="47" t="s">
        <v>292</v>
      </c>
      <c r="B57" s="15" t="s">
        <v>46</v>
      </c>
      <c r="C57" s="15"/>
      <c r="D57" s="20" t="s">
        <v>1811</v>
      </c>
      <c r="E57" s="8" t="s">
        <v>293</v>
      </c>
      <c r="F57" s="8" t="s">
        <v>294</v>
      </c>
      <c r="G57" s="8" t="s">
        <v>77</v>
      </c>
      <c r="H57" s="3" t="s">
        <v>26</v>
      </c>
      <c r="I57" s="8" t="s">
        <v>78</v>
      </c>
      <c r="J57" s="8" t="s">
        <v>170</v>
      </c>
      <c r="K57" s="12" t="s">
        <v>295</v>
      </c>
      <c r="L57" s="13">
        <v>0.17219999999999999</v>
      </c>
      <c r="M57" s="8" t="s">
        <v>257</v>
      </c>
      <c r="N57" s="8"/>
      <c r="O57" s="8" t="s">
        <v>1714</v>
      </c>
      <c r="P57" s="3" t="s">
        <v>4207</v>
      </c>
      <c r="Q57" s="11">
        <v>43851.576342592591</v>
      </c>
      <c r="R57" s="3" t="s">
        <v>23</v>
      </c>
      <c r="S57" s="11">
        <v>43682.658506944441</v>
      </c>
      <c r="T57" s="7">
        <v>40</v>
      </c>
      <c r="U57" s="13">
        <f>COUNTIF('TAX Parcel Status Report'!$A$6:$A$290,SP_TaxPar_DB[[#This Row],[Tax Parcel ID]])</f>
        <v>1</v>
      </c>
    </row>
    <row r="58" spans="1:21" ht="18" customHeight="1" x14ac:dyDescent="0.2">
      <c r="A58" s="47" t="s">
        <v>172</v>
      </c>
      <c r="B58" s="15" t="s">
        <v>47</v>
      </c>
      <c r="C58" s="15"/>
      <c r="D58" s="20" t="s">
        <v>1811</v>
      </c>
      <c r="E58" s="8" t="s">
        <v>173</v>
      </c>
      <c r="F58" s="8" t="s">
        <v>296</v>
      </c>
      <c r="G58" s="8" t="s">
        <v>297</v>
      </c>
      <c r="H58" s="3" t="s">
        <v>26</v>
      </c>
      <c r="I58" s="8" t="s">
        <v>298</v>
      </c>
      <c r="J58" s="8" t="s">
        <v>174</v>
      </c>
      <c r="K58" s="12" t="s">
        <v>299</v>
      </c>
      <c r="L58" s="13">
        <v>0.18940000000000001</v>
      </c>
      <c r="M58" s="8" t="s">
        <v>251</v>
      </c>
      <c r="N58" s="8" t="s">
        <v>300</v>
      </c>
      <c r="O58" s="8"/>
      <c r="P58" s="3" t="s">
        <v>4207</v>
      </c>
      <c r="Q58" s="11">
        <v>43851.576354166667</v>
      </c>
      <c r="R58" s="3" t="s">
        <v>23</v>
      </c>
      <c r="S58" s="11">
        <v>43682.658506944441</v>
      </c>
      <c r="T58" s="7">
        <v>41</v>
      </c>
      <c r="U58" s="13">
        <f>COUNTIF('TAX Parcel Status Report'!$A$6:$A$290,SP_TaxPar_DB[[#This Row],[Tax Parcel ID]])</f>
        <v>1</v>
      </c>
    </row>
    <row r="59" spans="1:21" ht="18" customHeight="1" x14ac:dyDescent="0.2">
      <c r="A59" s="47" t="s">
        <v>301</v>
      </c>
      <c r="B59" s="15" t="s">
        <v>48</v>
      </c>
      <c r="C59" s="15"/>
      <c r="D59" s="20" t="s">
        <v>1811</v>
      </c>
      <c r="E59" s="8" t="s">
        <v>302</v>
      </c>
      <c r="F59" s="8" t="s">
        <v>303</v>
      </c>
      <c r="G59" s="8" t="s">
        <v>64</v>
      </c>
      <c r="H59" s="3" t="s">
        <v>26</v>
      </c>
      <c r="I59" s="8" t="s">
        <v>65</v>
      </c>
      <c r="J59" s="8" t="s">
        <v>164</v>
      </c>
      <c r="K59" s="12" t="s">
        <v>304</v>
      </c>
      <c r="L59" s="13">
        <v>7.3</v>
      </c>
      <c r="M59" s="8" t="s">
        <v>305</v>
      </c>
      <c r="N59" s="8" t="s">
        <v>306</v>
      </c>
      <c r="O59" s="8"/>
      <c r="P59" s="3" t="s">
        <v>4207</v>
      </c>
      <c r="Q59" s="11">
        <v>43851.576412037037</v>
      </c>
      <c r="R59" s="3" t="s">
        <v>23</v>
      </c>
      <c r="S59" s="11">
        <v>43682.658506944441</v>
      </c>
      <c r="T59" s="7">
        <v>42</v>
      </c>
      <c r="U59" s="13">
        <f>COUNTIF('TAX Parcel Status Report'!$A$6:$A$290,SP_TaxPar_DB[[#This Row],[Tax Parcel ID]])</f>
        <v>1</v>
      </c>
    </row>
    <row r="60" spans="1:21" ht="18" customHeight="1" x14ac:dyDescent="0.2">
      <c r="A60" s="47" t="s">
        <v>307</v>
      </c>
      <c r="B60" s="15" t="s">
        <v>48</v>
      </c>
      <c r="C60" s="15"/>
      <c r="D60" s="20" t="s">
        <v>1811</v>
      </c>
      <c r="E60" s="8" t="s">
        <v>302</v>
      </c>
      <c r="F60" s="8" t="s">
        <v>303</v>
      </c>
      <c r="G60" s="8" t="s">
        <v>64</v>
      </c>
      <c r="H60" s="3" t="s">
        <v>26</v>
      </c>
      <c r="I60" s="8" t="s">
        <v>65</v>
      </c>
      <c r="J60" s="8" t="s">
        <v>164</v>
      </c>
      <c r="K60" s="12" t="s">
        <v>308</v>
      </c>
      <c r="L60" s="13">
        <v>19.43</v>
      </c>
      <c r="M60" s="8" t="s">
        <v>305</v>
      </c>
      <c r="N60" s="8" t="s">
        <v>306</v>
      </c>
      <c r="O60" s="8"/>
      <c r="P60" s="3" t="s">
        <v>4207</v>
      </c>
      <c r="Q60" s="11">
        <v>43851.576481481483</v>
      </c>
      <c r="R60" s="3" t="s">
        <v>23</v>
      </c>
      <c r="S60" s="11">
        <v>43682.658506944441</v>
      </c>
      <c r="T60" s="7">
        <v>43</v>
      </c>
      <c r="U60" s="13">
        <f>COUNTIF('TAX Parcel Status Report'!$A$6:$A$290,SP_TaxPar_DB[[#This Row],[Tax Parcel ID]])</f>
        <v>1</v>
      </c>
    </row>
    <row r="61" spans="1:21" ht="18" customHeight="1" x14ac:dyDescent="0.2">
      <c r="A61" s="47" t="s">
        <v>309</v>
      </c>
      <c r="B61" s="15" t="s">
        <v>49</v>
      </c>
      <c r="C61" s="15"/>
      <c r="D61" s="20" t="s">
        <v>1811</v>
      </c>
      <c r="E61" s="8" t="s">
        <v>310</v>
      </c>
      <c r="F61" s="8" t="s">
        <v>311</v>
      </c>
      <c r="G61" s="8" t="s">
        <v>77</v>
      </c>
      <c r="H61" s="3" t="s">
        <v>26</v>
      </c>
      <c r="I61" s="8" t="s">
        <v>78</v>
      </c>
      <c r="J61" s="8" t="s">
        <v>312</v>
      </c>
      <c r="K61" s="12" t="s">
        <v>313</v>
      </c>
      <c r="L61" s="13">
        <v>0.16639999999999999</v>
      </c>
      <c r="M61" s="8" t="s">
        <v>257</v>
      </c>
      <c r="N61" s="8" t="s">
        <v>314</v>
      </c>
      <c r="O61" s="8"/>
      <c r="P61" s="3" t="s">
        <v>4207</v>
      </c>
      <c r="Q61" s="11">
        <v>43851.576493055552</v>
      </c>
      <c r="R61" s="3" t="s">
        <v>23</v>
      </c>
      <c r="S61" s="11">
        <v>43682.658506944441</v>
      </c>
      <c r="T61" s="7">
        <v>44</v>
      </c>
      <c r="U61" s="13">
        <f>COUNTIF('TAX Parcel Status Report'!$A$6:$A$290,SP_TaxPar_DB[[#This Row],[Tax Parcel ID]])</f>
        <v>1</v>
      </c>
    </row>
    <row r="62" spans="1:21" ht="18" customHeight="1" x14ac:dyDescent="0.2">
      <c r="A62" s="47" t="s">
        <v>315</v>
      </c>
      <c r="B62" s="15" t="s">
        <v>49</v>
      </c>
      <c r="C62" s="15"/>
      <c r="D62" s="20" t="s">
        <v>1811</v>
      </c>
      <c r="E62" s="8" t="s">
        <v>310</v>
      </c>
      <c r="F62" s="8" t="s">
        <v>311</v>
      </c>
      <c r="G62" s="8" t="s">
        <v>77</v>
      </c>
      <c r="H62" s="3" t="s">
        <v>26</v>
      </c>
      <c r="I62" s="8" t="s">
        <v>78</v>
      </c>
      <c r="J62" s="8" t="s">
        <v>179</v>
      </c>
      <c r="K62" s="12" t="s">
        <v>316</v>
      </c>
      <c r="L62" s="13">
        <v>0.33289999999999997</v>
      </c>
      <c r="M62" s="8" t="s">
        <v>257</v>
      </c>
      <c r="N62" s="8" t="s">
        <v>314</v>
      </c>
      <c r="O62" s="8" t="s">
        <v>317</v>
      </c>
      <c r="P62" s="3" t="s">
        <v>4207</v>
      </c>
      <c r="Q62" s="11">
        <v>43851.576493055552</v>
      </c>
      <c r="R62" s="3" t="s">
        <v>23</v>
      </c>
      <c r="S62" s="11">
        <v>43682.658506944441</v>
      </c>
      <c r="T62" s="7">
        <v>45</v>
      </c>
      <c r="U62" s="13">
        <f>COUNTIF('TAX Parcel Status Report'!$A$6:$A$290,SP_TaxPar_DB[[#This Row],[Tax Parcel ID]])</f>
        <v>1</v>
      </c>
    </row>
    <row r="63" spans="1:21" ht="18" customHeight="1" x14ac:dyDescent="0.2">
      <c r="A63" s="6" t="s">
        <v>318</v>
      </c>
      <c r="B63" s="15" t="s">
        <v>49</v>
      </c>
      <c r="C63" s="15"/>
      <c r="D63" s="20" t="s">
        <v>1811</v>
      </c>
      <c r="E63" s="8" t="s">
        <v>319</v>
      </c>
      <c r="F63" s="8" t="s">
        <v>311</v>
      </c>
      <c r="G63" s="8" t="s">
        <v>77</v>
      </c>
      <c r="H63" s="3" t="s">
        <v>26</v>
      </c>
      <c r="I63" s="8" t="s">
        <v>78</v>
      </c>
      <c r="J63" s="8" t="s">
        <v>320</v>
      </c>
      <c r="K63" s="12" t="s">
        <v>321</v>
      </c>
      <c r="L63" s="13">
        <v>3.64</v>
      </c>
      <c r="M63" s="8" t="s">
        <v>291</v>
      </c>
      <c r="N63" s="8" t="s">
        <v>322</v>
      </c>
      <c r="O63" s="8" t="s">
        <v>317</v>
      </c>
      <c r="P63" s="3" t="s">
        <v>4207</v>
      </c>
      <c r="Q63" s="11">
        <v>43851.576504629629</v>
      </c>
      <c r="R63" s="3" t="s">
        <v>23</v>
      </c>
      <c r="S63" s="11">
        <v>43682.658506944441</v>
      </c>
      <c r="T63" s="7">
        <v>46</v>
      </c>
      <c r="U63" s="13">
        <f>COUNTIF('TAX Parcel Status Report'!$A$6:$A$290,SP_TaxPar_DB[[#This Row],[Tax Parcel ID]])</f>
        <v>1</v>
      </c>
    </row>
    <row r="64" spans="1:21" ht="18" customHeight="1" x14ac:dyDescent="0.2">
      <c r="A64" s="6" t="s">
        <v>2022</v>
      </c>
      <c r="B64" s="15"/>
      <c r="C64" s="15" t="s">
        <v>2916</v>
      </c>
      <c r="D64" s="20" t="s">
        <v>1808</v>
      </c>
      <c r="E64" s="8" t="s">
        <v>2023</v>
      </c>
      <c r="F64" s="8" t="s">
        <v>1976</v>
      </c>
      <c r="G64" s="8" t="s">
        <v>1007</v>
      </c>
      <c r="H64" s="3" t="s">
        <v>26</v>
      </c>
      <c r="I64" s="8" t="s">
        <v>78</v>
      </c>
      <c r="J64" s="8" t="s">
        <v>2024</v>
      </c>
      <c r="K64" s="12" t="s">
        <v>2025</v>
      </c>
      <c r="L64" s="13"/>
      <c r="M64" s="8"/>
      <c r="N64" s="8"/>
      <c r="O64" s="8"/>
      <c r="P64" s="3" t="s">
        <v>4207</v>
      </c>
      <c r="Q64" s="11">
        <v>43861.426817129628</v>
      </c>
      <c r="R64" s="3" t="s">
        <v>4207</v>
      </c>
      <c r="S64" s="11">
        <v>43858.550127314818</v>
      </c>
      <c r="T64" s="7">
        <v>138</v>
      </c>
      <c r="U64" s="13">
        <f>COUNTIF('TAX Parcel Status Report'!$A$6:$A$290,SP_TaxPar_DB[[#This Row],[Tax Parcel ID]])</f>
        <v>1</v>
      </c>
    </row>
    <row r="65" spans="1:21" ht="18" customHeight="1" x14ac:dyDescent="0.2">
      <c r="A65" s="6" t="s">
        <v>2026</v>
      </c>
      <c r="B65" s="15"/>
      <c r="C65" s="15" t="s">
        <v>2921</v>
      </c>
      <c r="D65" s="20" t="s">
        <v>1808</v>
      </c>
      <c r="E65" s="8" t="s">
        <v>2023</v>
      </c>
      <c r="F65" s="8" t="s">
        <v>1976</v>
      </c>
      <c r="G65" s="8" t="s">
        <v>1007</v>
      </c>
      <c r="H65" s="3" t="s">
        <v>26</v>
      </c>
      <c r="I65" s="8" t="s">
        <v>78</v>
      </c>
      <c r="J65" s="8" t="s">
        <v>2027</v>
      </c>
      <c r="K65" s="12" t="s">
        <v>2028</v>
      </c>
      <c r="L65" s="13"/>
      <c r="M65" s="8"/>
      <c r="N65" s="8"/>
      <c r="O65" s="8"/>
      <c r="P65" s="3" t="s">
        <v>4207</v>
      </c>
      <c r="Q65" s="11">
        <v>43861.426863425928</v>
      </c>
      <c r="R65" s="3" t="s">
        <v>4207</v>
      </c>
      <c r="S65" s="11">
        <v>43858.550138888888</v>
      </c>
      <c r="T65" s="7">
        <v>139</v>
      </c>
      <c r="U65" s="13">
        <f>COUNTIF('TAX Parcel Status Report'!$A$6:$A$290,SP_TaxPar_DB[[#This Row],[Tax Parcel ID]])</f>
        <v>1</v>
      </c>
    </row>
    <row r="66" spans="1:21" ht="18" customHeight="1" x14ac:dyDescent="0.2">
      <c r="A66" s="47" t="s">
        <v>2029</v>
      </c>
      <c r="B66" s="15"/>
      <c r="C66" s="15" t="s">
        <v>2926</v>
      </c>
      <c r="D66" s="20" t="s">
        <v>1808</v>
      </c>
      <c r="E66" s="8" t="s">
        <v>2030</v>
      </c>
      <c r="F66" s="8" t="s">
        <v>2031</v>
      </c>
      <c r="G66" s="8" t="s">
        <v>1007</v>
      </c>
      <c r="H66" s="3" t="s">
        <v>26</v>
      </c>
      <c r="I66" s="8" t="s">
        <v>78</v>
      </c>
      <c r="J66" s="8" t="s">
        <v>2031</v>
      </c>
      <c r="K66" s="12" t="s">
        <v>2032</v>
      </c>
      <c r="L66" s="13"/>
      <c r="M66" s="8"/>
      <c r="N66" s="8"/>
      <c r="O66" s="8"/>
      <c r="P66" s="3" t="s">
        <v>4207</v>
      </c>
      <c r="Q66" s="11">
        <v>43861.426921296297</v>
      </c>
      <c r="R66" s="3" t="s">
        <v>4207</v>
      </c>
      <c r="S66" s="11">
        <v>43858.550138888888</v>
      </c>
      <c r="T66" s="7">
        <v>140</v>
      </c>
      <c r="U66" s="13">
        <f>COUNTIF('TAX Parcel Status Report'!$A$6:$A$290,SP_TaxPar_DB[[#This Row],[Tax Parcel ID]])</f>
        <v>1</v>
      </c>
    </row>
    <row r="67" spans="1:21" ht="18" customHeight="1" x14ac:dyDescent="0.2">
      <c r="A67" s="47" t="s">
        <v>2033</v>
      </c>
      <c r="B67" s="15" t="s">
        <v>5260</v>
      </c>
      <c r="C67" s="15"/>
      <c r="D67" s="20" t="s">
        <v>2493</v>
      </c>
      <c r="E67" s="8" t="s">
        <v>2034</v>
      </c>
      <c r="F67" s="8" t="s">
        <v>2035</v>
      </c>
      <c r="G67" s="8" t="s">
        <v>1007</v>
      </c>
      <c r="H67" s="3" t="s">
        <v>26</v>
      </c>
      <c r="I67" s="8" t="s">
        <v>78</v>
      </c>
      <c r="J67" s="8" t="s">
        <v>2036</v>
      </c>
      <c r="K67" s="12" t="s">
        <v>2037</v>
      </c>
      <c r="L67" s="13"/>
      <c r="M67" s="8"/>
      <c r="N67" s="8"/>
      <c r="O67" s="8"/>
      <c r="P67" s="3" t="s">
        <v>4206</v>
      </c>
      <c r="Q67" s="11">
        <v>43977.48300925926</v>
      </c>
      <c r="R67" s="3" t="s">
        <v>4207</v>
      </c>
      <c r="S67" s="11">
        <v>43858.550138888888</v>
      </c>
      <c r="T67" s="7">
        <v>141</v>
      </c>
      <c r="U67" s="13">
        <f>COUNTIF('TAX Parcel Status Report'!$A$6:$A$290,SP_TaxPar_DB[[#This Row],[Tax Parcel ID]])</f>
        <v>1</v>
      </c>
    </row>
    <row r="68" spans="1:21" ht="18" customHeight="1" x14ac:dyDescent="0.2">
      <c r="A68" s="47" t="s">
        <v>2038</v>
      </c>
      <c r="B68" s="15" t="s">
        <v>5262</v>
      </c>
      <c r="C68" s="15"/>
      <c r="D68" s="20" t="s">
        <v>2493</v>
      </c>
      <c r="E68" s="8" t="s">
        <v>2039</v>
      </c>
      <c r="F68" s="8" t="s">
        <v>2040</v>
      </c>
      <c r="G68" s="8" t="s">
        <v>1007</v>
      </c>
      <c r="H68" s="3" t="s">
        <v>26</v>
      </c>
      <c r="I68" s="8" t="s">
        <v>78</v>
      </c>
      <c r="J68" s="8" t="s">
        <v>2040</v>
      </c>
      <c r="K68" s="12" t="s">
        <v>2041</v>
      </c>
      <c r="L68" s="13"/>
      <c r="M68" s="8"/>
      <c r="N68" s="8"/>
      <c r="O68" s="8"/>
      <c r="P68" s="3" t="s">
        <v>4206</v>
      </c>
      <c r="Q68" s="11">
        <v>43977.483113425929</v>
      </c>
      <c r="R68" s="3" t="s">
        <v>4207</v>
      </c>
      <c r="S68" s="11">
        <v>43858.550138888888</v>
      </c>
      <c r="T68" s="7">
        <v>142</v>
      </c>
      <c r="U68" s="13">
        <f>COUNTIF('TAX Parcel Status Report'!$A$6:$A$290,SP_TaxPar_DB[[#This Row],[Tax Parcel ID]])</f>
        <v>1</v>
      </c>
    </row>
    <row r="69" spans="1:21" ht="18" customHeight="1" x14ac:dyDescent="0.2">
      <c r="A69" s="6" t="s">
        <v>2042</v>
      </c>
      <c r="B69" s="15" t="s">
        <v>5264</v>
      </c>
      <c r="C69" s="15"/>
      <c r="D69" s="20" t="s">
        <v>2493</v>
      </c>
      <c r="E69" s="8" t="s">
        <v>2043</v>
      </c>
      <c r="F69" s="8" t="s">
        <v>2044</v>
      </c>
      <c r="G69" s="8" t="s">
        <v>2045</v>
      </c>
      <c r="H69" s="3" t="s">
        <v>26</v>
      </c>
      <c r="I69" s="8" t="s">
        <v>2046</v>
      </c>
      <c r="J69" s="8" t="s">
        <v>2047</v>
      </c>
      <c r="K69" s="12" t="s">
        <v>2048</v>
      </c>
      <c r="L69" s="13"/>
      <c r="M69" s="8"/>
      <c r="N69" s="8"/>
      <c r="O69" s="8"/>
      <c r="P69" s="3" t="s">
        <v>4206</v>
      </c>
      <c r="Q69" s="11">
        <v>43977.479189814818</v>
      </c>
      <c r="R69" s="3" t="s">
        <v>4207</v>
      </c>
      <c r="S69" s="11">
        <v>43858.550138888888</v>
      </c>
      <c r="T69" s="7">
        <v>143</v>
      </c>
      <c r="U69" s="13">
        <f>COUNTIF('TAX Parcel Status Report'!$A$6:$A$290,SP_TaxPar_DB[[#This Row],[Tax Parcel ID]])</f>
        <v>1</v>
      </c>
    </row>
    <row r="70" spans="1:21" ht="18" customHeight="1" x14ac:dyDescent="0.2">
      <c r="A70" s="6" t="s">
        <v>2049</v>
      </c>
      <c r="B70" s="15" t="s">
        <v>5266</v>
      </c>
      <c r="C70" s="15"/>
      <c r="D70" s="20" t="s">
        <v>2493</v>
      </c>
      <c r="E70" s="8" t="s">
        <v>2050</v>
      </c>
      <c r="F70" s="8" t="s">
        <v>2051</v>
      </c>
      <c r="G70" s="8" t="s">
        <v>1007</v>
      </c>
      <c r="H70" s="3" t="s">
        <v>26</v>
      </c>
      <c r="I70" s="8" t="s">
        <v>78</v>
      </c>
      <c r="J70" s="8" t="s">
        <v>2047</v>
      </c>
      <c r="K70" s="12" t="s">
        <v>2052</v>
      </c>
      <c r="L70" s="13"/>
      <c r="M70" s="8"/>
      <c r="N70" s="8"/>
      <c r="O70" s="8"/>
      <c r="P70" s="3" t="s">
        <v>4206</v>
      </c>
      <c r="Q70" s="11">
        <v>43977.479537037034</v>
      </c>
      <c r="R70" s="3" t="s">
        <v>4207</v>
      </c>
      <c r="S70" s="11">
        <v>43858.550138888888</v>
      </c>
      <c r="T70" s="7">
        <v>144</v>
      </c>
      <c r="U70" s="13">
        <f>COUNTIF('TAX Parcel Status Report'!$A$6:$A$290,SP_TaxPar_DB[[#This Row],[Tax Parcel ID]])</f>
        <v>1</v>
      </c>
    </row>
    <row r="71" spans="1:21" ht="18" customHeight="1" x14ac:dyDescent="0.2">
      <c r="A71" s="6" t="s">
        <v>2053</v>
      </c>
      <c r="B71" s="15" t="s">
        <v>5268</v>
      </c>
      <c r="C71" s="15"/>
      <c r="D71" s="20" t="s">
        <v>2493</v>
      </c>
      <c r="E71" s="8" t="s">
        <v>2054</v>
      </c>
      <c r="F71" s="8" t="s">
        <v>2055</v>
      </c>
      <c r="G71" s="8" t="s">
        <v>1007</v>
      </c>
      <c r="H71" s="3" t="s">
        <v>26</v>
      </c>
      <c r="I71" s="8" t="s">
        <v>78</v>
      </c>
      <c r="J71" s="8" t="s">
        <v>2056</v>
      </c>
      <c r="K71" s="12" t="s">
        <v>2057</v>
      </c>
      <c r="L71" s="13"/>
      <c r="M71" s="8"/>
      <c r="N71" s="8"/>
      <c r="O71" s="8"/>
      <c r="P71" s="3" t="s">
        <v>4206</v>
      </c>
      <c r="Q71" s="11">
        <v>43977.479826388888</v>
      </c>
      <c r="R71" s="3" t="s">
        <v>4207</v>
      </c>
      <c r="S71" s="11">
        <v>43858.550138888888</v>
      </c>
      <c r="T71" s="7">
        <v>145</v>
      </c>
      <c r="U71" s="13">
        <f>COUNTIF('TAX Parcel Status Report'!$A$6:$A$290,SP_TaxPar_DB[[#This Row],[Tax Parcel ID]])</f>
        <v>1</v>
      </c>
    </row>
    <row r="72" spans="1:21" ht="18" customHeight="1" x14ac:dyDescent="0.2">
      <c r="A72" s="47" t="s">
        <v>2058</v>
      </c>
      <c r="B72" s="15" t="s">
        <v>5252</v>
      </c>
      <c r="C72" s="15"/>
      <c r="D72" s="20" t="s">
        <v>2493</v>
      </c>
      <c r="E72" s="8" t="s">
        <v>2059</v>
      </c>
      <c r="F72" s="8" t="s">
        <v>2060</v>
      </c>
      <c r="G72" s="8" t="s">
        <v>1007</v>
      </c>
      <c r="H72" s="3" t="s">
        <v>26</v>
      </c>
      <c r="I72" s="8" t="s">
        <v>78</v>
      </c>
      <c r="J72" s="8" t="s">
        <v>2061</v>
      </c>
      <c r="K72" s="12" t="s">
        <v>2062</v>
      </c>
      <c r="L72" s="13"/>
      <c r="M72" s="8"/>
      <c r="N72" s="8"/>
      <c r="O72" s="8"/>
      <c r="P72" s="3" t="s">
        <v>4206</v>
      </c>
      <c r="Q72" s="11">
        <v>43959.479756944442</v>
      </c>
      <c r="R72" s="3" t="s">
        <v>4207</v>
      </c>
      <c r="S72" s="11">
        <v>43858.550138888888</v>
      </c>
      <c r="T72" s="7">
        <v>146</v>
      </c>
      <c r="U72" s="13">
        <f>COUNTIF('TAX Parcel Status Report'!$A$6:$A$290,SP_TaxPar_DB[[#This Row],[Tax Parcel ID]])</f>
        <v>1</v>
      </c>
    </row>
    <row r="73" spans="1:21" ht="18" customHeight="1" x14ac:dyDescent="0.2">
      <c r="A73" s="6" t="s">
        <v>2063</v>
      </c>
      <c r="B73" s="15" t="s">
        <v>5271</v>
      </c>
      <c r="C73" s="15"/>
      <c r="D73" s="20" t="s">
        <v>2493</v>
      </c>
      <c r="E73" s="8" t="s">
        <v>2064</v>
      </c>
      <c r="F73" s="8" t="s">
        <v>2065</v>
      </c>
      <c r="G73" s="8" t="s">
        <v>1007</v>
      </c>
      <c r="H73" s="3" t="s">
        <v>26</v>
      </c>
      <c r="I73" s="8" t="s">
        <v>2066</v>
      </c>
      <c r="J73" s="8" t="s">
        <v>2067</v>
      </c>
      <c r="K73" s="12" t="s">
        <v>2068</v>
      </c>
      <c r="L73" s="13"/>
      <c r="M73" s="8"/>
      <c r="N73" s="8"/>
      <c r="O73" s="8"/>
      <c r="P73" s="3" t="s">
        <v>4206</v>
      </c>
      <c r="Q73" s="11">
        <v>43977.480057870373</v>
      </c>
      <c r="R73" s="3" t="s">
        <v>4207</v>
      </c>
      <c r="S73" s="11">
        <v>43858.550138888888</v>
      </c>
      <c r="T73" s="7">
        <v>147</v>
      </c>
      <c r="U73" s="13">
        <f>COUNTIF('TAX Parcel Status Report'!$A$6:$A$290,SP_TaxPar_DB[[#This Row],[Tax Parcel ID]])</f>
        <v>1</v>
      </c>
    </row>
    <row r="74" spans="1:21" ht="18" customHeight="1" x14ac:dyDescent="0.2">
      <c r="A74" s="47" t="s">
        <v>2069</v>
      </c>
      <c r="B74" s="15" t="s">
        <v>5385</v>
      </c>
      <c r="C74" s="15"/>
      <c r="D74" s="20" t="s">
        <v>2493</v>
      </c>
      <c r="E74" s="8" t="s">
        <v>2070</v>
      </c>
      <c r="F74" s="8" t="s">
        <v>2071</v>
      </c>
      <c r="G74" s="8" t="s">
        <v>2072</v>
      </c>
      <c r="H74" s="3" t="s">
        <v>26</v>
      </c>
      <c r="I74" s="8" t="s">
        <v>2073</v>
      </c>
      <c r="J74" s="8" t="s">
        <v>2074</v>
      </c>
      <c r="K74" s="12" t="s">
        <v>2075</v>
      </c>
      <c r="L74" s="13"/>
      <c r="M74" s="8"/>
      <c r="N74" s="8"/>
      <c r="O74" s="8"/>
      <c r="P74" s="3" t="s">
        <v>4206</v>
      </c>
      <c r="Q74" s="11">
        <v>43977.482557870368</v>
      </c>
      <c r="R74" s="3" t="s">
        <v>4207</v>
      </c>
      <c r="S74" s="11">
        <v>43858.550138888888</v>
      </c>
      <c r="T74" s="7">
        <v>148</v>
      </c>
      <c r="U74" s="13">
        <f>COUNTIF('TAX Parcel Status Report'!$A$6:$A$290,SP_TaxPar_DB[[#This Row],[Tax Parcel ID]])</f>
        <v>1</v>
      </c>
    </row>
    <row r="75" spans="1:21" ht="18" customHeight="1" x14ac:dyDescent="0.2">
      <c r="A75" s="6" t="s">
        <v>129</v>
      </c>
      <c r="B75" s="15" t="s">
        <v>43</v>
      </c>
      <c r="C75" s="15"/>
      <c r="D75" s="20" t="s">
        <v>1811</v>
      </c>
      <c r="E75" s="8" t="s">
        <v>127</v>
      </c>
      <c r="F75" s="8" t="s">
        <v>128</v>
      </c>
      <c r="G75" s="8" t="s">
        <v>77</v>
      </c>
      <c r="H75" s="3" t="s">
        <v>26</v>
      </c>
      <c r="I75" s="8" t="s">
        <v>78</v>
      </c>
      <c r="J75" s="8" t="s">
        <v>130</v>
      </c>
      <c r="K75" s="12" t="s">
        <v>323</v>
      </c>
      <c r="L75" s="13">
        <v>0.17560000000000001</v>
      </c>
      <c r="M75" s="8" t="s">
        <v>251</v>
      </c>
      <c r="N75" s="8" t="s">
        <v>324</v>
      </c>
      <c r="O75" s="8" t="s">
        <v>325</v>
      </c>
      <c r="P75" s="3" t="s">
        <v>4207</v>
      </c>
      <c r="Q75" s="11">
        <v>43851.576238425929</v>
      </c>
      <c r="R75" s="3" t="s">
        <v>23</v>
      </c>
      <c r="S75" s="11">
        <v>43682.658506944441</v>
      </c>
      <c r="T75" s="7">
        <v>27</v>
      </c>
      <c r="U75" s="13">
        <f>COUNTIF('TAX Parcel Status Report'!$A$6:$A$290,SP_TaxPar_DB[[#This Row],[Tax Parcel ID]])</f>
        <v>1</v>
      </c>
    </row>
    <row r="76" spans="1:21" ht="18" customHeight="1" x14ac:dyDescent="0.2">
      <c r="A76" s="6" t="s">
        <v>125</v>
      </c>
      <c r="B76" s="15" t="s">
        <v>42</v>
      </c>
      <c r="C76" s="15"/>
      <c r="D76" s="20" t="s">
        <v>1811</v>
      </c>
      <c r="E76" s="8" t="s">
        <v>326</v>
      </c>
      <c r="F76" s="8" t="s">
        <v>124</v>
      </c>
      <c r="G76" s="8" t="s">
        <v>77</v>
      </c>
      <c r="H76" s="3" t="s">
        <v>26</v>
      </c>
      <c r="I76" s="8" t="s">
        <v>78</v>
      </c>
      <c r="J76" s="8" t="s">
        <v>124</v>
      </c>
      <c r="K76" s="12" t="s">
        <v>327</v>
      </c>
      <c r="L76" s="13">
        <v>0.17419999999999999</v>
      </c>
      <c r="M76" s="8" t="s">
        <v>251</v>
      </c>
      <c r="N76" s="8"/>
      <c r="O76" s="8"/>
      <c r="P76" s="3" t="s">
        <v>4207</v>
      </c>
      <c r="Q76" s="11">
        <v>43851.576168981483</v>
      </c>
      <c r="R76" s="3" t="s">
        <v>23</v>
      </c>
      <c r="S76" s="11">
        <v>43682.658506944441</v>
      </c>
      <c r="T76" s="7">
        <v>26</v>
      </c>
      <c r="U76" s="13">
        <f>COUNTIF('TAX Parcel Status Report'!$A$6:$A$290,SP_TaxPar_DB[[#This Row],[Tax Parcel ID]])</f>
        <v>1</v>
      </c>
    </row>
    <row r="77" spans="1:21" ht="18" customHeight="1" x14ac:dyDescent="0.2">
      <c r="A77" s="6" t="s">
        <v>122</v>
      </c>
      <c r="B77" s="15" t="s">
        <v>41</v>
      </c>
      <c r="C77" s="15"/>
      <c r="D77" s="20" t="s">
        <v>1811</v>
      </c>
      <c r="E77" s="8" t="s">
        <v>120</v>
      </c>
      <c r="F77" s="8" t="s">
        <v>121</v>
      </c>
      <c r="G77" s="8" t="s">
        <v>77</v>
      </c>
      <c r="H77" s="3" t="s">
        <v>26</v>
      </c>
      <c r="I77" s="8" t="s">
        <v>78</v>
      </c>
      <c r="J77" s="8" t="s">
        <v>121</v>
      </c>
      <c r="K77" s="12" t="s">
        <v>328</v>
      </c>
      <c r="L77" s="13">
        <v>0.17280000000000001</v>
      </c>
      <c r="M77" s="8" t="s">
        <v>251</v>
      </c>
      <c r="N77" s="8"/>
      <c r="O77" s="8"/>
      <c r="P77" s="3" t="s">
        <v>4207</v>
      </c>
      <c r="Q77" s="11">
        <v>43851.576157407406</v>
      </c>
      <c r="R77" s="3" t="s">
        <v>23</v>
      </c>
      <c r="S77" s="11">
        <v>43682.658506944441</v>
      </c>
      <c r="T77" s="7">
        <v>25</v>
      </c>
      <c r="U77" s="13">
        <f>COUNTIF('TAX Parcel Status Report'!$A$6:$A$290,SP_TaxPar_DB[[#This Row],[Tax Parcel ID]])</f>
        <v>1</v>
      </c>
    </row>
    <row r="78" spans="1:21" ht="18" customHeight="1" x14ac:dyDescent="0.2">
      <c r="A78" s="47" t="s">
        <v>118</v>
      </c>
      <c r="B78" s="15" t="s">
        <v>40</v>
      </c>
      <c r="C78" s="15"/>
      <c r="D78" s="20" t="s">
        <v>1811</v>
      </c>
      <c r="E78" s="8" t="s">
        <v>116</v>
      </c>
      <c r="F78" s="8" t="s">
        <v>117</v>
      </c>
      <c r="G78" s="8" t="s">
        <v>77</v>
      </c>
      <c r="H78" s="3" t="s">
        <v>26</v>
      </c>
      <c r="I78" s="8" t="s">
        <v>78</v>
      </c>
      <c r="J78" s="8" t="s">
        <v>117</v>
      </c>
      <c r="K78" s="12" t="s">
        <v>329</v>
      </c>
      <c r="L78" s="13">
        <v>0.33850000000000002</v>
      </c>
      <c r="M78" s="8" t="s">
        <v>251</v>
      </c>
      <c r="N78" s="8" t="s">
        <v>330</v>
      </c>
      <c r="O78" s="8"/>
      <c r="P78" s="3" t="s">
        <v>4207</v>
      </c>
      <c r="Q78" s="11">
        <v>43851.57613425926</v>
      </c>
      <c r="R78" s="3" t="s">
        <v>23</v>
      </c>
      <c r="S78" s="11">
        <v>43682.658506944441</v>
      </c>
      <c r="T78" s="7">
        <v>23</v>
      </c>
      <c r="U78" s="13">
        <f>COUNTIF('TAX Parcel Status Report'!$A$6:$A$290,SP_TaxPar_DB[[#This Row],[Tax Parcel ID]])</f>
        <v>1</v>
      </c>
    </row>
    <row r="79" spans="1:21" ht="18" customHeight="1" x14ac:dyDescent="0.2">
      <c r="A79" s="6" t="s">
        <v>2076</v>
      </c>
      <c r="B79" s="15"/>
      <c r="C79" s="15" t="s">
        <v>2939</v>
      </c>
      <c r="D79" s="20" t="s">
        <v>1808</v>
      </c>
      <c r="E79" s="8" t="s">
        <v>2077</v>
      </c>
      <c r="F79" s="8" t="s">
        <v>2078</v>
      </c>
      <c r="G79" s="8" t="s">
        <v>1007</v>
      </c>
      <c r="H79" s="3" t="s">
        <v>26</v>
      </c>
      <c r="I79" s="8" t="s">
        <v>78</v>
      </c>
      <c r="J79" s="8" t="s">
        <v>2079</v>
      </c>
      <c r="K79" s="12" t="s">
        <v>2080</v>
      </c>
      <c r="L79" s="13"/>
      <c r="M79" s="8"/>
      <c r="N79" s="8"/>
      <c r="O79" s="8"/>
      <c r="P79" s="3" t="s">
        <v>4207</v>
      </c>
      <c r="Q79" s="11">
        <v>43861.427546296298</v>
      </c>
      <c r="R79" s="3" t="s">
        <v>4207</v>
      </c>
      <c r="S79" s="11">
        <v>43858.550138888888</v>
      </c>
      <c r="T79" s="7">
        <v>149</v>
      </c>
      <c r="U79" s="13">
        <f>COUNTIF('TAX Parcel Status Report'!$A$6:$A$290,SP_TaxPar_DB[[#This Row],[Tax Parcel ID]])</f>
        <v>1</v>
      </c>
    </row>
    <row r="80" spans="1:21" ht="18" customHeight="1" x14ac:dyDescent="0.2">
      <c r="A80" s="195" t="s">
        <v>2081</v>
      </c>
      <c r="B80" s="193"/>
      <c r="C80" s="193" t="s">
        <v>2944</v>
      </c>
      <c r="D80" s="20" t="s">
        <v>1808</v>
      </c>
      <c r="E80" s="8" t="s">
        <v>2082</v>
      </c>
      <c r="F80" s="8" t="s">
        <v>2083</v>
      </c>
      <c r="G80" s="8" t="s">
        <v>1007</v>
      </c>
      <c r="H80" s="3" t="s">
        <v>26</v>
      </c>
      <c r="I80" s="8" t="s">
        <v>78</v>
      </c>
      <c r="J80" s="8" t="s">
        <v>2083</v>
      </c>
      <c r="K80" s="12" t="s">
        <v>2084</v>
      </c>
      <c r="L80" s="13"/>
      <c r="M80" s="8"/>
      <c r="N80" s="8"/>
      <c r="O80" s="8"/>
      <c r="P80" s="3" t="s">
        <v>4207</v>
      </c>
      <c r="Q80" s="11">
        <v>43861.42759259259</v>
      </c>
      <c r="R80" s="3" t="s">
        <v>4207</v>
      </c>
      <c r="S80" s="11">
        <v>43858.550138888888</v>
      </c>
      <c r="T80" s="7">
        <v>150</v>
      </c>
      <c r="U80" s="13">
        <f>COUNTIF('TAX Parcel Status Report'!$A$6:$A$290,SP_TaxPar_DB[[#This Row],[Tax Parcel ID]])</f>
        <v>1</v>
      </c>
    </row>
    <row r="81" spans="1:21" ht="18" customHeight="1" x14ac:dyDescent="0.2">
      <c r="A81" s="6" t="s">
        <v>5097</v>
      </c>
      <c r="B81" s="15" t="s">
        <v>5365</v>
      </c>
      <c r="C81" s="15"/>
      <c r="D81" s="20" t="s">
        <v>2493</v>
      </c>
      <c r="E81" s="8" t="s">
        <v>5069</v>
      </c>
      <c r="F81" s="8" t="s">
        <v>5071</v>
      </c>
      <c r="G81" s="8" t="s">
        <v>1007</v>
      </c>
      <c r="H81" s="3" t="s">
        <v>26</v>
      </c>
      <c r="I81" s="8" t="s">
        <v>78</v>
      </c>
      <c r="J81" s="8" t="s">
        <v>5071</v>
      </c>
      <c r="K81" s="12" t="s">
        <v>5098</v>
      </c>
      <c r="L81" s="13">
        <v>0.14680000000000001</v>
      </c>
      <c r="M81" s="8" t="s">
        <v>29</v>
      </c>
      <c r="N81" s="8" t="s">
        <v>5099</v>
      </c>
      <c r="O81" s="8"/>
      <c r="P81" s="3" t="s">
        <v>4206</v>
      </c>
      <c r="Q81" s="11">
        <v>43964.577546296299</v>
      </c>
      <c r="R81" s="3" t="s">
        <v>4205</v>
      </c>
      <c r="S81" s="11">
        <v>43962.664247685185</v>
      </c>
      <c r="T81" s="7">
        <v>292</v>
      </c>
      <c r="U81" s="13">
        <f>COUNTIF('TAX Parcel Status Report'!$A$6:$A$290,SP_TaxPar_DB[[#This Row],[Tax Parcel ID]])</f>
        <v>1</v>
      </c>
    </row>
    <row r="82" spans="1:21" ht="18" customHeight="1" x14ac:dyDescent="0.2">
      <c r="A82" s="47" t="s">
        <v>5100</v>
      </c>
      <c r="B82" s="15" t="s">
        <v>5367</v>
      </c>
      <c r="C82" s="15"/>
      <c r="D82" s="20" t="s">
        <v>2493</v>
      </c>
      <c r="E82" s="8" t="s">
        <v>5074</v>
      </c>
      <c r="F82" s="8" t="s">
        <v>5075</v>
      </c>
      <c r="G82" s="8" t="s">
        <v>1007</v>
      </c>
      <c r="H82" s="3" t="s">
        <v>26</v>
      </c>
      <c r="I82" s="8" t="s">
        <v>78</v>
      </c>
      <c r="J82" s="8" t="s">
        <v>5075</v>
      </c>
      <c r="K82" s="12" t="s">
        <v>5101</v>
      </c>
      <c r="L82" s="13">
        <v>0.14680000000000001</v>
      </c>
      <c r="M82" s="8" t="s">
        <v>29</v>
      </c>
      <c r="N82" s="8" t="s">
        <v>5102</v>
      </c>
      <c r="O82" s="8"/>
      <c r="P82" s="3" t="s">
        <v>4206</v>
      </c>
      <c r="Q82" s="11">
        <v>43964.577719907407</v>
      </c>
      <c r="R82" s="3" t="s">
        <v>4205</v>
      </c>
      <c r="S82" s="11">
        <v>43962.709236111114</v>
      </c>
      <c r="T82" s="7">
        <v>293</v>
      </c>
      <c r="U82" s="13">
        <f>COUNTIF('TAX Parcel Status Report'!$A$6:$A$290,SP_TaxPar_DB[[#This Row],[Tax Parcel ID]])</f>
        <v>1</v>
      </c>
    </row>
    <row r="83" spans="1:21" ht="18" customHeight="1" x14ac:dyDescent="0.2">
      <c r="A83" s="6" t="s">
        <v>5103</v>
      </c>
      <c r="B83" s="15" t="s">
        <v>5369</v>
      </c>
      <c r="C83" s="15"/>
      <c r="D83" s="20" t="s">
        <v>2493</v>
      </c>
      <c r="E83" s="8" t="s">
        <v>5078</v>
      </c>
      <c r="F83" s="8" t="s">
        <v>5079</v>
      </c>
      <c r="G83" s="8" t="s">
        <v>1007</v>
      </c>
      <c r="H83" s="3" t="s">
        <v>26</v>
      </c>
      <c r="I83" s="8" t="s">
        <v>78</v>
      </c>
      <c r="J83" s="8" t="s">
        <v>5079</v>
      </c>
      <c r="K83" s="12" t="s">
        <v>5104</v>
      </c>
      <c r="L83" s="13">
        <v>0.1197</v>
      </c>
      <c r="M83" s="8" t="s">
        <v>29</v>
      </c>
      <c r="N83" s="8"/>
      <c r="O83" s="8"/>
      <c r="P83" s="3" t="s">
        <v>4206</v>
      </c>
      <c r="Q83" s="11">
        <v>43964.5778587963</v>
      </c>
      <c r="R83" s="3" t="s">
        <v>4205</v>
      </c>
      <c r="S83" s="11">
        <v>43962.712638888886</v>
      </c>
      <c r="T83" s="7">
        <v>294</v>
      </c>
      <c r="U83" s="13">
        <f>COUNTIF('TAX Parcel Status Report'!$A$6:$A$290,SP_TaxPar_DB[[#This Row],[Tax Parcel ID]])</f>
        <v>1</v>
      </c>
    </row>
    <row r="84" spans="1:21" ht="18" customHeight="1" x14ac:dyDescent="0.2">
      <c r="A84" s="47" t="s">
        <v>5728</v>
      </c>
      <c r="B84" s="15" t="s">
        <v>5715</v>
      </c>
      <c r="C84" s="15"/>
      <c r="D84" s="20" t="s">
        <v>2493</v>
      </c>
      <c r="E84" s="8" t="s">
        <v>5717</v>
      </c>
      <c r="F84" s="8"/>
      <c r="G84" s="8" t="s">
        <v>77</v>
      </c>
      <c r="H84" s="3" t="s">
        <v>26</v>
      </c>
      <c r="I84" s="8"/>
      <c r="J84" s="8" t="s">
        <v>5718</v>
      </c>
      <c r="K84" s="12" t="s">
        <v>5729</v>
      </c>
      <c r="L84" s="13"/>
      <c r="M84" s="8"/>
      <c r="N84" s="8"/>
      <c r="O84" s="8"/>
      <c r="P84" s="3" t="s">
        <v>4206</v>
      </c>
      <c r="Q84" s="11">
        <v>43986.670775462961</v>
      </c>
      <c r="R84" s="3" t="s">
        <v>4206</v>
      </c>
      <c r="S84" s="11">
        <v>43985.551238425927</v>
      </c>
      <c r="T84" s="7">
        <v>302</v>
      </c>
      <c r="U84" s="13">
        <f>COUNTIF('TAX Parcel Status Report'!$A$6:$A$290,SP_TaxPar_DB[[#This Row],[Tax Parcel ID]])</f>
        <v>1</v>
      </c>
    </row>
    <row r="85" spans="1:21" ht="18" customHeight="1" x14ac:dyDescent="0.2">
      <c r="A85" s="47" t="s">
        <v>2085</v>
      </c>
      <c r="B85" s="15"/>
      <c r="C85" s="15" t="s">
        <v>2949</v>
      </c>
      <c r="D85" s="20" t="s">
        <v>1808</v>
      </c>
      <c r="E85" s="8" t="s">
        <v>2086</v>
      </c>
      <c r="F85" s="8" t="s">
        <v>2087</v>
      </c>
      <c r="G85" s="8" t="s">
        <v>1007</v>
      </c>
      <c r="H85" s="3" t="s">
        <v>26</v>
      </c>
      <c r="I85" s="8" t="s">
        <v>78</v>
      </c>
      <c r="J85" s="8" t="s">
        <v>2088</v>
      </c>
      <c r="K85" s="12" t="s">
        <v>2089</v>
      </c>
      <c r="L85" s="13"/>
      <c r="M85" s="8"/>
      <c r="N85" s="8"/>
      <c r="O85" s="8"/>
      <c r="P85" s="3" t="s">
        <v>4207</v>
      </c>
      <c r="Q85" s="11">
        <v>43861.42765046296</v>
      </c>
      <c r="R85" s="3" t="s">
        <v>4207</v>
      </c>
      <c r="S85" s="11">
        <v>43858.550138888888</v>
      </c>
      <c r="T85" s="7">
        <v>151</v>
      </c>
      <c r="U85" s="13">
        <f>COUNTIF('TAX Parcel Status Report'!$A$6:$A$290,SP_TaxPar_DB[[#This Row],[Tax Parcel ID]])</f>
        <v>1</v>
      </c>
    </row>
    <row r="86" spans="1:21" ht="18" customHeight="1" x14ac:dyDescent="0.2">
      <c r="A86" s="47" t="s">
        <v>2090</v>
      </c>
      <c r="B86" s="15"/>
      <c r="C86" s="15" t="s">
        <v>2954</v>
      </c>
      <c r="D86" s="20" t="s">
        <v>1808</v>
      </c>
      <c r="E86" s="8" t="s">
        <v>2091</v>
      </c>
      <c r="F86" s="8" t="s">
        <v>2092</v>
      </c>
      <c r="G86" s="8" t="s">
        <v>1007</v>
      </c>
      <c r="H86" s="3" t="s">
        <v>26</v>
      </c>
      <c r="I86" s="8" t="s">
        <v>78</v>
      </c>
      <c r="J86" s="8" t="s">
        <v>2088</v>
      </c>
      <c r="K86" s="12" t="s">
        <v>2093</v>
      </c>
      <c r="L86" s="13"/>
      <c r="M86" s="8"/>
      <c r="N86" s="8"/>
      <c r="O86" s="8"/>
      <c r="P86" s="3" t="s">
        <v>4207</v>
      </c>
      <c r="Q86" s="11">
        <v>43861.427685185183</v>
      </c>
      <c r="R86" s="3" t="s">
        <v>4207</v>
      </c>
      <c r="S86" s="11">
        <v>43858.550138888888</v>
      </c>
      <c r="T86" s="7">
        <v>152</v>
      </c>
      <c r="U86" s="13">
        <f>COUNTIF('TAX Parcel Status Report'!$A$6:$A$290,SP_TaxPar_DB[[#This Row],[Tax Parcel ID]])</f>
        <v>1</v>
      </c>
    </row>
    <row r="87" spans="1:21" ht="18" customHeight="1" x14ac:dyDescent="0.2">
      <c r="A87" s="47" t="s">
        <v>2094</v>
      </c>
      <c r="B87" s="15"/>
      <c r="C87" s="15" t="s">
        <v>2959</v>
      </c>
      <c r="D87" s="20" t="s">
        <v>1808</v>
      </c>
      <c r="E87" s="8" t="s">
        <v>2095</v>
      </c>
      <c r="F87" s="8" t="s">
        <v>2096</v>
      </c>
      <c r="G87" s="8" t="s">
        <v>1007</v>
      </c>
      <c r="H87" s="3" t="s">
        <v>26</v>
      </c>
      <c r="I87" s="8" t="s">
        <v>78</v>
      </c>
      <c r="J87" s="8" t="s">
        <v>2097</v>
      </c>
      <c r="K87" s="12" t="s">
        <v>2098</v>
      </c>
      <c r="L87" s="13"/>
      <c r="M87" s="8"/>
      <c r="N87" s="8"/>
      <c r="O87" s="8"/>
      <c r="P87" s="3" t="s">
        <v>4207</v>
      </c>
      <c r="Q87" s="11">
        <v>43861.427731481483</v>
      </c>
      <c r="R87" s="3" t="s">
        <v>4207</v>
      </c>
      <c r="S87" s="11">
        <v>43858.550138888888</v>
      </c>
      <c r="T87" s="7">
        <v>153</v>
      </c>
      <c r="U87" s="13">
        <f>COUNTIF('TAX Parcel Status Report'!$A$6:$A$290,SP_TaxPar_DB[[#This Row],[Tax Parcel ID]])</f>
        <v>1</v>
      </c>
    </row>
    <row r="88" spans="1:21" ht="18" customHeight="1" x14ac:dyDescent="0.2">
      <c r="A88" s="47" t="s">
        <v>2099</v>
      </c>
      <c r="B88" s="15"/>
      <c r="C88" s="15" t="s">
        <v>2964</v>
      </c>
      <c r="D88" s="20" t="s">
        <v>1808</v>
      </c>
      <c r="E88" s="8" t="s">
        <v>2100</v>
      </c>
      <c r="F88" s="8" t="s">
        <v>2096</v>
      </c>
      <c r="G88" s="8" t="s">
        <v>1007</v>
      </c>
      <c r="H88" s="3" t="s">
        <v>26</v>
      </c>
      <c r="I88" s="8" t="s">
        <v>78</v>
      </c>
      <c r="J88" s="8" t="s">
        <v>2101</v>
      </c>
      <c r="K88" s="12" t="s">
        <v>2102</v>
      </c>
      <c r="L88" s="13"/>
      <c r="M88" s="8"/>
      <c r="N88" s="8"/>
      <c r="O88" s="8"/>
      <c r="P88" s="3" t="s">
        <v>4207</v>
      </c>
      <c r="Q88" s="11">
        <v>43861.427777777775</v>
      </c>
      <c r="R88" s="3" t="s">
        <v>4207</v>
      </c>
      <c r="S88" s="11">
        <v>43858.550138888888</v>
      </c>
      <c r="T88" s="7">
        <v>154</v>
      </c>
      <c r="U88" s="13">
        <f>COUNTIF('TAX Parcel Status Report'!$A$6:$A$290,SP_TaxPar_DB[[#This Row],[Tax Parcel ID]])</f>
        <v>1</v>
      </c>
    </row>
    <row r="89" spans="1:21" ht="18" customHeight="1" x14ac:dyDescent="0.2">
      <c r="A89" s="47" t="s">
        <v>2103</v>
      </c>
      <c r="B89" s="15"/>
      <c r="C89" s="15" t="s">
        <v>2969</v>
      </c>
      <c r="D89" s="20" t="s">
        <v>1808</v>
      </c>
      <c r="E89" s="8" t="s">
        <v>2104</v>
      </c>
      <c r="F89" s="8" t="s">
        <v>2105</v>
      </c>
      <c r="G89" s="8" t="s">
        <v>1913</v>
      </c>
      <c r="H89" s="3" t="s">
        <v>26</v>
      </c>
      <c r="I89" s="8" t="s">
        <v>1914</v>
      </c>
      <c r="J89" s="8" t="s">
        <v>2106</v>
      </c>
      <c r="K89" s="12" t="s">
        <v>2107</v>
      </c>
      <c r="L89" s="13"/>
      <c r="M89" s="8"/>
      <c r="N89" s="8"/>
      <c r="O89" s="8"/>
      <c r="P89" s="3" t="s">
        <v>4207</v>
      </c>
      <c r="Q89" s="11">
        <v>43861.427800925929</v>
      </c>
      <c r="R89" s="3" t="s">
        <v>4207</v>
      </c>
      <c r="S89" s="11">
        <v>43858.550138888888</v>
      </c>
      <c r="T89" s="7">
        <v>155</v>
      </c>
      <c r="U89" s="13">
        <f>COUNTIF('TAX Parcel Status Report'!$A$6:$A$290,SP_TaxPar_DB[[#This Row],[Tax Parcel ID]])</f>
        <v>1</v>
      </c>
    </row>
    <row r="90" spans="1:21" ht="18" customHeight="1" x14ac:dyDescent="0.2">
      <c r="A90" s="6" t="s">
        <v>2108</v>
      </c>
      <c r="B90" s="15"/>
      <c r="C90" s="15" t="s">
        <v>2974</v>
      </c>
      <c r="D90" s="20" t="s">
        <v>1808</v>
      </c>
      <c r="E90" s="8" t="s">
        <v>2104</v>
      </c>
      <c r="F90" s="8" t="s">
        <v>2105</v>
      </c>
      <c r="G90" s="8" t="s">
        <v>1913</v>
      </c>
      <c r="H90" s="3" t="s">
        <v>26</v>
      </c>
      <c r="I90" s="8" t="s">
        <v>1914</v>
      </c>
      <c r="J90" s="8" t="s">
        <v>2109</v>
      </c>
      <c r="K90" s="12" t="s">
        <v>2110</v>
      </c>
      <c r="L90" s="13"/>
      <c r="M90" s="8"/>
      <c r="N90" s="8"/>
      <c r="O90" s="8"/>
      <c r="P90" s="3" t="s">
        <v>4207</v>
      </c>
      <c r="Q90" s="11">
        <v>43861.427858796298</v>
      </c>
      <c r="R90" s="3" t="s">
        <v>4207</v>
      </c>
      <c r="S90" s="11">
        <v>43858.550150462965</v>
      </c>
      <c r="T90" s="7">
        <v>156</v>
      </c>
      <c r="U90" s="13">
        <f>COUNTIF('TAX Parcel Status Report'!$A$6:$A$290,SP_TaxPar_DB[[#This Row],[Tax Parcel ID]])</f>
        <v>1</v>
      </c>
    </row>
    <row r="91" spans="1:21" ht="18" customHeight="1" x14ac:dyDescent="0.2">
      <c r="A91" s="47" t="s">
        <v>2111</v>
      </c>
      <c r="B91" s="15"/>
      <c r="C91" s="15" t="s">
        <v>2979</v>
      </c>
      <c r="D91" s="20" t="s">
        <v>1808</v>
      </c>
      <c r="E91" s="8" t="s">
        <v>2112</v>
      </c>
      <c r="F91" s="8" t="s">
        <v>2113</v>
      </c>
      <c r="G91" s="8" t="s">
        <v>1007</v>
      </c>
      <c r="H91" s="3" t="s">
        <v>26</v>
      </c>
      <c r="I91" s="8" t="s">
        <v>78</v>
      </c>
      <c r="J91" s="8" t="s">
        <v>2114</v>
      </c>
      <c r="K91" s="12" t="s">
        <v>2115</v>
      </c>
      <c r="L91" s="13"/>
      <c r="M91" s="8"/>
      <c r="N91" s="8"/>
      <c r="O91" s="8"/>
      <c r="P91" s="3" t="s">
        <v>4207</v>
      </c>
      <c r="Q91" s="11">
        <v>43861.427893518521</v>
      </c>
      <c r="R91" s="3" t="s">
        <v>4207</v>
      </c>
      <c r="S91" s="11">
        <v>43858.550150462965</v>
      </c>
      <c r="T91" s="7">
        <v>157</v>
      </c>
      <c r="U91" s="13">
        <f>COUNTIF('TAX Parcel Status Report'!$A$6:$A$290,SP_TaxPar_DB[[#This Row],[Tax Parcel ID]])</f>
        <v>1</v>
      </c>
    </row>
    <row r="92" spans="1:21" ht="18" customHeight="1" x14ac:dyDescent="0.2">
      <c r="A92" s="47" t="s">
        <v>2116</v>
      </c>
      <c r="B92" s="15"/>
      <c r="C92" s="15" t="s">
        <v>2984</v>
      </c>
      <c r="D92" s="20" t="s">
        <v>1808</v>
      </c>
      <c r="E92" s="8" t="s">
        <v>2117</v>
      </c>
      <c r="F92" s="8" t="s">
        <v>2118</v>
      </c>
      <c r="G92" s="8" t="s">
        <v>1007</v>
      </c>
      <c r="H92" s="3" t="s">
        <v>26</v>
      </c>
      <c r="I92" s="8" t="s">
        <v>78</v>
      </c>
      <c r="J92" s="8" t="s">
        <v>2119</v>
      </c>
      <c r="K92" s="12" t="s">
        <v>2120</v>
      </c>
      <c r="L92" s="13"/>
      <c r="M92" s="8"/>
      <c r="N92" s="8"/>
      <c r="O92" s="8"/>
      <c r="P92" s="3" t="s">
        <v>4207</v>
      </c>
      <c r="Q92" s="11">
        <v>43861.427939814814</v>
      </c>
      <c r="R92" s="3" t="s">
        <v>4207</v>
      </c>
      <c r="S92" s="11">
        <v>43858.550150462965</v>
      </c>
      <c r="T92" s="7">
        <v>158</v>
      </c>
      <c r="U92" s="13">
        <f>COUNTIF('TAX Parcel Status Report'!$A$6:$A$290,SP_TaxPar_DB[[#This Row],[Tax Parcel ID]])</f>
        <v>1</v>
      </c>
    </row>
    <row r="93" spans="1:21" ht="18" customHeight="1" x14ac:dyDescent="0.2">
      <c r="A93" s="47" t="s">
        <v>2121</v>
      </c>
      <c r="B93" s="15" t="s">
        <v>5253</v>
      </c>
      <c r="C93" s="15"/>
      <c r="D93" s="20" t="s">
        <v>2493</v>
      </c>
      <c r="E93" s="8" t="s">
        <v>2122</v>
      </c>
      <c r="F93" s="8" t="s">
        <v>2123</v>
      </c>
      <c r="G93" s="8" t="s">
        <v>1838</v>
      </c>
      <c r="H93" s="3" t="s">
        <v>26</v>
      </c>
      <c r="I93" s="8" t="s">
        <v>2124</v>
      </c>
      <c r="J93" s="8" t="s">
        <v>2047</v>
      </c>
      <c r="K93" s="12" t="s">
        <v>2125</v>
      </c>
      <c r="L93" s="13"/>
      <c r="M93" s="8"/>
      <c r="N93" s="8"/>
      <c r="O93" s="8"/>
      <c r="P93" s="3" t="s">
        <v>4206</v>
      </c>
      <c r="Q93" s="11">
        <v>43959.493321759262</v>
      </c>
      <c r="R93" s="3" t="s">
        <v>4207</v>
      </c>
      <c r="S93" s="11">
        <v>43858.550138888888</v>
      </c>
      <c r="T93" s="7">
        <v>159</v>
      </c>
      <c r="U93" s="13">
        <f>COUNTIF('TAX Parcel Status Report'!$A$6:$A$290,SP_TaxPar_DB[[#This Row],[Tax Parcel ID]])</f>
        <v>1</v>
      </c>
    </row>
    <row r="94" spans="1:21" ht="18" customHeight="1" x14ac:dyDescent="0.2">
      <c r="A94" s="195" t="s">
        <v>2126</v>
      </c>
      <c r="B94" s="193"/>
      <c r="C94" s="193" t="s">
        <v>2990</v>
      </c>
      <c r="D94" s="20" t="s">
        <v>1808</v>
      </c>
      <c r="E94" s="8" t="s">
        <v>2127</v>
      </c>
      <c r="F94" s="8" t="s">
        <v>2128</v>
      </c>
      <c r="G94" s="8" t="s">
        <v>1007</v>
      </c>
      <c r="H94" s="3" t="s">
        <v>26</v>
      </c>
      <c r="I94" s="8" t="s">
        <v>78</v>
      </c>
      <c r="J94" s="8" t="s">
        <v>2128</v>
      </c>
      <c r="K94" s="12" t="s">
        <v>2129</v>
      </c>
      <c r="L94" s="13"/>
      <c r="M94" s="8"/>
      <c r="N94" s="8"/>
      <c r="O94" s="8"/>
      <c r="P94" s="3" t="s">
        <v>4207</v>
      </c>
      <c r="Q94" s="11">
        <v>43861.428055555552</v>
      </c>
      <c r="R94" s="3" t="s">
        <v>4207</v>
      </c>
      <c r="S94" s="11">
        <v>43858.550138888888</v>
      </c>
      <c r="T94" s="7">
        <v>160</v>
      </c>
      <c r="U94" s="13">
        <f>COUNTIF('TAX Parcel Status Report'!$A$6:$A$290,SP_TaxPar_DB[[#This Row],[Tax Parcel ID]])</f>
        <v>1</v>
      </c>
    </row>
    <row r="95" spans="1:21" ht="18" customHeight="1" x14ac:dyDescent="0.2">
      <c r="A95" s="47" t="s">
        <v>2130</v>
      </c>
      <c r="B95" s="15"/>
      <c r="C95" s="15" t="s">
        <v>2995</v>
      </c>
      <c r="D95" s="20" t="s">
        <v>1808</v>
      </c>
      <c r="E95" s="8" t="s">
        <v>2131</v>
      </c>
      <c r="F95" s="8" t="s">
        <v>2132</v>
      </c>
      <c r="G95" s="8" t="s">
        <v>1007</v>
      </c>
      <c r="H95" s="3" t="s">
        <v>26</v>
      </c>
      <c r="I95" s="8" t="s">
        <v>78</v>
      </c>
      <c r="J95" s="8" t="s">
        <v>2132</v>
      </c>
      <c r="K95" s="12" t="s">
        <v>2133</v>
      </c>
      <c r="L95" s="13"/>
      <c r="M95" s="8"/>
      <c r="N95" s="8"/>
      <c r="O95" s="8"/>
      <c r="P95" s="3" t="s">
        <v>4207</v>
      </c>
      <c r="Q95" s="11">
        <v>43861.428090277775</v>
      </c>
      <c r="R95" s="3" t="s">
        <v>4207</v>
      </c>
      <c r="S95" s="11">
        <v>43858.550138888888</v>
      </c>
      <c r="T95" s="7">
        <v>161</v>
      </c>
      <c r="U95" s="13">
        <f>COUNTIF('TAX Parcel Status Report'!$A$6:$A$290,SP_TaxPar_DB[[#This Row],[Tax Parcel ID]])</f>
        <v>1</v>
      </c>
    </row>
    <row r="96" spans="1:21" ht="18" customHeight="1" x14ac:dyDescent="0.2">
      <c r="A96" s="47" t="s">
        <v>2134</v>
      </c>
      <c r="B96" s="15"/>
      <c r="C96" s="15" t="s">
        <v>3000</v>
      </c>
      <c r="D96" s="20" t="s">
        <v>1808</v>
      </c>
      <c r="E96" s="8" t="s">
        <v>2135</v>
      </c>
      <c r="F96" s="8" t="s">
        <v>2136</v>
      </c>
      <c r="G96" s="8" t="s">
        <v>1007</v>
      </c>
      <c r="H96" s="3" t="s">
        <v>26</v>
      </c>
      <c r="I96" s="8" t="s">
        <v>78</v>
      </c>
      <c r="J96" s="8" t="s">
        <v>2137</v>
      </c>
      <c r="K96" s="12" t="s">
        <v>2138</v>
      </c>
      <c r="L96" s="13"/>
      <c r="M96" s="8"/>
      <c r="N96" s="8"/>
      <c r="O96" s="8"/>
      <c r="P96" s="3" t="s">
        <v>4207</v>
      </c>
      <c r="Q96" s="11">
        <v>43861.428136574075</v>
      </c>
      <c r="R96" s="3" t="s">
        <v>4207</v>
      </c>
      <c r="S96" s="11">
        <v>43858.550138888888</v>
      </c>
      <c r="T96" s="7">
        <v>162</v>
      </c>
      <c r="U96" s="13">
        <f>COUNTIF('TAX Parcel Status Report'!$A$6:$A$290,SP_TaxPar_DB[[#This Row],[Tax Parcel ID]])</f>
        <v>1</v>
      </c>
    </row>
    <row r="97" spans="1:21" ht="18" customHeight="1" x14ac:dyDescent="0.2">
      <c r="A97" s="47" t="s">
        <v>2139</v>
      </c>
      <c r="B97" s="15"/>
      <c r="C97" s="15" t="s">
        <v>2707</v>
      </c>
      <c r="D97" s="20" t="s">
        <v>1808</v>
      </c>
      <c r="E97" s="8" t="s">
        <v>2140</v>
      </c>
      <c r="F97" s="8" t="s">
        <v>2141</v>
      </c>
      <c r="G97" s="8" t="s">
        <v>1913</v>
      </c>
      <c r="H97" s="3" t="s">
        <v>26</v>
      </c>
      <c r="I97" s="8" t="s">
        <v>1914</v>
      </c>
      <c r="J97" s="8" t="s">
        <v>2142</v>
      </c>
      <c r="K97" s="12" t="s">
        <v>2143</v>
      </c>
      <c r="L97" s="13"/>
      <c r="M97" s="8"/>
      <c r="N97" s="8"/>
      <c r="O97" s="8"/>
      <c r="P97" s="3" t="s">
        <v>4207</v>
      </c>
      <c r="Q97" s="11">
        <v>43861.428182870368</v>
      </c>
      <c r="R97" s="3" t="s">
        <v>4207</v>
      </c>
      <c r="S97" s="11">
        <v>43858.550138888888</v>
      </c>
      <c r="T97" s="7">
        <v>163</v>
      </c>
      <c r="U97" s="13">
        <f>COUNTIF('TAX Parcel Status Report'!$A$6:$A$290,SP_TaxPar_DB[[#This Row],[Tax Parcel ID]])</f>
        <v>1</v>
      </c>
    </row>
    <row r="98" spans="1:21" ht="18" customHeight="1" x14ac:dyDescent="0.2">
      <c r="A98" s="6" t="s">
        <v>2144</v>
      </c>
      <c r="B98" s="15"/>
      <c r="C98" s="15" t="s">
        <v>3009</v>
      </c>
      <c r="D98" s="20" t="s">
        <v>1808</v>
      </c>
      <c r="E98" s="8" t="s">
        <v>2140</v>
      </c>
      <c r="F98" s="8" t="s">
        <v>2141</v>
      </c>
      <c r="G98" s="8" t="s">
        <v>1913</v>
      </c>
      <c r="H98" s="3" t="s">
        <v>26</v>
      </c>
      <c r="I98" s="8" t="s">
        <v>1914</v>
      </c>
      <c r="J98" s="8" t="s">
        <v>2047</v>
      </c>
      <c r="K98" s="12" t="s">
        <v>2145</v>
      </c>
      <c r="L98" s="13"/>
      <c r="M98" s="8"/>
      <c r="N98" s="8"/>
      <c r="O98" s="8"/>
      <c r="P98" s="3" t="s">
        <v>4207</v>
      </c>
      <c r="Q98" s="11">
        <v>43861.428217592591</v>
      </c>
      <c r="R98" s="3" t="s">
        <v>4207</v>
      </c>
      <c r="S98" s="11">
        <v>43858.550138888888</v>
      </c>
      <c r="T98" s="7">
        <v>164</v>
      </c>
      <c r="U98" s="13">
        <f>COUNTIF('TAX Parcel Status Report'!$A$6:$A$290,SP_TaxPar_DB[[#This Row],[Tax Parcel ID]])</f>
        <v>1</v>
      </c>
    </row>
    <row r="99" spans="1:21" ht="18" customHeight="1" x14ac:dyDescent="0.2">
      <c r="A99" s="47" t="s">
        <v>2146</v>
      </c>
      <c r="B99" s="15"/>
      <c r="C99" s="15" t="s">
        <v>3014</v>
      </c>
      <c r="D99" s="20" t="s">
        <v>1808</v>
      </c>
      <c r="E99" s="8" t="s">
        <v>2140</v>
      </c>
      <c r="F99" s="8" t="s">
        <v>2141</v>
      </c>
      <c r="G99" s="8" t="s">
        <v>1913</v>
      </c>
      <c r="H99" s="3" t="s">
        <v>26</v>
      </c>
      <c r="I99" s="8" t="s">
        <v>1914</v>
      </c>
      <c r="J99" s="8" t="s">
        <v>2047</v>
      </c>
      <c r="K99" s="12" t="s">
        <v>2147</v>
      </c>
      <c r="L99" s="13"/>
      <c r="M99" s="8"/>
      <c r="N99" s="8"/>
      <c r="O99" s="8"/>
      <c r="P99" s="3" t="s">
        <v>4207</v>
      </c>
      <c r="Q99" s="11">
        <v>43861.428263888891</v>
      </c>
      <c r="R99" s="3" t="s">
        <v>4207</v>
      </c>
      <c r="S99" s="11">
        <v>43858.550138888888</v>
      </c>
      <c r="T99" s="7">
        <v>165</v>
      </c>
      <c r="U99" s="13">
        <f>COUNTIF('TAX Parcel Status Report'!$A$6:$A$290,SP_TaxPar_DB[[#This Row],[Tax Parcel ID]])</f>
        <v>1</v>
      </c>
    </row>
    <row r="100" spans="1:21" ht="18" customHeight="1" x14ac:dyDescent="0.2">
      <c r="A100" s="6" t="s">
        <v>2148</v>
      </c>
      <c r="B100" s="15"/>
      <c r="C100" s="15" t="s">
        <v>3019</v>
      </c>
      <c r="D100" s="20" t="s">
        <v>1808</v>
      </c>
      <c r="E100" s="8" t="s">
        <v>2149</v>
      </c>
      <c r="F100" s="8" t="s">
        <v>2150</v>
      </c>
      <c r="G100" s="8" t="s">
        <v>1007</v>
      </c>
      <c r="H100" s="3" t="s">
        <v>26</v>
      </c>
      <c r="I100" s="8" t="s">
        <v>78</v>
      </c>
      <c r="J100" s="8" t="s">
        <v>2150</v>
      </c>
      <c r="K100" s="12" t="s">
        <v>2151</v>
      </c>
      <c r="L100" s="13"/>
      <c r="M100" s="8"/>
      <c r="N100" s="8"/>
      <c r="O100" s="8"/>
      <c r="P100" s="3" t="s">
        <v>4207</v>
      </c>
      <c r="Q100" s="11">
        <v>43861.428298611114</v>
      </c>
      <c r="R100" s="3" t="s">
        <v>4207</v>
      </c>
      <c r="S100" s="11">
        <v>43858.550138888888</v>
      </c>
      <c r="T100" s="7">
        <v>166</v>
      </c>
      <c r="U100" s="13">
        <f>COUNTIF('TAX Parcel Status Report'!$A$6:$A$290,SP_TaxPar_DB[[#This Row],[Tax Parcel ID]])</f>
        <v>1</v>
      </c>
    </row>
    <row r="101" spans="1:21" ht="18" customHeight="1" x14ac:dyDescent="0.2">
      <c r="A101" s="47" t="s">
        <v>183</v>
      </c>
      <c r="B101" s="15" t="s">
        <v>50</v>
      </c>
      <c r="C101" s="15"/>
      <c r="D101" s="20" t="s">
        <v>1811</v>
      </c>
      <c r="E101" s="8" t="s">
        <v>184</v>
      </c>
      <c r="F101" s="8" t="s">
        <v>182</v>
      </c>
      <c r="G101" s="8" t="s">
        <v>77</v>
      </c>
      <c r="H101" s="3" t="s">
        <v>26</v>
      </c>
      <c r="I101" s="8" t="s">
        <v>78</v>
      </c>
      <c r="J101" s="8" t="s">
        <v>185</v>
      </c>
      <c r="K101" s="12" t="s">
        <v>331</v>
      </c>
      <c r="L101" s="13">
        <v>0.24310000000000001</v>
      </c>
      <c r="M101" s="8" t="s">
        <v>291</v>
      </c>
      <c r="N101" s="8"/>
      <c r="O101" s="8" t="s">
        <v>332</v>
      </c>
      <c r="P101" s="3" t="s">
        <v>4207</v>
      </c>
      <c r="Q101" s="11">
        <v>43851.576516203706</v>
      </c>
      <c r="R101" s="3" t="s">
        <v>23</v>
      </c>
      <c r="S101" s="11">
        <v>43682.658506944441</v>
      </c>
      <c r="T101" s="7">
        <v>47</v>
      </c>
      <c r="U101" s="13">
        <f>COUNTIF('TAX Parcel Status Report'!$A$6:$A$290,SP_TaxPar_DB[[#This Row],[Tax Parcel ID]])</f>
        <v>1</v>
      </c>
    </row>
    <row r="102" spans="1:21" ht="18" customHeight="1" x14ac:dyDescent="0.2">
      <c r="A102" s="6" t="s">
        <v>333</v>
      </c>
      <c r="B102" s="15" t="s">
        <v>51</v>
      </c>
      <c r="C102" s="15"/>
      <c r="D102" s="20" t="s">
        <v>1811</v>
      </c>
      <c r="E102" s="8" t="s">
        <v>334</v>
      </c>
      <c r="F102" s="8" t="s">
        <v>335</v>
      </c>
      <c r="G102" s="8" t="s">
        <v>77</v>
      </c>
      <c r="H102" s="3" t="s">
        <v>26</v>
      </c>
      <c r="I102" s="8" t="s">
        <v>78</v>
      </c>
      <c r="J102" s="8" t="s">
        <v>187</v>
      </c>
      <c r="K102" s="12" t="s">
        <v>336</v>
      </c>
      <c r="L102" s="13">
        <v>0.40679999999999999</v>
      </c>
      <c r="M102" s="8" t="s">
        <v>251</v>
      </c>
      <c r="N102" s="8"/>
      <c r="O102" s="8" t="s">
        <v>337</v>
      </c>
      <c r="P102" s="3" t="s">
        <v>4207</v>
      </c>
      <c r="Q102" s="11">
        <v>43851.576516203706</v>
      </c>
      <c r="R102" s="3" t="s">
        <v>23</v>
      </c>
      <c r="S102" s="11">
        <v>43682.658506944441</v>
      </c>
      <c r="T102" s="7">
        <v>48</v>
      </c>
      <c r="U102" s="13">
        <f>COUNTIF('TAX Parcel Status Report'!$A$6:$A$290,SP_TaxPar_DB[[#This Row],[Tax Parcel ID]])</f>
        <v>1</v>
      </c>
    </row>
    <row r="103" spans="1:21" ht="18" customHeight="1" x14ac:dyDescent="0.2">
      <c r="A103" s="195" t="s">
        <v>338</v>
      </c>
      <c r="B103" s="193" t="s">
        <v>52</v>
      </c>
      <c r="C103" s="193"/>
      <c r="D103" s="20" t="s">
        <v>1811</v>
      </c>
      <c r="E103" s="8" t="s">
        <v>339</v>
      </c>
      <c r="F103" s="8" t="s">
        <v>340</v>
      </c>
      <c r="G103" s="8" t="s">
        <v>77</v>
      </c>
      <c r="H103" s="3" t="s">
        <v>26</v>
      </c>
      <c r="I103" s="8" t="s">
        <v>78</v>
      </c>
      <c r="J103" s="8" t="s">
        <v>189</v>
      </c>
      <c r="K103" s="12" t="s">
        <v>341</v>
      </c>
      <c r="L103" s="13">
        <v>0.25829999999999997</v>
      </c>
      <c r="M103" s="8" t="s">
        <v>251</v>
      </c>
      <c r="N103" s="8" t="s">
        <v>342</v>
      </c>
      <c r="O103" s="8"/>
      <c r="P103" s="3" t="s">
        <v>4207</v>
      </c>
      <c r="Q103" s="11">
        <v>43851.576527777775</v>
      </c>
      <c r="R103" s="3" t="s">
        <v>23</v>
      </c>
      <c r="S103" s="11">
        <v>43682.658506944441</v>
      </c>
      <c r="T103" s="7">
        <v>49</v>
      </c>
      <c r="U103" s="13">
        <f>COUNTIF('TAX Parcel Status Report'!$A$6:$A$290,SP_TaxPar_DB[[#This Row],[Tax Parcel ID]])</f>
        <v>1</v>
      </c>
    </row>
    <row r="104" spans="1:21" ht="18" customHeight="1" x14ac:dyDescent="0.2">
      <c r="A104" s="47" t="s">
        <v>343</v>
      </c>
      <c r="B104" s="15" t="s">
        <v>1175</v>
      </c>
      <c r="C104" s="15"/>
      <c r="D104" s="20" t="s">
        <v>1811</v>
      </c>
      <c r="E104" s="8" t="s">
        <v>1256</v>
      </c>
      <c r="F104" s="8" t="s">
        <v>335</v>
      </c>
      <c r="G104" s="8" t="s">
        <v>77</v>
      </c>
      <c r="H104" s="3" t="s">
        <v>26</v>
      </c>
      <c r="I104" s="8"/>
      <c r="J104" s="8" t="s">
        <v>1257</v>
      </c>
      <c r="K104" s="12" t="s">
        <v>1294</v>
      </c>
      <c r="L104" s="13">
        <v>2.87E-2</v>
      </c>
      <c r="M104" s="8"/>
      <c r="N104" s="8"/>
      <c r="O104" s="8" t="s">
        <v>1715</v>
      </c>
      <c r="P104" s="3" t="s">
        <v>4207</v>
      </c>
      <c r="Q104" s="11">
        <v>43851.577430555553</v>
      </c>
      <c r="R104" s="3" t="s">
        <v>4207</v>
      </c>
      <c r="S104" s="11">
        <v>43717.4762962963</v>
      </c>
      <c r="T104" s="7">
        <v>87</v>
      </c>
      <c r="U104" s="13">
        <f>COUNTIF('TAX Parcel Status Report'!$A$6:$A$290,SP_TaxPar_DB[[#This Row],[Tax Parcel ID]])</f>
        <v>1</v>
      </c>
    </row>
    <row r="105" spans="1:21" ht="18" customHeight="1" x14ac:dyDescent="0.2">
      <c r="A105" s="47" t="s">
        <v>344</v>
      </c>
      <c r="B105" s="15" t="s">
        <v>32</v>
      </c>
      <c r="C105" s="15"/>
      <c r="D105" s="20" t="s">
        <v>1811</v>
      </c>
      <c r="E105" s="8" t="s">
        <v>94</v>
      </c>
      <c r="F105" s="8" t="s">
        <v>95</v>
      </c>
      <c r="G105" s="8" t="s">
        <v>77</v>
      </c>
      <c r="H105" s="3" t="s">
        <v>26</v>
      </c>
      <c r="I105" s="8" t="s">
        <v>78</v>
      </c>
      <c r="J105" s="8" t="s">
        <v>98</v>
      </c>
      <c r="K105" s="12" t="s">
        <v>345</v>
      </c>
      <c r="L105" s="13">
        <v>23.0762</v>
      </c>
      <c r="M105" s="8" t="s">
        <v>346</v>
      </c>
      <c r="N105" s="8"/>
      <c r="O105" s="8"/>
      <c r="P105" s="3" t="s">
        <v>4207</v>
      </c>
      <c r="Q105" s="11">
        <v>43851.575914351852</v>
      </c>
      <c r="R105" s="3" t="s">
        <v>23</v>
      </c>
      <c r="S105" s="11">
        <v>43682.658495370371</v>
      </c>
      <c r="T105" s="7">
        <v>7</v>
      </c>
      <c r="U105" s="13">
        <f>COUNTIF('TAX Parcel Status Report'!$A$6:$A$290,SP_TaxPar_DB[[#This Row],[Tax Parcel ID]])</f>
        <v>1</v>
      </c>
    </row>
    <row r="106" spans="1:21" ht="18" customHeight="1" x14ac:dyDescent="0.2">
      <c r="A106" s="6" t="s">
        <v>347</v>
      </c>
      <c r="B106" s="15" t="s">
        <v>33</v>
      </c>
      <c r="C106" s="15"/>
      <c r="D106" s="20" t="s">
        <v>1811</v>
      </c>
      <c r="E106" s="8" t="s">
        <v>348</v>
      </c>
      <c r="F106" s="8" t="s">
        <v>349</v>
      </c>
      <c r="G106" s="8" t="s">
        <v>77</v>
      </c>
      <c r="H106" s="3" t="s">
        <v>26</v>
      </c>
      <c r="I106" s="8" t="s">
        <v>78</v>
      </c>
      <c r="J106" s="8" t="s">
        <v>349</v>
      </c>
      <c r="K106" s="12" t="s">
        <v>350</v>
      </c>
      <c r="L106" s="13">
        <v>0.13769999999999999</v>
      </c>
      <c r="M106" s="8" t="s">
        <v>251</v>
      </c>
      <c r="N106" s="8" t="s">
        <v>351</v>
      </c>
      <c r="O106" s="8"/>
      <c r="P106" s="3" t="s">
        <v>4207</v>
      </c>
      <c r="Q106" s="11">
        <v>43851.575925925928</v>
      </c>
      <c r="R106" s="3" t="s">
        <v>23</v>
      </c>
      <c r="S106" s="11">
        <v>43682.658495370371</v>
      </c>
      <c r="T106" s="7">
        <v>8</v>
      </c>
      <c r="U106" s="13">
        <f>COUNTIF('TAX Parcel Status Report'!$A$6:$A$290,SP_TaxPar_DB[[#This Row],[Tax Parcel ID]])</f>
        <v>1</v>
      </c>
    </row>
    <row r="107" spans="1:21" ht="18" customHeight="1" x14ac:dyDescent="0.2">
      <c r="A107" s="47" t="s">
        <v>2152</v>
      </c>
      <c r="B107" s="15" t="s">
        <v>3310</v>
      </c>
      <c r="C107" s="15"/>
      <c r="D107" s="20" t="s">
        <v>1811</v>
      </c>
      <c r="E107" s="8" t="s">
        <v>4529</v>
      </c>
      <c r="F107" s="8" t="s">
        <v>2153</v>
      </c>
      <c r="G107" s="8" t="s">
        <v>1007</v>
      </c>
      <c r="H107" s="3" t="s">
        <v>26</v>
      </c>
      <c r="I107" s="8" t="s">
        <v>78</v>
      </c>
      <c r="J107" s="8" t="s">
        <v>2154</v>
      </c>
      <c r="K107" s="12" t="s">
        <v>2155</v>
      </c>
      <c r="L107" s="13">
        <v>0.13769999999999999</v>
      </c>
      <c r="M107" s="8"/>
      <c r="N107" s="8"/>
      <c r="O107" s="8"/>
      <c r="P107" s="3" t="s">
        <v>4205</v>
      </c>
      <c r="Q107" s="11">
        <v>43916.548437500001</v>
      </c>
      <c r="R107" s="3" t="s">
        <v>4207</v>
      </c>
      <c r="S107" s="11">
        <v>43858.550138888888</v>
      </c>
      <c r="T107" s="7">
        <v>169</v>
      </c>
      <c r="U107" s="13">
        <f>COUNTIF('TAX Parcel Status Report'!$A$6:$A$290,SP_TaxPar_DB[[#This Row],[Tax Parcel ID]])</f>
        <v>1</v>
      </c>
    </row>
    <row r="108" spans="1:21" ht="18" customHeight="1" x14ac:dyDescent="0.2">
      <c r="A108" s="6" t="s">
        <v>2156</v>
      </c>
      <c r="B108" s="15" t="s">
        <v>3315</v>
      </c>
      <c r="C108" s="15"/>
      <c r="D108" s="20" t="s">
        <v>1811</v>
      </c>
      <c r="E108" s="8" t="s">
        <v>6730</v>
      </c>
      <c r="F108" s="8" t="s">
        <v>6728</v>
      </c>
      <c r="G108" s="8" t="s">
        <v>1007</v>
      </c>
      <c r="H108" s="3" t="s">
        <v>26</v>
      </c>
      <c r="I108" s="8" t="s">
        <v>78</v>
      </c>
      <c r="J108" s="8" t="s">
        <v>2157</v>
      </c>
      <c r="K108" s="12" t="s">
        <v>2158</v>
      </c>
      <c r="L108" s="13">
        <v>0.13769999999999999</v>
      </c>
      <c r="M108" s="8" t="s">
        <v>4711</v>
      </c>
      <c r="N108" s="8"/>
      <c r="O108" s="8"/>
      <c r="P108" s="3" t="s">
        <v>4325</v>
      </c>
      <c r="Q108" s="11">
        <v>44025.505868055552</v>
      </c>
      <c r="R108" s="3" t="s">
        <v>4207</v>
      </c>
      <c r="S108" s="11">
        <v>43858.550138888888</v>
      </c>
      <c r="T108" s="7">
        <v>170</v>
      </c>
      <c r="U108" s="13">
        <f>COUNTIF('TAX Parcel Status Report'!$A$6:$A$290,SP_TaxPar_DB[[#This Row],[Tax Parcel ID]])</f>
        <v>1</v>
      </c>
    </row>
    <row r="109" spans="1:21" ht="18" customHeight="1" x14ac:dyDescent="0.2">
      <c r="A109" s="6" t="s">
        <v>2159</v>
      </c>
      <c r="B109" s="15"/>
      <c r="C109" s="15" t="s">
        <v>3031</v>
      </c>
      <c r="D109" s="20" t="s">
        <v>1808</v>
      </c>
      <c r="E109" s="8" t="s">
        <v>2160</v>
      </c>
      <c r="F109" s="8" t="s">
        <v>2161</v>
      </c>
      <c r="G109" s="8" t="s">
        <v>1007</v>
      </c>
      <c r="H109" s="3" t="s">
        <v>26</v>
      </c>
      <c r="I109" s="8" t="s">
        <v>78</v>
      </c>
      <c r="J109" s="8" t="s">
        <v>2161</v>
      </c>
      <c r="K109" s="12" t="s">
        <v>2162</v>
      </c>
      <c r="L109" s="13"/>
      <c r="M109" s="8"/>
      <c r="N109" s="8"/>
      <c r="O109" s="8"/>
      <c r="P109" s="3" t="s">
        <v>4207</v>
      </c>
      <c r="Q109" s="11">
        <v>43861.429155092592</v>
      </c>
      <c r="R109" s="3" t="s">
        <v>4207</v>
      </c>
      <c r="S109" s="11">
        <v>43858.550138888888</v>
      </c>
      <c r="T109" s="7">
        <v>171</v>
      </c>
      <c r="U109" s="13">
        <f>COUNTIF('TAX Parcel Status Report'!$A$6:$A$290,SP_TaxPar_DB[[#This Row],[Tax Parcel ID]])</f>
        <v>1</v>
      </c>
    </row>
    <row r="110" spans="1:21" ht="18" customHeight="1" x14ac:dyDescent="0.2">
      <c r="A110" s="47" t="s">
        <v>2163</v>
      </c>
      <c r="B110" s="15"/>
      <c r="C110" s="15" t="s">
        <v>3036</v>
      </c>
      <c r="D110" s="20" t="s">
        <v>1808</v>
      </c>
      <c r="E110" s="8" t="s">
        <v>2164</v>
      </c>
      <c r="F110" s="8" t="s">
        <v>2165</v>
      </c>
      <c r="G110" s="8" t="s">
        <v>1007</v>
      </c>
      <c r="H110" s="3" t="s">
        <v>26</v>
      </c>
      <c r="I110" s="8" t="s">
        <v>78</v>
      </c>
      <c r="J110" s="8" t="s">
        <v>2166</v>
      </c>
      <c r="K110" s="12" t="s">
        <v>2167</v>
      </c>
      <c r="L110" s="13"/>
      <c r="M110" s="8"/>
      <c r="N110" s="8"/>
      <c r="O110" s="8"/>
      <c r="P110" s="3" t="s">
        <v>4207</v>
      </c>
      <c r="Q110" s="11">
        <v>43861.429212962961</v>
      </c>
      <c r="R110" s="3" t="s">
        <v>4207</v>
      </c>
      <c r="S110" s="11">
        <v>43858.550138888888</v>
      </c>
      <c r="T110" s="7">
        <v>172</v>
      </c>
      <c r="U110" s="13">
        <f>COUNTIF('TAX Parcel Status Report'!$A$6:$A$290,SP_TaxPar_DB[[#This Row],[Tax Parcel ID]])</f>
        <v>1</v>
      </c>
    </row>
    <row r="111" spans="1:21" ht="18" customHeight="1" x14ac:dyDescent="0.2">
      <c r="A111" s="47" t="s">
        <v>2168</v>
      </c>
      <c r="B111" s="15"/>
      <c r="C111" s="15" t="s">
        <v>3041</v>
      </c>
      <c r="D111" s="20" t="s">
        <v>1808</v>
      </c>
      <c r="E111" s="8" t="s">
        <v>2169</v>
      </c>
      <c r="F111" s="8" t="s">
        <v>2165</v>
      </c>
      <c r="G111" s="8" t="s">
        <v>1007</v>
      </c>
      <c r="H111" s="3" t="s">
        <v>26</v>
      </c>
      <c r="I111" s="8" t="s">
        <v>78</v>
      </c>
      <c r="J111" s="8" t="s">
        <v>2166</v>
      </c>
      <c r="K111" s="12" t="s">
        <v>2170</v>
      </c>
      <c r="L111" s="13"/>
      <c r="M111" s="8"/>
      <c r="N111" s="8"/>
      <c r="O111" s="8"/>
      <c r="P111" s="3" t="s">
        <v>4207</v>
      </c>
      <c r="Q111" s="11">
        <v>43861.429282407407</v>
      </c>
      <c r="R111" s="3" t="s">
        <v>4207</v>
      </c>
      <c r="S111" s="11">
        <v>43858.550138888888</v>
      </c>
      <c r="T111" s="7">
        <v>173</v>
      </c>
      <c r="U111" s="13">
        <f>COUNTIF('TAX Parcel Status Report'!$A$6:$A$290,SP_TaxPar_DB[[#This Row],[Tax Parcel ID]])</f>
        <v>1</v>
      </c>
    </row>
    <row r="112" spans="1:21" ht="18" customHeight="1" x14ac:dyDescent="0.2">
      <c r="A112" s="47" t="s">
        <v>2171</v>
      </c>
      <c r="B112" s="15"/>
      <c r="C112" s="15" t="s">
        <v>3046</v>
      </c>
      <c r="D112" s="20" t="s">
        <v>1808</v>
      </c>
      <c r="E112" s="8" t="s">
        <v>2169</v>
      </c>
      <c r="F112" s="8" t="s">
        <v>2165</v>
      </c>
      <c r="G112" s="8" t="s">
        <v>1007</v>
      </c>
      <c r="H112" s="3" t="s">
        <v>26</v>
      </c>
      <c r="I112" s="8" t="s">
        <v>78</v>
      </c>
      <c r="J112" s="8" t="s">
        <v>2172</v>
      </c>
      <c r="K112" s="12" t="s">
        <v>2173</v>
      </c>
      <c r="L112" s="13"/>
      <c r="M112" s="8"/>
      <c r="N112" s="8"/>
      <c r="O112" s="8"/>
      <c r="P112" s="3" t="s">
        <v>4207</v>
      </c>
      <c r="Q112" s="11">
        <v>43861.429363425923</v>
      </c>
      <c r="R112" s="3" t="s">
        <v>4207</v>
      </c>
      <c r="S112" s="11">
        <v>43858.550138888888</v>
      </c>
      <c r="T112" s="7">
        <v>174</v>
      </c>
      <c r="U112" s="13">
        <f>COUNTIF('TAX Parcel Status Report'!$A$6:$A$290,SP_TaxPar_DB[[#This Row],[Tax Parcel ID]])</f>
        <v>1</v>
      </c>
    </row>
    <row r="113" spans="1:21" ht="18" customHeight="1" x14ac:dyDescent="0.2">
      <c r="A113" s="47" t="s">
        <v>2174</v>
      </c>
      <c r="B113" s="15"/>
      <c r="C113" s="15" t="s">
        <v>3051</v>
      </c>
      <c r="D113" s="20" t="s">
        <v>1808</v>
      </c>
      <c r="E113" s="8" t="s">
        <v>2175</v>
      </c>
      <c r="F113" s="8" t="s">
        <v>2176</v>
      </c>
      <c r="G113" s="8" t="s">
        <v>1838</v>
      </c>
      <c r="H113" s="3" t="s">
        <v>26</v>
      </c>
      <c r="I113" s="8" t="s">
        <v>2177</v>
      </c>
      <c r="J113" s="8" t="s">
        <v>2178</v>
      </c>
      <c r="K113" s="12" t="s">
        <v>2179</v>
      </c>
      <c r="L113" s="13"/>
      <c r="M113" s="8"/>
      <c r="N113" s="8"/>
      <c r="O113" s="8"/>
      <c r="P113" s="3" t="s">
        <v>4207</v>
      </c>
      <c r="Q113" s="11">
        <v>43861.429398148146</v>
      </c>
      <c r="R113" s="3" t="s">
        <v>4207</v>
      </c>
      <c r="S113" s="11">
        <v>43858.550138888888</v>
      </c>
      <c r="T113" s="7">
        <v>175</v>
      </c>
      <c r="U113" s="13">
        <f>COUNTIF('TAX Parcel Status Report'!$A$6:$A$290,SP_TaxPar_DB[[#This Row],[Tax Parcel ID]])</f>
        <v>1</v>
      </c>
    </row>
    <row r="114" spans="1:21" ht="18" customHeight="1" x14ac:dyDescent="0.2">
      <c r="A114" s="6" t="s">
        <v>2180</v>
      </c>
      <c r="B114" s="15"/>
      <c r="C114" s="15" t="s">
        <v>3056</v>
      </c>
      <c r="D114" s="20" t="s">
        <v>1808</v>
      </c>
      <c r="E114" s="8" t="s">
        <v>2181</v>
      </c>
      <c r="F114" s="8" t="s">
        <v>2182</v>
      </c>
      <c r="G114" s="8" t="s">
        <v>2183</v>
      </c>
      <c r="H114" s="3" t="s">
        <v>26</v>
      </c>
      <c r="I114" s="8" t="s">
        <v>2184</v>
      </c>
      <c r="J114" s="8" t="s">
        <v>2185</v>
      </c>
      <c r="K114" s="12" t="s">
        <v>2186</v>
      </c>
      <c r="L114" s="13"/>
      <c r="M114" s="8"/>
      <c r="N114" s="8"/>
      <c r="O114" s="8"/>
      <c r="P114" s="3" t="s">
        <v>4207</v>
      </c>
      <c r="Q114" s="11">
        <v>43861.429930555554</v>
      </c>
      <c r="R114" s="3" t="s">
        <v>4207</v>
      </c>
      <c r="S114" s="11">
        <v>43858.550138888888</v>
      </c>
      <c r="T114" s="7">
        <v>176</v>
      </c>
      <c r="U114" s="13">
        <f>COUNTIF('TAX Parcel Status Report'!$A$6:$A$290,SP_TaxPar_DB[[#This Row],[Tax Parcel ID]])</f>
        <v>1</v>
      </c>
    </row>
    <row r="115" spans="1:21" ht="18" customHeight="1" x14ac:dyDescent="0.2">
      <c r="A115" s="47" t="s">
        <v>2187</v>
      </c>
      <c r="B115" s="15"/>
      <c r="C115" s="15" t="s">
        <v>3061</v>
      </c>
      <c r="D115" s="20" t="s">
        <v>1808</v>
      </c>
      <c r="E115" s="8" t="s">
        <v>2188</v>
      </c>
      <c r="F115" s="8" t="s">
        <v>2189</v>
      </c>
      <c r="G115" s="8" t="s">
        <v>2190</v>
      </c>
      <c r="H115" s="3" t="s">
        <v>26</v>
      </c>
      <c r="I115" s="8" t="s">
        <v>2191</v>
      </c>
      <c r="J115" s="8" t="s">
        <v>2192</v>
      </c>
      <c r="K115" s="12" t="s">
        <v>2193</v>
      </c>
      <c r="L115" s="13"/>
      <c r="M115" s="8"/>
      <c r="N115" s="8"/>
      <c r="O115" s="8"/>
      <c r="P115" s="3" t="s">
        <v>4207</v>
      </c>
      <c r="Q115" s="11">
        <v>43861.429976851854</v>
      </c>
      <c r="R115" s="3" t="s">
        <v>4207</v>
      </c>
      <c r="S115" s="11">
        <v>43858.550138888888</v>
      </c>
      <c r="T115" s="7">
        <v>177</v>
      </c>
      <c r="U115" s="13">
        <f>COUNTIF('TAX Parcel Status Report'!$A$6:$A$290,SP_TaxPar_DB[[#This Row],[Tax Parcel ID]])</f>
        <v>1</v>
      </c>
    </row>
    <row r="116" spans="1:21" ht="18" customHeight="1" x14ac:dyDescent="0.2">
      <c r="A116" s="6" t="s">
        <v>2194</v>
      </c>
      <c r="B116" s="15"/>
      <c r="C116" s="15" t="s">
        <v>3066</v>
      </c>
      <c r="D116" s="20" t="s">
        <v>1808</v>
      </c>
      <c r="E116" s="8" t="s">
        <v>2195</v>
      </c>
      <c r="F116" s="8" t="s">
        <v>2189</v>
      </c>
      <c r="G116" s="8" t="s">
        <v>2190</v>
      </c>
      <c r="H116" s="3" t="s">
        <v>26</v>
      </c>
      <c r="I116" s="8" t="s">
        <v>2191</v>
      </c>
      <c r="J116" s="8" t="s">
        <v>2196</v>
      </c>
      <c r="K116" s="12" t="s">
        <v>2197</v>
      </c>
      <c r="L116" s="13"/>
      <c r="M116" s="8"/>
      <c r="N116" s="8"/>
      <c r="O116" s="8"/>
      <c r="P116" s="3" t="s">
        <v>4207</v>
      </c>
      <c r="Q116" s="11">
        <v>43861.430023148147</v>
      </c>
      <c r="R116" s="3" t="s">
        <v>4207</v>
      </c>
      <c r="S116" s="11">
        <v>43858.550138888888</v>
      </c>
      <c r="T116" s="7">
        <v>178</v>
      </c>
      <c r="U116" s="13">
        <f>COUNTIF('TAX Parcel Status Report'!$A$6:$A$290,SP_TaxPar_DB[[#This Row],[Tax Parcel ID]])</f>
        <v>1</v>
      </c>
    </row>
    <row r="117" spans="1:21" ht="18" customHeight="1" x14ac:dyDescent="0.2">
      <c r="A117" s="47" t="s">
        <v>2198</v>
      </c>
      <c r="B117" s="15"/>
      <c r="C117" s="15" t="s">
        <v>3071</v>
      </c>
      <c r="D117" s="20" t="s">
        <v>1808</v>
      </c>
      <c r="E117" s="8" t="s">
        <v>2199</v>
      </c>
      <c r="F117" s="8" t="s">
        <v>2200</v>
      </c>
      <c r="G117" s="8" t="s">
        <v>1007</v>
      </c>
      <c r="H117" s="3" t="s">
        <v>26</v>
      </c>
      <c r="I117" s="8" t="s">
        <v>78</v>
      </c>
      <c r="J117" s="8" t="s">
        <v>2200</v>
      </c>
      <c r="K117" s="12" t="s">
        <v>2201</v>
      </c>
      <c r="L117" s="13"/>
      <c r="M117" s="8"/>
      <c r="N117" s="8"/>
      <c r="O117" s="8"/>
      <c r="P117" s="3" t="s">
        <v>4207</v>
      </c>
      <c r="Q117" s="11">
        <v>43861.430069444446</v>
      </c>
      <c r="R117" s="3" t="s">
        <v>4207</v>
      </c>
      <c r="S117" s="11">
        <v>43858.550138888888</v>
      </c>
      <c r="T117" s="7">
        <v>179</v>
      </c>
      <c r="U117" s="13">
        <f>COUNTIF('TAX Parcel Status Report'!$A$6:$A$290,SP_TaxPar_DB[[#This Row],[Tax Parcel ID]])</f>
        <v>1</v>
      </c>
    </row>
    <row r="118" spans="1:21" ht="18" customHeight="1" x14ac:dyDescent="0.2">
      <c r="A118" s="47" t="s">
        <v>2202</v>
      </c>
      <c r="B118" s="15"/>
      <c r="C118" s="15" t="s">
        <v>3076</v>
      </c>
      <c r="D118" s="20" t="s">
        <v>1808</v>
      </c>
      <c r="E118" s="8" t="s">
        <v>2203</v>
      </c>
      <c r="F118" s="8" t="s">
        <v>2204</v>
      </c>
      <c r="G118" s="8" t="s">
        <v>1007</v>
      </c>
      <c r="H118" s="3" t="s">
        <v>26</v>
      </c>
      <c r="I118" s="8" t="s">
        <v>78</v>
      </c>
      <c r="J118" s="8" t="s">
        <v>2205</v>
      </c>
      <c r="K118" s="12" t="s">
        <v>2206</v>
      </c>
      <c r="L118" s="13"/>
      <c r="M118" s="8"/>
      <c r="N118" s="8"/>
      <c r="O118" s="8"/>
      <c r="P118" s="3" t="s">
        <v>4207</v>
      </c>
      <c r="Q118" s="11">
        <v>43861.430115740739</v>
      </c>
      <c r="R118" s="3" t="s">
        <v>4207</v>
      </c>
      <c r="S118" s="11">
        <v>43858.550138888888</v>
      </c>
      <c r="T118" s="7">
        <v>180</v>
      </c>
      <c r="U118" s="13">
        <f>COUNTIF('TAX Parcel Status Report'!$A$6:$A$290,SP_TaxPar_DB[[#This Row],[Tax Parcel ID]])</f>
        <v>1</v>
      </c>
    </row>
    <row r="119" spans="1:21" ht="18" customHeight="1" x14ac:dyDescent="0.2">
      <c r="A119" s="47" t="s">
        <v>2207</v>
      </c>
      <c r="B119" s="15"/>
      <c r="C119" s="15" t="s">
        <v>3081</v>
      </c>
      <c r="D119" s="20" t="s">
        <v>1808</v>
      </c>
      <c r="E119" s="8" t="s">
        <v>2208</v>
      </c>
      <c r="F119" s="8" t="s">
        <v>2209</v>
      </c>
      <c r="G119" s="8" t="s">
        <v>1838</v>
      </c>
      <c r="H119" s="3" t="s">
        <v>26</v>
      </c>
      <c r="I119" s="8" t="s">
        <v>2210</v>
      </c>
      <c r="J119" s="8" t="s">
        <v>2211</v>
      </c>
      <c r="K119" s="12" t="s">
        <v>2212</v>
      </c>
      <c r="L119" s="13"/>
      <c r="M119" s="8"/>
      <c r="N119" s="8"/>
      <c r="O119" s="8"/>
      <c r="P119" s="3" t="s">
        <v>4207</v>
      </c>
      <c r="Q119" s="11">
        <v>43861.430162037039</v>
      </c>
      <c r="R119" s="3" t="s">
        <v>4207</v>
      </c>
      <c r="S119" s="11">
        <v>43858.550138888888</v>
      </c>
      <c r="T119" s="7">
        <v>181</v>
      </c>
      <c r="U119" s="13">
        <f>COUNTIF('TAX Parcel Status Report'!$A$6:$A$290,SP_TaxPar_DB[[#This Row],[Tax Parcel ID]])</f>
        <v>1</v>
      </c>
    </row>
    <row r="120" spans="1:21" ht="18" customHeight="1" x14ac:dyDescent="0.2">
      <c r="A120" s="47" t="s">
        <v>2213</v>
      </c>
      <c r="B120" s="15"/>
      <c r="C120" s="15" t="s">
        <v>3086</v>
      </c>
      <c r="D120" s="20" t="s">
        <v>1808</v>
      </c>
      <c r="E120" s="8" t="s">
        <v>2214</v>
      </c>
      <c r="F120" s="8" t="s">
        <v>2215</v>
      </c>
      <c r="G120" s="8" t="s">
        <v>1007</v>
      </c>
      <c r="H120" s="3" t="s">
        <v>26</v>
      </c>
      <c r="I120" s="8" t="s">
        <v>78</v>
      </c>
      <c r="J120" s="8" t="s">
        <v>2216</v>
      </c>
      <c r="K120" s="12" t="s">
        <v>2217</v>
      </c>
      <c r="L120" s="13"/>
      <c r="M120" s="8"/>
      <c r="N120" s="8"/>
      <c r="O120" s="8"/>
      <c r="P120" s="3" t="s">
        <v>4207</v>
      </c>
      <c r="Q120" s="11">
        <v>43861.430636574078</v>
      </c>
      <c r="R120" s="3" t="s">
        <v>4207</v>
      </c>
      <c r="S120" s="11">
        <v>43858.550138888888</v>
      </c>
      <c r="T120" s="7">
        <v>182</v>
      </c>
      <c r="U120" s="13">
        <f>COUNTIF('TAX Parcel Status Report'!$A$6:$A$290,SP_TaxPar_DB[[#This Row],[Tax Parcel ID]])</f>
        <v>1</v>
      </c>
    </row>
    <row r="121" spans="1:21" ht="18" customHeight="1" x14ac:dyDescent="0.2">
      <c r="A121" s="47" t="s">
        <v>2218</v>
      </c>
      <c r="B121" s="15"/>
      <c r="C121" s="15" t="s">
        <v>3091</v>
      </c>
      <c r="D121" s="20" t="s">
        <v>1808</v>
      </c>
      <c r="E121" s="8" t="s">
        <v>2219</v>
      </c>
      <c r="F121" s="8" t="s">
        <v>2220</v>
      </c>
      <c r="G121" s="8" t="s">
        <v>2221</v>
      </c>
      <c r="H121" s="3" t="s">
        <v>26</v>
      </c>
      <c r="I121" s="8" t="s">
        <v>2222</v>
      </c>
      <c r="J121" s="8" t="s">
        <v>2216</v>
      </c>
      <c r="K121" s="12" t="s">
        <v>2223</v>
      </c>
      <c r="L121" s="13"/>
      <c r="M121" s="8"/>
      <c r="N121" s="8"/>
      <c r="O121" s="8"/>
      <c r="P121" s="3" t="s">
        <v>4207</v>
      </c>
      <c r="Q121" s="11">
        <v>43861.430879629632</v>
      </c>
      <c r="R121" s="3" t="s">
        <v>4207</v>
      </c>
      <c r="S121" s="11">
        <v>43858.550138888888</v>
      </c>
      <c r="T121" s="7">
        <v>183</v>
      </c>
      <c r="U121" s="13">
        <f>COUNTIF('TAX Parcel Status Report'!$A$6:$A$290,SP_TaxPar_DB[[#This Row],[Tax Parcel ID]])</f>
        <v>1</v>
      </c>
    </row>
    <row r="122" spans="1:21" ht="18" customHeight="1" x14ac:dyDescent="0.2">
      <c r="A122" s="47" t="s">
        <v>2224</v>
      </c>
      <c r="B122" s="15"/>
      <c r="C122" s="15" t="s">
        <v>3096</v>
      </c>
      <c r="D122" s="20" t="s">
        <v>1808</v>
      </c>
      <c r="E122" s="8" t="s">
        <v>2225</v>
      </c>
      <c r="F122" s="8" t="s">
        <v>2226</v>
      </c>
      <c r="G122" s="8" t="s">
        <v>1007</v>
      </c>
      <c r="H122" s="3" t="s">
        <v>26</v>
      </c>
      <c r="I122" s="8" t="s">
        <v>78</v>
      </c>
      <c r="J122" s="8" t="s">
        <v>2227</v>
      </c>
      <c r="K122" s="12" t="s">
        <v>2228</v>
      </c>
      <c r="L122" s="13"/>
      <c r="M122" s="8"/>
      <c r="N122" s="8"/>
      <c r="O122" s="8"/>
      <c r="P122" s="3" t="s">
        <v>4207</v>
      </c>
      <c r="Q122" s="11">
        <v>43861.430925925924</v>
      </c>
      <c r="R122" s="3" t="s">
        <v>4207</v>
      </c>
      <c r="S122" s="11">
        <v>43858.550138888888</v>
      </c>
      <c r="T122" s="7">
        <v>184</v>
      </c>
      <c r="U122" s="13">
        <f>COUNTIF('TAX Parcel Status Report'!$A$6:$A$290,SP_TaxPar_DB[[#This Row],[Tax Parcel ID]])</f>
        <v>1</v>
      </c>
    </row>
    <row r="123" spans="1:21" ht="18" customHeight="1" x14ac:dyDescent="0.2">
      <c r="A123" s="6" t="s">
        <v>2229</v>
      </c>
      <c r="B123" s="15"/>
      <c r="C123" s="15" t="s">
        <v>3101</v>
      </c>
      <c r="D123" s="20" t="s">
        <v>1808</v>
      </c>
      <c r="E123" s="8" t="s">
        <v>2230</v>
      </c>
      <c r="F123" s="8" t="s">
        <v>2231</v>
      </c>
      <c r="G123" s="8" t="s">
        <v>1007</v>
      </c>
      <c r="H123" s="3" t="s">
        <v>26</v>
      </c>
      <c r="I123" s="8" t="s">
        <v>78</v>
      </c>
      <c r="J123" s="8" t="s">
        <v>2232</v>
      </c>
      <c r="K123" s="12" t="s">
        <v>2233</v>
      </c>
      <c r="L123" s="13"/>
      <c r="M123" s="8"/>
      <c r="N123" s="8"/>
      <c r="O123" s="8"/>
      <c r="P123" s="3" t="s">
        <v>4207</v>
      </c>
      <c r="Q123" s="11">
        <v>43861.430995370371</v>
      </c>
      <c r="R123" s="3" t="s">
        <v>4207</v>
      </c>
      <c r="S123" s="11">
        <v>43858.550138888888</v>
      </c>
      <c r="T123" s="7">
        <v>185</v>
      </c>
      <c r="U123" s="13">
        <f>COUNTIF('TAX Parcel Status Report'!$A$6:$A$290,SP_TaxPar_DB[[#This Row],[Tax Parcel ID]])</f>
        <v>1</v>
      </c>
    </row>
    <row r="124" spans="1:21" ht="18" customHeight="1" x14ac:dyDescent="0.2">
      <c r="A124" s="47" t="s">
        <v>2234</v>
      </c>
      <c r="B124" s="15"/>
      <c r="C124" s="15" t="s">
        <v>3106</v>
      </c>
      <c r="D124" s="20" t="s">
        <v>1808</v>
      </c>
      <c r="E124" s="8" t="s">
        <v>2235</v>
      </c>
      <c r="F124" s="8" t="s">
        <v>2236</v>
      </c>
      <c r="G124" s="8" t="s">
        <v>1007</v>
      </c>
      <c r="H124" s="3" t="s">
        <v>26</v>
      </c>
      <c r="I124" s="8" t="s">
        <v>78</v>
      </c>
      <c r="J124" s="8" t="s">
        <v>2237</v>
      </c>
      <c r="K124" s="12" t="s">
        <v>2238</v>
      </c>
      <c r="L124" s="13"/>
      <c r="M124" s="8"/>
      <c r="N124" s="8"/>
      <c r="O124" s="8"/>
      <c r="P124" s="3" t="s">
        <v>4207</v>
      </c>
      <c r="Q124" s="11">
        <v>43861.431030092594</v>
      </c>
      <c r="R124" s="3" t="s">
        <v>4207</v>
      </c>
      <c r="S124" s="11">
        <v>43858.550138888888</v>
      </c>
      <c r="T124" s="7">
        <v>186</v>
      </c>
      <c r="U124" s="13">
        <f>COUNTIF('TAX Parcel Status Report'!$A$6:$A$290,SP_TaxPar_DB[[#This Row],[Tax Parcel ID]])</f>
        <v>1</v>
      </c>
    </row>
    <row r="125" spans="1:21" ht="18" customHeight="1" x14ac:dyDescent="0.2">
      <c r="A125" s="47" t="s">
        <v>2239</v>
      </c>
      <c r="B125" s="15"/>
      <c r="C125" s="15" t="s">
        <v>3111</v>
      </c>
      <c r="D125" s="20" t="s">
        <v>1808</v>
      </c>
      <c r="E125" s="8" t="s">
        <v>2240</v>
      </c>
      <c r="F125" s="8" t="s">
        <v>2241</v>
      </c>
      <c r="G125" s="8" t="s">
        <v>1007</v>
      </c>
      <c r="H125" s="3" t="s">
        <v>26</v>
      </c>
      <c r="I125" s="8" t="s">
        <v>78</v>
      </c>
      <c r="J125" s="8" t="s">
        <v>2242</v>
      </c>
      <c r="K125" s="12" t="s">
        <v>2243</v>
      </c>
      <c r="L125" s="13"/>
      <c r="M125" s="8"/>
      <c r="N125" s="8"/>
      <c r="O125" s="8"/>
      <c r="P125" s="3" t="s">
        <v>4207</v>
      </c>
      <c r="Q125" s="11">
        <v>43861.431064814817</v>
      </c>
      <c r="R125" s="3" t="s">
        <v>4207</v>
      </c>
      <c r="S125" s="11">
        <v>43858.550138888888</v>
      </c>
      <c r="T125" s="7">
        <v>187</v>
      </c>
      <c r="U125" s="13">
        <f>COUNTIF('TAX Parcel Status Report'!$A$6:$A$290,SP_TaxPar_DB[[#This Row],[Tax Parcel ID]])</f>
        <v>1</v>
      </c>
    </row>
    <row r="126" spans="1:21" ht="18" customHeight="1" x14ac:dyDescent="0.2">
      <c r="A126" s="47" t="s">
        <v>2244</v>
      </c>
      <c r="B126" s="15"/>
      <c r="C126" s="15" t="s">
        <v>3116</v>
      </c>
      <c r="D126" s="20" t="s">
        <v>1808</v>
      </c>
      <c r="E126" s="8" t="s">
        <v>2240</v>
      </c>
      <c r="F126" s="8" t="s">
        <v>2241</v>
      </c>
      <c r="G126" s="8" t="s">
        <v>1007</v>
      </c>
      <c r="H126" s="3" t="s">
        <v>26</v>
      </c>
      <c r="I126" s="8" t="s">
        <v>78</v>
      </c>
      <c r="J126" s="8" t="s">
        <v>2245</v>
      </c>
      <c r="K126" s="12" t="s">
        <v>2246</v>
      </c>
      <c r="L126" s="13"/>
      <c r="M126" s="8"/>
      <c r="N126" s="8"/>
      <c r="O126" s="8"/>
      <c r="P126" s="3" t="s">
        <v>4207</v>
      </c>
      <c r="Q126" s="11">
        <v>43861.431238425925</v>
      </c>
      <c r="R126" s="3" t="s">
        <v>4207</v>
      </c>
      <c r="S126" s="11">
        <v>43858.550138888888</v>
      </c>
      <c r="T126" s="7">
        <v>188</v>
      </c>
      <c r="U126" s="13">
        <f>COUNTIF('TAX Parcel Status Report'!$A$6:$A$290,SP_TaxPar_DB[[#This Row],[Tax Parcel ID]])</f>
        <v>1</v>
      </c>
    </row>
    <row r="127" spans="1:21" ht="18" customHeight="1" x14ac:dyDescent="0.2">
      <c r="A127" s="47" t="s">
        <v>2247</v>
      </c>
      <c r="B127" s="15"/>
      <c r="C127" s="15" t="s">
        <v>3121</v>
      </c>
      <c r="D127" s="20" t="s">
        <v>1808</v>
      </c>
      <c r="E127" s="8" t="s">
        <v>2248</v>
      </c>
      <c r="F127" s="8" t="s">
        <v>2249</v>
      </c>
      <c r="G127" s="8" t="s">
        <v>1007</v>
      </c>
      <c r="H127" s="3" t="s">
        <v>26</v>
      </c>
      <c r="I127" s="8" t="s">
        <v>78</v>
      </c>
      <c r="J127" s="8" t="s">
        <v>2092</v>
      </c>
      <c r="K127" s="12" t="s">
        <v>2250</v>
      </c>
      <c r="L127" s="13"/>
      <c r="M127" s="8"/>
      <c r="N127" s="8"/>
      <c r="O127" s="8"/>
      <c r="P127" s="3" t="s">
        <v>4207</v>
      </c>
      <c r="Q127" s="11">
        <v>43861.431273148148</v>
      </c>
      <c r="R127" s="3" t="s">
        <v>4207</v>
      </c>
      <c r="S127" s="11">
        <v>43858.550138888888</v>
      </c>
      <c r="T127" s="7">
        <v>189</v>
      </c>
      <c r="U127" s="13">
        <f>COUNTIF('TAX Parcel Status Report'!$A$6:$A$290,SP_TaxPar_DB[[#This Row],[Tax Parcel ID]])</f>
        <v>1</v>
      </c>
    </row>
    <row r="128" spans="1:21" ht="18" customHeight="1" x14ac:dyDescent="0.2">
      <c r="A128" s="6" t="s">
        <v>2251</v>
      </c>
      <c r="B128" s="15"/>
      <c r="C128" s="15" t="s">
        <v>3126</v>
      </c>
      <c r="D128" s="20" t="s">
        <v>1808</v>
      </c>
      <c r="E128" s="8" t="s">
        <v>2252</v>
      </c>
      <c r="F128" s="8" t="s">
        <v>2253</v>
      </c>
      <c r="G128" s="8" t="s">
        <v>2254</v>
      </c>
      <c r="H128" s="3" t="s">
        <v>26</v>
      </c>
      <c r="I128" s="8" t="s">
        <v>2255</v>
      </c>
      <c r="J128" s="8" t="s">
        <v>2256</v>
      </c>
      <c r="K128" s="12" t="s">
        <v>2257</v>
      </c>
      <c r="L128" s="13"/>
      <c r="M128" s="8"/>
      <c r="N128" s="8"/>
      <c r="O128" s="8"/>
      <c r="P128" s="3" t="s">
        <v>4207</v>
      </c>
      <c r="Q128" s="11">
        <v>43861.431307870371</v>
      </c>
      <c r="R128" s="3" t="s">
        <v>4207</v>
      </c>
      <c r="S128" s="11">
        <v>43858.550138888888</v>
      </c>
      <c r="T128" s="7">
        <v>190</v>
      </c>
      <c r="U128" s="13">
        <f>COUNTIF('TAX Parcel Status Report'!$A$6:$A$290,SP_TaxPar_DB[[#This Row],[Tax Parcel ID]])</f>
        <v>1</v>
      </c>
    </row>
    <row r="129" spans="1:21" ht="18" customHeight="1" x14ac:dyDescent="0.2">
      <c r="A129" s="6" t="s">
        <v>2258</v>
      </c>
      <c r="B129" s="15"/>
      <c r="C129" s="15" t="s">
        <v>3131</v>
      </c>
      <c r="D129" s="20" t="s">
        <v>1808</v>
      </c>
      <c r="E129" s="8" t="s">
        <v>2252</v>
      </c>
      <c r="F129" s="8" t="s">
        <v>2253</v>
      </c>
      <c r="G129" s="8" t="s">
        <v>2254</v>
      </c>
      <c r="H129" s="3" t="s">
        <v>26</v>
      </c>
      <c r="I129" s="8" t="s">
        <v>2255</v>
      </c>
      <c r="J129" s="8" t="s">
        <v>2227</v>
      </c>
      <c r="K129" s="12" t="s">
        <v>2259</v>
      </c>
      <c r="L129" s="13"/>
      <c r="M129" s="8"/>
      <c r="N129" s="8"/>
      <c r="O129" s="8"/>
      <c r="P129" s="3" t="s">
        <v>4207</v>
      </c>
      <c r="Q129" s="11">
        <v>43861.431342592594</v>
      </c>
      <c r="R129" s="3" t="s">
        <v>4207</v>
      </c>
      <c r="S129" s="11">
        <v>43858.550138888888</v>
      </c>
      <c r="T129" s="7">
        <v>191</v>
      </c>
      <c r="U129" s="13">
        <f>COUNTIF('TAX Parcel Status Report'!$A$6:$A$290,SP_TaxPar_DB[[#This Row],[Tax Parcel ID]])</f>
        <v>1</v>
      </c>
    </row>
    <row r="130" spans="1:21" ht="18" customHeight="1" x14ac:dyDescent="0.2">
      <c r="A130" s="6" t="s">
        <v>2260</v>
      </c>
      <c r="B130" s="15"/>
      <c r="C130" s="15" t="s">
        <v>3136</v>
      </c>
      <c r="D130" s="20" t="s">
        <v>1808</v>
      </c>
      <c r="E130" s="8" t="s">
        <v>2261</v>
      </c>
      <c r="F130" s="8" t="s">
        <v>2262</v>
      </c>
      <c r="G130" s="8" t="s">
        <v>2263</v>
      </c>
      <c r="H130" s="3" t="s">
        <v>26</v>
      </c>
      <c r="I130" s="8" t="s">
        <v>2264</v>
      </c>
      <c r="J130" s="8" t="s">
        <v>2227</v>
      </c>
      <c r="K130" s="12" t="s">
        <v>2265</v>
      </c>
      <c r="L130" s="13"/>
      <c r="M130" s="8"/>
      <c r="N130" s="8"/>
      <c r="O130" s="8"/>
      <c r="P130" s="3" t="s">
        <v>4207</v>
      </c>
      <c r="Q130" s="11">
        <v>43861.431388888886</v>
      </c>
      <c r="R130" s="3" t="s">
        <v>4207</v>
      </c>
      <c r="S130" s="11">
        <v>43858.550138888888</v>
      </c>
      <c r="T130" s="7">
        <v>192</v>
      </c>
      <c r="U130" s="13">
        <f>COUNTIF('TAX Parcel Status Report'!$A$6:$A$290,SP_TaxPar_DB[[#This Row],[Tax Parcel ID]])</f>
        <v>1</v>
      </c>
    </row>
    <row r="131" spans="1:21" ht="18" customHeight="1" x14ac:dyDescent="0.2">
      <c r="A131" s="6" t="s">
        <v>2266</v>
      </c>
      <c r="B131" s="15"/>
      <c r="C131" s="15" t="s">
        <v>3141</v>
      </c>
      <c r="D131" s="20" t="s">
        <v>1808</v>
      </c>
      <c r="E131" s="8" t="s">
        <v>2267</v>
      </c>
      <c r="F131" s="8" t="s">
        <v>2268</v>
      </c>
      <c r="G131" s="8" t="s">
        <v>1007</v>
      </c>
      <c r="H131" s="3" t="s">
        <v>26</v>
      </c>
      <c r="I131" s="8" t="s">
        <v>78</v>
      </c>
      <c r="J131" s="8" t="s">
        <v>2269</v>
      </c>
      <c r="K131" s="12" t="s">
        <v>2270</v>
      </c>
      <c r="L131" s="13"/>
      <c r="M131" s="8"/>
      <c r="N131" s="8"/>
      <c r="O131" s="8"/>
      <c r="P131" s="3" t="s">
        <v>4207</v>
      </c>
      <c r="Q131" s="11">
        <v>43861.431446759256</v>
      </c>
      <c r="R131" s="3" t="s">
        <v>4207</v>
      </c>
      <c r="S131" s="11">
        <v>43858.550138888888</v>
      </c>
      <c r="T131" s="7">
        <v>193</v>
      </c>
      <c r="U131" s="13">
        <f>COUNTIF('TAX Parcel Status Report'!$A$6:$A$290,SP_TaxPar_DB[[#This Row],[Tax Parcel ID]])</f>
        <v>1</v>
      </c>
    </row>
    <row r="132" spans="1:21" ht="18" customHeight="1" x14ac:dyDescent="0.2">
      <c r="A132" s="6" t="s">
        <v>352</v>
      </c>
      <c r="B132" s="15"/>
      <c r="C132" s="15"/>
      <c r="D132" s="20" t="s">
        <v>5533</v>
      </c>
      <c r="E132" s="8" t="s">
        <v>144</v>
      </c>
      <c r="F132" s="8" t="s">
        <v>143</v>
      </c>
      <c r="G132" s="8" t="s">
        <v>25</v>
      </c>
      <c r="H132" s="3" t="s">
        <v>26</v>
      </c>
      <c r="I132" s="8" t="s">
        <v>353</v>
      </c>
      <c r="J132" s="8" t="s">
        <v>1722</v>
      </c>
      <c r="K132" s="12" t="s">
        <v>354</v>
      </c>
      <c r="L132" s="13">
        <v>0.2296</v>
      </c>
      <c r="M132" s="8" t="s">
        <v>251</v>
      </c>
      <c r="N132" s="8"/>
      <c r="O132" s="8" t="s">
        <v>6459</v>
      </c>
      <c r="P132" s="3" t="s">
        <v>4206</v>
      </c>
      <c r="Q132" s="11">
        <v>44007.507465277777</v>
      </c>
      <c r="R132" s="3" t="s">
        <v>23</v>
      </c>
      <c r="S132" s="11">
        <v>43682.658506944441</v>
      </c>
      <c r="T132" s="7">
        <v>30</v>
      </c>
      <c r="U132" s="13">
        <f>COUNTIF('TAX Parcel Status Report'!$A$6:$A$290,SP_TaxPar_DB[[#This Row],[Tax Parcel ID]])</f>
        <v>1</v>
      </c>
    </row>
    <row r="133" spans="1:21" ht="18" customHeight="1" x14ac:dyDescent="0.2">
      <c r="A133" s="47" t="s">
        <v>2271</v>
      </c>
      <c r="B133" s="15"/>
      <c r="C133" s="15" t="s">
        <v>3146</v>
      </c>
      <c r="D133" s="20" t="s">
        <v>1808</v>
      </c>
      <c r="E133" s="8" t="s">
        <v>2272</v>
      </c>
      <c r="F133" s="8" t="s">
        <v>2273</v>
      </c>
      <c r="G133" s="8" t="s">
        <v>1838</v>
      </c>
      <c r="H133" s="3" t="s">
        <v>26</v>
      </c>
      <c r="I133" s="8" t="s">
        <v>2274</v>
      </c>
      <c r="J133" s="8" t="s">
        <v>2275</v>
      </c>
      <c r="K133" s="12" t="s">
        <v>2276</v>
      </c>
      <c r="L133" s="13"/>
      <c r="M133" s="8"/>
      <c r="N133" s="8"/>
      <c r="O133" s="8"/>
      <c r="P133" s="3" t="s">
        <v>4207</v>
      </c>
      <c r="Q133" s="11">
        <v>43861.431481481479</v>
      </c>
      <c r="R133" s="3" t="s">
        <v>4207</v>
      </c>
      <c r="S133" s="11">
        <v>43858.550138888888</v>
      </c>
      <c r="T133" s="7">
        <v>194</v>
      </c>
      <c r="U133" s="13">
        <f>COUNTIF('TAX Parcel Status Report'!$A$6:$A$290,SP_TaxPar_DB[[#This Row],[Tax Parcel ID]])</f>
        <v>1</v>
      </c>
    </row>
    <row r="134" spans="1:21" ht="18" customHeight="1" x14ac:dyDescent="0.2">
      <c r="A134" s="6" t="s">
        <v>2277</v>
      </c>
      <c r="B134" s="15"/>
      <c r="C134" s="15" t="s">
        <v>3151</v>
      </c>
      <c r="D134" s="20" t="s">
        <v>1808</v>
      </c>
      <c r="E134" s="8" t="s">
        <v>2278</v>
      </c>
      <c r="F134" s="8" t="s">
        <v>2279</v>
      </c>
      <c r="G134" s="8" t="s">
        <v>1007</v>
      </c>
      <c r="H134" s="3" t="s">
        <v>26</v>
      </c>
      <c r="I134" s="8" t="s">
        <v>78</v>
      </c>
      <c r="J134" s="8" t="s">
        <v>2280</v>
      </c>
      <c r="K134" s="12" t="s">
        <v>2281</v>
      </c>
      <c r="L134" s="13"/>
      <c r="M134" s="8"/>
      <c r="N134" s="8"/>
      <c r="O134" s="8"/>
      <c r="P134" s="3" t="s">
        <v>4207</v>
      </c>
      <c r="Q134" s="11">
        <v>43861.431527777779</v>
      </c>
      <c r="R134" s="3" t="s">
        <v>4207</v>
      </c>
      <c r="S134" s="11">
        <v>43858.550138888888</v>
      </c>
      <c r="T134" s="7">
        <v>195</v>
      </c>
      <c r="U134" s="13">
        <f>COUNTIF('TAX Parcel Status Report'!$A$6:$A$290,SP_TaxPar_DB[[#This Row],[Tax Parcel ID]])</f>
        <v>1</v>
      </c>
    </row>
    <row r="135" spans="1:21" ht="18" customHeight="1" x14ac:dyDescent="0.2">
      <c r="A135" s="47" t="s">
        <v>2282</v>
      </c>
      <c r="B135" s="15"/>
      <c r="C135" s="15" t="s">
        <v>2700</v>
      </c>
      <c r="D135" s="20" t="s">
        <v>1808</v>
      </c>
      <c r="E135" s="8" t="s">
        <v>2283</v>
      </c>
      <c r="F135" s="8" t="s">
        <v>2236</v>
      </c>
      <c r="G135" s="8" t="s">
        <v>1007</v>
      </c>
      <c r="H135" s="3" t="s">
        <v>26</v>
      </c>
      <c r="I135" s="8" t="s">
        <v>78</v>
      </c>
      <c r="J135" s="8" t="s">
        <v>2280</v>
      </c>
      <c r="K135" s="12" t="s">
        <v>2284</v>
      </c>
      <c r="L135" s="13"/>
      <c r="M135" s="8"/>
      <c r="N135" s="8"/>
      <c r="O135" s="8"/>
      <c r="P135" s="3" t="s">
        <v>4207</v>
      </c>
      <c r="Q135" s="11">
        <v>43861.431562500002</v>
      </c>
      <c r="R135" s="3" t="s">
        <v>4207</v>
      </c>
      <c r="S135" s="11">
        <v>43858.550138888888</v>
      </c>
      <c r="T135" s="7">
        <v>196</v>
      </c>
      <c r="U135" s="13">
        <f>COUNTIF('TAX Parcel Status Report'!$A$6:$A$290,SP_TaxPar_DB[[#This Row],[Tax Parcel ID]])</f>
        <v>1</v>
      </c>
    </row>
    <row r="136" spans="1:21" ht="18" customHeight="1" x14ac:dyDescent="0.2">
      <c r="A136" s="47" t="s">
        <v>2285</v>
      </c>
      <c r="B136" s="15"/>
      <c r="C136" s="15" t="s">
        <v>2702</v>
      </c>
      <c r="D136" s="20" t="s">
        <v>1808</v>
      </c>
      <c r="E136" s="8" t="s">
        <v>2286</v>
      </c>
      <c r="F136" s="8" t="s">
        <v>2287</v>
      </c>
      <c r="G136" s="8" t="s">
        <v>1007</v>
      </c>
      <c r="H136" s="3" t="s">
        <v>26</v>
      </c>
      <c r="I136" s="8" t="s">
        <v>78</v>
      </c>
      <c r="J136" s="8" t="s">
        <v>2288</v>
      </c>
      <c r="K136" s="12" t="s">
        <v>2289</v>
      </c>
      <c r="L136" s="13"/>
      <c r="M136" s="8"/>
      <c r="N136" s="8"/>
      <c r="O136" s="8"/>
      <c r="P136" s="3" t="s">
        <v>4207</v>
      </c>
      <c r="Q136" s="11">
        <v>43861.431620370371</v>
      </c>
      <c r="R136" s="3" t="s">
        <v>4207</v>
      </c>
      <c r="S136" s="11">
        <v>43858.550138888888</v>
      </c>
      <c r="T136" s="7">
        <v>197</v>
      </c>
      <c r="U136" s="13">
        <f>COUNTIF('TAX Parcel Status Report'!$A$6:$A$290,SP_TaxPar_DB[[#This Row],[Tax Parcel ID]])</f>
        <v>1</v>
      </c>
    </row>
    <row r="137" spans="1:21" ht="18" customHeight="1" x14ac:dyDescent="0.2">
      <c r="A137" s="47" t="s">
        <v>2290</v>
      </c>
      <c r="B137" s="15"/>
      <c r="C137" s="15" t="s">
        <v>2704</v>
      </c>
      <c r="D137" s="20" t="s">
        <v>1808</v>
      </c>
      <c r="E137" s="8" t="s">
        <v>2291</v>
      </c>
      <c r="F137" s="8" t="s">
        <v>2292</v>
      </c>
      <c r="G137" s="8" t="s">
        <v>1007</v>
      </c>
      <c r="H137" s="3" t="s">
        <v>26</v>
      </c>
      <c r="I137" s="8" t="s">
        <v>78</v>
      </c>
      <c r="J137" s="8" t="s">
        <v>2293</v>
      </c>
      <c r="K137" s="12" t="s">
        <v>2294</v>
      </c>
      <c r="L137" s="13"/>
      <c r="M137" s="8"/>
      <c r="N137" s="8"/>
      <c r="O137" s="8"/>
      <c r="P137" s="3" t="s">
        <v>4207</v>
      </c>
      <c r="Q137" s="11">
        <v>43861.431701388887</v>
      </c>
      <c r="R137" s="3" t="s">
        <v>4207</v>
      </c>
      <c r="S137" s="11">
        <v>43858.550138888888</v>
      </c>
      <c r="T137" s="7">
        <v>198</v>
      </c>
      <c r="U137" s="13">
        <f>COUNTIF('TAX Parcel Status Report'!$A$6:$A$290,SP_TaxPar_DB[[#This Row],[Tax Parcel ID]])</f>
        <v>1</v>
      </c>
    </row>
    <row r="138" spans="1:21" ht="18" customHeight="1" x14ac:dyDescent="0.2">
      <c r="A138" s="47" t="s">
        <v>2295</v>
      </c>
      <c r="B138" s="15"/>
      <c r="C138" s="15" t="s">
        <v>2708</v>
      </c>
      <c r="D138" s="20" t="s">
        <v>1808</v>
      </c>
      <c r="E138" s="8" t="s">
        <v>2278</v>
      </c>
      <c r="F138" s="8" t="s">
        <v>2279</v>
      </c>
      <c r="G138" s="8" t="s">
        <v>1007</v>
      </c>
      <c r="H138" s="3" t="s">
        <v>26</v>
      </c>
      <c r="I138" s="8" t="s">
        <v>78</v>
      </c>
      <c r="J138" s="8" t="s">
        <v>2296</v>
      </c>
      <c r="K138" s="12" t="s">
        <v>2297</v>
      </c>
      <c r="L138" s="13"/>
      <c r="M138" s="8"/>
      <c r="N138" s="8"/>
      <c r="O138" s="8"/>
      <c r="P138" s="3" t="s">
        <v>4207</v>
      </c>
      <c r="Q138" s="11">
        <v>43861.43173611111</v>
      </c>
      <c r="R138" s="3" t="s">
        <v>4207</v>
      </c>
      <c r="S138" s="11">
        <v>43858.550138888888</v>
      </c>
      <c r="T138" s="7">
        <v>199</v>
      </c>
      <c r="U138" s="13">
        <f>COUNTIF('TAX Parcel Status Report'!$A$6:$A$290,SP_TaxPar_DB[[#This Row],[Tax Parcel ID]])</f>
        <v>1</v>
      </c>
    </row>
    <row r="139" spans="1:21" ht="18" customHeight="1" x14ac:dyDescent="0.2">
      <c r="A139" s="47" t="s">
        <v>2298</v>
      </c>
      <c r="B139" s="15"/>
      <c r="C139" s="15" t="s">
        <v>2709</v>
      </c>
      <c r="D139" s="20" t="s">
        <v>1808</v>
      </c>
      <c r="E139" s="8" t="s">
        <v>2278</v>
      </c>
      <c r="F139" s="8" t="s">
        <v>2279</v>
      </c>
      <c r="G139" s="8" t="s">
        <v>1007</v>
      </c>
      <c r="H139" s="3" t="s">
        <v>26</v>
      </c>
      <c r="I139" s="8" t="s">
        <v>78</v>
      </c>
      <c r="J139" s="8" t="s">
        <v>2299</v>
      </c>
      <c r="K139" s="12" t="s">
        <v>2300</v>
      </c>
      <c r="L139" s="13"/>
      <c r="M139" s="8"/>
      <c r="N139" s="8"/>
      <c r="O139" s="8"/>
      <c r="P139" s="3" t="s">
        <v>4207</v>
      </c>
      <c r="Q139" s="11">
        <v>43861.431875000002</v>
      </c>
      <c r="R139" s="3" t="s">
        <v>4207</v>
      </c>
      <c r="S139" s="11">
        <v>43858.550138888888</v>
      </c>
      <c r="T139" s="7">
        <v>200</v>
      </c>
      <c r="U139" s="13">
        <f>COUNTIF('TAX Parcel Status Report'!$A$6:$A$290,SP_TaxPar_DB[[#This Row],[Tax Parcel ID]])</f>
        <v>1</v>
      </c>
    </row>
    <row r="140" spans="1:21" ht="18" customHeight="1" x14ac:dyDescent="0.2">
      <c r="A140" s="47" t="s">
        <v>2301</v>
      </c>
      <c r="B140" s="15"/>
      <c r="C140" s="15" t="s">
        <v>2710</v>
      </c>
      <c r="D140" s="20" t="s">
        <v>1808</v>
      </c>
      <c r="E140" s="8" t="s">
        <v>2302</v>
      </c>
      <c r="F140" s="8" t="s">
        <v>2303</v>
      </c>
      <c r="G140" s="8" t="s">
        <v>1007</v>
      </c>
      <c r="H140" s="3" t="s">
        <v>26</v>
      </c>
      <c r="I140" s="8" t="s">
        <v>78</v>
      </c>
      <c r="J140" s="8" t="s">
        <v>2304</v>
      </c>
      <c r="K140" s="12" t="s">
        <v>2305</v>
      </c>
      <c r="L140" s="13"/>
      <c r="M140" s="8"/>
      <c r="N140" s="8"/>
      <c r="O140" s="8"/>
      <c r="P140" s="3" t="s">
        <v>4207</v>
      </c>
      <c r="Q140" s="11">
        <v>43861.431909722225</v>
      </c>
      <c r="R140" s="3" t="s">
        <v>4207</v>
      </c>
      <c r="S140" s="11">
        <v>43858.550138888888</v>
      </c>
      <c r="T140" s="7">
        <v>201</v>
      </c>
      <c r="U140" s="13">
        <f>COUNTIF('TAX Parcel Status Report'!$A$6:$A$290,SP_TaxPar_DB[[#This Row],[Tax Parcel ID]])</f>
        <v>1</v>
      </c>
    </row>
    <row r="141" spans="1:21" ht="18" customHeight="1" x14ac:dyDescent="0.2">
      <c r="A141" s="47" t="s">
        <v>2306</v>
      </c>
      <c r="B141" s="15"/>
      <c r="C141" s="15" t="s">
        <v>2711</v>
      </c>
      <c r="D141" s="20" t="s">
        <v>1808</v>
      </c>
      <c r="E141" s="8" t="s">
        <v>2307</v>
      </c>
      <c r="F141" s="8" t="s">
        <v>2308</v>
      </c>
      <c r="G141" s="8" t="s">
        <v>1838</v>
      </c>
      <c r="H141" s="3" t="s">
        <v>26</v>
      </c>
      <c r="I141" s="8" t="s">
        <v>504</v>
      </c>
      <c r="J141" s="8" t="s">
        <v>2256</v>
      </c>
      <c r="K141" s="12" t="s">
        <v>2309</v>
      </c>
      <c r="L141" s="13"/>
      <c r="M141" s="8"/>
      <c r="N141" s="8"/>
      <c r="O141" s="8"/>
      <c r="P141" s="3" t="s">
        <v>4207</v>
      </c>
      <c r="Q141" s="11">
        <v>43861.431990740741</v>
      </c>
      <c r="R141" s="3" t="s">
        <v>4207</v>
      </c>
      <c r="S141" s="11">
        <v>43858.550138888888</v>
      </c>
      <c r="T141" s="7">
        <v>202</v>
      </c>
      <c r="U141" s="13">
        <f>COUNTIF('TAX Parcel Status Report'!$A$6:$A$290,SP_TaxPar_DB[[#This Row],[Tax Parcel ID]])</f>
        <v>1</v>
      </c>
    </row>
    <row r="142" spans="1:21" ht="18" customHeight="1" x14ac:dyDescent="0.2">
      <c r="A142" s="47" t="s">
        <v>156</v>
      </c>
      <c r="B142" s="15" t="s">
        <v>154</v>
      </c>
      <c r="C142" s="15"/>
      <c r="D142" s="20" t="s">
        <v>1811</v>
      </c>
      <c r="E142" s="8" t="s">
        <v>1349</v>
      </c>
      <c r="F142" s="8" t="s">
        <v>155</v>
      </c>
      <c r="G142" s="8" t="s">
        <v>25</v>
      </c>
      <c r="H142" s="3" t="s">
        <v>26</v>
      </c>
      <c r="I142" s="8" t="s">
        <v>356</v>
      </c>
      <c r="J142" s="8" t="s">
        <v>157</v>
      </c>
      <c r="K142" s="12" t="s">
        <v>357</v>
      </c>
      <c r="L142" s="13">
        <v>0.2296</v>
      </c>
      <c r="M142" s="8" t="s">
        <v>257</v>
      </c>
      <c r="N142" s="8" t="s">
        <v>358</v>
      </c>
      <c r="O142" s="8"/>
      <c r="P142" s="3" t="s">
        <v>4207</v>
      </c>
      <c r="Q142" s="11">
        <v>43851.576307870368</v>
      </c>
      <c r="R142" s="3" t="s">
        <v>23</v>
      </c>
      <c r="S142" s="11">
        <v>43682.658506944441</v>
      </c>
      <c r="T142" s="7">
        <v>35</v>
      </c>
      <c r="U142" s="13">
        <f>COUNTIF('TAX Parcel Status Report'!$A$6:$A$290,SP_TaxPar_DB[[#This Row],[Tax Parcel ID]])</f>
        <v>1</v>
      </c>
    </row>
    <row r="143" spans="1:21" ht="18" customHeight="1" x14ac:dyDescent="0.2">
      <c r="A143" s="47" t="s">
        <v>359</v>
      </c>
      <c r="B143" s="15" t="s">
        <v>147</v>
      </c>
      <c r="C143" s="15"/>
      <c r="D143" s="20" t="s">
        <v>1811</v>
      </c>
      <c r="E143" s="8" t="s">
        <v>106</v>
      </c>
      <c r="F143" s="8" t="s">
        <v>360</v>
      </c>
      <c r="G143" s="8" t="s">
        <v>77</v>
      </c>
      <c r="H143" s="3" t="s">
        <v>26</v>
      </c>
      <c r="I143" s="8" t="s">
        <v>78</v>
      </c>
      <c r="J143" s="8" t="s">
        <v>361</v>
      </c>
      <c r="K143" s="12" t="s">
        <v>362</v>
      </c>
      <c r="L143" s="13">
        <v>0.63129999999999997</v>
      </c>
      <c r="M143" s="8" t="s">
        <v>291</v>
      </c>
      <c r="N143" s="8" t="s">
        <v>363</v>
      </c>
      <c r="O143" s="8"/>
      <c r="P143" s="3" t="s">
        <v>4207</v>
      </c>
      <c r="Q143" s="11">
        <v>43851.576284722221</v>
      </c>
      <c r="R143" s="3" t="s">
        <v>23</v>
      </c>
      <c r="S143" s="11">
        <v>43682.658506944441</v>
      </c>
      <c r="T143" s="7">
        <v>32</v>
      </c>
      <c r="U143" s="13">
        <f>COUNTIF('TAX Parcel Status Report'!$A$6:$A$290,SP_TaxPar_DB[[#This Row],[Tax Parcel ID]])</f>
        <v>1</v>
      </c>
    </row>
    <row r="144" spans="1:21" ht="18" customHeight="1" x14ac:dyDescent="0.2">
      <c r="A144" s="47" t="s">
        <v>364</v>
      </c>
      <c r="B144" s="15" t="s">
        <v>141</v>
      </c>
      <c r="C144" s="15"/>
      <c r="D144" s="20" t="s">
        <v>1811</v>
      </c>
      <c r="E144" s="8" t="s">
        <v>365</v>
      </c>
      <c r="F144" s="8" t="s">
        <v>143</v>
      </c>
      <c r="G144" s="8" t="s">
        <v>25</v>
      </c>
      <c r="H144" s="3" t="s">
        <v>26</v>
      </c>
      <c r="I144" s="8" t="s">
        <v>353</v>
      </c>
      <c r="J144" s="8" t="s">
        <v>110</v>
      </c>
      <c r="K144" s="12" t="s">
        <v>367</v>
      </c>
      <c r="L144" s="13">
        <v>0.28699999999999998</v>
      </c>
      <c r="M144" s="8" t="s">
        <v>257</v>
      </c>
      <c r="N144" s="8"/>
      <c r="O144" s="8"/>
      <c r="P144" s="3" t="s">
        <v>4207</v>
      </c>
      <c r="Q144" s="11">
        <v>43851.576273148145</v>
      </c>
      <c r="R144" s="3" t="s">
        <v>23</v>
      </c>
      <c r="S144" s="11">
        <v>43682.658506944441</v>
      </c>
      <c r="T144" s="7">
        <v>31</v>
      </c>
      <c r="U144" s="13">
        <f>COUNTIF('TAX Parcel Status Report'!$A$6:$A$290,SP_TaxPar_DB[[#This Row],[Tax Parcel ID]])</f>
        <v>1</v>
      </c>
    </row>
    <row r="145" spans="1:21" ht="18" customHeight="1" x14ac:dyDescent="0.2">
      <c r="A145" s="47" t="s">
        <v>368</v>
      </c>
      <c r="B145" s="15" t="s">
        <v>34</v>
      </c>
      <c r="C145" s="15"/>
      <c r="D145" s="20" t="s">
        <v>1811</v>
      </c>
      <c r="E145" s="8" t="s">
        <v>103</v>
      </c>
      <c r="F145" s="8" t="s">
        <v>104</v>
      </c>
      <c r="G145" s="8" t="s">
        <v>77</v>
      </c>
      <c r="H145" s="3" t="s">
        <v>26</v>
      </c>
      <c r="I145" s="8" t="s">
        <v>78</v>
      </c>
      <c r="J145" s="8" t="s">
        <v>110</v>
      </c>
      <c r="K145" s="12" t="s">
        <v>370</v>
      </c>
      <c r="L145" s="13">
        <v>0.11409999999999999</v>
      </c>
      <c r="M145" s="8" t="s">
        <v>257</v>
      </c>
      <c r="N145" s="8" t="s">
        <v>371</v>
      </c>
      <c r="O145" s="8"/>
      <c r="P145" s="3" t="s">
        <v>4207</v>
      </c>
      <c r="Q145" s="11">
        <v>43851.575937499998</v>
      </c>
      <c r="R145" s="3" t="s">
        <v>23</v>
      </c>
      <c r="S145" s="11">
        <v>43682.658495370371</v>
      </c>
      <c r="T145" s="7">
        <v>9</v>
      </c>
      <c r="U145" s="13">
        <f>COUNTIF('TAX Parcel Status Report'!$A$6:$A$290,SP_TaxPar_DB[[#This Row],[Tax Parcel ID]])</f>
        <v>1</v>
      </c>
    </row>
    <row r="146" spans="1:21" ht="18" customHeight="1" x14ac:dyDescent="0.2">
      <c r="A146" s="47" t="s">
        <v>372</v>
      </c>
      <c r="B146" s="15" t="s">
        <v>34</v>
      </c>
      <c r="C146" s="15"/>
      <c r="D146" s="20" t="s">
        <v>1811</v>
      </c>
      <c r="E146" s="8" t="s">
        <v>103</v>
      </c>
      <c r="F146" s="8" t="s">
        <v>104</v>
      </c>
      <c r="G146" s="8" t="s">
        <v>77</v>
      </c>
      <c r="H146" s="3" t="s">
        <v>26</v>
      </c>
      <c r="I146" s="8" t="s">
        <v>78</v>
      </c>
      <c r="J146" s="8" t="s">
        <v>373</v>
      </c>
      <c r="K146" s="12" t="s">
        <v>374</v>
      </c>
      <c r="L146" s="13">
        <v>0.12330000000000001</v>
      </c>
      <c r="M146" s="8" t="s">
        <v>251</v>
      </c>
      <c r="N146" s="8" t="s">
        <v>371</v>
      </c>
      <c r="O146" s="8"/>
      <c r="P146" s="3" t="s">
        <v>4207</v>
      </c>
      <c r="Q146" s="11">
        <v>43851.575949074075</v>
      </c>
      <c r="R146" s="3" t="s">
        <v>23</v>
      </c>
      <c r="S146" s="11">
        <v>43682.658495370371</v>
      </c>
      <c r="T146" s="7">
        <v>10</v>
      </c>
      <c r="U146" s="13">
        <f>COUNTIF('TAX Parcel Status Report'!$A$6:$A$290,SP_TaxPar_DB[[#This Row],[Tax Parcel ID]])</f>
        <v>1</v>
      </c>
    </row>
    <row r="147" spans="1:21" ht="18" customHeight="1" x14ac:dyDescent="0.2">
      <c r="A147" s="47" t="s">
        <v>375</v>
      </c>
      <c r="B147" s="15" t="s">
        <v>34</v>
      </c>
      <c r="C147" s="15"/>
      <c r="D147" s="20" t="s">
        <v>1811</v>
      </c>
      <c r="E147" s="8" t="s">
        <v>103</v>
      </c>
      <c r="F147" s="8" t="s">
        <v>104</v>
      </c>
      <c r="G147" s="8" t="s">
        <v>77</v>
      </c>
      <c r="H147" s="3" t="s">
        <v>26</v>
      </c>
      <c r="I147" s="8" t="s">
        <v>78</v>
      </c>
      <c r="J147" s="8" t="s">
        <v>110</v>
      </c>
      <c r="K147" s="12" t="s">
        <v>376</v>
      </c>
      <c r="L147" s="13">
        <v>0.13250000000000001</v>
      </c>
      <c r="M147" s="8" t="s">
        <v>257</v>
      </c>
      <c r="N147" s="8" t="s">
        <v>371</v>
      </c>
      <c r="O147" s="8"/>
      <c r="P147" s="3" t="s">
        <v>4207</v>
      </c>
      <c r="Q147" s="11">
        <v>43851.575960648152</v>
      </c>
      <c r="R147" s="3" t="s">
        <v>23</v>
      </c>
      <c r="S147" s="11">
        <v>43682.658495370371</v>
      </c>
      <c r="T147" s="7">
        <v>11</v>
      </c>
      <c r="U147" s="13">
        <f>COUNTIF('TAX Parcel Status Report'!$A$6:$A$290,SP_TaxPar_DB[[#This Row],[Tax Parcel ID]])</f>
        <v>1</v>
      </c>
    </row>
    <row r="148" spans="1:21" ht="18" customHeight="1" x14ac:dyDescent="0.2">
      <c r="A148" s="6" t="s">
        <v>377</v>
      </c>
      <c r="B148" s="15" t="s">
        <v>34</v>
      </c>
      <c r="C148" s="15"/>
      <c r="D148" s="20" t="s">
        <v>1811</v>
      </c>
      <c r="E148" s="8" t="s">
        <v>103</v>
      </c>
      <c r="F148" s="8" t="s">
        <v>104</v>
      </c>
      <c r="G148" s="8" t="s">
        <v>77</v>
      </c>
      <c r="H148" s="3" t="s">
        <v>26</v>
      </c>
      <c r="I148" s="8" t="s">
        <v>78</v>
      </c>
      <c r="J148" s="8" t="s">
        <v>378</v>
      </c>
      <c r="K148" s="12" t="s">
        <v>379</v>
      </c>
      <c r="L148" s="13">
        <v>0.2964</v>
      </c>
      <c r="M148" s="8" t="s">
        <v>251</v>
      </c>
      <c r="N148" s="8" t="s">
        <v>371</v>
      </c>
      <c r="O148" s="8" t="s">
        <v>355</v>
      </c>
      <c r="P148" s="3" t="s">
        <v>4207</v>
      </c>
      <c r="Q148" s="11">
        <v>43851.57603009259</v>
      </c>
      <c r="R148" s="3" t="s">
        <v>23</v>
      </c>
      <c r="S148" s="11">
        <v>43682.658495370371</v>
      </c>
      <c r="T148" s="7">
        <v>12</v>
      </c>
      <c r="U148" s="13">
        <f>COUNTIF('TAX Parcel Status Report'!$A$6:$A$290,SP_TaxPar_DB[[#This Row],[Tax Parcel ID]])</f>
        <v>1</v>
      </c>
    </row>
    <row r="149" spans="1:21" ht="18" customHeight="1" x14ac:dyDescent="0.2">
      <c r="A149" s="47" t="s">
        <v>380</v>
      </c>
      <c r="B149" s="15" t="s">
        <v>34</v>
      </c>
      <c r="C149" s="15"/>
      <c r="D149" s="20" t="s">
        <v>1811</v>
      </c>
      <c r="E149" s="8" t="s">
        <v>103</v>
      </c>
      <c r="F149" s="8" t="s">
        <v>104</v>
      </c>
      <c r="G149" s="8" t="s">
        <v>77</v>
      </c>
      <c r="H149" s="3" t="s">
        <v>26</v>
      </c>
      <c r="I149" s="8" t="s">
        <v>78</v>
      </c>
      <c r="J149" s="8" t="s">
        <v>381</v>
      </c>
      <c r="K149" s="12" t="s">
        <v>382</v>
      </c>
      <c r="L149" s="13">
        <v>0.14849999999999999</v>
      </c>
      <c r="M149" s="8" t="s">
        <v>251</v>
      </c>
      <c r="N149" s="8" t="s">
        <v>371</v>
      </c>
      <c r="O149" s="8" t="s">
        <v>383</v>
      </c>
      <c r="P149" s="3" t="s">
        <v>4207</v>
      </c>
      <c r="Q149" s="11">
        <v>43851.576041666667</v>
      </c>
      <c r="R149" s="3" t="s">
        <v>23</v>
      </c>
      <c r="S149" s="11">
        <v>43682.658495370371</v>
      </c>
      <c r="T149" s="7">
        <v>13</v>
      </c>
      <c r="U149" s="13">
        <f>COUNTIF('TAX Parcel Status Report'!$A$6:$A$290,SP_TaxPar_DB[[#This Row],[Tax Parcel ID]])</f>
        <v>1</v>
      </c>
    </row>
    <row r="150" spans="1:21" ht="18" customHeight="1" x14ac:dyDescent="0.2">
      <c r="A150" s="6" t="s">
        <v>384</v>
      </c>
      <c r="B150" s="15" t="s">
        <v>34</v>
      </c>
      <c r="C150" s="15"/>
      <c r="D150" s="20" t="s">
        <v>1811</v>
      </c>
      <c r="E150" s="8" t="s">
        <v>103</v>
      </c>
      <c r="F150" s="8" t="s">
        <v>104</v>
      </c>
      <c r="G150" s="8" t="s">
        <v>77</v>
      </c>
      <c r="H150" s="3" t="s">
        <v>26</v>
      </c>
      <c r="I150" s="8" t="s">
        <v>78</v>
      </c>
      <c r="J150" s="8" t="s">
        <v>110</v>
      </c>
      <c r="K150" s="12" t="s">
        <v>385</v>
      </c>
      <c r="L150" s="13">
        <v>0.13769999999999999</v>
      </c>
      <c r="M150" s="8" t="s">
        <v>257</v>
      </c>
      <c r="N150" s="8" t="s">
        <v>371</v>
      </c>
      <c r="O150" s="8"/>
      <c r="P150" s="3" t="s">
        <v>4207</v>
      </c>
      <c r="Q150" s="11">
        <v>43851.576053240744</v>
      </c>
      <c r="R150" s="3" t="s">
        <v>23</v>
      </c>
      <c r="S150" s="11">
        <v>43682.658495370371</v>
      </c>
      <c r="T150" s="7">
        <v>14</v>
      </c>
      <c r="U150" s="13">
        <f>COUNTIF('TAX Parcel Status Report'!$A$6:$A$290,SP_TaxPar_DB[[#This Row],[Tax Parcel ID]])</f>
        <v>1</v>
      </c>
    </row>
    <row r="151" spans="1:21" ht="18" customHeight="1" x14ac:dyDescent="0.2">
      <c r="A151" s="6" t="s">
        <v>386</v>
      </c>
      <c r="B151" s="15" t="s">
        <v>35</v>
      </c>
      <c r="C151" s="15"/>
      <c r="D151" s="20" t="s">
        <v>1811</v>
      </c>
      <c r="E151" s="8" t="s">
        <v>106</v>
      </c>
      <c r="F151" s="8" t="s">
        <v>360</v>
      </c>
      <c r="G151" s="8" t="s">
        <v>77</v>
      </c>
      <c r="H151" s="3" t="s">
        <v>26</v>
      </c>
      <c r="I151" s="8" t="s">
        <v>78</v>
      </c>
      <c r="J151" s="8" t="s">
        <v>387</v>
      </c>
      <c r="K151" s="12" t="s">
        <v>388</v>
      </c>
      <c r="L151" s="13">
        <v>0.13769999999999999</v>
      </c>
      <c r="M151" s="8" t="s">
        <v>291</v>
      </c>
      <c r="N151" s="8" t="s">
        <v>389</v>
      </c>
      <c r="O151" s="8"/>
      <c r="P151" s="3" t="s">
        <v>4207</v>
      </c>
      <c r="Q151" s="11">
        <v>43851.576064814813</v>
      </c>
      <c r="R151" s="3" t="s">
        <v>23</v>
      </c>
      <c r="S151" s="11">
        <v>43682.658495370371</v>
      </c>
      <c r="T151" s="7">
        <v>15</v>
      </c>
      <c r="U151" s="13">
        <f>COUNTIF('TAX Parcel Status Report'!$A$6:$A$290,SP_TaxPar_DB[[#This Row],[Tax Parcel ID]])</f>
        <v>1</v>
      </c>
    </row>
    <row r="152" spans="1:21" ht="18" customHeight="1" x14ac:dyDescent="0.2">
      <c r="A152" s="47" t="s">
        <v>390</v>
      </c>
      <c r="B152" s="15" t="s">
        <v>35</v>
      </c>
      <c r="C152" s="15"/>
      <c r="D152" s="20" t="s">
        <v>1811</v>
      </c>
      <c r="E152" s="8" t="s">
        <v>106</v>
      </c>
      <c r="F152" s="8" t="s">
        <v>360</v>
      </c>
      <c r="G152" s="8" t="s">
        <v>77</v>
      </c>
      <c r="H152" s="3" t="s">
        <v>26</v>
      </c>
      <c r="I152" s="8" t="s">
        <v>78</v>
      </c>
      <c r="J152" s="8" t="s">
        <v>391</v>
      </c>
      <c r="K152" s="12" t="s">
        <v>392</v>
      </c>
      <c r="L152" s="13">
        <v>0.13769999999999999</v>
      </c>
      <c r="M152" s="8" t="s">
        <v>251</v>
      </c>
      <c r="N152" s="8" t="s">
        <v>393</v>
      </c>
      <c r="O152" s="8"/>
      <c r="P152" s="3" t="s">
        <v>4207</v>
      </c>
      <c r="Q152" s="11">
        <v>43851.57607638889</v>
      </c>
      <c r="R152" s="3" t="s">
        <v>23</v>
      </c>
      <c r="S152" s="11">
        <v>43682.658495370371</v>
      </c>
      <c r="T152" s="7">
        <v>16</v>
      </c>
      <c r="U152" s="13">
        <f>COUNTIF('TAX Parcel Status Report'!$A$6:$A$290,SP_TaxPar_DB[[#This Row],[Tax Parcel ID]])</f>
        <v>1</v>
      </c>
    </row>
    <row r="153" spans="1:21" ht="18" customHeight="1" x14ac:dyDescent="0.2">
      <c r="A153" s="6" t="s">
        <v>394</v>
      </c>
      <c r="B153" s="15" t="s">
        <v>35</v>
      </c>
      <c r="C153" s="15"/>
      <c r="D153" s="20" t="s">
        <v>1811</v>
      </c>
      <c r="E153" s="8" t="s">
        <v>106</v>
      </c>
      <c r="F153" s="8" t="s">
        <v>360</v>
      </c>
      <c r="G153" s="8" t="s">
        <v>77</v>
      </c>
      <c r="H153" s="3" t="s">
        <v>26</v>
      </c>
      <c r="I153" s="8" t="s">
        <v>78</v>
      </c>
      <c r="J153" s="8" t="s">
        <v>395</v>
      </c>
      <c r="K153" s="12" t="s">
        <v>396</v>
      </c>
      <c r="L153" s="13">
        <v>0.27550000000000002</v>
      </c>
      <c r="M153" s="8" t="s">
        <v>291</v>
      </c>
      <c r="N153" s="8" t="s">
        <v>397</v>
      </c>
      <c r="O153" s="8"/>
      <c r="P153" s="3" t="s">
        <v>4207</v>
      </c>
      <c r="Q153" s="11">
        <v>43851.57607638889</v>
      </c>
      <c r="R153" s="3" t="s">
        <v>23</v>
      </c>
      <c r="S153" s="11">
        <v>43682.658495370371</v>
      </c>
      <c r="T153" s="7">
        <v>17</v>
      </c>
      <c r="U153" s="13">
        <f>COUNTIF('TAX Parcel Status Report'!$A$6:$A$290,SP_TaxPar_DB[[#This Row],[Tax Parcel ID]])</f>
        <v>1</v>
      </c>
    </row>
    <row r="154" spans="1:21" ht="18" customHeight="1" x14ac:dyDescent="0.2">
      <c r="A154" s="6" t="s">
        <v>398</v>
      </c>
      <c r="B154" s="15" t="s">
        <v>35</v>
      </c>
      <c r="C154" s="15"/>
      <c r="D154" s="20" t="s">
        <v>1811</v>
      </c>
      <c r="E154" s="8" t="s">
        <v>106</v>
      </c>
      <c r="F154" s="8" t="s">
        <v>360</v>
      </c>
      <c r="G154" s="8" t="s">
        <v>77</v>
      </c>
      <c r="H154" s="3" t="s">
        <v>26</v>
      </c>
      <c r="I154" s="8" t="s">
        <v>78</v>
      </c>
      <c r="J154" s="8" t="s">
        <v>110</v>
      </c>
      <c r="K154" s="12" t="s">
        <v>399</v>
      </c>
      <c r="L154" s="13">
        <v>0.38879999999999998</v>
      </c>
      <c r="M154" s="8" t="s">
        <v>257</v>
      </c>
      <c r="N154" s="8" t="s">
        <v>400</v>
      </c>
      <c r="O154" s="8"/>
      <c r="P154" s="3" t="s">
        <v>4207</v>
      </c>
      <c r="Q154" s="11">
        <v>43851.57608796296</v>
      </c>
      <c r="R154" s="3" t="s">
        <v>23</v>
      </c>
      <c r="S154" s="11">
        <v>43682.658495370371</v>
      </c>
      <c r="T154" s="7">
        <v>18</v>
      </c>
      <c r="U154" s="13">
        <f>COUNTIF('TAX Parcel Status Report'!$A$6:$A$290,SP_TaxPar_DB[[#This Row],[Tax Parcel ID]])</f>
        <v>1</v>
      </c>
    </row>
    <row r="155" spans="1:21" ht="18" customHeight="1" x14ac:dyDescent="0.2">
      <c r="A155" s="195" t="s">
        <v>401</v>
      </c>
      <c r="B155" s="193" t="s">
        <v>37</v>
      </c>
      <c r="C155" s="193"/>
      <c r="D155" s="20" t="s">
        <v>1811</v>
      </c>
      <c r="E155" s="8" t="s">
        <v>106</v>
      </c>
      <c r="F155" s="8" t="s">
        <v>360</v>
      </c>
      <c r="G155" s="8" t="s">
        <v>77</v>
      </c>
      <c r="H155" s="3" t="s">
        <v>26</v>
      </c>
      <c r="I155" s="8" t="s">
        <v>78</v>
      </c>
      <c r="J155" s="8" t="s">
        <v>110</v>
      </c>
      <c r="K155" s="12" t="s">
        <v>402</v>
      </c>
      <c r="L155" s="13">
        <v>0.65200000000000002</v>
      </c>
      <c r="M155" s="8" t="s">
        <v>257</v>
      </c>
      <c r="N155" s="8" t="s">
        <v>403</v>
      </c>
      <c r="O155" s="8"/>
      <c r="P155" s="3" t="s">
        <v>4207</v>
      </c>
      <c r="Q155" s="11">
        <v>43851.576099537036</v>
      </c>
      <c r="R155" s="3" t="s">
        <v>23</v>
      </c>
      <c r="S155" s="11">
        <v>43682.658506944441</v>
      </c>
      <c r="T155" s="7">
        <v>20</v>
      </c>
      <c r="U155" s="13">
        <f>COUNTIF('TAX Parcel Status Report'!$A$6:$A$290,SP_TaxPar_DB[[#This Row],[Tax Parcel ID]])</f>
        <v>1</v>
      </c>
    </row>
    <row r="156" spans="1:21" ht="18" customHeight="1" x14ac:dyDescent="0.2">
      <c r="A156" s="47" t="s">
        <v>2310</v>
      </c>
      <c r="B156" s="15"/>
      <c r="C156" s="15" t="s">
        <v>2712</v>
      </c>
      <c r="D156" s="20" t="s">
        <v>1808</v>
      </c>
      <c r="E156" s="8" t="s">
        <v>2311</v>
      </c>
      <c r="F156" s="8" t="s">
        <v>2312</v>
      </c>
      <c r="G156" s="8" t="s">
        <v>1007</v>
      </c>
      <c r="H156" s="3" t="s">
        <v>26</v>
      </c>
      <c r="I156" s="8" t="s">
        <v>78</v>
      </c>
      <c r="J156" s="8" t="s">
        <v>2313</v>
      </c>
      <c r="K156" s="12" t="s">
        <v>2314</v>
      </c>
      <c r="L156" s="13"/>
      <c r="M156" s="8"/>
      <c r="N156" s="8"/>
      <c r="O156" s="8"/>
      <c r="P156" s="3" t="s">
        <v>4207</v>
      </c>
      <c r="Q156" s="11">
        <v>43861.432071759256</v>
      </c>
      <c r="R156" s="3" t="s">
        <v>4207</v>
      </c>
      <c r="S156" s="11">
        <v>43858.550138888888</v>
      </c>
      <c r="T156" s="7">
        <v>203</v>
      </c>
      <c r="U156" s="13">
        <f>COUNTIF('TAX Parcel Status Report'!$A$6:$A$290,SP_TaxPar_DB[[#This Row],[Tax Parcel ID]])</f>
        <v>1</v>
      </c>
    </row>
    <row r="157" spans="1:21" ht="18" customHeight="1" x14ac:dyDescent="0.2">
      <c r="A157" s="47" t="s">
        <v>2315</v>
      </c>
      <c r="B157" s="15"/>
      <c r="C157" s="15" t="s">
        <v>2713</v>
      </c>
      <c r="D157" s="20" t="s">
        <v>1808</v>
      </c>
      <c r="E157" s="8" t="s">
        <v>2316</v>
      </c>
      <c r="F157" s="8" t="s">
        <v>2317</v>
      </c>
      <c r="G157" s="8" t="s">
        <v>1007</v>
      </c>
      <c r="H157" s="3" t="s">
        <v>26</v>
      </c>
      <c r="I157" s="8" t="s">
        <v>78</v>
      </c>
      <c r="J157" s="8" t="s">
        <v>2318</v>
      </c>
      <c r="K157" s="12" t="s">
        <v>2319</v>
      </c>
      <c r="L157" s="13"/>
      <c r="M157" s="8"/>
      <c r="N157" s="8"/>
      <c r="O157" s="8"/>
      <c r="P157" s="3" t="s">
        <v>4207</v>
      </c>
      <c r="Q157" s="11">
        <v>43861.432118055556</v>
      </c>
      <c r="R157" s="3" t="s">
        <v>4207</v>
      </c>
      <c r="S157" s="11">
        <v>43858.550138888888</v>
      </c>
      <c r="T157" s="7">
        <v>204</v>
      </c>
      <c r="U157" s="13">
        <f>COUNTIF('TAX Parcel Status Report'!$A$6:$A$290,SP_TaxPar_DB[[#This Row],[Tax Parcel ID]])</f>
        <v>1</v>
      </c>
    </row>
    <row r="158" spans="1:21" ht="18" customHeight="1" x14ac:dyDescent="0.2">
      <c r="A158" s="47" t="s">
        <v>2320</v>
      </c>
      <c r="B158" s="15"/>
      <c r="C158" s="15" t="s">
        <v>2714</v>
      </c>
      <c r="D158" s="20" t="s">
        <v>1808</v>
      </c>
      <c r="E158" s="8" t="s">
        <v>2321</v>
      </c>
      <c r="F158" s="8" t="s">
        <v>2322</v>
      </c>
      <c r="G158" s="8" t="s">
        <v>2323</v>
      </c>
      <c r="H158" s="3" t="s">
        <v>26</v>
      </c>
      <c r="I158" s="8" t="s">
        <v>2324</v>
      </c>
      <c r="J158" s="8" t="s">
        <v>2325</v>
      </c>
      <c r="K158" s="12" t="s">
        <v>2326</v>
      </c>
      <c r="L158" s="13"/>
      <c r="M158" s="8"/>
      <c r="N158" s="8"/>
      <c r="O158" s="8"/>
      <c r="P158" s="3" t="s">
        <v>4207</v>
      </c>
      <c r="Q158" s="11">
        <v>43861.432268518518</v>
      </c>
      <c r="R158" s="3" t="s">
        <v>4207</v>
      </c>
      <c r="S158" s="11">
        <v>43858.550138888888</v>
      </c>
      <c r="T158" s="7">
        <v>205</v>
      </c>
      <c r="U158" s="13">
        <f>COUNTIF('TAX Parcel Status Report'!$A$6:$A$290,SP_TaxPar_DB[[#This Row],[Tax Parcel ID]])</f>
        <v>1</v>
      </c>
    </row>
    <row r="159" spans="1:21" ht="18" customHeight="1" x14ac:dyDescent="0.2">
      <c r="A159" s="47" t="s">
        <v>2327</v>
      </c>
      <c r="B159" s="15"/>
      <c r="C159" s="15" t="s">
        <v>2715</v>
      </c>
      <c r="D159" s="20" t="s">
        <v>1808</v>
      </c>
      <c r="E159" s="8" t="s">
        <v>2328</v>
      </c>
      <c r="F159" s="8" t="s">
        <v>2329</v>
      </c>
      <c r="G159" s="8" t="s">
        <v>1007</v>
      </c>
      <c r="H159" s="3" t="s">
        <v>26</v>
      </c>
      <c r="I159" s="8" t="s">
        <v>78</v>
      </c>
      <c r="J159" s="8" t="s">
        <v>2330</v>
      </c>
      <c r="K159" s="12" t="s">
        <v>2331</v>
      </c>
      <c r="L159" s="13"/>
      <c r="M159" s="8"/>
      <c r="N159" s="8"/>
      <c r="O159" s="8"/>
      <c r="P159" s="3" t="s">
        <v>4207</v>
      </c>
      <c r="Q159" s="11">
        <v>43861.432303240741</v>
      </c>
      <c r="R159" s="3" t="s">
        <v>4207</v>
      </c>
      <c r="S159" s="11">
        <v>43858.550138888888</v>
      </c>
      <c r="T159" s="7">
        <v>206</v>
      </c>
      <c r="U159" s="13">
        <f>COUNTIF('TAX Parcel Status Report'!$A$6:$A$290,SP_TaxPar_DB[[#This Row],[Tax Parcel ID]])</f>
        <v>1</v>
      </c>
    </row>
    <row r="160" spans="1:21" ht="18" customHeight="1" x14ac:dyDescent="0.2">
      <c r="A160" s="47" t="s">
        <v>2332</v>
      </c>
      <c r="B160" s="15"/>
      <c r="C160" s="15" t="s">
        <v>2716</v>
      </c>
      <c r="D160" s="20" t="s">
        <v>1808</v>
      </c>
      <c r="E160" s="8" t="s">
        <v>2333</v>
      </c>
      <c r="F160" s="8" t="s">
        <v>2334</v>
      </c>
      <c r="G160" s="8" t="s">
        <v>1838</v>
      </c>
      <c r="H160" s="3" t="s">
        <v>26</v>
      </c>
      <c r="I160" s="8" t="s">
        <v>2335</v>
      </c>
      <c r="J160" s="8" t="s">
        <v>2336</v>
      </c>
      <c r="K160" s="12" t="s">
        <v>2337</v>
      </c>
      <c r="L160" s="13"/>
      <c r="M160" s="8"/>
      <c r="N160" s="8"/>
      <c r="O160" s="8"/>
      <c r="P160" s="3" t="s">
        <v>4207</v>
      </c>
      <c r="Q160" s="11">
        <v>43861.43236111111</v>
      </c>
      <c r="R160" s="3" t="s">
        <v>4207</v>
      </c>
      <c r="S160" s="11">
        <v>43858.550138888888</v>
      </c>
      <c r="T160" s="7">
        <v>207</v>
      </c>
      <c r="U160" s="13">
        <f>COUNTIF('TAX Parcel Status Report'!$A$6:$A$290,SP_TaxPar_DB[[#This Row],[Tax Parcel ID]])</f>
        <v>1</v>
      </c>
    </row>
    <row r="161" spans="1:21" ht="18" customHeight="1" x14ac:dyDescent="0.2">
      <c r="A161" s="47" t="s">
        <v>2338</v>
      </c>
      <c r="B161" s="15"/>
      <c r="C161" s="15" t="s">
        <v>2717</v>
      </c>
      <c r="D161" s="20" t="s">
        <v>1808</v>
      </c>
      <c r="E161" s="8" t="s">
        <v>2339</v>
      </c>
      <c r="F161" s="8" t="s">
        <v>2340</v>
      </c>
      <c r="G161" s="8" t="s">
        <v>1007</v>
      </c>
      <c r="H161" s="3" t="s">
        <v>26</v>
      </c>
      <c r="I161" s="8" t="s">
        <v>78</v>
      </c>
      <c r="J161" s="8" t="s">
        <v>2340</v>
      </c>
      <c r="K161" s="12" t="s">
        <v>2341</v>
      </c>
      <c r="L161" s="13"/>
      <c r="M161" s="8"/>
      <c r="N161" s="8"/>
      <c r="O161" s="8"/>
      <c r="P161" s="3" t="s">
        <v>4207</v>
      </c>
      <c r="Q161" s="11">
        <v>43861.43240740741</v>
      </c>
      <c r="R161" s="3" t="s">
        <v>4207</v>
      </c>
      <c r="S161" s="11">
        <v>43858.550138888888</v>
      </c>
      <c r="T161" s="7">
        <v>208</v>
      </c>
      <c r="U161" s="13">
        <f>COUNTIF('TAX Parcel Status Report'!$A$6:$A$290,SP_TaxPar_DB[[#This Row],[Tax Parcel ID]])</f>
        <v>1</v>
      </c>
    </row>
    <row r="162" spans="1:21" ht="18" customHeight="1" x14ac:dyDescent="0.2">
      <c r="A162" s="47" t="s">
        <v>2342</v>
      </c>
      <c r="B162" s="15" t="s">
        <v>5254</v>
      </c>
      <c r="C162" s="15"/>
      <c r="D162" s="20" t="s">
        <v>2493</v>
      </c>
      <c r="E162" s="8" t="s">
        <v>2343</v>
      </c>
      <c r="F162" s="8" t="s">
        <v>2344</v>
      </c>
      <c r="G162" s="8" t="s">
        <v>1007</v>
      </c>
      <c r="H162" s="3" t="s">
        <v>26</v>
      </c>
      <c r="I162" s="8" t="s">
        <v>2345</v>
      </c>
      <c r="J162" s="8" t="s">
        <v>2336</v>
      </c>
      <c r="K162" s="12" t="s">
        <v>2346</v>
      </c>
      <c r="L162" s="13"/>
      <c r="M162" s="8"/>
      <c r="N162" s="8"/>
      <c r="O162" s="8"/>
      <c r="P162" s="3" t="s">
        <v>4206</v>
      </c>
      <c r="Q162" s="11">
        <v>43959.513657407406</v>
      </c>
      <c r="R162" s="3" t="s">
        <v>4207</v>
      </c>
      <c r="S162" s="11">
        <v>43858.550150462965</v>
      </c>
      <c r="T162" s="7">
        <v>209</v>
      </c>
      <c r="U162" s="13">
        <f>COUNTIF('TAX Parcel Status Report'!$A$6:$A$290,SP_TaxPar_DB[[#This Row],[Tax Parcel ID]])</f>
        <v>1</v>
      </c>
    </row>
    <row r="163" spans="1:21" ht="18" customHeight="1" x14ac:dyDescent="0.2">
      <c r="A163" s="6" t="s">
        <v>2347</v>
      </c>
      <c r="B163" s="15" t="s">
        <v>5275</v>
      </c>
      <c r="C163" s="15"/>
      <c r="D163" s="20" t="s">
        <v>2493</v>
      </c>
      <c r="E163" s="8" t="s">
        <v>2348</v>
      </c>
      <c r="F163" s="8" t="s">
        <v>2349</v>
      </c>
      <c r="G163" s="8" t="s">
        <v>1838</v>
      </c>
      <c r="H163" s="3" t="s">
        <v>26</v>
      </c>
      <c r="I163" s="8" t="s">
        <v>2350</v>
      </c>
      <c r="J163" s="8" t="s">
        <v>2351</v>
      </c>
      <c r="K163" s="12" t="s">
        <v>2352</v>
      </c>
      <c r="L163" s="13"/>
      <c r="M163" s="8"/>
      <c r="N163" s="8"/>
      <c r="O163" s="8"/>
      <c r="P163" s="3" t="s">
        <v>4206</v>
      </c>
      <c r="Q163" s="11">
        <v>43959.517175925925</v>
      </c>
      <c r="R163" s="3" t="s">
        <v>4207</v>
      </c>
      <c r="S163" s="11">
        <v>43858.550150462965</v>
      </c>
      <c r="T163" s="7">
        <v>210</v>
      </c>
      <c r="U163" s="13">
        <f>COUNTIF('TAX Parcel Status Report'!$A$6:$A$290,SP_TaxPar_DB[[#This Row],[Tax Parcel ID]])</f>
        <v>1</v>
      </c>
    </row>
    <row r="164" spans="1:21" ht="18" customHeight="1" x14ac:dyDescent="0.2">
      <c r="A164" s="47" t="s">
        <v>2353</v>
      </c>
      <c r="B164" s="15" t="s">
        <v>5277</v>
      </c>
      <c r="C164" s="15"/>
      <c r="D164" s="20" t="s">
        <v>2493</v>
      </c>
      <c r="E164" s="8" t="s">
        <v>2354</v>
      </c>
      <c r="F164" s="8" t="s">
        <v>2355</v>
      </c>
      <c r="G164" s="8" t="s">
        <v>1007</v>
      </c>
      <c r="H164" s="3" t="s">
        <v>26</v>
      </c>
      <c r="I164" s="8" t="s">
        <v>78</v>
      </c>
      <c r="J164" s="8" t="s">
        <v>2355</v>
      </c>
      <c r="K164" s="12" t="s">
        <v>2356</v>
      </c>
      <c r="L164" s="13"/>
      <c r="M164" s="8"/>
      <c r="N164" s="8"/>
      <c r="O164" s="8"/>
      <c r="P164" s="3" t="s">
        <v>4205</v>
      </c>
      <c r="Q164" s="11">
        <v>43962.705023148148</v>
      </c>
      <c r="R164" s="3" t="s">
        <v>4207</v>
      </c>
      <c r="S164" s="11">
        <v>43858.550150462965</v>
      </c>
      <c r="T164" s="7">
        <v>211</v>
      </c>
      <c r="U164" s="13">
        <f>COUNTIF('TAX Parcel Status Report'!$A$6:$A$290,SP_TaxPar_DB[[#This Row],[Tax Parcel ID]])</f>
        <v>1</v>
      </c>
    </row>
    <row r="165" spans="1:21" ht="18" customHeight="1" x14ac:dyDescent="0.2">
      <c r="A165" s="47" t="s">
        <v>2357</v>
      </c>
      <c r="B165" s="15"/>
      <c r="C165" s="15" t="s">
        <v>2718</v>
      </c>
      <c r="D165" s="20" t="s">
        <v>1808</v>
      </c>
      <c r="E165" s="8" t="s">
        <v>2358</v>
      </c>
      <c r="F165" s="8" t="s">
        <v>2359</v>
      </c>
      <c r="G165" s="8" t="s">
        <v>2360</v>
      </c>
      <c r="H165" s="3" t="s">
        <v>26</v>
      </c>
      <c r="I165" s="8"/>
      <c r="J165" s="8" t="s">
        <v>2336</v>
      </c>
      <c r="K165" s="12" t="s">
        <v>2361</v>
      </c>
      <c r="L165" s="13"/>
      <c r="M165" s="8"/>
      <c r="N165" s="8"/>
      <c r="O165" s="8"/>
      <c r="P165" s="3" t="s">
        <v>4207</v>
      </c>
      <c r="Q165" s="11">
        <v>43861.432627314818</v>
      </c>
      <c r="R165" s="3" t="s">
        <v>4207</v>
      </c>
      <c r="S165" s="11">
        <v>43858.550150462965</v>
      </c>
      <c r="T165" s="7">
        <v>212</v>
      </c>
      <c r="U165" s="13">
        <f>COUNTIF('TAX Parcel Status Report'!$A$6:$A$290,SP_TaxPar_DB[[#This Row],[Tax Parcel ID]])</f>
        <v>1</v>
      </c>
    </row>
    <row r="166" spans="1:21" ht="18" customHeight="1" x14ac:dyDescent="0.2">
      <c r="A166" s="47" t="s">
        <v>2362</v>
      </c>
      <c r="B166" s="15" t="s">
        <v>5279</v>
      </c>
      <c r="C166" s="15"/>
      <c r="D166" s="20" t="s">
        <v>2493</v>
      </c>
      <c r="E166" s="8" t="s">
        <v>2363</v>
      </c>
      <c r="F166" s="8" t="s">
        <v>2364</v>
      </c>
      <c r="G166" s="8" t="s">
        <v>1838</v>
      </c>
      <c r="H166" s="3" t="s">
        <v>26</v>
      </c>
      <c r="I166" s="8" t="s">
        <v>2365</v>
      </c>
      <c r="J166" s="8" t="s">
        <v>2366</v>
      </c>
      <c r="K166" s="12" t="s">
        <v>2367</v>
      </c>
      <c r="L166" s="13"/>
      <c r="M166" s="8"/>
      <c r="N166" s="8"/>
      <c r="O166" s="8"/>
      <c r="P166" s="3" t="s">
        <v>4206</v>
      </c>
      <c r="Q166" s="11">
        <v>43963.625231481485</v>
      </c>
      <c r="R166" s="3" t="s">
        <v>4207</v>
      </c>
      <c r="S166" s="11">
        <v>43858.550150462965</v>
      </c>
      <c r="T166" s="7">
        <v>213</v>
      </c>
      <c r="U166" s="13">
        <f>COUNTIF('TAX Parcel Status Report'!$A$6:$A$290,SP_TaxPar_DB[[#This Row],[Tax Parcel ID]])</f>
        <v>1</v>
      </c>
    </row>
    <row r="167" spans="1:21" ht="18" customHeight="1" x14ac:dyDescent="0.2">
      <c r="A167" s="6" t="s">
        <v>2368</v>
      </c>
      <c r="B167" s="15" t="s">
        <v>5281</v>
      </c>
      <c r="C167" s="15"/>
      <c r="D167" s="20" t="s">
        <v>2493</v>
      </c>
      <c r="E167" s="8" t="s">
        <v>2369</v>
      </c>
      <c r="F167" s="8" t="s">
        <v>2370</v>
      </c>
      <c r="G167" s="8" t="s">
        <v>1007</v>
      </c>
      <c r="H167" s="3" t="s">
        <v>26</v>
      </c>
      <c r="I167" s="8" t="s">
        <v>78</v>
      </c>
      <c r="J167" s="8" t="s">
        <v>2366</v>
      </c>
      <c r="K167" s="12" t="s">
        <v>2371</v>
      </c>
      <c r="L167" s="13"/>
      <c r="M167" s="8"/>
      <c r="N167" s="8"/>
      <c r="O167" s="8"/>
      <c r="P167" s="3" t="s">
        <v>4206</v>
      </c>
      <c r="Q167" s="11">
        <v>43963.62945601852</v>
      </c>
      <c r="R167" s="3" t="s">
        <v>4207</v>
      </c>
      <c r="S167" s="11">
        <v>43858.550150462965</v>
      </c>
      <c r="T167" s="7">
        <v>214</v>
      </c>
      <c r="U167" s="13">
        <f>COUNTIF('TAX Parcel Status Report'!$A$6:$A$290,SP_TaxPar_DB[[#This Row],[Tax Parcel ID]])</f>
        <v>1</v>
      </c>
    </row>
    <row r="168" spans="1:21" ht="18" customHeight="1" x14ac:dyDescent="0.2">
      <c r="A168" s="47" t="s">
        <v>2372</v>
      </c>
      <c r="B168" s="15" t="s">
        <v>5283</v>
      </c>
      <c r="C168" s="15"/>
      <c r="D168" s="20" t="s">
        <v>2493</v>
      </c>
      <c r="E168" s="8" t="s">
        <v>2373</v>
      </c>
      <c r="F168" s="8" t="s">
        <v>2374</v>
      </c>
      <c r="G168" s="8" t="s">
        <v>2375</v>
      </c>
      <c r="H168" s="3" t="s">
        <v>26</v>
      </c>
      <c r="I168" s="8" t="s">
        <v>2376</v>
      </c>
      <c r="J168" s="8" t="s">
        <v>2366</v>
      </c>
      <c r="K168" s="12" t="s">
        <v>2377</v>
      </c>
      <c r="L168" s="13"/>
      <c r="M168" s="8"/>
      <c r="N168" s="8"/>
      <c r="O168" s="8"/>
      <c r="P168" s="3" t="s">
        <v>5080</v>
      </c>
      <c r="Q168" s="11">
        <v>43963.632719907408</v>
      </c>
      <c r="R168" s="3" t="s">
        <v>4207</v>
      </c>
      <c r="S168" s="11">
        <v>43858.550150462965</v>
      </c>
      <c r="T168" s="7">
        <v>215</v>
      </c>
      <c r="U168" s="13">
        <f>COUNTIF('TAX Parcel Status Report'!$A$6:$A$290,SP_TaxPar_DB[[#This Row],[Tax Parcel ID]])</f>
        <v>1</v>
      </c>
    </row>
    <row r="169" spans="1:21" ht="18" customHeight="1" x14ac:dyDescent="0.2">
      <c r="A169" s="47" t="s">
        <v>2378</v>
      </c>
      <c r="B169" s="15"/>
      <c r="C169" s="15" t="s">
        <v>3214</v>
      </c>
      <c r="D169" s="20" t="s">
        <v>1808</v>
      </c>
      <c r="E169" s="8" t="s">
        <v>2379</v>
      </c>
      <c r="F169" s="8" t="s">
        <v>2380</v>
      </c>
      <c r="G169" s="8" t="s">
        <v>1007</v>
      </c>
      <c r="H169" s="3" t="s">
        <v>26</v>
      </c>
      <c r="I169" s="8" t="s">
        <v>78</v>
      </c>
      <c r="J169" s="8" t="s">
        <v>2381</v>
      </c>
      <c r="K169" s="12" t="s">
        <v>2382</v>
      </c>
      <c r="L169" s="13"/>
      <c r="M169" s="8"/>
      <c r="N169" s="8"/>
      <c r="O169" s="8"/>
      <c r="P169" s="3" t="s">
        <v>4207</v>
      </c>
      <c r="Q169" s="11">
        <v>43861.439421296294</v>
      </c>
      <c r="R169" s="3" t="s">
        <v>4207</v>
      </c>
      <c r="S169" s="11">
        <v>43858.550150462965</v>
      </c>
      <c r="T169" s="7">
        <v>216</v>
      </c>
      <c r="U169" s="13">
        <f>COUNTIF('TAX Parcel Status Report'!$A$6:$A$290,SP_TaxPar_DB[[#This Row],[Tax Parcel ID]])</f>
        <v>1</v>
      </c>
    </row>
    <row r="170" spans="1:21" ht="18" customHeight="1" x14ac:dyDescent="0.2">
      <c r="A170" s="47" t="s">
        <v>2383</v>
      </c>
      <c r="B170" s="15" t="s">
        <v>5285</v>
      </c>
      <c r="C170" s="15"/>
      <c r="D170" s="20" t="s">
        <v>2493</v>
      </c>
      <c r="E170" s="8" t="s">
        <v>2358</v>
      </c>
      <c r="F170" s="8" t="s">
        <v>2359</v>
      </c>
      <c r="G170" s="8" t="s">
        <v>2360</v>
      </c>
      <c r="H170" s="3" t="s">
        <v>26</v>
      </c>
      <c r="I170" s="8"/>
      <c r="J170" s="8" t="s">
        <v>2384</v>
      </c>
      <c r="K170" s="12" t="s">
        <v>2385</v>
      </c>
      <c r="L170" s="13"/>
      <c r="M170" s="8"/>
      <c r="N170" s="8"/>
      <c r="O170" s="8"/>
      <c r="P170" s="3" t="s">
        <v>4206</v>
      </c>
      <c r="Q170" s="11">
        <v>43964.578148148146</v>
      </c>
      <c r="R170" s="3" t="s">
        <v>4207</v>
      </c>
      <c r="S170" s="11">
        <v>43858.550150462965</v>
      </c>
      <c r="T170" s="7">
        <v>217</v>
      </c>
      <c r="U170" s="13">
        <f>COUNTIF('TAX Parcel Status Report'!$A$6:$A$290,SP_TaxPar_DB[[#This Row],[Tax Parcel ID]])</f>
        <v>1</v>
      </c>
    </row>
    <row r="171" spans="1:21" ht="18" customHeight="1" x14ac:dyDescent="0.2">
      <c r="A171" s="6" t="s">
        <v>2386</v>
      </c>
      <c r="B171" s="15" t="s">
        <v>5287</v>
      </c>
      <c r="C171" s="15"/>
      <c r="D171" s="20" t="s">
        <v>2493</v>
      </c>
      <c r="E171" s="8" t="s">
        <v>2387</v>
      </c>
      <c r="F171" s="8" t="s">
        <v>2388</v>
      </c>
      <c r="G171" s="8" t="s">
        <v>1838</v>
      </c>
      <c r="H171" s="3" t="s">
        <v>26</v>
      </c>
      <c r="I171" s="8" t="s">
        <v>2389</v>
      </c>
      <c r="J171" s="8" t="s">
        <v>2366</v>
      </c>
      <c r="K171" s="12" t="s">
        <v>2390</v>
      </c>
      <c r="L171" s="13"/>
      <c r="M171" s="8"/>
      <c r="N171" s="8"/>
      <c r="O171" s="8"/>
      <c r="P171" s="3" t="s">
        <v>4206</v>
      </c>
      <c r="Q171" s="11">
        <v>43964.578379629631</v>
      </c>
      <c r="R171" s="3" t="s">
        <v>4207</v>
      </c>
      <c r="S171" s="11">
        <v>43858.550150462965</v>
      </c>
      <c r="T171" s="7">
        <v>218</v>
      </c>
      <c r="U171" s="13">
        <f>COUNTIF('TAX Parcel Status Report'!$A$6:$A$290,SP_TaxPar_DB[[#This Row],[Tax Parcel ID]])</f>
        <v>1</v>
      </c>
    </row>
    <row r="172" spans="1:21" ht="18" customHeight="1" x14ac:dyDescent="0.2">
      <c r="A172" s="47" t="s">
        <v>2391</v>
      </c>
      <c r="B172" s="15" t="s">
        <v>5289</v>
      </c>
      <c r="C172" s="15"/>
      <c r="D172" s="20" t="s">
        <v>2493</v>
      </c>
      <c r="E172" s="8" t="s">
        <v>2392</v>
      </c>
      <c r="F172" s="8" t="s">
        <v>2393</v>
      </c>
      <c r="G172" s="8" t="s">
        <v>2394</v>
      </c>
      <c r="H172" s="3" t="s">
        <v>281</v>
      </c>
      <c r="I172" s="8" t="s">
        <v>2395</v>
      </c>
      <c r="J172" s="8" t="s">
        <v>2366</v>
      </c>
      <c r="K172" s="12" t="s">
        <v>2396</v>
      </c>
      <c r="L172" s="13"/>
      <c r="M172" s="8"/>
      <c r="N172" s="8"/>
      <c r="O172" s="8"/>
      <c r="P172" s="3" t="s">
        <v>4206</v>
      </c>
      <c r="Q172" s="11">
        <v>43964.578634259262</v>
      </c>
      <c r="R172" s="3" t="s">
        <v>4207</v>
      </c>
      <c r="S172" s="11">
        <v>43858.550150462965</v>
      </c>
      <c r="T172" s="7">
        <v>219</v>
      </c>
      <c r="U172" s="13">
        <f>COUNTIF('TAX Parcel Status Report'!$A$6:$A$290,SP_TaxPar_DB[[#This Row],[Tax Parcel ID]])</f>
        <v>1</v>
      </c>
    </row>
    <row r="173" spans="1:21" ht="18" customHeight="1" x14ac:dyDescent="0.2">
      <c r="A173" s="47" t="s">
        <v>404</v>
      </c>
      <c r="B173" s="15" t="s">
        <v>60</v>
      </c>
      <c r="C173" s="15"/>
      <c r="D173" s="20" t="s">
        <v>1811</v>
      </c>
      <c r="E173" s="8" t="s">
        <v>302</v>
      </c>
      <c r="F173" s="8" t="s">
        <v>303</v>
      </c>
      <c r="G173" s="8" t="s">
        <v>64</v>
      </c>
      <c r="H173" s="3" t="s">
        <v>26</v>
      </c>
      <c r="I173" s="8" t="s">
        <v>65</v>
      </c>
      <c r="J173" s="8" t="s">
        <v>200</v>
      </c>
      <c r="K173" s="12" t="s">
        <v>405</v>
      </c>
      <c r="L173" s="13">
        <v>1.2803</v>
      </c>
      <c r="M173" s="8" t="s">
        <v>305</v>
      </c>
      <c r="N173" s="8" t="s">
        <v>406</v>
      </c>
      <c r="O173" s="8" t="s">
        <v>407</v>
      </c>
      <c r="P173" s="3" t="s">
        <v>4207</v>
      </c>
      <c r="Q173" s="11">
        <v>43851.576643518521</v>
      </c>
      <c r="R173" s="3" t="s">
        <v>23</v>
      </c>
      <c r="S173" s="11">
        <v>43682.658506944441</v>
      </c>
      <c r="T173" s="7">
        <v>59</v>
      </c>
      <c r="U173" s="13">
        <f>COUNTIF('TAX Parcel Status Report'!$A$6:$A$290,SP_TaxPar_DB[[#This Row],[Tax Parcel ID]])</f>
        <v>1</v>
      </c>
    </row>
    <row r="174" spans="1:21" ht="18" customHeight="1" x14ac:dyDescent="0.2">
      <c r="A174" s="47" t="s">
        <v>207</v>
      </c>
      <c r="B174" s="15" t="s">
        <v>59</v>
      </c>
      <c r="C174" s="15"/>
      <c r="D174" s="20" t="s">
        <v>1811</v>
      </c>
      <c r="E174" s="8" t="s">
        <v>208</v>
      </c>
      <c r="F174" s="8" t="s">
        <v>205</v>
      </c>
      <c r="G174" s="8" t="s">
        <v>77</v>
      </c>
      <c r="H174" s="3" t="s">
        <v>26</v>
      </c>
      <c r="I174" s="8" t="s">
        <v>78</v>
      </c>
      <c r="J174" s="8" t="s">
        <v>209</v>
      </c>
      <c r="K174" s="12" t="s">
        <v>408</v>
      </c>
      <c r="L174" s="13">
        <v>0.26879999999999998</v>
      </c>
      <c r="M174" s="8" t="s">
        <v>251</v>
      </c>
      <c r="N174" s="8" t="s">
        <v>409</v>
      </c>
      <c r="O174" s="8" t="s">
        <v>410</v>
      </c>
      <c r="P174" s="3" t="s">
        <v>4207</v>
      </c>
      <c r="Q174" s="11">
        <v>43851.576631944445</v>
      </c>
      <c r="R174" s="3" t="s">
        <v>23</v>
      </c>
      <c r="S174" s="11">
        <v>43682.658506944441</v>
      </c>
      <c r="T174" s="7">
        <v>58</v>
      </c>
      <c r="U174" s="13">
        <f>COUNTIF('TAX Parcel Status Report'!$A$6:$A$290,SP_TaxPar_DB[[#This Row],[Tax Parcel ID]])</f>
        <v>1</v>
      </c>
    </row>
    <row r="175" spans="1:21" ht="18" customHeight="1" x14ac:dyDescent="0.2">
      <c r="A175" s="47" t="s">
        <v>411</v>
      </c>
      <c r="B175" s="15" t="s">
        <v>60</v>
      </c>
      <c r="C175" s="15"/>
      <c r="D175" s="20" t="s">
        <v>1811</v>
      </c>
      <c r="E175" s="8" t="s">
        <v>302</v>
      </c>
      <c r="F175" s="8" t="s">
        <v>303</v>
      </c>
      <c r="G175" s="8" t="s">
        <v>64</v>
      </c>
      <c r="H175" s="3" t="s">
        <v>26</v>
      </c>
      <c r="I175" s="8" t="s">
        <v>65</v>
      </c>
      <c r="J175" s="8" t="s">
        <v>1723</v>
      </c>
      <c r="K175" s="12" t="s">
        <v>412</v>
      </c>
      <c r="L175" s="13">
        <v>1.0529999999999999</v>
      </c>
      <c r="M175" s="8" t="s">
        <v>305</v>
      </c>
      <c r="N175" s="8" t="s">
        <v>306</v>
      </c>
      <c r="O175" s="8" t="s">
        <v>407</v>
      </c>
      <c r="P175" s="3" t="s">
        <v>4207</v>
      </c>
      <c r="Q175" s="11">
        <v>43851.576655092591</v>
      </c>
      <c r="R175" s="3" t="s">
        <v>23</v>
      </c>
      <c r="S175" s="11">
        <v>43682.658506944441</v>
      </c>
      <c r="T175" s="7">
        <v>60</v>
      </c>
      <c r="U175" s="13">
        <f>COUNTIF('TAX Parcel Status Report'!$A$6:$A$290,SP_TaxPar_DB[[#This Row],[Tax Parcel ID]])</f>
        <v>1</v>
      </c>
    </row>
    <row r="176" spans="1:21" ht="18" customHeight="1" x14ac:dyDescent="0.2">
      <c r="A176" s="47" t="s">
        <v>215</v>
      </c>
      <c r="B176" s="15" t="s">
        <v>61</v>
      </c>
      <c r="C176" s="15"/>
      <c r="D176" s="20" t="s">
        <v>1811</v>
      </c>
      <c r="E176" s="8" t="s">
        <v>213</v>
      </c>
      <c r="F176" s="8" t="s">
        <v>214</v>
      </c>
      <c r="G176" s="8" t="s">
        <v>77</v>
      </c>
      <c r="H176" s="3" t="s">
        <v>26</v>
      </c>
      <c r="I176" s="8" t="s">
        <v>78</v>
      </c>
      <c r="J176" s="8" t="s">
        <v>216</v>
      </c>
      <c r="K176" s="12" t="s">
        <v>413</v>
      </c>
      <c r="L176" s="13">
        <v>1.1385000000000001</v>
      </c>
      <c r="M176" s="8" t="s">
        <v>251</v>
      </c>
      <c r="N176" s="8" t="s">
        <v>414</v>
      </c>
      <c r="O176" s="8"/>
      <c r="P176" s="3" t="s">
        <v>4207</v>
      </c>
      <c r="Q176" s="11">
        <v>43851.576736111114</v>
      </c>
      <c r="R176" s="3" t="s">
        <v>23</v>
      </c>
      <c r="S176" s="11">
        <v>43682.658506944441</v>
      </c>
      <c r="T176" s="7">
        <v>62</v>
      </c>
      <c r="U176" s="13">
        <f>COUNTIF('TAX Parcel Status Report'!$A$6:$A$290,SP_TaxPar_DB[[#This Row],[Tax Parcel ID]])</f>
        <v>1</v>
      </c>
    </row>
    <row r="177" spans="1:21" ht="18" customHeight="1" x14ac:dyDescent="0.2">
      <c r="A177" s="47" t="s">
        <v>233</v>
      </c>
      <c r="B177" s="15" t="s">
        <v>5883</v>
      </c>
      <c r="C177" s="15"/>
      <c r="D177" s="20" t="s">
        <v>1811</v>
      </c>
      <c r="E177" s="8" t="s">
        <v>415</v>
      </c>
      <c r="F177" s="8" t="s">
        <v>214</v>
      </c>
      <c r="G177" s="8" t="s">
        <v>77</v>
      </c>
      <c r="H177" s="3" t="s">
        <v>26</v>
      </c>
      <c r="I177" s="8" t="s">
        <v>78</v>
      </c>
      <c r="J177" s="8" t="s">
        <v>221</v>
      </c>
      <c r="K177" s="12" t="s">
        <v>416</v>
      </c>
      <c r="L177" s="13">
        <v>2.0879999999999999E-2</v>
      </c>
      <c r="M177" s="8" t="s">
        <v>417</v>
      </c>
      <c r="N177" s="8" t="s">
        <v>418</v>
      </c>
      <c r="O177" s="8" t="s">
        <v>419</v>
      </c>
      <c r="P177" s="3" t="s">
        <v>4207</v>
      </c>
      <c r="Q177" s="11">
        <v>43851.577349537038</v>
      </c>
      <c r="R177" s="3" t="s">
        <v>4325</v>
      </c>
      <c r="S177" s="11">
        <v>43698.644293981481</v>
      </c>
      <c r="T177" s="7">
        <v>84</v>
      </c>
      <c r="U177" s="13">
        <f>COUNTIF('TAX Parcel Status Report'!$A$6:$A$290,SP_TaxPar_DB[[#This Row],[Tax Parcel ID]])</f>
        <v>1</v>
      </c>
    </row>
    <row r="178" spans="1:21" ht="18" customHeight="1" x14ac:dyDescent="0.2">
      <c r="A178" s="47" t="s">
        <v>225</v>
      </c>
      <c r="B178" s="15" t="s">
        <v>63</v>
      </c>
      <c r="C178" s="15"/>
      <c r="D178" s="20" t="s">
        <v>1811</v>
      </c>
      <c r="E178" s="8" t="s">
        <v>114</v>
      </c>
      <c r="F178" s="8" t="s">
        <v>224</v>
      </c>
      <c r="G178" s="8" t="s">
        <v>77</v>
      </c>
      <c r="H178" s="3" t="s">
        <v>26</v>
      </c>
      <c r="I178" s="8"/>
      <c r="J178" s="8" t="s">
        <v>226</v>
      </c>
      <c r="K178" s="12" t="s">
        <v>420</v>
      </c>
      <c r="L178" s="13"/>
      <c r="M178" s="8"/>
      <c r="N178" s="8"/>
      <c r="O178" s="8"/>
      <c r="P178" s="3" t="s">
        <v>4207</v>
      </c>
      <c r="Q178" s="11">
        <v>43851.576770833337</v>
      </c>
      <c r="R178" s="3" t="s">
        <v>4207</v>
      </c>
      <c r="S178" s="11">
        <v>43686.634131944447</v>
      </c>
      <c r="T178" s="7">
        <v>64</v>
      </c>
      <c r="U178" s="13">
        <f>COUNTIF('TAX Parcel Status Report'!$A$6:$A$290,SP_TaxPar_DB[[#This Row],[Tax Parcel ID]])</f>
        <v>1</v>
      </c>
    </row>
    <row r="179" spans="1:21" ht="18" customHeight="1" x14ac:dyDescent="0.2">
      <c r="A179" s="195" t="s">
        <v>2397</v>
      </c>
      <c r="B179" s="193"/>
      <c r="C179" s="193" t="s">
        <v>3222</v>
      </c>
      <c r="D179" s="20" t="s">
        <v>1808</v>
      </c>
      <c r="E179" s="8" t="s">
        <v>2398</v>
      </c>
      <c r="F179" s="8" t="s">
        <v>2399</v>
      </c>
      <c r="G179" s="8" t="s">
        <v>1007</v>
      </c>
      <c r="H179" s="3" t="s">
        <v>26</v>
      </c>
      <c r="I179" s="8" t="s">
        <v>78</v>
      </c>
      <c r="J179" s="8" t="s">
        <v>2400</v>
      </c>
      <c r="K179" s="12" t="s">
        <v>2401</v>
      </c>
      <c r="L179" s="13"/>
      <c r="M179" s="8"/>
      <c r="N179" s="8"/>
      <c r="O179" s="8"/>
      <c r="P179" s="3" t="s">
        <v>4207</v>
      </c>
      <c r="Q179" s="11">
        <v>43861.439120370371</v>
      </c>
      <c r="R179" s="3" t="s">
        <v>4207</v>
      </c>
      <c r="S179" s="11">
        <v>43858.550150462965</v>
      </c>
      <c r="T179" s="7">
        <v>220</v>
      </c>
      <c r="U179" s="13">
        <f>COUNTIF('TAX Parcel Status Report'!$A$6:$A$290,SP_TaxPar_DB[[#This Row],[Tax Parcel ID]])</f>
        <v>1</v>
      </c>
    </row>
    <row r="180" spans="1:21" ht="18" customHeight="1" x14ac:dyDescent="0.2">
      <c r="A180" s="6" t="s">
        <v>2402</v>
      </c>
      <c r="B180" s="15"/>
      <c r="C180" s="15" t="s">
        <v>3227</v>
      </c>
      <c r="D180" s="20" t="s">
        <v>1808</v>
      </c>
      <c r="E180" s="8" t="s">
        <v>2403</v>
      </c>
      <c r="F180" s="8" t="s">
        <v>2404</v>
      </c>
      <c r="G180" s="8" t="s">
        <v>1007</v>
      </c>
      <c r="H180" s="3" t="s">
        <v>26</v>
      </c>
      <c r="I180" s="8" t="s">
        <v>78</v>
      </c>
      <c r="J180" s="8" t="s">
        <v>2405</v>
      </c>
      <c r="K180" s="12" t="s">
        <v>2406</v>
      </c>
      <c r="L180" s="13"/>
      <c r="M180" s="8"/>
      <c r="N180" s="8"/>
      <c r="O180" s="8"/>
      <c r="P180" s="3" t="s">
        <v>4207</v>
      </c>
      <c r="Q180" s="11">
        <v>43861.439085648148</v>
      </c>
      <c r="R180" s="3" t="s">
        <v>4207</v>
      </c>
      <c r="S180" s="11">
        <v>43858.550150462965</v>
      </c>
      <c r="T180" s="7">
        <v>221</v>
      </c>
      <c r="U180" s="13">
        <f>COUNTIF('TAX Parcel Status Report'!$A$6:$A$290,SP_TaxPar_DB[[#This Row],[Tax Parcel ID]])</f>
        <v>1</v>
      </c>
    </row>
    <row r="181" spans="1:21" ht="18" customHeight="1" x14ac:dyDescent="0.2">
      <c r="A181" s="6" t="s">
        <v>2407</v>
      </c>
      <c r="B181" s="15"/>
      <c r="C181" s="15" t="s">
        <v>3232</v>
      </c>
      <c r="D181" s="20" t="s">
        <v>1808</v>
      </c>
      <c r="E181" s="8" t="s">
        <v>2408</v>
      </c>
      <c r="F181" s="8" t="s">
        <v>2409</v>
      </c>
      <c r="G181" s="8" t="s">
        <v>2410</v>
      </c>
      <c r="H181" s="3" t="s">
        <v>2411</v>
      </c>
      <c r="I181" s="8" t="s">
        <v>2412</v>
      </c>
      <c r="J181" s="8" t="s">
        <v>2366</v>
      </c>
      <c r="K181" s="12" t="s">
        <v>2413</v>
      </c>
      <c r="L181" s="13"/>
      <c r="M181" s="8"/>
      <c r="N181" s="8"/>
      <c r="O181" s="8"/>
      <c r="P181" s="3" t="s">
        <v>4207</v>
      </c>
      <c r="Q181" s="11">
        <v>43861.439027777778</v>
      </c>
      <c r="R181" s="3" t="s">
        <v>4207</v>
      </c>
      <c r="S181" s="11">
        <v>43858.550150462965</v>
      </c>
      <c r="T181" s="7">
        <v>222</v>
      </c>
      <c r="U181" s="13">
        <f>COUNTIF('TAX Parcel Status Report'!$A$6:$A$290,SP_TaxPar_DB[[#This Row],[Tax Parcel ID]])</f>
        <v>1</v>
      </c>
    </row>
    <row r="182" spans="1:21" ht="18" customHeight="1" x14ac:dyDescent="0.2">
      <c r="A182" s="47" t="s">
        <v>2414</v>
      </c>
      <c r="B182" s="15"/>
      <c r="C182" s="15" t="s">
        <v>3237</v>
      </c>
      <c r="D182" s="20" t="s">
        <v>1808</v>
      </c>
      <c r="E182" s="8" t="s">
        <v>2415</v>
      </c>
      <c r="F182" s="8" t="s">
        <v>2416</v>
      </c>
      <c r="G182" s="8"/>
      <c r="H182" s="3"/>
      <c r="I182" s="8"/>
      <c r="J182" s="8" t="s">
        <v>2366</v>
      </c>
      <c r="K182" s="12" t="s">
        <v>2417</v>
      </c>
      <c r="L182" s="13"/>
      <c r="M182" s="8"/>
      <c r="N182" s="8"/>
      <c r="O182" s="8"/>
      <c r="P182" s="3" t="s">
        <v>4207</v>
      </c>
      <c r="Q182" s="11">
        <v>43861.438981481479</v>
      </c>
      <c r="R182" s="3" t="s">
        <v>4207</v>
      </c>
      <c r="S182" s="11">
        <v>43858.550150462965</v>
      </c>
      <c r="T182" s="7">
        <v>223</v>
      </c>
      <c r="U182" s="13">
        <f>COUNTIF('TAX Parcel Status Report'!$A$6:$A$290,SP_TaxPar_DB[[#This Row],[Tax Parcel ID]])</f>
        <v>1</v>
      </c>
    </row>
    <row r="183" spans="1:21" ht="18" customHeight="1" x14ac:dyDescent="0.2">
      <c r="A183" s="6" t="s">
        <v>2418</v>
      </c>
      <c r="B183" s="15" t="s">
        <v>5291</v>
      </c>
      <c r="C183" s="15"/>
      <c r="D183" s="20" t="s">
        <v>2493</v>
      </c>
      <c r="E183" s="8" t="s">
        <v>2419</v>
      </c>
      <c r="F183" s="8" t="s">
        <v>2420</v>
      </c>
      <c r="G183" s="8" t="s">
        <v>1007</v>
      </c>
      <c r="H183" s="3" t="s">
        <v>26</v>
      </c>
      <c r="I183" s="8" t="s">
        <v>78</v>
      </c>
      <c r="J183" s="8" t="s">
        <v>2421</v>
      </c>
      <c r="K183" s="12" t="s">
        <v>2422</v>
      </c>
      <c r="L183" s="13"/>
      <c r="M183" s="8"/>
      <c r="N183" s="8"/>
      <c r="O183" s="8"/>
      <c r="P183" s="3" t="s">
        <v>4206</v>
      </c>
      <c r="Q183" s="11">
        <v>43964.579270833332</v>
      </c>
      <c r="R183" s="3" t="s">
        <v>4207</v>
      </c>
      <c r="S183" s="11">
        <v>43858.550150462965</v>
      </c>
      <c r="T183" s="7">
        <v>224</v>
      </c>
      <c r="U183" s="13">
        <f>COUNTIF('TAX Parcel Status Report'!$A$6:$A$290,SP_TaxPar_DB[[#This Row],[Tax Parcel ID]])</f>
        <v>1</v>
      </c>
    </row>
    <row r="184" spans="1:21" ht="18" customHeight="1" x14ac:dyDescent="0.2">
      <c r="A184" s="195" t="s">
        <v>2423</v>
      </c>
      <c r="B184" s="193" t="s">
        <v>5293</v>
      </c>
      <c r="C184" s="193"/>
      <c r="D184" s="20" t="s">
        <v>2493</v>
      </c>
      <c r="E184" s="8" t="s">
        <v>2424</v>
      </c>
      <c r="F184" s="8" t="s">
        <v>2425</v>
      </c>
      <c r="G184" s="8" t="s">
        <v>1832</v>
      </c>
      <c r="H184" s="3" t="s">
        <v>26</v>
      </c>
      <c r="I184" s="8" t="s">
        <v>2426</v>
      </c>
      <c r="J184" s="8" t="s">
        <v>2427</v>
      </c>
      <c r="K184" s="12" t="s">
        <v>2428</v>
      </c>
      <c r="L184" s="13"/>
      <c r="M184" s="8"/>
      <c r="N184" s="8"/>
      <c r="O184" s="8"/>
      <c r="P184" s="3" t="s">
        <v>4206</v>
      </c>
      <c r="Q184" s="11">
        <v>43977.48033564815</v>
      </c>
      <c r="R184" s="3" t="s">
        <v>4207</v>
      </c>
      <c r="S184" s="11">
        <v>43858.550150462965</v>
      </c>
      <c r="T184" s="7">
        <v>225</v>
      </c>
      <c r="U184" s="13">
        <f>COUNTIF('TAX Parcel Status Report'!$A$6:$A$290,SP_TaxPar_DB[[#This Row],[Tax Parcel ID]])</f>
        <v>1</v>
      </c>
    </row>
    <row r="185" spans="1:21" ht="18" customHeight="1" x14ac:dyDescent="0.2">
      <c r="A185" s="47" t="s">
        <v>2429</v>
      </c>
      <c r="B185" s="15" t="s">
        <v>5295</v>
      </c>
      <c r="C185" s="15"/>
      <c r="D185" s="20" t="s">
        <v>2493</v>
      </c>
      <c r="E185" s="8" t="s">
        <v>2430</v>
      </c>
      <c r="F185" s="8" t="s">
        <v>2431</v>
      </c>
      <c r="G185" s="8" t="s">
        <v>1007</v>
      </c>
      <c r="H185" s="3" t="s">
        <v>26</v>
      </c>
      <c r="I185" s="8" t="s">
        <v>78</v>
      </c>
      <c r="J185" s="8" t="s">
        <v>2432</v>
      </c>
      <c r="K185" s="12" t="s">
        <v>2433</v>
      </c>
      <c r="L185" s="13"/>
      <c r="M185" s="8"/>
      <c r="N185" s="8"/>
      <c r="O185" s="8"/>
      <c r="P185" s="3" t="s">
        <v>4206</v>
      </c>
      <c r="Q185" s="11">
        <v>43964.579270833332</v>
      </c>
      <c r="R185" s="3" t="s">
        <v>4207</v>
      </c>
      <c r="S185" s="11">
        <v>43858.550150462965</v>
      </c>
      <c r="T185" s="7">
        <v>226</v>
      </c>
      <c r="U185" s="13">
        <f>COUNTIF('TAX Parcel Status Report'!$A$6:$A$290,SP_TaxPar_DB[[#This Row],[Tax Parcel ID]])</f>
        <v>1</v>
      </c>
    </row>
    <row r="186" spans="1:21" ht="18" customHeight="1" x14ac:dyDescent="0.2">
      <c r="A186" s="47" t="s">
        <v>2434</v>
      </c>
      <c r="B186" s="15" t="s">
        <v>5297</v>
      </c>
      <c r="C186" s="15"/>
      <c r="D186" s="20" t="s">
        <v>2493</v>
      </c>
      <c r="E186" s="8" t="s">
        <v>2435</v>
      </c>
      <c r="F186" s="8" t="s">
        <v>2436</v>
      </c>
      <c r="G186" s="8" t="s">
        <v>1007</v>
      </c>
      <c r="H186" s="3" t="s">
        <v>26</v>
      </c>
      <c r="I186" s="8" t="s">
        <v>2437</v>
      </c>
      <c r="J186" s="8" t="s">
        <v>2436</v>
      </c>
      <c r="K186" s="12" t="s">
        <v>2438</v>
      </c>
      <c r="L186" s="13"/>
      <c r="M186" s="8"/>
      <c r="N186" s="8"/>
      <c r="O186" s="8"/>
      <c r="P186" s="3" t="s">
        <v>4206</v>
      </c>
      <c r="Q186" s="11">
        <v>43977.48060185185</v>
      </c>
      <c r="R186" s="3" t="s">
        <v>4207</v>
      </c>
      <c r="S186" s="11">
        <v>43858.550150462965</v>
      </c>
      <c r="T186" s="7">
        <v>227</v>
      </c>
      <c r="U186" s="13">
        <f>COUNTIF('TAX Parcel Status Report'!$A$6:$A$290,SP_TaxPar_DB[[#This Row],[Tax Parcel ID]])</f>
        <v>1</v>
      </c>
    </row>
    <row r="187" spans="1:21" ht="18" customHeight="1" x14ac:dyDescent="0.2">
      <c r="A187" s="47" t="s">
        <v>2439</v>
      </c>
      <c r="B187" s="15" t="s">
        <v>5299</v>
      </c>
      <c r="C187" s="15"/>
      <c r="D187" s="20" t="s">
        <v>2493</v>
      </c>
      <c r="E187" s="8" t="s">
        <v>2430</v>
      </c>
      <c r="F187" s="8" t="s">
        <v>2431</v>
      </c>
      <c r="G187" s="8" t="s">
        <v>1007</v>
      </c>
      <c r="H187" s="3" t="s">
        <v>26</v>
      </c>
      <c r="I187" s="8" t="s">
        <v>78</v>
      </c>
      <c r="J187" s="8" t="s">
        <v>2431</v>
      </c>
      <c r="K187" s="12" t="s">
        <v>2440</v>
      </c>
      <c r="L187" s="13"/>
      <c r="M187" s="8"/>
      <c r="N187" s="8"/>
      <c r="O187" s="8"/>
      <c r="P187" s="3" t="s">
        <v>4206</v>
      </c>
      <c r="Q187" s="11">
        <v>43964.579270833332</v>
      </c>
      <c r="R187" s="3" t="s">
        <v>4207</v>
      </c>
      <c r="S187" s="11">
        <v>43858.550150462965</v>
      </c>
      <c r="T187" s="7">
        <v>228</v>
      </c>
      <c r="U187" s="13">
        <f>COUNTIF('TAX Parcel Status Report'!$A$6:$A$290,SP_TaxPar_DB[[#This Row],[Tax Parcel ID]])</f>
        <v>1</v>
      </c>
    </row>
    <row r="188" spans="1:21" ht="18" customHeight="1" x14ac:dyDescent="0.2">
      <c r="A188" s="47" t="s">
        <v>2441</v>
      </c>
      <c r="B188" s="15" t="s">
        <v>5301</v>
      </c>
      <c r="C188" s="15"/>
      <c r="D188" s="20" t="s">
        <v>2493</v>
      </c>
      <c r="E188" s="8" t="s">
        <v>2442</v>
      </c>
      <c r="F188" s="8" t="s">
        <v>2443</v>
      </c>
      <c r="G188" s="8" t="s">
        <v>1007</v>
      </c>
      <c r="H188" s="3" t="s">
        <v>26</v>
      </c>
      <c r="I188" s="8" t="s">
        <v>78</v>
      </c>
      <c r="J188" s="8" t="s">
        <v>2444</v>
      </c>
      <c r="K188" s="12" t="s">
        <v>2445</v>
      </c>
      <c r="L188" s="13"/>
      <c r="M188" s="8"/>
      <c r="N188" s="8"/>
      <c r="O188" s="8"/>
      <c r="P188" s="3" t="s">
        <v>4206</v>
      </c>
      <c r="Q188" s="11">
        <v>43964.579270833332</v>
      </c>
      <c r="R188" s="3" t="s">
        <v>4207</v>
      </c>
      <c r="S188" s="11">
        <v>43858.550150462965</v>
      </c>
      <c r="T188" s="7">
        <v>229</v>
      </c>
      <c r="U188" s="13">
        <f>COUNTIF('TAX Parcel Status Report'!$A$6:$A$290,SP_TaxPar_DB[[#This Row],[Tax Parcel ID]])</f>
        <v>1</v>
      </c>
    </row>
    <row r="189" spans="1:21" ht="18" customHeight="1" x14ac:dyDescent="0.2">
      <c r="A189" s="47" t="s">
        <v>2446</v>
      </c>
      <c r="B189" s="15" t="s">
        <v>5303</v>
      </c>
      <c r="C189" s="15"/>
      <c r="D189" s="20" t="s">
        <v>2493</v>
      </c>
      <c r="E189" s="8" t="s">
        <v>2447</v>
      </c>
      <c r="F189" s="8" t="s">
        <v>2448</v>
      </c>
      <c r="G189" s="8" t="s">
        <v>2449</v>
      </c>
      <c r="H189" s="3" t="s">
        <v>26</v>
      </c>
      <c r="I189" s="8" t="s">
        <v>2450</v>
      </c>
      <c r="J189" s="8" t="s">
        <v>2451</v>
      </c>
      <c r="K189" s="12" t="s">
        <v>2452</v>
      </c>
      <c r="L189" s="13"/>
      <c r="M189" s="8"/>
      <c r="N189" s="8"/>
      <c r="O189" s="8"/>
      <c r="P189" s="3" t="s">
        <v>4206</v>
      </c>
      <c r="Q189" s="11">
        <v>43964.579270833332</v>
      </c>
      <c r="R189" s="3" t="s">
        <v>4207</v>
      </c>
      <c r="S189" s="11">
        <v>43858.550150462965</v>
      </c>
      <c r="T189" s="7">
        <v>230</v>
      </c>
      <c r="U189" s="13">
        <f>COUNTIF('TAX Parcel Status Report'!$A$6:$A$290,SP_TaxPar_DB[[#This Row],[Tax Parcel ID]])</f>
        <v>1</v>
      </c>
    </row>
    <row r="190" spans="1:21" ht="18" customHeight="1" x14ac:dyDescent="0.2">
      <c r="A190" s="6" t="s">
        <v>2453</v>
      </c>
      <c r="B190" s="15" t="s">
        <v>5305</v>
      </c>
      <c r="C190" s="15"/>
      <c r="D190" s="20" t="s">
        <v>2493</v>
      </c>
      <c r="E190" s="8" t="s">
        <v>2454</v>
      </c>
      <c r="F190" s="8" t="s">
        <v>2455</v>
      </c>
      <c r="G190" s="8" t="s">
        <v>1007</v>
      </c>
      <c r="H190" s="3" t="s">
        <v>26</v>
      </c>
      <c r="I190" s="8" t="s">
        <v>78</v>
      </c>
      <c r="J190" s="8" t="s">
        <v>2456</v>
      </c>
      <c r="K190" s="12" t="s">
        <v>2457</v>
      </c>
      <c r="L190" s="13"/>
      <c r="M190" s="8"/>
      <c r="N190" s="8"/>
      <c r="O190" s="8"/>
      <c r="P190" s="3" t="s">
        <v>4206</v>
      </c>
      <c r="Q190" s="11">
        <v>43977.480868055558</v>
      </c>
      <c r="R190" s="3" t="s">
        <v>4207</v>
      </c>
      <c r="S190" s="11">
        <v>43858.550150462965</v>
      </c>
      <c r="T190" s="7">
        <v>231</v>
      </c>
      <c r="U190" s="13">
        <f>COUNTIF('TAX Parcel Status Report'!$A$6:$A$290,SP_TaxPar_DB[[#This Row],[Tax Parcel ID]])</f>
        <v>1</v>
      </c>
    </row>
    <row r="191" spans="1:21" ht="18" customHeight="1" x14ac:dyDescent="0.2">
      <c r="A191" s="47" t="s">
        <v>2458</v>
      </c>
      <c r="B191" s="15" t="s">
        <v>5307</v>
      </c>
      <c r="C191" s="15"/>
      <c r="D191" s="20" t="s">
        <v>2493</v>
      </c>
      <c r="E191" s="8" t="s">
        <v>2459</v>
      </c>
      <c r="F191" s="8" t="s">
        <v>2460</v>
      </c>
      <c r="G191" s="8" t="s">
        <v>1007</v>
      </c>
      <c r="H191" s="3" t="s">
        <v>26</v>
      </c>
      <c r="I191" s="8" t="s">
        <v>78</v>
      </c>
      <c r="J191" s="8" t="s">
        <v>2461</v>
      </c>
      <c r="K191" s="12" t="s">
        <v>2462</v>
      </c>
      <c r="L191" s="13"/>
      <c r="M191" s="8"/>
      <c r="N191" s="8"/>
      <c r="O191" s="8"/>
      <c r="P191" s="3" t="s">
        <v>4206</v>
      </c>
      <c r="Q191" s="11">
        <v>43977.481134259258</v>
      </c>
      <c r="R191" s="3" t="s">
        <v>4207</v>
      </c>
      <c r="S191" s="11">
        <v>43858.550150462965</v>
      </c>
      <c r="T191" s="7">
        <v>232</v>
      </c>
      <c r="U191" s="13">
        <f>COUNTIF('TAX Parcel Status Report'!$A$6:$A$290,SP_TaxPar_DB[[#This Row],[Tax Parcel ID]])</f>
        <v>1</v>
      </c>
    </row>
    <row r="192" spans="1:21" ht="18" customHeight="1" x14ac:dyDescent="0.2">
      <c r="A192" s="195" t="s">
        <v>2463</v>
      </c>
      <c r="B192" s="193" t="s">
        <v>5309</v>
      </c>
      <c r="C192" s="193"/>
      <c r="D192" s="20" t="s">
        <v>2493</v>
      </c>
      <c r="E192" s="8" t="s">
        <v>2464</v>
      </c>
      <c r="F192" s="8" t="s">
        <v>2465</v>
      </c>
      <c r="G192" s="8" t="s">
        <v>2466</v>
      </c>
      <c r="H192" s="3" t="s">
        <v>26</v>
      </c>
      <c r="I192" s="8" t="s">
        <v>2467</v>
      </c>
      <c r="J192" s="8" t="s">
        <v>2468</v>
      </c>
      <c r="K192" s="12" t="s">
        <v>2469</v>
      </c>
      <c r="L192" s="13"/>
      <c r="M192" s="8"/>
      <c r="N192" s="8"/>
      <c r="O192" s="8"/>
      <c r="P192" s="3" t="s">
        <v>4206</v>
      </c>
      <c r="Q192" s="11">
        <v>43983.542881944442</v>
      </c>
      <c r="R192" s="3" t="s">
        <v>4207</v>
      </c>
      <c r="S192" s="11">
        <v>43858.550150462965</v>
      </c>
      <c r="T192" s="7">
        <v>233</v>
      </c>
      <c r="U192" s="13">
        <f>COUNTIF('TAX Parcel Status Report'!$A$6:$A$290,SP_TaxPar_DB[[#This Row],[Tax Parcel ID]])</f>
        <v>1</v>
      </c>
    </row>
    <row r="193" spans="1:21" ht="18" customHeight="1" x14ac:dyDescent="0.2">
      <c r="A193" s="47" t="s">
        <v>2470</v>
      </c>
      <c r="B193" s="15" t="s">
        <v>5311</v>
      </c>
      <c r="C193" s="15"/>
      <c r="D193" s="20" t="s">
        <v>2493</v>
      </c>
      <c r="E193" s="8" t="s">
        <v>2471</v>
      </c>
      <c r="F193" s="8" t="s">
        <v>2460</v>
      </c>
      <c r="G193" s="8" t="s">
        <v>1007</v>
      </c>
      <c r="H193" s="3" t="s">
        <v>26</v>
      </c>
      <c r="I193" s="8" t="s">
        <v>78</v>
      </c>
      <c r="J193" s="8" t="s">
        <v>2472</v>
      </c>
      <c r="K193" s="12" t="s">
        <v>2473</v>
      </c>
      <c r="L193" s="13"/>
      <c r="M193" s="8"/>
      <c r="N193" s="8"/>
      <c r="O193" s="8"/>
      <c r="P193" s="3" t="s">
        <v>4206</v>
      </c>
      <c r="Q193" s="11">
        <v>43977.481400462966</v>
      </c>
      <c r="R193" s="3" t="s">
        <v>4207</v>
      </c>
      <c r="S193" s="11">
        <v>43858.550150462965</v>
      </c>
      <c r="T193" s="7">
        <v>234</v>
      </c>
      <c r="U193" s="13">
        <f>COUNTIF('TAX Parcel Status Report'!$A$6:$A$290,SP_TaxPar_DB[[#This Row],[Tax Parcel ID]])</f>
        <v>1</v>
      </c>
    </row>
    <row r="194" spans="1:21" ht="18" customHeight="1" x14ac:dyDescent="0.2">
      <c r="A194" s="195" t="s">
        <v>2474</v>
      </c>
      <c r="B194" s="193" t="s">
        <v>5313</v>
      </c>
      <c r="C194" s="193"/>
      <c r="D194" s="20" t="s">
        <v>2493</v>
      </c>
      <c r="E194" s="8" t="s">
        <v>2475</v>
      </c>
      <c r="F194" s="8" t="s">
        <v>2476</v>
      </c>
      <c r="G194" s="8" t="s">
        <v>1007</v>
      </c>
      <c r="H194" s="3" t="s">
        <v>26</v>
      </c>
      <c r="I194" s="8" t="s">
        <v>78</v>
      </c>
      <c r="J194" s="8" t="s">
        <v>2477</v>
      </c>
      <c r="K194" s="12" t="s">
        <v>2478</v>
      </c>
      <c r="L194" s="13"/>
      <c r="M194" s="8"/>
      <c r="N194" s="8"/>
      <c r="O194" s="8"/>
      <c r="P194" s="3" t="s">
        <v>4206</v>
      </c>
      <c r="Q194" s="11">
        <v>43964.579270833332</v>
      </c>
      <c r="R194" s="3" t="s">
        <v>4207</v>
      </c>
      <c r="S194" s="11">
        <v>43858.550150462965</v>
      </c>
      <c r="T194" s="7">
        <v>235</v>
      </c>
      <c r="U194" s="13">
        <f>COUNTIF('TAX Parcel Status Report'!$A$6:$A$290,SP_TaxPar_DB[[#This Row],[Tax Parcel ID]])</f>
        <v>1</v>
      </c>
    </row>
    <row r="195" spans="1:21" ht="18" customHeight="1" x14ac:dyDescent="0.2">
      <c r="A195" s="47" t="s">
        <v>2479</v>
      </c>
      <c r="B195" s="15" t="s">
        <v>5315</v>
      </c>
      <c r="C195" s="15"/>
      <c r="D195" s="20" t="s">
        <v>2493</v>
      </c>
      <c r="E195" s="8" t="s">
        <v>2480</v>
      </c>
      <c r="F195" s="8" t="s">
        <v>2481</v>
      </c>
      <c r="G195" s="8" t="s">
        <v>2410</v>
      </c>
      <c r="H195" s="3" t="s">
        <v>2411</v>
      </c>
      <c r="I195" s="8" t="s">
        <v>2482</v>
      </c>
      <c r="J195" s="8" t="s">
        <v>2483</v>
      </c>
      <c r="K195" s="12" t="s">
        <v>2484</v>
      </c>
      <c r="L195" s="13"/>
      <c r="M195" s="8"/>
      <c r="N195" s="8"/>
      <c r="O195" s="8"/>
      <c r="P195" s="3" t="s">
        <v>4206</v>
      </c>
      <c r="Q195" s="11">
        <v>43964.579421296294</v>
      </c>
      <c r="R195" s="3" t="s">
        <v>4207</v>
      </c>
      <c r="S195" s="11">
        <v>43858.550150462965</v>
      </c>
      <c r="T195" s="7">
        <v>236</v>
      </c>
      <c r="U195" s="13">
        <f>COUNTIF('TAX Parcel Status Report'!$A$6:$A$290,SP_TaxPar_DB[[#This Row],[Tax Parcel ID]])</f>
        <v>1</v>
      </c>
    </row>
    <row r="196" spans="1:21" ht="18" customHeight="1" x14ac:dyDescent="0.2">
      <c r="A196" s="47" t="s">
        <v>2485</v>
      </c>
      <c r="B196" s="15" t="s">
        <v>6484</v>
      </c>
      <c r="C196" s="15"/>
      <c r="D196" s="20" t="s">
        <v>2493</v>
      </c>
      <c r="E196" s="8" t="s">
        <v>2475</v>
      </c>
      <c r="F196" s="8" t="s">
        <v>2476</v>
      </c>
      <c r="G196" s="8" t="s">
        <v>1007</v>
      </c>
      <c r="H196" s="3" t="s">
        <v>26</v>
      </c>
      <c r="I196" s="8" t="s">
        <v>78</v>
      </c>
      <c r="J196" s="8" t="s">
        <v>2486</v>
      </c>
      <c r="K196" s="12" t="s">
        <v>2487</v>
      </c>
      <c r="L196" s="13"/>
      <c r="M196" s="8"/>
      <c r="N196" s="8"/>
      <c r="O196" s="8"/>
      <c r="P196" s="3" t="s">
        <v>4206</v>
      </c>
      <c r="Q196" s="11">
        <v>44020.496516203704</v>
      </c>
      <c r="R196" s="3" t="s">
        <v>4207</v>
      </c>
      <c r="S196" s="11">
        <v>43858.550150462965</v>
      </c>
      <c r="T196" s="7">
        <v>237</v>
      </c>
      <c r="U196" s="13">
        <f>COUNTIF('TAX Parcel Status Report'!$A$6:$A$290,SP_TaxPar_DB[[#This Row],[Tax Parcel ID]])</f>
        <v>1</v>
      </c>
    </row>
    <row r="197" spans="1:21" ht="18" customHeight="1" x14ac:dyDescent="0.2">
      <c r="A197" s="47" t="s">
        <v>2488</v>
      </c>
      <c r="B197" s="15" t="s">
        <v>5317</v>
      </c>
      <c r="C197" s="15"/>
      <c r="D197" s="20" t="s">
        <v>2493</v>
      </c>
      <c r="E197" s="8" t="s">
        <v>2489</v>
      </c>
      <c r="F197" s="8" t="s">
        <v>2490</v>
      </c>
      <c r="G197" s="8" t="s">
        <v>1007</v>
      </c>
      <c r="H197" s="3" t="s">
        <v>26</v>
      </c>
      <c r="I197" s="8" t="s">
        <v>78</v>
      </c>
      <c r="J197" s="8" t="s">
        <v>2491</v>
      </c>
      <c r="K197" s="12" t="s">
        <v>2492</v>
      </c>
      <c r="L197" s="13"/>
      <c r="M197" s="8"/>
      <c r="N197" s="8"/>
      <c r="O197" s="8"/>
      <c r="P197" s="3" t="s">
        <v>4206</v>
      </c>
      <c r="Q197" s="11">
        <v>43977.481689814813</v>
      </c>
      <c r="R197" s="3" t="s">
        <v>4207</v>
      </c>
      <c r="S197" s="11">
        <v>43858.550150462965</v>
      </c>
      <c r="T197" s="7">
        <v>238</v>
      </c>
      <c r="U197" s="13">
        <f>COUNTIF('TAX Parcel Status Report'!$A$6:$A$290,SP_TaxPar_DB[[#This Row],[Tax Parcel ID]])</f>
        <v>1</v>
      </c>
    </row>
    <row r="198" spans="1:21" ht="18" customHeight="1" x14ac:dyDescent="0.2">
      <c r="A198" s="47" t="s">
        <v>421</v>
      </c>
      <c r="B198" s="15"/>
      <c r="C198" s="15"/>
      <c r="D198" s="20" t="s">
        <v>5533</v>
      </c>
      <c r="E198" s="8" t="s">
        <v>422</v>
      </c>
      <c r="F198" s="8" t="s">
        <v>423</v>
      </c>
      <c r="G198" s="8" t="s">
        <v>25</v>
      </c>
      <c r="H198" s="3" t="s">
        <v>26</v>
      </c>
      <c r="I198" s="8" t="s">
        <v>424</v>
      </c>
      <c r="J198" s="8" t="s">
        <v>425</v>
      </c>
      <c r="K198" s="12" t="s">
        <v>426</v>
      </c>
      <c r="L198" s="13"/>
      <c r="M198" s="8"/>
      <c r="N198" s="8"/>
      <c r="O198" s="8" t="s">
        <v>427</v>
      </c>
      <c r="P198" s="3" t="s">
        <v>4206</v>
      </c>
      <c r="Q198" s="11">
        <v>43980.477893518517</v>
      </c>
      <c r="R198" s="3" t="s">
        <v>4207</v>
      </c>
      <c r="S198" s="11">
        <v>43698.46947916667</v>
      </c>
      <c r="T198" s="7">
        <v>65</v>
      </c>
      <c r="U198" s="13">
        <f>COUNTIF('TAX Parcel Status Report'!$A$6:$A$290,SP_TaxPar_DB[[#This Row],[Tax Parcel ID]])</f>
        <v>1</v>
      </c>
    </row>
    <row r="199" spans="1:21" ht="18" customHeight="1" x14ac:dyDescent="0.2">
      <c r="A199" s="47" t="s">
        <v>428</v>
      </c>
      <c r="B199" s="15" t="s">
        <v>5257</v>
      </c>
      <c r="C199" s="15"/>
      <c r="D199" s="20" t="s">
        <v>2493</v>
      </c>
      <c r="E199" s="8" t="s">
        <v>429</v>
      </c>
      <c r="F199" s="8" t="s">
        <v>430</v>
      </c>
      <c r="G199" s="8" t="s">
        <v>431</v>
      </c>
      <c r="H199" s="3" t="s">
        <v>26</v>
      </c>
      <c r="I199" s="8" t="s">
        <v>432</v>
      </c>
      <c r="J199" s="8" t="s">
        <v>433</v>
      </c>
      <c r="K199" s="12" t="s">
        <v>434</v>
      </c>
      <c r="L199" s="13"/>
      <c r="M199" s="8"/>
      <c r="N199" s="8"/>
      <c r="O199" s="8" t="s">
        <v>435</v>
      </c>
      <c r="P199" s="3" t="s">
        <v>4206</v>
      </c>
      <c r="Q199" s="11">
        <v>43964.580277777779</v>
      </c>
      <c r="R199" s="3" t="s">
        <v>4207</v>
      </c>
      <c r="S199" s="11">
        <v>43698.469664351855</v>
      </c>
      <c r="T199" s="7">
        <v>66</v>
      </c>
      <c r="U199" s="13">
        <f>COUNTIF('TAX Parcel Status Report'!$A$6:$A$290,SP_TaxPar_DB[[#This Row],[Tax Parcel ID]])</f>
        <v>1</v>
      </c>
    </row>
    <row r="200" spans="1:21" ht="18" customHeight="1" x14ac:dyDescent="0.2">
      <c r="A200" s="6" t="s">
        <v>436</v>
      </c>
      <c r="B200" s="15" t="s">
        <v>5255</v>
      </c>
      <c r="C200" s="15"/>
      <c r="D200" s="20" t="s">
        <v>2493</v>
      </c>
      <c r="E200" s="8" t="s">
        <v>437</v>
      </c>
      <c r="F200" s="8" t="s">
        <v>438</v>
      </c>
      <c r="G200" s="8" t="s">
        <v>77</v>
      </c>
      <c r="H200" s="3" t="s">
        <v>26</v>
      </c>
      <c r="I200" s="8" t="s">
        <v>78</v>
      </c>
      <c r="J200" s="8" t="s">
        <v>438</v>
      </c>
      <c r="K200" s="12" t="s">
        <v>439</v>
      </c>
      <c r="L200" s="13"/>
      <c r="M200" s="8"/>
      <c r="N200" s="8"/>
      <c r="O200" s="8" t="s">
        <v>435</v>
      </c>
      <c r="P200" s="3" t="s">
        <v>4206</v>
      </c>
      <c r="Q200" s="11">
        <v>43964.580335648148</v>
      </c>
      <c r="R200" s="3" t="s">
        <v>4207</v>
      </c>
      <c r="S200" s="11">
        <v>43698.469664351855</v>
      </c>
      <c r="T200" s="7">
        <v>67</v>
      </c>
      <c r="U200" s="13">
        <f>COUNTIF('TAX Parcel Status Report'!$A$6:$A$290,SP_TaxPar_DB[[#This Row],[Tax Parcel ID]])</f>
        <v>1</v>
      </c>
    </row>
    <row r="201" spans="1:21" ht="18" customHeight="1" x14ac:dyDescent="0.2">
      <c r="A201" s="47" t="s">
        <v>440</v>
      </c>
      <c r="B201" s="15" t="s">
        <v>22</v>
      </c>
      <c r="C201" s="15" t="s">
        <v>3261</v>
      </c>
      <c r="D201" s="20" t="s">
        <v>1808</v>
      </c>
      <c r="E201" s="8" t="s">
        <v>441</v>
      </c>
      <c r="F201" s="8" t="s">
        <v>438</v>
      </c>
      <c r="G201" s="8" t="s">
        <v>77</v>
      </c>
      <c r="H201" s="3" t="s">
        <v>26</v>
      </c>
      <c r="I201" s="8" t="s">
        <v>78</v>
      </c>
      <c r="J201" s="8" t="s">
        <v>433</v>
      </c>
      <c r="K201" s="12" t="s">
        <v>442</v>
      </c>
      <c r="L201" s="13"/>
      <c r="M201" s="8"/>
      <c r="N201" s="8"/>
      <c r="O201" s="8" t="s">
        <v>443</v>
      </c>
      <c r="P201" s="3" t="s">
        <v>4207</v>
      </c>
      <c r="Q201" s="11">
        <v>43864.611608796295</v>
      </c>
      <c r="R201" s="3" t="s">
        <v>4207</v>
      </c>
      <c r="S201" s="11">
        <v>43698.469664351855</v>
      </c>
      <c r="T201" s="7">
        <v>68</v>
      </c>
      <c r="U201" s="13">
        <f>COUNTIF('TAX Parcel Status Report'!$A$6:$A$290,SP_TaxPar_DB[[#This Row],[Tax Parcel ID]])</f>
        <v>1</v>
      </c>
    </row>
    <row r="202" spans="1:21" ht="18" customHeight="1" x14ac:dyDescent="0.2">
      <c r="A202" s="47" t="s">
        <v>444</v>
      </c>
      <c r="B202" s="15"/>
      <c r="C202" s="15"/>
      <c r="D202" s="20" t="s">
        <v>5533</v>
      </c>
      <c r="E202" s="8" t="s">
        <v>445</v>
      </c>
      <c r="F202" s="8" t="s">
        <v>446</v>
      </c>
      <c r="G202" s="8" t="s">
        <v>77</v>
      </c>
      <c r="H202" s="3" t="s">
        <v>26</v>
      </c>
      <c r="I202" s="8" t="s">
        <v>78</v>
      </c>
      <c r="J202" s="8" t="s">
        <v>447</v>
      </c>
      <c r="K202" s="12" t="s">
        <v>448</v>
      </c>
      <c r="L202" s="13"/>
      <c r="M202" s="8"/>
      <c r="N202" s="8"/>
      <c r="O202" s="8" t="s">
        <v>435</v>
      </c>
      <c r="P202" s="3" t="s">
        <v>4206</v>
      </c>
      <c r="Q202" s="11">
        <v>43980.478125000001</v>
      </c>
      <c r="R202" s="3" t="s">
        <v>4207</v>
      </c>
      <c r="S202" s="11">
        <v>43698.469664351855</v>
      </c>
      <c r="T202" s="7">
        <v>69</v>
      </c>
      <c r="U202" s="13">
        <f>COUNTIF('TAX Parcel Status Report'!$A$6:$A$290,SP_TaxPar_DB[[#This Row],[Tax Parcel ID]])</f>
        <v>1</v>
      </c>
    </row>
    <row r="203" spans="1:21" ht="18" customHeight="1" x14ac:dyDescent="0.2">
      <c r="A203" s="47" t="s">
        <v>449</v>
      </c>
      <c r="B203" s="15"/>
      <c r="C203" s="15"/>
      <c r="D203" s="20" t="s">
        <v>5533</v>
      </c>
      <c r="E203" s="8" t="s">
        <v>450</v>
      </c>
      <c r="F203" s="8" t="s">
        <v>451</v>
      </c>
      <c r="G203" s="8" t="s">
        <v>452</v>
      </c>
      <c r="H203" s="3" t="s">
        <v>281</v>
      </c>
      <c r="I203" s="8" t="s">
        <v>453</v>
      </c>
      <c r="J203" s="8" t="s">
        <v>433</v>
      </c>
      <c r="K203" s="12" t="s">
        <v>454</v>
      </c>
      <c r="L203" s="13"/>
      <c r="M203" s="8"/>
      <c r="N203" s="8"/>
      <c r="O203" s="8" t="s">
        <v>435</v>
      </c>
      <c r="P203" s="3" t="s">
        <v>4206</v>
      </c>
      <c r="Q203" s="11">
        <v>43980.478229166663</v>
      </c>
      <c r="R203" s="3" t="s">
        <v>4207</v>
      </c>
      <c r="S203" s="11">
        <v>43698.469664351855</v>
      </c>
      <c r="T203" s="7">
        <v>70</v>
      </c>
      <c r="U203" s="13">
        <f>COUNTIF('TAX Parcel Status Report'!$A$6:$A$290,SP_TaxPar_DB[[#This Row],[Tax Parcel ID]])</f>
        <v>1</v>
      </c>
    </row>
    <row r="204" spans="1:21" ht="18" customHeight="1" x14ac:dyDescent="0.2">
      <c r="A204" s="47" t="s">
        <v>455</v>
      </c>
      <c r="B204" s="15" t="s">
        <v>22</v>
      </c>
      <c r="C204" s="15" t="s">
        <v>22</v>
      </c>
      <c r="D204" s="20" t="s">
        <v>1808</v>
      </c>
      <c r="E204" s="8" t="s">
        <v>456</v>
      </c>
      <c r="F204" s="8" t="s">
        <v>457</v>
      </c>
      <c r="G204" s="8" t="s">
        <v>25</v>
      </c>
      <c r="H204" s="3" t="s">
        <v>26</v>
      </c>
      <c r="I204" s="8" t="s">
        <v>458</v>
      </c>
      <c r="J204" s="8" t="s">
        <v>433</v>
      </c>
      <c r="K204" s="12" t="s">
        <v>459</v>
      </c>
      <c r="L204" s="13"/>
      <c r="M204" s="8"/>
      <c r="N204" s="8"/>
      <c r="O204" s="8" t="s">
        <v>435</v>
      </c>
      <c r="P204" s="3" t="s">
        <v>4207</v>
      </c>
      <c r="Q204" s="11">
        <v>43864.612002314818</v>
      </c>
      <c r="R204" s="3" t="s">
        <v>4207</v>
      </c>
      <c r="S204" s="11">
        <v>43698.469664351855</v>
      </c>
      <c r="T204" s="7">
        <v>71</v>
      </c>
      <c r="U204" s="13">
        <f>COUNTIF('TAX Parcel Status Report'!$A$6:$A$290,SP_TaxPar_DB[[#This Row],[Tax Parcel ID]])</f>
        <v>1</v>
      </c>
    </row>
    <row r="205" spans="1:21" ht="18" customHeight="1" x14ac:dyDescent="0.2">
      <c r="A205" s="47" t="s">
        <v>460</v>
      </c>
      <c r="B205" s="15"/>
      <c r="C205" s="15"/>
      <c r="D205" s="20" t="s">
        <v>5533</v>
      </c>
      <c r="E205" s="8" t="s">
        <v>429</v>
      </c>
      <c r="F205" s="8" t="s">
        <v>430</v>
      </c>
      <c r="G205" s="8" t="s">
        <v>431</v>
      </c>
      <c r="H205" s="3" t="s">
        <v>26</v>
      </c>
      <c r="I205" s="8" t="s">
        <v>432</v>
      </c>
      <c r="J205" s="8" t="s">
        <v>433</v>
      </c>
      <c r="K205" s="12" t="s">
        <v>461</v>
      </c>
      <c r="L205" s="13"/>
      <c r="M205" s="8"/>
      <c r="N205" s="8"/>
      <c r="O205" s="8" t="s">
        <v>435</v>
      </c>
      <c r="P205" s="3" t="s">
        <v>4206</v>
      </c>
      <c r="Q205" s="11">
        <v>43980.478310185186</v>
      </c>
      <c r="R205" s="3" t="s">
        <v>4207</v>
      </c>
      <c r="S205" s="11">
        <v>43698.469664351855</v>
      </c>
      <c r="T205" s="7">
        <v>72</v>
      </c>
      <c r="U205" s="13">
        <f>COUNTIF('TAX Parcel Status Report'!$A$6:$A$290,SP_TaxPar_DB[[#This Row],[Tax Parcel ID]])</f>
        <v>1</v>
      </c>
    </row>
    <row r="206" spans="1:21" ht="18" customHeight="1" x14ac:dyDescent="0.2">
      <c r="A206" s="6" t="s">
        <v>462</v>
      </c>
      <c r="B206" s="15"/>
      <c r="C206" s="15"/>
      <c r="D206" s="20" t="s">
        <v>5533</v>
      </c>
      <c r="E206" s="8" t="s">
        <v>463</v>
      </c>
      <c r="F206" s="8" t="s">
        <v>464</v>
      </c>
      <c r="G206" s="8" t="s">
        <v>77</v>
      </c>
      <c r="H206" s="3" t="s">
        <v>26</v>
      </c>
      <c r="I206" s="8" t="s">
        <v>78</v>
      </c>
      <c r="J206" s="8" t="s">
        <v>464</v>
      </c>
      <c r="K206" s="12" t="s">
        <v>465</v>
      </c>
      <c r="L206" s="13"/>
      <c r="M206" s="8"/>
      <c r="N206" s="8"/>
      <c r="O206" s="8" t="s">
        <v>466</v>
      </c>
      <c r="P206" s="3" t="s">
        <v>4206</v>
      </c>
      <c r="Q206" s="11">
        <v>43980.478391203702</v>
      </c>
      <c r="R206" s="3" t="s">
        <v>4207</v>
      </c>
      <c r="S206" s="11">
        <v>43698.469664351855</v>
      </c>
      <c r="T206" s="7">
        <v>73</v>
      </c>
      <c r="U206" s="13">
        <f>COUNTIF('TAX Parcel Status Report'!$A$6:$A$290,SP_TaxPar_DB[[#This Row],[Tax Parcel ID]])</f>
        <v>1</v>
      </c>
    </row>
    <row r="207" spans="1:21" ht="18" customHeight="1" x14ac:dyDescent="0.2">
      <c r="A207" s="47" t="s">
        <v>467</v>
      </c>
      <c r="B207" s="15"/>
      <c r="C207" s="15"/>
      <c r="D207" s="20" t="s">
        <v>5533</v>
      </c>
      <c r="E207" s="8" t="s">
        <v>468</v>
      </c>
      <c r="F207" s="8" t="s">
        <v>469</v>
      </c>
      <c r="G207" s="8" t="s">
        <v>77</v>
      </c>
      <c r="H207" s="3" t="s">
        <v>26</v>
      </c>
      <c r="I207" s="8" t="s">
        <v>78</v>
      </c>
      <c r="J207" s="8" t="s">
        <v>470</v>
      </c>
      <c r="K207" s="12" t="s">
        <v>471</v>
      </c>
      <c r="L207" s="13"/>
      <c r="M207" s="8"/>
      <c r="N207" s="8"/>
      <c r="O207" s="8" t="s">
        <v>472</v>
      </c>
      <c r="P207" s="3" t="s">
        <v>4206</v>
      </c>
      <c r="Q207" s="11">
        <v>43980.478495370371</v>
      </c>
      <c r="R207" s="3" t="s">
        <v>4207</v>
      </c>
      <c r="S207" s="11">
        <v>43698.469664351855</v>
      </c>
      <c r="T207" s="7">
        <v>74</v>
      </c>
      <c r="U207" s="13">
        <f>COUNTIF('TAX Parcel Status Report'!$A$6:$A$290,SP_TaxPar_DB[[#This Row],[Tax Parcel ID]])</f>
        <v>1</v>
      </c>
    </row>
    <row r="208" spans="1:21" ht="18" customHeight="1" x14ac:dyDescent="0.2">
      <c r="A208" s="47" t="s">
        <v>473</v>
      </c>
      <c r="B208" s="15" t="s">
        <v>5320</v>
      </c>
      <c r="C208" s="15"/>
      <c r="D208" s="20" t="s">
        <v>2493</v>
      </c>
      <c r="E208" s="8" t="s">
        <v>474</v>
      </c>
      <c r="F208" s="8" t="s">
        <v>475</v>
      </c>
      <c r="G208" s="8" t="s">
        <v>476</v>
      </c>
      <c r="H208" s="3" t="s">
        <v>26</v>
      </c>
      <c r="I208" s="8" t="s">
        <v>477</v>
      </c>
      <c r="J208" s="8" t="s">
        <v>478</v>
      </c>
      <c r="K208" s="12" t="s">
        <v>479</v>
      </c>
      <c r="L208" s="13"/>
      <c r="M208" s="8"/>
      <c r="N208" s="8"/>
      <c r="O208" s="8" t="s">
        <v>480</v>
      </c>
      <c r="P208" s="3" t="s">
        <v>4206</v>
      </c>
      <c r="Q208" s="11">
        <v>43964.580960648149</v>
      </c>
      <c r="R208" s="3" t="s">
        <v>4207</v>
      </c>
      <c r="S208" s="11">
        <v>43698.469664351855</v>
      </c>
      <c r="T208" s="7">
        <v>75</v>
      </c>
      <c r="U208" s="13">
        <f>COUNTIF('TAX Parcel Status Report'!$A$6:$A$290,SP_TaxPar_DB[[#This Row],[Tax Parcel ID]])</f>
        <v>1</v>
      </c>
    </row>
    <row r="209" spans="1:21" ht="18" customHeight="1" x14ac:dyDescent="0.2">
      <c r="A209" s="6" t="s">
        <v>5105</v>
      </c>
      <c r="B209" s="15" t="s">
        <v>5371</v>
      </c>
      <c r="C209" s="15"/>
      <c r="D209" s="20" t="s">
        <v>2493</v>
      </c>
      <c r="E209" s="8" t="s">
        <v>5082</v>
      </c>
      <c r="F209" s="8" t="s">
        <v>5083</v>
      </c>
      <c r="G209" s="8" t="s">
        <v>1838</v>
      </c>
      <c r="H209" s="3" t="s">
        <v>26</v>
      </c>
      <c r="I209" s="8" t="s">
        <v>5106</v>
      </c>
      <c r="J209" s="8" t="s">
        <v>79</v>
      </c>
      <c r="K209" s="12" t="s">
        <v>5107</v>
      </c>
      <c r="L209" s="13">
        <v>173.6559</v>
      </c>
      <c r="M209" s="8" t="s">
        <v>5108</v>
      </c>
      <c r="N209" s="8" t="s">
        <v>5109</v>
      </c>
      <c r="O209" s="8"/>
      <c r="P209" s="3" t="s">
        <v>4206</v>
      </c>
      <c r="Q209" s="11">
        <v>43964.581030092595</v>
      </c>
      <c r="R209" s="3" t="s">
        <v>4205</v>
      </c>
      <c r="S209" s="11">
        <v>43962.715960648151</v>
      </c>
      <c r="T209" s="7">
        <v>295</v>
      </c>
      <c r="U209" s="13">
        <f>COUNTIF('TAX Parcel Status Report'!$A$6:$A$290,SP_TaxPar_DB[[#This Row],[Tax Parcel ID]])</f>
        <v>1</v>
      </c>
    </row>
    <row r="210" spans="1:21" ht="18" customHeight="1" x14ac:dyDescent="0.2">
      <c r="A210" s="47" t="s">
        <v>481</v>
      </c>
      <c r="B210" s="15" t="s">
        <v>38</v>
      </c>
      <c r="C210" s="15"/>
      <c r="D210" s="20" t="s">
        <v>1811</v>
      </c>
      <c r="E210" s="8" t="s">
        <v>482</v>
      </c>
      <c r="F210" s="8" t="s">
        <v>483</v>
      </c>
      <c r="G210" s="8" t="s">
        <v>25</v>
      </c>
      <c r="H210" s="3" t="s">
        <v>26</v>
      </c>
      <c r="I210" s="8" t="s">
        <v>356</v>
      </c>
      <c r="J210" s="8" t="s">
        <v>112</v>
      </c>
      <c r="K210" s="12" t="s">
        <v>484</v>
      </c>
      <c r="L210" s="13">
        <v>86.97</v>
      </c>
      <c r="M210" s="8" t="s">
        <v>305</v>
      </c>
      <c r="N210" s="8" t="s">
        <v>485</v>
      </c>
      <c r="O210" s="8"/>
      <c r="P210" s="3" t="s">
        <v>4207</v>
      </c>
      <c r="Q210" s="11">
        <v>43851.576111111113</v>
      </c>
      <c r="R210" s="3" t="s">
        <v>23</v>
      </c>
      <c r="S210" s="11">
        <v>43682.658506944441</v>
      </c>
      <c r="T210" s="7">
        <v>21</v>
      </c>
      <c r="U210" s="13">
        <f>COUNTIF('TAX Parcel Status Report'!$A$6:$A$290,SP_TaxPar_DB[[#This Row],[Tax Parcel ID]])</f>
        <v>1</v>
      </c>
    </row>
    <row r="211" spans="1:21" ht="18" customHeight="1" x14ac:dyDescent="0.2">
      <c r="A211" s="6" t="s">
        <v>2494</v>
      </c>
      <c r="B211" s="15"/>
      <c r="C211" s="15" t="s">
        <v>31</v>
      </c>
      <c r="D211" s="20" t="s">
        <v>1808</v>
      </c>
      <c r="E211" s="8" t="s">
        <v>2248</v>
      </c>
      <c r="F211" s="8" t="s">
        <v>2249</v>
      </c>
      <c r="G211" s="8" t="s">
        <v>1007</v>
      </c>
      <c r="H211" s="3" t="s">
        <v>26</v>
      </c>
      <c r="I211" s="8" t="s">
        <v>78</v>
      </c>
      <c r="J211" s="8" t="s">
        <v>2495</v>
      </c>
      <c r="K211" s="12" t="s">
        <v>2496</v>
      </c>
      <c r="L211" s="13"/>
      <c r="M211" s="8"/>
      <c r="N211" s="8"/>
      <c r="O211" s="8"/>
      <c r="P211" s="3" t="s">
        <v>4207</v>
      </c>
      <c r="Q211" s="11">
        <v>43861.43482638889</v>
      </c>
      <c r="R211" s="3" t="s">
        <v>4207</v>
      </c>
      <c r="S211" s="11">
        <v>43858.550150462965</v>
      </c>
      <c r="T211" s="7">
        <v>242</v>
      </c>
      <c r="U211" s="13">
        <f>COUNTIF('TAX Parcel Status Report'!$A$6:$A$290,SP_TaxPar_DB[[#This Row],[Tax Parcel ID]])</f>
        <v>1</v>
      </c>
    </row>
    <row r="212" spans="1:21" ht="18" customHeight="1" x14ac:dyDescent="0.2">
      <c r="A212" s="6" t="s">
        <v>2497</v>
      </c>
      <c r="B212" s="15"/>
      <c r="C212" s="15" t="s">
        <v>32</v>
      </c>
      <c r="D212" s="20" t="s">
        <v>1808</v>
      </c>
      <c r="E212" s="8" t="s">
        <v>2261</v>
      </c>
      <c r="F212" s="8" t="s">
        <v>2262</v>
      </c>
      <c r="G212" s="8" t="s">
        <v>2263</v>
      </c>
      <c r="H212" s="3" t="s">
        <v>26</v>
      </c>
      <c r="I212" s="8" t="s">
        <v>2264</v>
      </c>
      <c r="J212" s="8" t="s">
        <v>2498</v>
      </c>
      <c r="K212" s="12" t="s">
        <v>2499</v>
      </c>
      <c r="L212" s="13"/>
      <c r="M212" s="8"/>
      <c r="N212" s="8"/>
      <c r="O212" s="8"/>
      <c r="P212" s="3" t="s">
        <v>4207</v>
      </c>
      <c r="Q212" s="11">
        <v>43861.434872685182</v>
      </c>
      <c r="R212" s="3" t="s">
        <v>4207</v>
      </c>
      <c r="S212" s="11">
        <v>43858.550150462965</v>
      </c>
      <c r="T212" s="7">
        <v>243</v>
      </c>
      <c r="U212" s="13">
        <f>COUNTIF('TAX Parcel Status Report'!$A$6:$A$290,SP_TaxPar_DB[[#This Row],[Tax Parcel ID]])</f>
        <v>1</v>
      </c>
    </row>
    <row r="213" spans="1:21" ht="18" customHeight="1" x14ac:dyDescent="0.2">
      <c r="A213" s="6" t="s">
        <v>486</v>
      </c>
      <c r="B213" s="15" t="s">
        <v>31</v>
      </c>
      <c r="C213" s="15"/>
      <c r="D213" s="20" t="s">
        <v>1811</v>
      </c>
      <c r="E213" s="8" t="s">
        <v>487</v>
      </c>
      <c r="F213" s="8" t="s">
        <v>488</v>
      </c>
      <c r="G213" s="8" t="s">
        <v>77</v>
      </c>
      <c r="H213" s="3" t="s">
        <v>26</v>
      </c>
      <c r="I213" s="8" t="s">
        <v>78</v>
      </c>
      <c r="J213" s="8" t="s">
        <v>1721</v>
      </c>
      <c r="K213" s="12" t="s">
        <v>490</v>
      </c>
      <c r="L213" s="13">
        <v>31.8</v>
      </c>
      <c r="M213" s="8" t="s">
        <v>491</v>
      </c>
      <c r="N213" s="8"/>
      <c r="O213" s="8" t="s">
        <v>492</v>
      </c>
      <c r="P213" s="3" t="s">
        <v>4207</v>
      </c>
      <c r="Q213" s="11">
        <v>43851.575891203705</v>
      </c>
      <c r="R213" s="3" t="s">
        <v>23</v>
      </c>
      <c r="S213" s="11">
        <v>43682.658495370371</v>
      </c>
      <c r="T213" s="7">
        <v>5</v>
      </c>
      <c r="U213" s="13">
        <f>COUNTIF('TAX Parcel Status Report'!$A$6:$A$290,SP_TaxPar_DB[[#This Row],[Tax Parcel ID]])</f>
        <v>1</v>
      </c>
    </row>
    <row r="214" spans="1:21" ht="18" customHeight="1" x14ac:dyDescent="0.2">
      <c r="A214" s="6" t="s">
        <v>1282</v>
      </c>
      <c r="B214" s="15"/>
      <c r="C214" s="15"/>
      <c r="D214" s="20" t="s">
        <v>5533</v>
      </c>
      <c r="E214" s="8" t="s">
        <v>493</v>
      </c>
      <c r="F214" s="8" t="s">
        <v>488</v>
      </c>
      <c r="G214" s="8" t="s">
        <v>77</v>
      </c>
      <c r="H214" s="3" t="s">
        <v>26</v>
      </c>
      <c r="I214" s="8" t="s">
        <v>494</v>
      </c>
      <c r="J214" s="8" t="s">
        <v>489</v>
      </c>
      <c r="K214" s="12" t="s">
        <v>490</v>
      </c>
      <c r="L214" s="13">
        <v>31.8</v>
      </c>
      <c r="M214" s="8" t="s">
        <v>491</v>
      </c>
      <c r="N214" s="8"/>
      <c r="O214" s="8" t="s">
        <v>6460</v>
      </c>
      <c r="P214" s="3" t="s">
        <v>4206</v>
      </c>
      <c r="Q214" s="11">
        <v>44006.627476851849</v>
      </c>
      <c r="R214" s="3" t="s">
        <v>23</v>
      </c>
      <c r="S214" s="11">
        <v>43682.658495370371</v>
      </c>
      <c r="T214" s="7">
        <v>6</v>
      </c>
      <c r="U214" s="13">
        <f>COUNTIF('TAX Parcel Status Report'!$A$6:$A$290,SP_TaxPar_DB[[#This Row],[Tax Parcel ID]])</f>
        <v>1</v>
      </c>
    </row>
    <row r="215" spans="1:21" ht="18" customHeight="1" x14ac:dyDescent="0.2">
      <c r="A215" s="47" t="s">
        <v>5110</v>
      </c>
      <c r="B215" s="15" t="s">
        <v>5373</v>
      </c>
      <c r="C215" s="15"/>
      <c r="D215" s="20" t="s">
        <v>2493</v>
      </c>
      <c r="E215" s="8" t="s">
        <v>5082</v>
      </c>
      <c r="F215" s="8" t="s">
        <v>5083</v>
      </c>
      <c r="G215" s="8" t="s">
        <v>1838</v>
      </c>
      <c r="H215" s="3" t="s">
        <v>26</v>
      </c>
      <c r="I215" s="8" t="s">
        <v>5106</v>
      </c>
      <c r="J215" s="8" t="s">
        <v>5086</v>
      </c>
      <c r="K215" s="12" t="s">
        <v>5111</v>
      </c>
      <c r="L215" s="13">
        <v>272.65249999999997</v>
      </c>
      <c r="M215" s="8" t="s">
        <v>5112</v>
      </c>
      <c r="N215" s="8" t="s">
        <v>5113</v>
      </c>
      <c r="O215" s="8"/>
      <c r="P215" s="3" t="s">
        <v>4206</v>
      </c>
      <c r="Q215" s="11">
        <v>43964.581076388888</v>
      </c>
      <c r="R215" s="3" t="s">
        <v>4205</v>
      </c>
      <c r="S215" s="11">
        <v>43962.7187037037</v>
      </c>
      <c r="T215" s="7">
        <v>296</v>
      </c>
      <c r="U215" s="13">
        <f>COUNTIF('TAX Parcel Status Report'!$A$6:$A$290,SP_TaxPar_DB[[#This Row],[Tax Parcel ID]])</f>
        <v>1</v>
      </c>
    </row>
    <row r="216" spans="1:21" ht="18" customHeight="1" x14ac:dyDescent="0.2">
      <c r="A216" s="47" t="s">
        <v>2500</v>
      </c>
      <c r="B216" s="15" t="s">
        <v>5322</v>
      </c>
      <c r="C216" s="15"/>
      <c r="D216" s="20" t="s">
        <v>2493</v>
      </c>
      <c r="E216" s="8" t="s">
        <v>2501</v>
      </c>
      <c r="F216" s="8" t="s">
        <v>2502</v>
      </c>
      <c r="G216" s="8" t="s">
        <v>1838</v>
      </c>
      <c r="H216" s="3" t="s">
        <v>26</v>
      </c>
      <c r="I216" s="8" t="s">
        <v>356</v>
      </c>
      <c r="J216" s="8" t="s">
        <v>2503</v>
      </c>
      <c r="K216" s="12" t="s">
        <v>2504</v>
      </c>
      <c r="L216" s="13"/>
      <c r="M216" s="8"/>
      <c r="N216" s="8"/>
      <c r="O216" s="8"/>
      <c r="P216" s="3" t="s">
        <v>4206</v>
      </c>
      <c r="Q216" s="11">
        <v>43964.581435185188</v>
      </c>
      <c r="R216" s="3" t="s">
        <v>4207</v>
      </c>
      <c r="S216" s="11">
        <v>43858.550150462965</v>
      </c>
      <c r="T216" s="7">
        <v>244</v>
      </c>
      <c r="U216" s="13">
        <f>COUNTIF('TAX Parcel Status Report'!$A$6:$A$290,SP_TaxPar_DB[[#This Row],[Tax Parcel ID]])</f>
        <v>1</v>
      </c>
    </row>
    <row r="217" spans="1:21" ht="18" customHeight="1" x14ac:dyDescent="0.2">
      <c r="A217" s="47" t="s">
        <v>2505</v>
      </c>
      <c r="B217" s="15" t="s">
        <v>5324</v>
      </c>
      <c r="C217" s="15"/>
      <c r="D217" s="20" t="s">
        <v>2493</v>
      </c>
      <c r="E217" s="8" t="s">
        <v>2506</v>
      </c>
      <c r="F217" s="8" t="s">
        <v>2507</v>
      </c>
      <c r="G217" s="8" t="s">
        <v>1007</v>
      </c>
      <c r="H217" s="3" t="s">
        <v>26</v>
      </c>
      <c r="I217" s="8" t="s">
        <v>78</v>
      </c>
      <c r="J217" s="8" t="s">
        <v>2508</v>
      </c>
      <c r="K217" s="12" t="s">
        <v>2509</v>
      </c>
      <c r="L217" s="13"/>
      <c r="M217" s="8"/>
      <c r="N217" s="8"/>
      <c r="O217" s="8"/>
      <c r="P217" s="3" t="s">
        <v>4206</v>
      </c>
      <c r="Q217" s="11">
        <v>43964.581435185188</v>
      </c>
      <c r="R217" s="3" t="s">
        <v>4207</v>
      </c>
      <c r="S217" s="11">
        <v>43858.550150462965</v>
      </c>
      <c r="T217" s="7">
        <v>245</v>
      </c>
      <c r="U217" s="13">
        <f>COUNTIF('TAX Parcel Status Report'!$A$6:$A$290,SP_TaxPar_DB[[#This Row],[Tax Parcel ID]])</f>
        <v>1</v>
      </c>
    </row>
    <row r="218" spans="1:21" ht="18" customHeight="1" x14ac:dyDescent="0.2">
      <c r="A218" s="6" t="s">
        <v>2510</v>
      </c>
      <c r="B218" s="15" t="s">
        <v>5326</v>
      </c>
      <c r="C218" s="15"/>
      <c r="D218" s="20" t="s">
        <v>2493</v>
      </c>
      <c r="E218" s="8" t="s">
        <v>2511</v>
      </c>
      <c r="F218" s="8" t="s">
        <v>2512</v>
      </c>
      <c r="G218" s="8" t="s">
        <v>1007</v>
      </c>
      <c r="H218" s="3" t="s">
        <v>26</v>
      </c>
      <c r="I218" s="8" t="s">
        <v>78</v>
      </c>
      <c r="J218" s="8" t="s">
        <v>2513</v>
      </c>
      <c r="K218" s="12" t="s">
        <v>2514</v>
      </c>
      <c r="L218" s="13"/>
      <c r="M218" s="8"/>
      <c r="N218" s="8"/>
      <c r="O218" s="8"/>
      <c r="P218" s="3" t="s">
        <v>4206</v>
      </c>
      <c r="Q218" s="11">
        <v>43964.581435185188</v>
      </c>
      <c r="R218" s="3" t="s">
        <v>4207</v>
      </c>
      <c r="S218" s="11">
        <v>43858.550150462965</v>
      </c>
      <c r="T218" s="7">
        <v>246</v>
      </c>
      <c r="U218" s="13">
        <f>COUNTIF('TAX Parcel Status Report'!$A$6:$A$290,SP_TaxPar_DB[[#This Row],[Tax Parcel ID]])</f>
        <v>1</v>
      </c>
    </row>
    <row r="219" spans="1:21" ht="18" customHeight="1" x14ac:dyDescent="0.2">
      <c r="A219" s="6" t="s">
        <v>2515</v>
      </c>
      <c r="B219" s="15" t="s">
        <v>5328</v>
      </c>
      <c r="C219" s="15"/>
      <c r="D219" s="20" t="s">
        <v>2493</v>
      </c>
      <c r="E219" s="8" t="s">
        <v>2516</v>
      </c>
      <c r="F219" s="8" t="s">
        <v>2517</v>
      </c>
      <c r="G219" s="8" t="s">
        <v>1838</v>
      </c>
      <c r="H219" s="3" t="s">
        <v>26</v>
      </c>
      <c r="I219" s="8" t="s">
        <v>2518</v>
      </c>
      <c r="J219" s="8" t="s">
        <v>2519</v>
      </c>
      <c r="K219" s="12" t="s">
        <v>2520</v>
      </c>
      <c r="L219" s="13"/>
      <c r="M219" s="8"/>
      <c r="N219" s="8"/>
      <c r="O219" s="8"/>
      <c r="P219" s="3" t="s">
        <v>4206</v>
      </c>
      <c r="Q219" s="11">
        <v>43964.581435185188</v>
      </c>
      <c r="R219" s="3" t="s">
        <v>4207</v>
      </c>
      <c r="S219" s="11">
        <v>43858.550150462965</v>
      </c>
      <c r="T219" s="7">
        <v>248</v>
      </c>
      <c r="U219" s="13">
        <f>COUNTIF('TAX Parcel Status Report'!$A$6:$A$290,SP_TaxPar_DB[[#This Row],[Tax Parcel ID]])</f>
        <v>1</v>
      </c>
    </row>
    <row r="220" spans="1:21" ht="18" customHeight="1" x14ac:dyDescent="0.2">
      <c r="A220" s="6" t="s">
        <v>2521</v>
      </c>
      <c r="B220" s="15" t="s">
        <v>5330</v>
      </c>
      <c r="C220" s="15"/>
      <c r="D220" s="20" t="s">
        <v>2493</v>
      </c>
      <c r="E220" s="8" t="s">
        <v>2516</v>
      </c>
      <c r="F220" s="8" t="s">
        <v>2517</v>
      </c>
      <c r="G220" s="8" t="s">
        <v>1838</v>
      </c>
      <c r="H220" s="3" t="s">
        <v>26</v>
      </c>
      <c r="I220" s="8" t="s">
        <v>2518</v>
      </c>
      <c r="J220" s="8" t="s">
        <v>2522</v>
      </c>
      <c r="K220" s="12" t="s">
        <v>2523</v>
      </c>
      <c r="L220" s="13"/>
      <c r="M220" s="8"/>
      <c r="N220" s="8"/>
      <c r="O220" s="8"/>
      <c r="P220" s="3" t="s">
        <v>4206</v>
      </c>
      <c r="Q220" s="11">
        <v>43964.581435185188</v>
      </c>
      <c r="R220" s="3" t="s">
        <v>4207</v>
      </c>
      <c r="S220" s="11">
        <v>43858.550150462965</v>
      </c>
      <c r="T220" s="7">
        <v>249</v>
      </c>
      <c r="U220" s="13">
        <f>COUNTIF('TAX Parcel Status Report'!$A$6:$A$290,SP_TaxPar_DB[[#This Row],[Tax Parcel ID]])</f>
        <v>1</v>
      </c>
    </row>
    <row r="221" spans="1:21" ht="18" customHeight="1" x14ac:dyDescent="0.2">
      <c r="A221" s="47" t="s">
        <v>2524</v>
      </c>
      <c r="B221" s="15" t="s">
        <v>5332</v>
      </c>
      <c r="C221" s="15"/>
      <c r="D221" s="20" t="s">
        <v>2493</v>
      </c>
      <c r="E221" s="8" t="s">
        <v>2525</v>
      </c>
      <c r="F221" s="8" t="s">
        <v>2526</v>
      </c>
      <c r="G221" s="8" t="s">
        <v>1007</v>
      </c>
      <c r="H221" s="3" t="s">
        <v>26</v>
      </c>
      <c r="I221" s="8" t="s">
        <v>78</v>
      </c>
      <c r="J221" s="8" t="s">
        <v>2527</v>
      </c>
      <c r="K221" s="12" t="s">
        <v>2528</v>
      </c>
      <c r="L221" s="13"/>
      <c r="M221" s="8"/>
      <c r="N221" s="8"/>
      <c r="O221" s="8"/>
      <c r="P221" s="3" t="s">
        <v>4206</v>
      </c>
      <c r="Q221" s="11">
        <v>43964.581435185188</v>
      </c>
      <c r="R221" s="3" t="s">
        <v>4207</v>
      </c>
      <c r="S221" s="11">
        <v>43858.550150462965</v>
      </c>
      <c r="T221" s="7">
        <v>250</v>
      </c>
      <c r="U221" s="13">
        <f>COUNTIF('TAX Parcel Status Report'!$A$6:$A$290,SP_TaxPar_DB[[#This Row],[Tax Parcel ID]])</f>
        <v>1</v>
      </c>
    </row>
    <row r="222" spans="1:21" ht="18" customHeight="1" x14ac:dyDescent="0.2">
      <c r="A222" s="47" t="s">
        <v>2529</v>
      </c>
      <c r="B222" s="15" t="s">
        <v>5334</v>
      </c>
      <c r="C222" s="15"/>
      <c r="D222" s="20" t="s">
        <v>2493</v>
      </c>
      <c r="E222" s="8" t="s">
        <v>2530</v>
      </c>
      <c r="F222" s="8" t="s">
        <v>2531</v>
      </c>
      <c r="G222" s="8" t="s">
        <v>1007</v>
      </c>
      <c r="H222" s="3" t="s">
        <v>26</v>
      </c>
      <c r="I222" s="8" t="s">
        <v>78</v>
      </c>
      <c r="J222" s="8" t="s">
        <v>2531</v>
      </c>
      <c r="K222" s="12" t="s">
        <v>2532</v>
      </c>
      <c r="L222" s="13"/>
      <c r="M222" s="8"/>
      <c r="N222" s="8"/>
      <c r="O222" s="8"/>
      <c r="P222" s="3" t="s">
        <v>4206</v>
      </c>
      <c r="Q222" s="11">
        <v>43964.581435185188</v>
      </c>
      <c r="R222" s="3" t="s">
        <v>4207</v>
      </c>
      <c r="S222" s="11">
        <v>43858.550150462965</v>
      </c>
      <c r="T222" s="7">
        <v>251</v>
      </c>
      <c r="U222" s="13">
        <f>COUNTIF('TAX Parcel Status Report'!$A$6:$A$290,SP_TaxPar_DB[[#This Row],[Tax Parcel ID]])</f>
        <v>1</v>
      </c>
    </row>
    <row r="223" spans="1:21" ht="18" customHeight="1" x14ac:dyDescent="0.2">
      <c r="A223" s="6" t="s">
        <v>5114</v>
      </c>
      <c r="B223" s="15" t="s">
        <v>5375</v>
      </c>
      <c r="C223" s="15"/>
      <c r="D223" s="20" t="s">
        <v>2493</v>
      </c>
      <c r="E223" s="8" t="s">
        <v>5115</v>
      </c>
      <c r="F223" s="8" t="s">
        <v>5088</v>
      </c>
      <c r="G223" s="8" t="s">
        <v>1007</v>
      </c>
      <c r="H223" s="3" t="s">
        <v>26</v>
      </c>
      <c r="I223" s="8" t="s">
        <v>78</v>
      </c>
      <c r="J223" s="8" t="s">
        <v>5088</v>
      </c>
      <c r="K223" s="12" t="s">
        <v>5116</v>
      </c>
      <c r="L223" s="13">
        <v>1.0329999999999999</v>
      </c>
      <c r="M223" s="8" t="s">
        <v>29</v>
      </c>
      <c r="N223" s="8" t="s">
        <v>5117</v>
      </c>
      <c r="O223" s="8"/>
      <c r="P223" s="3" t="s">
        <v>4206</v>
      </c>
      <c r="Q223" s="11">
        <v>43964.581493055557</v>
      </c>
      <c r="R223" s="3" t="s">
        <v>4205</v>
      </c>
      <c r="S223" s="11">
        <v>43962.72142361111</v>
      </c>
      <c r="T223" s="7">
        <v>297</v>
      </c>
      <c r="U223" s="13">
        <f>COUNTIF('TAX Parcel Status Report'!$A$6:$A$290,SP_TaxPar_DB[[#This Row],[Tax Parcel ID]])</f>
        <v>1</v>
      </c>
    </row>
    <row r="224" spans="1:21" ht="18" customHeight="1" x14ac:dyDescent="0.2">
      <c r="A224" s="47" t="s">
        <v>5118</v>
      </c>
      <c r="B224" s="15" t="s">
        <v>5377</v>
      </c>
      <c r="C224" s="15"/>
      <c r="D224" s="20" t="s">
        <v>2493</v>
      </c>
      <c r="E224" s="8" t="s">
        <v>5090</v>
      </c>
      <c r="F224" s="8" t="s">
        <v>5091</v>
      </c>
      <c r="G224" s="8" t="s">
        <v>1007</v>
      </c>
      <c r="H224" s="3" t="s">
        <v>26</v>
      </c>
      <c r="I224" s="8" t="s">
        <v>78</v>
      </c>
      <c r="J224" s="8" t="s">
        <v>5091</v>
      </c>
      <c r="K224" s="12" t="s">
        <v>5119</v>
      </c>
      <c r="L224" s="13">
        <v>0.68899999999999995</v>
      </c>
      <c r="M224" s="8" t="s">
        <v>29</v>
      </c>
      <c r="N224" s="8" t="s">
        <v>5120</v>
      </c>
      <c r="O224" s="8"/>
      <c r="P224" s="3" t="s">
        <v>4206</v>
      </c>
      <c r="Q224" s="11">
        <v>43964.58152777778</v>
      </c>
      <c r="R224" s="3" t="s">
        <v>4205</v>
      </c>
      <c r="S224" s="11">
        <v>43962.723530092589</v>
      </c>
      <c r="T224" s="7">
        <v>298</v>
      </c>
      <c r="U224" s="13">
        <f>COUNTIF('TAX Parcel Status Report'!$A$6:$A$290,SP_TaxPar_DB[[#This Row],[Tax Parcel ID]])</f>
        <v>1</v>
      </c>
    </row>
    <row r="225" spans="1:21" ht="18" customHeight="1" x14ac:dyDescent="0.2">
      <c r="A225" s="6" t="s">
        <v>5121</v>
      </c>
      <c r="B225" s="15" t="s">
        <v>5379</v>
      </c>
      <c r="C225" s="15"/>
      <c r="D225" s="20" t="s">
        <v>2493</v>
      </c>
      <c r="E225" s="8" t="s">
        <v>5093</v>
      </c>
      <c r="F225" s="8" t="s">
        <v>5094</v>
      </c>
      <c r="G225" s="8" t="s">
        <v>1007</v>
      </c>
      <c r="H225" s="3" t="s">
        <v>26</v>
      </c>
      <c r="I225" s="8" t="s">
        <v>78</v>
      </c>
      <c r="J225" s="8" t="s">
        <v>5094</v>
      </c>
      <c r="K225" s="12" t="s">
        <v>5122</v>
      </c>
      <c r="L225" s="13">
        <v>1.0289999999999999</v>
      </c>
      <c r="M225" s="8" t="s">
        <v>29</v>
      </c>
      <c r="N225" s="8"/>
      <c r="O225" s="8"/>
      <c r="P225" s="3" t="s">
        <v>4206</v>
      </c>
      <c r="Q225" s="11">
        <v>43964.581574074073</v>
      </c>
      <c r="R225" s="3" t="s">
        <v>4205</v>
      </c>
      <c r="S225" s="11">
        <v>43962.726377314815</v>
      </c>
      <c r="T225" s="7">
        <v>299</v>
      </c>
      <c r="U225" s="13">
        <f>COUNTIF('TAX Parcel Status Report'!$A$6:$A$290,SP_TaxPar_DB[[#This Row],[Tax Parcel ID]])</f>
        <v>1</v>
      </c>
    </row>
    <row r="226" spans="1:21" ht="18" customHeight="1" x14ac:dyDescent="0.2">
      <c r="A226" s="47" t="s">
        <v>2533</v>
      </c>
      <c r="B226" s="15"/>
      <c r="C226" s="15" t="s">
        <v>41</v>
      </c>
      <c r="D226" s="20" t="s">
        <v>1808</v>
      </c>
      <c r="E226" s="8" t="s">
        <v>2534</v>
      </c>
      <c r="F226" s="8" t="s">
        <v>2535</v>
      </c>
      <c r="G226" s="8" t="s">
        <v>1007</v>
      </c>
      <c r="H226" s="3" t="s">
        <v>26</v>
      </c>
      <c r="I226" s="8" t="s">
        <v>78</v>
      </c>
      <c r="J226" s="8" t="s">
        <v>2536</v>
      </c>
      <c r="K226" s="12" t="s">
        <v>2537</v>
      </c>
      <c r="L226" s="13"/>
      <c r="M226" s="8"/>
      <c r="N226" s="8"/>
      <c r="O226" s="8"/>
      <c r="P226" s="3" t="s">
        <v>4207</v>
      </c>
      <c r="Q226" s="11">
        <v>43861.435243055559</v>
      </c>
      <c r="R226" s="3" t="s">
        <v>4207</v>
      </c>
      <c r="S226" s="11">
        <v>43858.550150462965</v>
      </c>
      <c r="T226" s="7">
        <v>252</v>
      </c>
      <c r="U226" s="13">
        <f>COUNTIF('TAX Parcel Status Report'!$A$6:$A$290,SP_TaxPar_DB[[#This Row],[Tax Parcel ID]])</f>
        <v>1</v>
      </c>
    </row>
    <row r="227" spans="1:21" ht="18" customHeight="1" x14ac:dyDescent="0.2">
      <c r="A227" s="47" t="s">
        <v>2538</v>
      </c>
      <c r="B227" s="15" t="s">
        <v>5336</v>
      </c>
      <c r="C227" s="15"/>
      <c r="D227" s="20" t="s">
        <v>2493</v>
      </c>
      <c r="E227" s="8" t="s">
        <v>2539</v>
      </c>
      <c r="F227" s="8" t="s">
        <v>2540</v>
      </c>
      <c r="G227" s="8" t="s">
        <v>1007</v>
      </c>
      <c r="H227" s="3" t="s">
        <v>26</v>
      </c>
      <c r="I227" s="8" t="s">
        <v>2541</v>
      </c>
      <c r="J227" s="8" t="s">
        <v>2542</v>
      </c>
      <c r="K227" s="12" t="s">
        <v>2543</v>
      </c>
      <c r="L227" s="13"/>
      <c r="M227" s="8"/>
      <c r="N227" s="8"/>
      <c r="O227" s="8"/>
      <c r="P227" s="3" t="s">
        <v>4206</v>
      </c>
      <c r="Q227" s="11">
        <v>43964.582025462965</v>
      </c>
      <c r="R227" s="3" t="s">
        <v>4207</v>
      </c>
      <c r="S227" s="11">
        <v>43858.550150462965</v>
      </c>
      <c r="T227" s="7">
        <v>253</v>
      </c>
      <c r="U227" s="13">
        <f>COUNTIF('TAX Parcel Status Report'!$A$6:$A$290,SP_TaxPar_DB[[#This Row],[Tax Parcel ID]])</f>
        <v>1</v>
      </c>
    </row>
    <row r="228" spans="1:21" ht="18" customHeight="1" x14ac:dyDescent="0.2">
      <c r="A228" s="6" t="s">
        <v>495</v>
      </c>
      <c r="B228" s="15" t="s">
        <v>40</v>
      </c>
      <c r="C228" s="15"/>
      <c r="D228" s="20" t="s">
        <v>1811</v>
      </c>
      <c r="E228" s="8" t="s">
        <v>116</v>
      </c>
      <c r="F228" s="8" t="s">
        <v>117</v>
      </c>
      <c r="G228" s="8" t="s">
        <v>77</v>
      </c>
      <c r="H228" s="3" t="s">
        <v>26</v>
      </c>
      <c r="I228" s="8" t="s">
        <v>78</v>
      </c>
      <c r="J228" s="8" t="s">
        <v>496</v>
      </c>
      <c r="K228" s="12" t="s">
        <v>497</v>
      </c>
      <c r="L228" s="13">
        <v>0.1714</v>
      </c>
      <c r="M228" s="8" t="s">
        <v>257</v>
      </c>
      <c r="N228" s="8" t="s">
        <v>498</v>
      </c>
      <c r="O228" s="8"/>
      <c r="P228" s="3" t="s">
        <v>4207</v>
      </c>
      <c r="Q228" s="11">
        <v>43851.576145833336</v>
      </c>
      <c r="R228" s="3" t="s">
        <v>23</v>
      </c>
      <c r="S228" s="11">
        <v>43682.658506944441</v>
      </c>
      <c r="T228" s="7">
        <v>24</v>
      </c>
      <c r="U228" s="13">
        <f>COUNTIF('TAX Parcel Status Report'!$A$6:$A$290,SP_TaxPar_DB[[#This Row],[Tax Parcel ID]])</f>
        <v>1</v>
      </c>
    </row>
    <row r="229" spans="1:21" ht="18" customHeight="1" x14ac:dyDescent="0.2">
      <c r="A229" s="47" t="s">
        <v>499</v>
      </c>
      <c r="B229" s="15" t="s">
        <v>159</v>
      </c>
      <c r="C229" s="15"/>
      <c r="D229" s="20" t="s">
        <v>1811</v>
      </c>
      <c r="E229" s="8" t="s">
        <v>482</v>
      </c>
      <c r="F229" s="8" t="s">
        <v>483</v>
      </c>
      <c r="G229" s="8" t="s">
        <v>25</v>
      </c>
      <c r="H229" s="3" t="s">
        <v>26</v>
      </c>
      <c r="I229" s="8" t="s">
        <v>356</v>
      </c>
      <c r="J229" s="8" t="s">
        <v>79</v>
      </c>
      <c r="K229" s="12" t="s">
        <v>500</v>
      </c>
      <c r="L229" s="13">
        <v>23.302099999999999</v>
      </c>
      <c r="M229" s="8" t="s">
        <v>501</v>
      </c>
      <c r="N229" s="8" t="s">
        <v>485</v>
      </c>
      <c r="O229" s="8"/>
      <c r="P229" s="3" t="s">
        <v>4207</v>
      </c>
      <c r="Q229" s="11">
        <v>43851.576319444444</v>
      </c>
      <c r="R229" s="3" t="s">
        <v>23</v>
      </c>
      <c r="S229" s="11">
        <v>43682.658506944441</v>
      </c>
      <c r="T229" s="7">
        <v>36</v>
      </c>
      <c r="U229" s="13">
        <f>COUNTIF('TAX Parcel Status Report'!$A$6:$A$290,SP_TaxPar_DB[[#This Row],[Tax Parcel ID]])</f>
        <v>1</v>
      </c>
    </row>
    <row r="230" spans="1:21" ht="18" customHeight="1" x14ac:dyDescent="0.2">
      <c r="A230" s="6" t="s">
        <v>502</v>
      </c>
      <c r="B230" s="15" t="s">
        <v>159</v>
      </c>
      <c r="C230" s="15"/>
      <c r="D230" s="20" t="s">
        <v>1811</v>
      </c>
      <c r="E230" s="8" t="s">
        <v>482</v>
      </c>
      <c r="F230" s="8" t="s">
        <v>483</v>
      </c>
      <c r="G230" s="8" t="s">
        <v>25</v>
      </c>
      <c r="H230" s="3" t="s">
        <v>26</v>
      </c>
      <c r="I230" s="8" t="s">
        <v>356</v>
      </c>
      <c r="J230" s="8" t="s">
        <v>79</v>
      </c>
      <c r="K230" s="12" t="s">
        <v>503</v>
      </c>
      <c r="L230" s="13">
        <v>37.133499999999998</v>
      </c>
      <c r="M230" s="8" t="s">
        <v>305</v>
      </c>
      <c r="N230" s="8" t="s">
        <v>485</v>
      </c>
      <c r="O230" s="8"/>
      <c r="P230" s="3" t="s">
        <v>4207</v>
      </c>
      <c r="Q230" s="11">
        <v>43851.576319444444</v>
      </c>
      <c r="R230" s="3" t="s">
        <v>23</v>
      </c>
      <c r="S230" s="11">
        <v>43682.658506944441</v>
      </c>
      <c r="T230" s="7">
        <v>37</v>
      </c>
      <c r="U230" s="13">
        <f>COUNTIF('TAX Parcel Status Report'!$A$6:$A$290,SP_TaxPar_DB[[#This Row],[Tax Parcel ID]])</f>
        <v>1</v>
      </c>
    </row>
    <row r="231" spans="1:21" ht="18" customHeight="1" x14ac:dyDescent="0.2">
      <c r="A231" s="47" t="s">
        <v>2544</v>
      </c>
      <c r="B231" s="15"/>
      <c r="C231" s="15" t="s">
        <v>141</v>
      </c>
      <c r="D231" s="20" t="s">
        <v>1808</v>
      </c>
      <c r="E231" s="8" t="s">
        <v>2545</v>
      </c>
      <c r="F231" s="8" t="s">
        <v>2546</v>
      </c>
      <c r="G231" s="8" t="s">
        <v>1007</v>
      </c>
      <c r="H231" s="3" t="s">
        <v>26</v>
      </c>
      <c r="I231" s="8" t="s">
        <v>78</v>
      </c>
      <c r="J231" s="8" t="s">
        <v>2547</v>
      </c>
      <c r="K231" s="12" t="s">
        <v>2548</v>
      </c>
      <c r="L231" s="13"/>
      <c r="M231" s="8"/>
      <c r="N231" s="8"/>
      <c r="O231" s="8"/>
      <c r="P231" s="3" t="s">
        <v>4207</v>
      </c>
      <c r="Q231" s="11">
        <v>43861.435312499998</v>
      </c>
      <c r="R231" s="3" t="s">
        <v>4207</v>
      </c>
      <c r="S231" s="11">
        <v>43858.550150462965</v>
      </c>
      <c r="T231" s="7">
        <v>254</v>
      </c>
      <c r="U231" s="13">
        <f>COUNTIF('TAX Parcel Status Report'!$A$6:$A$290,SP_TaxPar_DB[[#This Row],[Tax Parcel ID]])</f>
        <v>1</v>
      </c>
    </row>
    <row r="232" spans="1:21" ht="18" customHeight="1" x14ac:dyDescent="0.2">
      <c r="A232" s="195" t="s">
        <v>2549</v>
      </c>
      <c r="B232" s="193"/>
      <c r="C232" s="193" t="s">
        <v>147</v>
      </c>
      <c r="D232" s="20" t="s">
        <v>1808</v>
      </c>
      <c r="E232" s="8" t="s">
        <v>2545</v>
      </c>
      <c r="F232" s="8" t="s">
        <v>2546</v>
      </c>
      <c r="G232" s="8" t="s">
        <v>1007</v>
      </c>
      <c r="H232" s="3" t="s">
        <v>26</v>
      </c>
      <c r="I232" s="8" t="s">
        <v>78</v>
      </c>
      <c r="J232" s="8" t="s">
        <v>1926</v>
      </c>
      <c r="K232" s="12" t="s">
        <v>2550</v>
      </c>
      <c r="L232" s="13"/>
      <c r="M232" s="8"/>
      <c r="N232" s="8"/>
      <c r="O232" s="8"/>
      <c r="P232" s="3" t="s">
        <v>4207</v>
      </c>
      <c r="Q232" s="11">
        <v>43861.435370370367</v>
      </c>
      <c r="R232" s="3" t="s">
        <v>4207</v>
      </c>
      <c r="S232" s="11">
        <v>43858.550150462965</v>
      </c>
      <c r="T232" s="7">
        <v>255</v>
      </c>
      <c r="U232" s="13">
        <f>COUNTIF('TAX Parcel Status Report'!$A$6:$A$290,SP_TaxPar_DB[[#This Row],[Tax Parcel ID]])</f>
        <v>1</v>
      </c>
    </row>
    <row r="233" spans="1:21" ht="18" customHeight="1" x14ac:dyDescent="0.2">
      <c r="A233" s="47" t="s">
        <v>2551</v>
      </c>
      <c r="B233" s="15" t="s">
        <v>5536</v>
      </c>
      <c r="C233" s="15"/>
      <c r="D233" s="20" t="s">
        <v>2493</v>
      </c>
      <c r="E233" s="8" t="s">
        <v>2511</v>
      </c>
      <c r="F233" s="8" t="s">
        <v>2552</v>
      </c>
      <c r="G233" s="8"/>
      <c r="H233" s="3"/>
      <c r="I233" s="8"/>
      <c r="J233" s="8" t="s">
        <v>2522</v>
      </c>
      <c r="K233" s="12" t="s">
        <v>2553</v>
      </c>
      <c r="L233" s="13"/>
      <c r="M233" s="8"/>
      <c r="N233" s="8"/>
      <c r="O233" s="8"/>
      <c r="P233" s="3" t="s">
        <v>4206</v>
      </c>
      <c r="Q233" s="11">
        <v>43964.582025462965</v>
      </c>
      <c r="R233" s="3" t="s">
        <v>4207</v>
      </c>
      <c r="S233" s="11">
        <v>43858.550150462965</v>
      </c>
      <c r="T233" s="7">
        <v>256</v>
      </c>
      <c r="U233" s="13">
        <f>COUNTIF('TAX Parcel Status Report'!$A$6:$A$290,SP_TaxPar_DB[[#This Row],[Tax Parcel ID]])</f>
        <v>1</v>
      </c>
    </row>
    <row r="234" spans="1:21" ht="18" customHeight="1" x14ac:dyDescent="0.2">
      <c r="A234" s="6" t="s">
        <v>152</v>
      </c>
      <c r="B234" s="15" t="s">
        <v>149</v>
      </c>
      <c r="C234" s="15"/>
      <c r="D234" s="20" t="s">
        <v>1811</v>
      </c>
      <c r="E234" s="8" t="s">
        <v>150</v>
      </c>
      <c r="F234" s="8" t="s">
        <v>151</v>
      </c>
      <c r="G234" s="8" t="s">
        <v>25</v>
      </c>
      <c r="H234" s="3" t="s">
        <v>26</v>
      </c>
      <c r="I234" s="8" t="s">
        <v>504</v>
      </c>
      <c r="J234" s="8" t="s">
        <v>110</v>
      </c>
      <c r="K234" s="12" t="s">
        <v>505</v>
      </c>
      <c r="L234" s="13">
        <v>3.44E-2</v>
      </c>
      <c r="M234" s="8" t="s">
        <v>257</v>
      </c>
      <c r="N234" s="8" t="s">
        <v>506</v>
      </c>
      <c r="O234" s="8"/>
      <c r="P234" s="3" t="s">
        <v>4207</v>
      </c>
      <c r="Q234" s="11">
        <v>43851.576296296298</v>
      </c>
      <c r="R234" s="3" t="s">
        <v>23</v>
      </c>
      <c r="S234" s="11">
        <v>43682.658506944441</v>
      </c>
      <c r="T234" s="7">
        <v>34</v>
      </c>
      <c r="U234" s="13">
        <f>COUNTIF('TAX Parcel Status Report'!$A$6:$A$290,SP_TaxPar_DB[[#This Row],[Tax Parcel ID]])</f>
        <v>1</v>
      </c>
    </row>
    <row r="235" spans="1:21" ht="18" customHeight="1" x14ac:dyDescent="0.2">
      <c r="A235" s="47" t="s">
        <v>507</v>
      </c>
      <c r="B235" s="15" t="s">
        <v>147</v>
      </c>
      <c r="C235" s="15"/>
      <c r="D235" s="20" t="s">
        <v>1811</v>
      </c>
      <c r="E235" s="8" t="s">
        <v>106</v>
      </c>
      <c r="F235" s="8" t="s">
        <v>360</v>
      </c>
      <c r="G235" s="8" t="s">
        <v>77</v>
      </c>
      <c r="H235" s="3" t="s">
        <v>26</v>
      </c>
      <c r="I235" s="8" t="s">
        <v>78</v>
      </c>
      <c r="J235" s="8" t="s">
        <v>360</v>
      </c>
      <c r="K235" s="12" t="s">
        <v>508</v>
      </c>
      <c r="L235" s="13">
        <v>0.1951</v>
      </c>
      <c r="M235" s="8" t="s">
        <v>251</v>
      </c>
      <c r="N235" s="8" t="s">
        <v>397</v>
      </c>
      <c r="O235" s="8" t="s">
        <v>355</v>
      </c>
      <c r="P235" s="3" t="s">
        <v>4207</v>
      </c>
      <c r="Q235" s="11">
        <v>43851.576296296298</v>
      </c>
      <c r="R235" s="3" t="s">
        <v>23</v>
      </c>
      <c r="S235" s="11">
        <v>43682.658506944441</v>
      </c>
      <c r="T235" s="7">
        <v>33</v>
      </c>
      <c r="U235" s="13">
        <f>COUNTIF('TAX Parcel Status Report'!$A$6:$A$290,SP_TaxPar_DB[[#This Row],[Tax Parcel ID]])</f>
        <v>1</v>
      </c>
    </row>
    <row r="236" spans="1:21" ht="18" customHeight="1" x14ac:dyDescent="0.2">
      <c r="A236" s="47" t="s">
        <v>2554</v>
      </c>
      <c r="B236" s="15"/>
      <c r="C236" s="15" t="s">
        <v>3289</v>
      </c>
      <c r="D236" s="20" t="s">
        <v>1808</v>
      </c>
      <c r="E236" s="8" t="s">
        <v>1959</v>
      </c>
      <c r="F236" s="8" t="s">
        <v>1960</v>
      </c>
      <c r="G236" s="8" t="s">
        <v>1007</v>
      </c>
      <c r="H236" s="3" t="s">
        <v>26</v>
      </c>
      <c r="I236" s="8" t="s">
        <v>78</v>
      </c>
      <c r="J236" s="8" t="s">
        <v>2555</v>
      </c>
      <c r="K236" s="12" t="s">
        <v>2556</v>
      </c>
      <c r="L236" s="13"/>
      <c r="M236" s="8"/>
      <c r="N236" s="8"/>
      <c r="O236" s="8"/>
      <c r="P236" s="3" t="s">
        <v>4207</v>
      </c>
      <c r="Q236" s="11">
        <v>43861.435520833336</v>
      </c>
      <c r="R236" s="3" t="s">
        <v>4207</v>
      </c>
      <c r="S236" s="11">
        <v>43858.550150462965</v>
      </c>
      <c r="T236" s="7">
        <v>257</v>
      </c>
      <c r="U236" s="13">
        <f>COUNTIF('TAX Parcel Status Report'!$A$6:$A$290,SP_TaxPar_DB[[#This Row],[Tax Parcel ID]])</f>
        <v>1</v>
      </c>
    </row>
    <row r="237" spans="1:21" ht="18" customHeight="1" x14ac:dyDescent="0.2">
      <c r="A237" s="6" t="s">
        <v>2557</v>
      </c>
      <c r="B237" s="15"/>
      <c r="C237" s="15" t="s">
        <v>3294</v>
      </c>
      <c r="D237" s="20" t="s">
        <v>1808</v>
      </c>
      <c r="E237" s="8" t="s">
        <v>1966</v>
      </c>
      <c r="F237" s="8" t="s">
        <v>1960</v>
      </c>
      <c r="G237" s="8" t="s">
        <v>1007</v>
      </c>
      <c r="H237" s="3" t="s">
        <v>26</v>
      </c>
      <c r="I237" s="8" t="s">
        <v>78</v>
      </c>
      <c r="J237" s="8" t="s">
        <v>1963</v>
      </c>
      <c r="K237" s="12" t="s">
        <v>2558</v>
      </c>
      <c r="L237" s="13"/>
      <c r="M237" s="8"/>
      <c r="N237" s="8"/>
      <c r="O237" s="8"/>
      <c r="P237" s="3" t="s">
        <v>4207</v>
      </c>
      <c r="Q237" s="11">
        <v>43861.435567129629</v>
      </c>
      <c r="R237" s="3" t="s">
        <v>4207</v>
      </c>
      <c r="S237" s="11">
        <v>43858.550150462965</v>
      </c>
      <c r="T237" s="7">
        <v>258</v>
      </c>
      <c r="U237" s="13">
        <f>COUNTIF('TAX Parcel Status Report'!$A$6:$A$290,SP_TaxPar_DB[[#This Row],[Tax Parcel ID]])</f>
        <v>1</v>
      </c>
    </row>
    <row r="238" spans="1:21" ht="18" customHeight="1" x14ac:dyDescent="0.2">
      <c r="A238" s="47" t="s">
        <v>2559</v>
      </c>
      <c r="B238" s="15" t="s">
        <v>5338</v>
      </c>
      <c r="C238" s="15"/>
      <c r="D238" s="20" t="s">
        <v>2493</v>
      </c>
      <c r="E238" s="8" t="s">
        <v>6277</v>
      </c>
      <c r="F238" s="8" t="s">
        <v>6278</v>
      </c>
      <c r="G238" s="8" t="s">
        <v>1007</v>
      </c>
      <c r="H238" s="3" t="s">
        <v>26</v>
      </c>
      <c r="I238" s="8" t="s">
        <v>78</v>
      </c>
      <c r="J238" s="8" t="s">
        <v>2560</v>
      </c>
      <c r="K238" s="12" t="s">
        <v>2561</v>
      </c>
      <c r="L238" s="13"/>
      <c r="M238" s="8"/>
      <c r="N238" s="8"/>
      <c r="O238" s="8"/>
      <c r="P238" s="3" t="s">
        <v>4206</v>
      </c>
      <c r="Q238" s="11">
        <v>43999.407395833332</v>
      </c>
      <c r="R238" s="3" t="s">
        <v>4207</v>
      </c>
      <c r="S238" s="11">
        <v>43858.550150462965</v>
      </c>
      <c r="T238" s="7">
        <v>259</v>
      </c>
      <c r="U238" s="13">
        <f>COUNTIF('TAX Parcel Status Report'!$A$6:$A$290,SP_TaxPar_DB[[#This Row],[Tax Parcel ID]])</f>
        <v>1</v>
      </c>
    </row>
    <row r="239" spans="1:21" ht="18" customHeight="1" x14ac:dyDescent="0.2">
      <c r="A239" s="6" t="s">
        <v>2562</v>
      </c>
      <c r="B239" s="15" t="s">
        <v>5340</v>
      </c>
      <c r="C239" s="15"/>
      <c r="D239" s="20" t="s">
        <v>2493</v>
      </c>
      <c r="E239" s="8" t="s">
        <v>6277</v>
      </c>
      <c r="F239" s="8" t="s">
        <v>6279</v>
      </c>
      <c r="G239" s="8" t="s">
        <v>1007</v>
      </c>
      <c r="H239" s="3" t="s">
        <v>26</v>
      </c>
      <c r="I239" s="8" t="s">
        <v>78</v>
      </c>
      <c r="J239" s="8" t="s">
        <v>2563</v>
      </c>
      <c r="K239" s="12" t="s">
        <v>2564</v>
      </c>
      <c r="L239" s="13"/>
      <c r="M239" s="8"/>
      <c r="N239" s="8"/>
      <c r="O239" s="8"/>
      <c r="P239" s="3" t="s">
        <v>4206</v>
      </c>
      <c r="Q239" s="11">
        <v>43999.411064814813</v>
      </c>
      <c r="R239" s="3" t="s">
        <v>4207</v>
      </c>
      <c r="S239" s="11">
        <v>43858.550150462965</v>
      </c>
      <c r="T239" s="7">
        <v>260</v>
      </c>
      <c r="U239" s="13">
        <f>COUNTIF('TAX Parcel Status Report'!$A$6:$A$290,SP_TaxPar_DB[[#This Row],[Tax Parcel ID]])</f>
        <v>1</v>
      </c>
    </row>
    <row r="240" spans="1:21" ht="18" customHeight="1" x14ac:dyDescent="0.2">
      <c r="A240" s="6" t="s">
        <v>2565</v>
      </c>
      <c r="B240" s="15"/>
      <c r="C240" s="15" t="s">
        <v>3305</v>
      </c>
      <c r="D240" s="20" t="s">
        <v>1808</v>
      </c>
      <c r="E240" s="8" t="s">
        <v>2566</v>
      </c>
      <c r="F240" s="8" t="s">
        <v>2567</v>
      </c>
      <c r="G240" s="8" t="s">
        <v>1007</v>
      </c>
      <c r="H240" s="3" t="s">
        <v>26</v>
      </c>
      <c r="I240" s="8" t="s">
        <v>78</v>
      </c>
      <c r="J240" s="8" t="s">
        <v>2567</v>
      </c>
      <c r="K240" s="12" t="s">
        <v>2568</v>
      </c>
      <c r="L240" s="13"/>
      <c r="M240" s="8"/>
      <c r="N240" s="8"/>
      <c r="O240" s="8"/>
      <c r="P240" s="3" t="s">
        <v>4207</v>
      </c>
      <c r="Q240" s="11">
        <v>43861.435763888891</v>
      </c>
      <c r="R240" s="3" t="s">
        <v>4207</v>
      </c>
      <c r="S240" s="11">
        <v>43858.550150462965</v>
      </c>
      <c r="T240" s="7">
        <v>261</v>
      </c>
      <c r="U240" s="13">
        <f>COUNTIF('TAX Parcel Status Report'!$A$6:$A$290,SP_TaxPar_DB[[#This Row],[Tax Parcel ID]])</f>
        <v>1</v>
      </c>
    </row>
    <row r="241" spans="1:21" ht="18" customHeight="1" x14ac:dyDescent="0.2">
      <c r="A241" s="47" t="s">
        <v>2569</v>
      </c>
      <c r="B241" s="15"/>
      <c r="C241" s="15" t="s">
        <v>3310</v>
      </c>
      <c r="D241" s="20" t="s">
        <v>1808</v>
      </c>
      <c r="E241" s="8" t="s">
        <v>2501</v>
      </c>
      <c r="F241" s="8" t="s">
        <v>2502</v>
      </c>
      <c r="G241" s="8" t="s">
        <v>1838</v>
      </c>
      <c r="H241" s="3" t="s">
        <v>26</v>
      </c>
      <c r="I241" s="8" t="s">
        <v>356</v>
      </c>
      <c r="J241" s="8" t="s">
        <v>2570</v>
      </c>
      <c r="K241" s="12" t="s">
        <v>2571</v>
      </c>
      <c r="L241" s="13"/>
      <c r="M241" s="8"/>
      <c r="N241" s="8"/>
      <c r="O241" s="8"/>
      <c r="P241" s="3" t="s">
        <v>4207</v>
      </c>
      <c r="Q241" s="11">
        <v>43861.435798611114</v>
      </c>
      <c r="R241" s="3" t="s">
        <v>4207</v>
      </c>
      <c r="S241" s="11">
        <v>43858.550150462965</v>
      </c>
      <c r="T241" s="7">
        <v>262</v>
      </c>
      <c r="U241" s="13">
        <f>COUNTIF('TAX Parcel Status Report'!$A$6:$A$290,SP_TaxPar_DB[[#This Row],[Tax Parcel ID]])</f>
        <v>1</v>
      </c>
    </row>
    <row r="242" spans="1:21" ht="18" customHeight="1" x14ac:dyDescent="0.2">
      <c r="A242" s="6" t="s">
        <v>2572</v>
      </c>
      <c r="B242" s="15"/>
      <c r="C242" s="15" t="s">
        <v>3315</v>
      </c>
      <c r="D242" s="20" t="s">
        <v>1808</v>
      </c>
      <c r="E242" s="8" t="s">
        <v>2573</v>
      </c>
      <c r="F242" s="8" t="s">
        <v>2574</v>
      </c>
      <c r="G242" s="8" t="s">
        <v>1007</v>
      </c>
      <c r="H242" s="3" t="s">
        <v>26</v>
      </c>
      <c r="I242" s="8" t="s">
        <v>78</v>
      </c>
      <c r="J242" s="8" t="s">
        <v>2570</v>
      </c>
      <c r="K242" s="12" t="s">
        <v>2575</v>
      </c>
      <c r="L242" s="13"/>
      <c r="M242" s="8"/>
      <c r="N242" s="8"/>
      <c r="O242" s="8"/>
      <c r="P242" s="3" t="s">
        <v>4207</v>
      </c>
      <c r="Q242" s="11">
        <v>43861.435844907406</v>
      </c>
      <c r="R242" s="3" t="s">
        <v>4207</v>
      </c>
      <c r="S242" s="11">
        <v>43858.550150462965</v>
      </c>
      <c r="T242" s="7">
        <v>263</v>
      </c>
      <c r="U242" s="13">
        <f>COUNTIF('TAX Parcel Status Report'!$A$6:$A$290,SP_TaxPar_DB[[#This Row],[Tax Parcel ID]])</f>
        <v>1</v>
      </c>
    </row>
    <row r="243" spans="1:21" ht="18" customHeight="1" x14ac:dyDescent="0.2">
      <c r="A243" s="47" t="s">
        <v>2576</v>
      </c>
      <c r="B243" s="15"/>
      <c r="C243" s="15" t="s">
        <v>3320</v>
      </c>
      <c r="D243" s="20" t="s">
        <v>1808</v>
      </c>
      <c r="E243" s="8" t="s">
        <v>2577</v>
      </c>
      <c r="F243" s="8" t="s">
        <v>2578</v>
      </c>
      <c r="G243" s="8" t="s">
        <v>2012</v>
      </c>
      <c r="H243" s="3" t="s">
        <v>26</v>
      </c>
      <c r="I243" s="8" t="s">
        <v>2013</v>
      </c>
      <c r="J243" s="8" t="s">
        <v>2579</v>
      </c>
      <c r="K243" s="12" t="s">
        <v>2580</v>
      </c>
      <c r="L243" s="13"/>
      <c r="M243" s="8"/>
      <c r="N243" s="8"/>
      <c r="O243" s="8"/>
      <c r="P243" s="3" t="s">
        <v>4207</v>
      </c>
      <c r="Q243" s="11">
        <v>43861.435891203706</v>
      </c>
      <c r="R243" s="3" t="s">
        <v>4207</v>
      </c>
      <c r="S243" s="11">
        <v>43858.550150462965</v>
      </c>
      <c r="T243" s="7">
        <v>264</v>
      </c>
      <c r="U243" s="13">
        <f>COUNTIF('TAX Parcel Status Report'!$A$6:$A$290,SP_TaxPar_DB[[#This Row],[Tax Parcel ID]])</f>
        <v>1</v>
      </c>
    </row>
    <row r="244" spans="1:21" ht="18" customHeight="1" x14ac:dyDescent="0.2">
      <c r="A244" s="6" t="s">
        <v>2581</v>
      </c>
      <c r="B244" s="15"/>
      <c r="C244" s="15" t="s">
        <v>3325</v>
      </c>
      <c r="D244" s="20" t="s">
        <v>1808</v>
      </c>
      <c r="E244" s="8" t="s">
        <v>2582</v>
      </c>
      <c r="F244" s="8" t="s">
        <v>2583</v>
      </c>
      <c r="G244" s="8" t="s">
        <v>1007</v>
      </c>
      <c r="H244" s="3" t="s">
        <v>26</v>
      </c>
      <c r="I244" s="8" t="s">
        <v>78</v>
      </c>
      <c r="J244" s="8" t="s">
        <v>2584</v>
      </c>
      <c r="K244" s="12" t="s">
        <v>2585</v>
      </c>
      <c r="L244" s="13"/>
      <c r="M244" s="8"/>
      <c r="N244" s="8"/>
      <c r="O244" s="8"/>
      <c r="P244" s="3" t="s">
        <v>4207</v>
      </c>
      <c r="Q244" s="11">
        <v>43861.435925925929</v>
      </c>
      <c r="R244" s="3" t="s">
        <v>4207</v>
      </c>
      <c r="S244" s="11">
        <v>43858.550150462965</v>
      </c>
      <c r="T244" s="7">
        <v>265</v>
      </c>
      <c r="U244" s="13">
        <f>COUNTIF('TAX Parcel Status Report'!$A$6:$A$290,SP_TaxPar_DB[[#This Row],[Tax Parcel ID]])</f>
        <v>1</v>
      </c>
    </row>
    <row r="245" spans="1:21" ht="18" customHeight="1" x14ac:dyDescent="0.2">
      <c r="A245" s="6" t="s">
        <v>2586</v>
      </c>
      <c r="B245" s="15" t="s">
        <v>5342</v>
      </c>
      <c r="C245" s="15"/>
      <c r="D245" s="20" t="s">
        <v>2493</v>
      </c>
      <c r="E245" s="8" t="s">
        <v>2582</v>
      </c>
      <c r="F245" s="8" t="s">
        <v>2583</v>
      </c>
      <c r="G245" s="8" t="s">
        <v>1007</v>
      </c>
      <c r="H245" s="3" t="s">
        <v>26</v>
      </c>
      <c r="I245" s="8" t="s">
        <v>78</v>
      </c>
      <c r="J245" s="8" t="s">
        <v>2587</v>
      </c>
      <c r="K245" s="12" t="s">
        <v>2588</v>
      </c>
      <c r="L245" s="13"/>
      <c r="M245" s="8"/>
      <c r="N245" s="8"/>
      <c r="O245" s="8"/>
      <c r="P245" s="3" t="s">
        <v>4206</v>
      </c>
      <c r="Q245" s="11">
        <v>43964.582025462965</v>
      </c>
      <c r="R245" s="3" t="s">
        <v>4207</v>
      </c>
      <c r="S245" s="11">
        <v>43858.550150462965</v>
      </c>
      <c r="T245" s="7">
        <v>266</v>
      </c>
      <c r="U245" s="13">
        <f>COUNTIF('TAX Parcel Status Report'!$A$6:$A$290,SP_TaxPar_DB[[#This Row],[Tax Parcel ID]])</f>
        <v>1</v>
      </c>
    </row>
    <row r="246" spans="1:21" ht="18" customHeight="1" x14ac:dyDescent="0.2">
      <c r="A246" s="195" t="s">
        <v>1120</v>
      </c>
      <c r="B246" s="193" t="s">
        <v>4568</v>
      </c>
      <c r="C246" s="193"/>
      <c r="D246" s="20" t="s">
        <v>1811</v>
      </c>
      <c r="E246" s="8" t="s">
        <v>1121</v>
      </c>
      <c r="F246" s="8" t="s">
        <v>1122</v>
      </c>
      <c r="G246" s="8" t="s">
        <v>997</v>
      </c>
      <c r="H246" s="3" t="s">
        <v>998</v>
      </c>
      <c r="I246" s="8" t="s">
        <v>1716</v>
      </c>
      <c r="J246" s="8" t="s">
        <v>1693</v>
      </c>
      <c r="K246" s="12" t="s">
        <v>1123</v>
      </c>
      <c r="L246" s="13">
        <v>73.31</v>
      </c>
      <c r="M246" s="8" t="s">
        <v>1124</v>
      </c>
      <c r="N246" s="8"/>
      <c r="O246" s="8"/>
      <c r="P246" s="3" t="s">
        <v>4207</v>
      </c>
      <c r="Q246" s="11">
        <v>43851.57744212963</v>
      </c>
      <c r="R246" s="3" t="s">
        <v>4326</v>
      </c>
      <c r="S246" s="11">
        <v>43739.381956018522</v>
      </c>
      <c r="T246" s="7">
        <v>89</v>
      </c>
      <c r="U246" s="13">
        <f>COUNTIF('TAX Parcel Status Report'!$A$6:$A$290,SP_TaxPar_DB[[#This Row],[Tax Parcel ID]])</f>
        <v>1</v>
      </c>
    </row>
    <row r="247" spans="1:21" ht="18" customHeight="1" x14ac:dyDescent="0.2">
      <c r="A247" s="47" t="s">
        <v>2589</v>
      </c>
      <c r="B247" s="15" t="s">
        <v>5344</v>
      </c>
      <c r="C247" s="15"/>
      <c r="D247" s="20" t="s">
        <v>2493</v>
      </c>
      <c r="E247" s="8" t="s">
        <v>2590</v>
      </c>
      <c r="F247" s="8" t="s">
        <v>475</v>
      </c>
      <c r="G247" s="8" t="s">
        <v>2591</v>
      </c>
      <c r="H247" s="3" t="s">
        <v>26</v>
      </c>
      <c r="I247" s="8" t="s">
        <v>477</v>
      </c>
      <c r="J247" s="8" t="s">
        <v>2592</v>
      </c>
      <c r="K247" s="12" t="s">
        <v>2593</v>
      </c>
      <c r="L247" s="13"/>
      <c r="M247" s="8"/>
      <c r="N247" s="8"/>
      <c r="O247" s="8"/>
      <c r="P247" s="3" t="s">
        <v>4206</v>
      </c>
      <c r="Q247" s="11">
        <v>43977.481944444444</v>
      </c>
      <c r="R247" s="3" t="s">
        <v>4207</v>
      </c>
      <c r="S247" s="11">
        <v>43858.550150462965</v>
      </c>
      <c r="T247" s="7">
        <v>267</v>
      </c>
      <c r="U247" s="13">
        <f>COUNTIF('TAX Parcel Status Report'!$A$6:$A$290,SP_TaxPar_DB[[#This Row],[Tax Parcel ID]])</f>
        <v>1</v>
      </c>
    </row>
    <row r="248" spans="1:21" ht="18" customHeight="1" x14ac:dyDescent="0.2">
      <c r="A248" s="6" t="s">
        <v>2594</v>
      </c>
      <c r="B248" s="15" t="s">
        <v>5346</v>
      </c>
      <c r="C248" s="15"/>
      <c r="D248" s="20" t="s">
        <v>2493</v>
      </c>
      <c r="E248" s="8" t="s">
        <v>2595</v>
      </c>
      <c r="F248" s="8" t="s">
        <v>2596</v>
      </c>
      <c r="G248" s="8" t="s">
        <v>1007</v>
      </c>
      <c r="H248" s="3" t="s">
        <v>26</v>
      </c>
      <c r="I248" s="8" t="s">
        <v>78</v>
      </c>
      <c r="J248" s="8" t="s">
        <v>2596</v>
      </c>
      <c r="K248" s="12" t="s">
        <v>2597</v>
      </c>
      <c r="L248" s="13"/>
      <c r="M248" s="8"/>
      <c r="N248" s="8"/>
      <c r="O248" s="8"/>
      <c r="P248" s="3" t="s">
        <v>4206</v>
      </c>
      <c r="Q248" s="11">
        <v>43964.582025462965</v>
      </c>
      <c r="R248" s="3" t="s">
        <v>4207</v>
      </c>
      <c r="S248" s="11">
        <v>43858.550150462965</v>
      </c>
      <c r="T248" s="7">
        <v>268</v>
      </c>
      <c r="U248" s="13">
        <f>COUNTIF('TAX Parcel Status Report'!$A$6:$A$290,SP_TaxPar_DB[[#This Row],[Tax Parcel ID]])</f>
        <v>1</v>
      </c>
    </row>
    <row r="249" spans="1:21" ht="18" customHeight="1" x14ac:dyDescent="0.2">
      <c r="A249" s="47" t="s">
        <v>2598</v>
      </c>
      <c r="B249" s="15" t="s">
        <v>5348</v>
      </c>
      <c r="C249" s="15"/>
      <c r="D249" s="20" t="s">
        <v>2493</v>
      </c>
      <c r="E249" s="8" t="s">
        <v>2599</v>
      </c>
      <c r="F249" s="8" t="s">
        <v>2600</v>
      </c>
      <c r="G249" s="8" t="s">
        <v>2601</v>
      </c>
      <c r="H249" s="3" t="s">
        <v>26</v>
      </c>
      <c r="I249" s="8" t="s">
        <v>2602</v>
      </c>
      <c r="J249" s="8" t="s">
        <v>2477</v>
      </c>
      <c r="K249" s="12" t="s">
        <v>2603</v>
      </c>
      <c r="L249" s="13"/>
      <c r="M249" s="8"/>
      <c r="N249" s="8"/>
      <c r="O249" s="8"/>
      <c r="P249" s="3" t="s">
        <v>4206</v>
      </c>
      <c r="Q249" s="11">
        <v>43964.582025462965</v>
      </c>
      <c r="R249" s="3" t="s">
        <v>4207</v>
      </c>
      <c r="S249" s="11">
        <v>43858.550162037034</v>
      </c>
      <c r="T249" s="7">
        <v>269</v>
      </c>
      <c r="U249" s="13">
        <f>COUNTIF('TAX Parcel Status Report'!$A$6:$A$290,SP_TaxPar_DB[[#This Row],[Tax Parcel ID]])</f>
        <v>1</v>
      </c>
    </row>
    <row r="250" spans="1:21" ht="18" customHeight="1" x14ac:dyDescent="0.2">
      <c r="A250" s="6" t="s">
        <v>874</v>
      </c>
      <c r="B250" s="15" t="s">
        <v>878</v>
      </c>
      <c r="C250" s="15"/>
      <c r="D250" s="20" t="s">
        <v>1811</v>
      </c>
      <c r="E250" s="8" t="s">
        <v>1717</v>
      </c>
      <c r="F250" s="8" t="s">
        <v>875</v>
      </c>
      <c r="G250" s="8" t="s">
        <v>77</v>
      </c>
      <c r="H250" s="3" t="s">
        <v>26</v>
      </c>
      <c r="I250" s="8" t="s">
        <v>882</v>
      </c>
      <c r="J250" s="8" t="s">
        <v>875</v>
      </c>
      <c r="K250" s="12" t="s">
        <v>876</v>
      </c>
      <c r="L250" s="13"/>
      <c r="M250" s="8"/>
      <c r="N250" s="8"/>
      <c r="O250" s="8" t="s">
        <v>883</v>
      </c>
      <c r="P250" s="3" t="s">
        <v>4207</v>
      </c>
      <c r="Q250" s="11">
        <v>43851.577430555553</v>
      </c>
      <c r="R250" s="3" t="s">
        <v>4207</v>
      </c>
      <c r="S250" s="11">
        <v>43727.654039351852</v>
      </c>
      <c r="T250" s="7">
        <v>88</v>
      </c>
      <c r="U250" s="13">
        <f>COUNTIF('TAX Parcel Status Report'!$A$6:$A$290,SP_TaxPar_DB[[#This Row],[Tax Parcel ID]])</f>
        <v>1</v>
      </c>
    </row>
    <row r="251" spans="1:21" ht="18" customHeight="1" x14ac:dyDescent="0.2">
      <c r="A251" s="47" t="s">
        <v>230</v>
      </c>
      <c r="B251" s="15" t="s">
        <v>227</v>
      </c>
      <c r="C251" s="15"/>
      <c r="D251" s="20" t="s">
        <v>1811</v>
      </c>
      <c r="E251" s="8" t="s">
        <v>228</v>
      </c>
      <c r="F251" s="8" t="s">
        <v>229</v>
      </c>
      <c r="G251" s="8" t="s">
        <v>77</v>
      </c>
      <c r="H251" s="3" t="s">
        <v>26</v>
      </c>
      <c r="I251" s="8" t="s">
        <v>78</v>
      </c>
      <c r="J251" s="8" t="s">
        <v>221</v>
      </c>
      <c r="K251" s="12" t="s">
        <v>509</v>
      </c>
      <c r="L251" s="13">
        <v>0.2319</v>
      </c>
      <c r="M251" s="8" t="s">
        <v>417</v>
      </c>
      <c r="N251" s="8" t="s">
        <v>510</v>
      </c>
      <c r="O251" s="8" t="s">
        <v>511</v>
      </c>
      <c r="P251" s="3" t="s">
        <v>4207</v>
      </c>
      <c r="Q251" s="11">
        <v>43851.577418981484</v>
      </c>
      <c r="R251" s="3" t="s">
        <v>4325</v>
      </c>
      <c r="S251" s="11">
        <v>43698.646886574075</v>
      </c>
      <c r="T251" s="7">
        <v>85</v>
      </c>
      <c r="U251" s="13">
        <f>COUNTIF('TAX Parcel Status Report'!$A$6:$A$290,SP_TaxPar_DB[[#This Row],[Tax Parcel ID]])</f>
        <v>1</v>
      </c>
    </row>
    <row r="252" spans="1:21" ht="18" customHeight="1" x14ac:dyDescent="0.2">
      <c r="A252" s="47" t="s">
        <v>512</v>
      </c>
      <c r="B252" s="15" t="s">
        <v>62</v>
      </c>
      <c r="C252" s="15"/>
      <c r="D252" s="20" t="s">
        <v>1811</v>
      </c>
      <c r="E252" s="8" t="s">
        <v>219</v>
      </c>
      <c r="F252" s="8" t="s">
        <v>220</v>
      </c>
      <c r="G252" s="8" t="s">
        <v>77</v>
      </c>
      <c r="H252" s="3" t="s">
        <v>26</v>
      </c>
      <c r="I252" s="8" t="s">
        <v>78</v>
      </c>
      <c r="J252" s="8" t="s">
        <v>221</v>
      </c>
      <c r="K252" s="12" t="s">
        <v>513</v>
      </c>
      <c r="L252" s="13">
        <v>1.1549</v>
      </c>
      <c r="M252" s="8" t="s">
        <v>251</v>
      </c>
      <c r="N252" s="8" t="s">
        <v>514</v>
      </c>
      <c r="O252" s="8" t="s">
        <v>410</v>
      </c>
      <c r="P252" s="3" t="s">
        <v>4207</v>
      </c>
      <c r="Q252" s="11">
        <v>43851.576747685183</v>
      </c>
      <c r="R252" s="3" t="s">
        <v>23</v>
      </c>
      <c r="S252" s="11">
        <v>43682.658506944441</v>
      </c>
      <c r="T252" s="7">
        <v>63</v>
      </c>
      <c r="U252" s="13">
        <f>COUNTIF('TAX Parcel Status Report'!$A$6:$A$290,SP_TaxPar_DB[[#This Row],[Tax Parcel ID]])</f>
        <v>1</v>
      </c>
    </row>
    <row r="253" spans="1:21" ht="18" customHeight="1" x14ac:dyDescent="0.2">
      <c r="A253" s="47" t="s">
        <v>5123</v>
      </c>
      <c r="B253" s="15" t="s">
        <v>5381</v>
      </c>
      <c r="C253" s="15"/>
      <c r="D253" s="20" t="s">
        <v>2493</v>
      </c>
      <c r="E253" s="8" t="s">
        <v>5082</v>
      </c>
      <c r="F253" s="8" t="s">
        <v>5083</v>
      </c>
      <c r="G253" s="8" t="s">
        <v>1838</v>
      </c>
      <c r="H253" s="3" t="s">
        <v>26</v>
      </c>
      <c r="I253" s="8" t="s">
        <v>5106</v>
      </c>
      <c r="J253" s="8" t="s">
        <v>5096</v>
      </c>
      <c r="K253" s="12" t="s">
        <v>5124</v>
      </c>
      <c r="L253" s="13">
        <v>15.363</v>
      </c>
      <c r="M253" s="8" t="s">
        <v>5108</v>
      </c>
      <c r="N253" s="8" t="s">
        <v>5109</v>
      </c>
      <c r="O253" s="8"/>
      <c r="P253" s="3" t="s">
        <v>4206</v>
      </c>
      <c r="Q253" s="11">
        <v>43964.58216435185</v>
      </c>
      <c r="R253" s="3" t="s">
        <v>4205</v>
      </c>
      <c r="S253" s="11">
        <v>43962.728865740741</v>
      </c>
      <c r="T253" s="7">
        <v>300</v>
      </c>
      <c r="U253" s="13">
        <f>COUNTIF('TAX Parcel Status Report'!$A$6:$A$290,SP_TaxPar_DB[[#This Row],[Tax Parcel ID]])</f>
        <v>1</v>
      </c>
    </row>
    <row r="254" spans="1:21" ht="18" customHeight="1" x14ac:dyDescent="0.2">
      <c r="A254" s="47" t="s">
        <v>162</v>
      </c>
      <c r="B254" s="15" t="s">
        <v>44</v>
      </c>
      <c r="C254" s="15"/>
      <c r="D254" s="20" t="s">
        <v>1811</v>
      </c>
      <c r="E254" s="8" t="s">
        <v>163</v>
      </c>
      <c r="F254" s="8" t="s">
        <v>515</v>
      </c>
      <c r="G254" s="8" t="s">
        <v>77</v>
      </c>
      <c r="H254" s="3" t="s">
        <v>26</v>
      </c>
      <c r="I254" s="8" t="s">
        <v>78</v>
      </c>
      <c r="J254" s="8" t="s">
        <v>164</v>
      </c>
      <c r="K254" s="12" t="s">
        <v>516</v>
      </c>
      <c r="L254" s="13">
        <v>9.4169999999999998</v>
      </c>
      <c r="M254" s="8" t="s">
        <v>305</v>
      </c>
      <c r="N254" s="8" t="s">
        <v>517</v>
      </c>
      <c r="O254" s="8"/>
      <c r="P254" s="3" t="s">
        <v>4207</v>
      </c>
      <c r="Q254" s="11">
        <v>43851.576331018521</v>
      </c>
      <c r="R254" s="3" t="s">
        <v>23</v>
      </c>
      <c r="S254" s="11">
        <v>43682.658506944441</v>
      </c>
      <c r="T254" s="7">
        <v>38</v>
      </c>
      <c r="U254" s="13">
        <f>COUNTIF('TAX Parcel Status Report'!$A$6:$A$290,SP_TaxPar_DB[[#This Row],[Tax Parcel ID]])</f>
        <v>1</v>
      </c>
    </row>
    <row r="255" spans="1:21" ht="18" customHeight="1" x14ac:dyDescent="0.2">
      <c r="A255" s="47" t="s">
        <v>2604</v>
      </c>
      <c r="B255" s="15" t="s">
        <v>5350</v>
      </c>
      <c r="C255" s="15"/>
      <c r="D255" s="20" t="s">
        <v>2493</v>
      </c>
      <c r="E255" s="8" t="s">
        <v>2149</v>
      </c>
      <c r="F255" s="8" t="s">
        <v>2150</v>
      </c>
      <c r="G255" s="8" t="s">
        <v>1007</v>
      </c>
      <c r="H255" s="3" t="s">
        <v>26</v>
      </c>
      <c r="I255" s="8" t="s">
        <v>78</v>
      </c>
      <c r="J255" s="8" t="s">
        <v>2605</v>
      </c>
      <c r="K255" s="12" t="s">
        <v>2606</v>
      </c>
      <c r="L255" s="13"/>
      <c r="M255" s="8"/>
      <c r="N255" s="8"/>
      <c r="O255" s="8"/>
      <c r="P255" s="3" t="s">
        <v>4206</v>
      </c>
      <c r="Q255" s="11">
        <v>43964.582256944443</v>
      </c>
      <c r="R255" s="3" t="s">
        <v>4207</v>
      </c>
      <c r="S255" s="11">
        <v>43858.550162037034</v>
      </c>
      <c r="T255" s="7">
        <v>270</v>
      </c>
      <c r="U255" s="13">
        <f>COUNTIF('TAX Parcel Status Report'!$A$6:$A$290,SP_TaxPar_DB[[#This Row],[Tax Parcel ID]])</f>
        <v>1</v>
      </c>
    </row>
    <row r="256" spans="1:21" ht="18" customHeight="1" x14ac:dyDescent="0.2">
      <c r="A256" s="47" t="s">
        <v>2607</v>
      </c>
      <c r="B256" s="15" t="s">
        <v>5352</v>
      </c>
      <c r="C256" s="15"/>
      <c r="D256" s="20" t="s">
        <v>2493</v>
      </c>
      <c r="E256" s="8" t="s">
        <v>429</v>
      </c>
      <c r="F256" s="8" t="s">
        <v>430</v>
      </c>
      <c r="G256" s="8" t="s">
        <v>2608</v>
      </c>
      <c r="H256" s="3" t="s">
        <v>26</v>
      </c>
      <c r="I256" s="8" t="s">
        <v>432</v>
      </c>
      <c r="J256" s="8" t="s">
        <v>2609</v>
      </c>
      <c r="K256" s="12" t="s">
        <v>2610</v>
      </c>
      <c r="L256" s="13"/>
      <c r="M256" s="8"/>
      <c r="N256" s="8"/>
      <c r="O256" s="8"/>
      <c r="P256" s="3" t="s">
        <v>4206</v>
      </c>
      <c r="Q256" s="11">
        <v>43964.582268518519</v>
      </c>
      <c r="R256" s="3" t="s">
        <v>4207</v>
      </c>
      <c r="S256" s="11">
        <v>43858.550162037034</v>
      </c>
      <c r="T256" s="7">
        <v>271</v>
      </c>
      <c r="U256" s="13">
        <f>COUNTIF('TAX Parcel Status Report'!$A$6:$A$290,SP_TaxPar_DB[[#This Row],[Tax Parcel ID]])</f>
        <v>1</v>
      </c>
    </row>
    <row r="257" spans="1:21" ht="18" customHeight="1" x14ac:dyDescent="0.2">
      <c r="A257" s="47" t="s">
        <v>2611</v>
      </c>
      <c r="B257" s="15" t="s">
        <v>5354</v>
      </c>
      <c r="C257" s="15"/>
      <c r="D257" s="20" t="s">
        <v>2493</v>
      </c>
      <c r="E257" s="8" t="s">
        <v>2612</v>
      </c>
      <c r="F257" s="8" t="s">
        <v>2613</v>
      </c>
      <c r="G257" s="8" t="s">
        <v>1007</v>
      </c>
      <c r="H257" s="3" t="s">
        <v>26</v>
      </c>
      <c r="I257" s="8" t="s">
        <v>78</v>
      </c>
      <c r="J257" s="8" t="s">
        <v>2614</v>
      </c>
      <c r="K257" s="12" t="s">
        <v>2615</v>
      </c>
      <c r="L257" s="13"/>
      <c r="M257" s="8"/>
      <c r="N257" s="8"/>
      <c r="O257" s="8"/>
      <c r="P257" s="3" t="s">
        <v>4206</v>
      </c>
      <c r="Q257" s="11">
        <v>43977.482233796298</v>
      </c>
      <c r="R257" s="3" t="s">
        <v>4207</v>
      </c>
      <c r="S257" s="11">
        <v>43858.550162037034</v>
      </c>
      <c r="T257" s="7">
        <v>272</v>
      </c>
      <c r="U257" s="13">
        <f>COUNTIF('TAX Parcel Status Report'!$A$6:$A$290,SP_TaxPar_DB[[#This Row],[Tax Parcel ID]])</f>
        <v>1</v>
      </c>
    </row>
    <row r="258" spans="1:21" ht="18" customHeight="1" x14ac:dyDescent="0.2">
      <c r="A258" s="6" t="s">
        <v>518</v>
      </c>
      <c r="B258" s="15" t="s">
        <v>28</v>
      </c>
      <c r="C258" s="15"/>
      <c r="D258" s="20" t="s">
        <v>1811</v>
      </c>
      <c r="E258" s="8" t="s">
        <v>84</v>
      </c>
      <c r="F258" s="8" t="s">
        <v>519</v>
      </c>
      <c r="G258" s="8" t="s">
        <v>77</v>
      </c>
      <c r="H258" s="3" t="s">
        <v>26</v>
      </c>
      <c r="I258" s="8" t="s">
        <v>78</v>
      </c>
      <c r="J258" s="8" t="s">
        <v>86</v>
      </c>
      <c r="K258" s="12" t="s">
        <v>520</v>
      </c>
      <c r="L258" s="13">
        <v>26.978000000000002</v>
      </c>
      <c r="M258" s="8" t="s">
        <v>284</v>
      </c>
      <c r="N258" s="8"/>
      <c r="O258" s="8"/>
      <c r="P258" s="3" t="s">
        <v>4205</v>
      </c>
      <c r="Q258" s="11">
        <v>43931.442627314813</v>
      </c>
      <c r="R258" s="3" t="s">
        <v>23</v>
      </c>
      <c r="S258" s="11">
        <v>43682.658495370371</v>
      </c>
      <c r="T258" s="7">
        <v>3</v>
      </c>
      <c r="U258" s="13">
        <f>COUNTIF('TAX Parcel Status Report'!$A$6:$A$290,SP_TaxPar_DB[[#This Row],[Tax Parcel ID]])</f>
        <v>1</v>
      </c>
    </row>
    <row r="259" spans="1:21" ht="18" customHeight="1" x14ac:dyDescent="0.2">
      <c r="A259" s="47" t="s">
        <v>2616</v>
      </c>
      <c r="B259" s="15"/>
      <c r="C259" s="15" t="s">
        <v>3337</v>
      </c>
      <c r="D259" s="20" t="s">
        <v>1808</v>
      </c>
      <c r="E259" s="8" t="s">
        <v>2617</v>
      </c>
      <c r="F259" s="8" t="s">
        <v>2618</v>
      </c>
      <c r="G259" s="8" t="s">
        <v>1832</v>
      </c>
      <c r="H259" s="3" t="s">
        <v>26</v>
      </c>
      <c r="I259" s="8" t="s">
        <v>529</v>
      </c>
      <c r="J259" s="8" t="s">
        <v>2619</v>
      </c>
      <c r="K259" s="12" t="s">
        <v>2620</v>
      </c>
      <c r="L259" s="13"/>
      <c r="M259" s="8"/>
      <c r="N259" s="8"/>
      <c r="O259" s="8"/>
      <c r="P259" s="3" t="s">
        <v>4207</v>
      </c>
      <c r="Q259" s="11">
        <v>43861.436284722222</v>
      </c>
      <c r="R259" s="3" t="s">
        <v>4207</v>
      </c>
      <c r="S259" s="11">
        <v>43858.550173611111</v>
      </c>
      <c r="T259" s="7">
        <v>273</v>
      </c>
      <c r="U259" s="13">
        <f>COUNTIF('TAX Parcel Status Report'!$A$6:$A$290,SP_TaxPar_DB[[#This Row],[Tax Parcel ID]])</f>
        <v>1</v>
      </c>
    </row>
    <row r="260" spans="1:21" ht="18" customHeight="1" x14ac:dyDescent="0.2">
      <c r="A260" s="47" t="s">
        <v>521</v>
      </c>
      <c r="B260" s="15"/>
      <c r="C260" s="15"/>
      <c r="D260" s="20" t="s">
        <v>5533</v>
      </c>
      <c r="E260" s="8" t="s">
        <v>522</v>
      </c>
      <c r="F260" s="8" t="s">
        <v>523</v>
      </c>
      <c r="G260" s="8" t="s">
        <v>524</v>
      </c>
      <c r="H260" s="3" t="s">
        <v>26</v>
      </c>
      <c r="I260" s="8" t="s">
        <v>525</v>
      </c>
      <c r="J260" s="8" t="s">
        <v>433</v>
      </c>
      <c r="K260" s="12" t="s">
        <v>526</v>
      </c>
      <c r="L260" s="13"/>
      <c r="M260" s="8"/>
      <c r="N260" s="8"/>
      <c r="O260" s="8" t="s">
        <v>435</v>
      </c>
      <c r="P260" s="3" t="s">
        <v>4206</v>
      </c>
      <c r="Q260" s="11">
        <v>43980.478564814817</v>
      </c>
      <c r="R260" s="3" t="s">
        <v>4207</v>
      </c>
      <c r="S260" s="11">
        <v>43698.469664351855</v>
      </c>
      <c r="T260" s="7">
        <v>76</v>
      </c>
      <c r="U260" s="13">
        <f>COUNTIF('TAX Parcel Status Report'!$A$6:$A$290,SP_TaxPar_DB[[#This Row],[Tax Parcel ID]])</f>
        <v>1</v>
      </c>
    </row>
    <row r="261" spans="1:21" ht="18" customHeight="1" x14ac:dyDescent="0.2">
      <c r="A261" s="47" t="s">
        <v>134</v>
      </c>
      <c r="B261" s="15" t="s">
        <v>132</v>
      </c>
      <c r="C261" s="15"/>
      <c r="D261" s="20" t="s">
        <v>1811</v>
      </c>
      <c r="E261" s="8" t="s">
        <v>1718</v>
      </c>
      <c r="F261" s="8" t="s">
        <v>527</v>
      </c>
      <c r="G261" s="8" t="s">
        <v>528</v>
      </c>
      <c r="H261" s="3" t="s">
        <v>26</v>
      </c>
      <c r="I261" s="8" t="s">
        <v>529</v>
      </c>
      <c r="J261" s="8" t="s">
        <v>133</v>
      </c>
      <c r="K261" s="12" t="s">
        <v>530</v>
      </c>
      <c r="L261" s="13">
        <v>0.23860000000000001</v>
      </c>
      <c r="M261" s="8" t="s">
        <v>251</v>
      </c>
      <c r="N261" s="8" t="s">
        <v>531</v>
      </c>
      <c r="O261" s="8"/>
      <c r="P261" s="3" t="s">
        <v>4207</v>
      </c>
      <c r="Q261" s="11">
        <v>43851.576249999998</v>
      </c>
      <c r="R261" s="3" t="s">
        <v>23</v>
      </c>
      <c r="S261" s="11">
        <v>43682.658506944441</v>
      </c>
      <c r="T261" s="7">
        <v>28</v>
      </c>
      <c r="U261" s="13">
        <f>COUNTIF('TAX Parcel Status Report'!$A$6:$A$290,SP_TaxPar_DB[[#This Row],[Tax Parcel ID]])</f>
        <v>1</v>
      </c>
    </row>
    <row r="262" spans="1:21" ht="18" customHeight="1" x14ac:dyDescent="0.2">
      <c r="A262" s="47" t="s">
        <v>139</v>
      </c>
      <c r="B262" s="15" t="s">
        <v>136</v>
      </c>
      <c r="C262" s="15"/>
      <c r="D262" s="20" t="s">
        <v>1811</v>
      </c>
      <c r="E262" s="8" t="s">
        <v>532</v>
      </c>
      <c r="F262" s="8" t="s">
        <v>527</v>
      </c>
      <c r="G262" s="8" t="s">
        <v>528</v>
      </c>
      <c r="H262" s="3" t="s">
        <v>26</v>
      </c>
      <c r="I262" s="8" t="s">
        <v>529</v>
      </c>
      <c r="J262" s="8" t="s">
        <v>138</v>
      </c>
      <c r="K262" s="12" t="s">
        <v>533</v>
      </c>
      <c r="L262" s="13">
        <v>0.2409</v>
      </c>
      <c r="M262" s="8" t="s">
        <v>251</v>
      </c>
      <c r="N262" s="8" t="s">
        <v>534</v>
      </c>
      <c r="O262" s="8"/>
      <c r="P262" s="3" t="s">
        <v>4207</v>
      </c>
      <c r="Q262" s="11">
        <v>43851.576261574075</v>
      </c>
      <c r="R262" s="3" t="s">
        <v>23</v>
      </c>
      <c r="S262" s="11">
        <v>43682.658506944441</v>
      </c>
      <c r="T262" s="7">
        <v>29</v>
      </c>
      <c r="U262" s="13">
        <f>COUNTIF('TAX Parcel Status Report'!$A$6:$A$290,SP_TaxPar_DB[[#This Row],[Tax Parcel ID]])</f>
        <v>1</v>
      </c>
    </row>
    <row r="263" spans="1:21" ht="18" customHeight="1" x14ac:dyDescent="0.2">
      <c r="A263" s="47" t="s">
        <v>5730</v>
      </c>
      <c r="B263" s="15" t="s">
        <v>5720</v>
      </c>
      <c r="C263" s="15"/>
      <c r="D263" s="20" t="s">
        <v>2493</v>
      </c>
      <c r="E263" s="8" t="s">
        <v>5717</v>
      </c>
      <c r="F263" s="8"/>
      <c r="G263" s="8" t="s">
        <v>77</v>
      </c>
      <c r="H263" s="3" t="s">
        <v>26</v>
      </c>
      <c r="I263" s="8"/>
      <c r="J263" s="8" t="s">
        <v>5722</v>
      </c>
      <c r="K263" s="12" t="s">
        <v>5731</v>
      </c>
      <c r="L263" s="13"/>
      <c r="M263" s="8"/>
      <c r="N263" s="8"/>
      <c r="O263" s="8"/>
      <c r="P263" s="3" t="s">
        <v>4206</v>
      </c>
      <c r="Q263" s="11">
        <v>43986.671053240738</v>
      </c>
      <c r="R263" s="3" t="s">
        <v>4206</v>
      </c>
      <c r="S263" s="11">
        <v>43985.552407407406</v>
      </c>
      <c r="T263" s="7">
        <v>303</v>
      </c>
      <c r="U263" s="13">
        <f>COUNTIF('TAX Parcel Status Report'!$A$6:$A$290,SP_TaxPar_DB[[#This Row],[Tax Parcel ID]])</f>
        <v>1</v>
      </c>
    </row>
    <row r="264" spans="1:21" ht="18" customHeight="1" x14ac:dyDescent="0.2">
      <c r="A264" s="195" t="s">
        <v>5732</v>
      </c>
      <c r="B264" s="193" t="s">
        <v>5724</v>
      </c>
      <c r="C264" s="193"/>
      <c r="D264" s="20" t="s">
        <v>2493</v>
      </c>
      <c r="E264" s="8" t="s">
        <v>5717</v>
      </c>
      <c r="F264" s="8"/>
      <c r="G264" s="8" t="s">
        <v>77</v>
      </c>
      <c r="H264" s="3" t="s">
        <v>26</v>
      </c>
      <c r="I264" s="8"/>
      <c r="J264" s="8" t="s">
        <v>5726</v>
      </c>
      <c r="K264" s="12" t="s">
        <v>5733</v>
      </c>
      <c r="L264" s="13"/>
      <c r="M264" s="8"/>
      <c r="N264" s="8"/>
      <c r="O264" s="8"/>
      <c r="P264" s="3" t="s">
        <v>4206</v>
      </c>
      <c r="Q264" s="11">
        <v>43986.671319444446</v>
      </c>
      <c r="R264" s="3" t="s">
        <v>4206</v>
      </c>
      <c r="S264" s="11">
        <v>43985.552997685183</v>
      </c>
      <c r="T264" s="7">
        <v>304</v>
      </c>
      <c r="U264" s="13">
        <f>COUNTIF('TAX Parcel Status Report'!$A$6:$A$290,SP_TaxPar_DB[[#This Row],[Tax Parcel ID]])</f>
        <v>1</v>
      </c>
    </row>
    <row r="265" spans="1:21" ht="18" customHeight="1" x14ac:dyDescent="0.2">
      <c r="A265" s="195" t="s">
        <v>2621</v>
      </c>
      <c r="B265" s="193"/>
      <c r="C265" s="193" t="s">
        <v>3342</v>
      </c>
      <c r="D265" s="20" t="s">
        <v>1808</v>
      </c>
      <c r="E265" s="8" t="s">
        <v>2622</v>
      </c>
      <c r="F265" s="8" t="s">
        <v>2623</v>
      </c>
      <c r="G265" s="8" t="s">
        <v>2624</v>
      </c>
      <c r="H265" s="3" t="s">
        <v>2625</v>
      </c>
      <c r="I265" s="8" t="s">
        <v>2626</v>
      </c>
      <c r="J265" s="8" t="s">
        <v>2366</v>
      </c>
      <c r="K265" s="12" t="s">
        <v>2627</v>
      </c>
      <c r="L265" s="13"/>
      <c r="M265" s="8"/>
      <c r="N265" s="8"/>
      <c r="O265" s="8"/>
      <c r="P265" s="3" t="s">
        <v>4207</v>
      </c>
      <c r="Q265" s="11">
        <v>43861.436365740738</v>
      </c>
      <c r="R265" s="3" t="s">
        <v>4207</v>
      </c>
      <c r="S265" s="11">
        <v>43858.550173611111</v>
      </c>
      <c r="T265" s="7">
        <v>274</v>
      </c>
      <c r="U265" s="13">
        <f>COUNTIF('TAX Parcel Status Report'!$A$6:$A$290,SP_TaxPar_DB[[#This Row],[Tax Parcel ID]])</f>
        <v>1</v>
      </c>
    </row>
    <row r="266" spans="1:21" ht="18" customHeight="1" x14ac:dyDescent="0.2">
      <c r="A266" s="47" t="s">
        <v>535</v>
      </c>
      <c r="B266" s="15" t="s">
        <v>24</v>
      </c>
      <c r="C266" s="15"/>
      <c r="D266" s="20" t="s">
        <v>1811</v>
      </c>
      <c r="E266" s="8" t="s">
        <v>536</v>
      </c>
      <c r="F266" s="8" t="s">
        <v>76</v>
      </c>
      <c r="G266" s="8" t="s">
        <v>77</v>
      </c>
      <c r="H266" s="3" t="s">
        <v>26</v>
      </c>
      <c r="I266" s="8" t="s">
        <v>78</v>
      </c>
      <c r="J266" s="8" t="s">
        <v>79</v>
      </c>
      <c r="K266" s="12" t="s">
        <v>5825</v>
      </c>
      <c r="L266" s="13">
        <v>401.93099999999998</v>
      </c>
      <c r="M266" s="8" t="s">
        <v>537</v>
      </c>
      <c r="N266" s="8" t="s">
        <v>538</v>
      </c>
      <c r="O266" s="8" t="s">
        <v>5658</v>
      </c>
      <c r="P266" s="3" t="s">
        <v>4206</v>
      </c>
      <c r="Q266" s="11">
        <v>43990.450787037036</v>
      </c>
      <c r="R266" s="3" t="s">
        <v>23</v>
      </c>
      <c r="S266" s="11">
        <v>43682.658495370371</v>
      </c>
      <c r="T266" s="7">
        <v>1</v>
      </c>
      <c r="U266" s="13">
        <f>COUNTIF('TAX Parcel Status Report'!$A$6:$A$290,SP_TaxPar_DB[[#This Row],[Tax Parcel ID]])</f>
        <v>2</v>
      </c>
    </row>
    <row r="267" spans="1:21" ht="18" customHeight="1" x14ac:dyDescent="0.2">
      <c r="A267" s="47" t="s">
        <v>540</v>
      </c>
      <c r="B267" s="15" t="s">
        <v>24</v>
      </c>
      <c r="C267" s="15"/>
      <c r="D267" s="20" t="s">
        <v>1811</v>
      </c>
      <c r="E267" s="8" t="s">
        <v>5878</v>
      </c>
      <c r="F267" s="8" t="s">
        <v>76</v>
      </c>
      <c r="G267" s="8" t="s">
        <v>77</v>
      </c>
      <c r="H267" s="3" t="s">
        <v>26</v>
      </c>
      <c r="I267" s="8" t="s">
        <v>78</v>
      </c>
      <c r="J267" s="8" t="s">
        <v>79</v>
      </c>
      <c r="K267" s="12" t="s">
        <v>5879</v>
      </c>
      <c r="L267" s="13">
        <v>608.21199999999999</v>
      </c>
      <c r="M267" s="8" t="s">
        <v>537</v>
      </c>
      <c r="N267" s="8"/>
      <c r="O267" s="8" t="s">
        <v>539</v>
      </c>
      <c r="P267" s="3" t="s">
        <v>4206</v>
      </c>
      <c r="Q267" s="11">
        <v>43990.453240740739</v>
      </c>
      <c r="R267" s="3" t="s">
        <v>4206</v>
      </c>
      <c r="S267" s="11">
        <v>43990.453240740739</v>
      </c>
      <c r="T267" s="7">
        <v>306</v>
      </c>
      <c r="U267" s="13">
        <f>COUNTIF('TAX Parcel Status Report'!$A$6:$A$290,SP_TaxPar_DB[[#This Row],[Tax Parcel ID]])</f>
        <v>1</v>
      </c>
    </row>
    <row r="268" spans="1:21" ht="18" customHeight="1" x14ac:dyDescent="0.2">
      <c r="A268" s="6" t="s">
        <v>5734</v>
      </c>
      <c r="B268" s="15" t="s">
        <v>5710</v>
      </c>
      <c r="C268" s="15"/>
      <c r="D268" s="20" t="s">
        <v>2493</v>
      </c>
      <c r="E268" s="8" t="s">
        <v>5712</v>
      </c>
      <c r="F268" s="8"/>
      <c r="G268" s="8" t="s">
        <v>77</v>
      </c>
      <c r="H268" s="3" t="s">
        <v>26</v>
      </c>
      <c r="I268" s="8"/>
      <c r="J268" s="8" t="s">
        <v>5713</v>
      </c>
      <c r="K268" s="12" t="s">
        <v>5735</v>
      </c>
      <c r="L268" s="13"/>
      <c r="M268" s="8"/>
      <c r="N268" s="8"/>
      <c r="O268" s="8"/>
      <c r="P268" s="3" t="s">
        <v>4206</v>
      </c>
      <c r="Q268" s="11">
        <v>43986.596458333333</v>
      </c>
      <c r="R268" s="3" t="s">
        <v>4206</v>
      </c>
      <c r="S268" s="11">
        <v>43985.553819444445</v>
      </c>
      <c r="T268" s="7">
        <v>305</v>
      </c>
      <c r="U268" s="13">
        <f>COUNTIF('TAX Parcel Status Report'!$A$6:$A$290,SP_TaxPar_DB[[#This Row],[Tax Parcel ID]])</f>
        <v>1</v>
      </c>
    </row>
    <row r="269" spans="1:21" ht="18" customHeight="1" x14ac:dyDescent="0.2">
      <c r="A269" s="47" t="s">
        <v>2628</v>
      </c>
      <c r="B269" s="15" t="s">
        <v>5356</v>
      </c>
      <c r="C269" s="15"/>
      <c r="D269" s="20" t="s">
        <v>2493</v>
      </c>
      <c r="E269" s="8" t="s">
        <v>2511</v>
      </c>
      <c r="F269" s="8" t="s">
        <v>2512</v>
      </c>
      <c r="G269" s="8" t="s">
        <v>1007</v>
      </c>
      <c r="H269" s="3" t="s">
        <v>26</v>
      </c>
      <c r="I269" s="8" t="s">
        <v>78</v>
      </c>
      <c r="J269" s="8" t="s">
        <v>2629</v>
      </c>
      <c r="K269" s="12" t="s">
        <v>2630</v>
      </c>
      <c r="L269" s="13"/>
      <c r="M269" s="8"/>
      <c r="N269" s="8"/>
      <c r="O269" s="8"/>
      <c r="P269" s="3" t="s">
        <v>4206</v>
      </c>
      <c r="Q269" s="11">
        <v>43964.582858796297</v>
      </c>
      <c r="R269" s="3" t="s">
        <v>4207</v>
      </c>
      <c r="S269" s="11">
        <v>43858.550173611111</v>
      </c>
      <c r="T269" s="7">
        <v>275</v>
      </c>
      <c r="U269" s="13">
        <f>COUNTIF('TAX Parcel Status Report'!$A$6:$A$290,SP_TaxPar_DB[[#This Row],[Tax Parcel ID]])</f>
        <v>1</v>
      </c>
    </row>
    <row r="270" spans="1:21" ht="18" customHeight="1" x14ac:dyDescent="0.2">
      <c r="A270" s="47" t="s">
        <v>542</v>
      </c>
      <c r="B270" s="15"/>
      <c r="C270" s="15"/>
      <c r="D270" s="20" t="s">
        <v>5533</v>
      </c>
      <c r="E270" s="8" t="s">
        <v>543</v>
      </c>
      <c r="F270" s="8" t="s">
        <v>544</v>
      </c>
      <c r="G270" s="8" t="s">
        <v>77</v>
      </c>
      <c r="H270" s="3" t="s">
        <v>26</v>
      </c>
      <c r="I270" s="8" t="s">
        <v>78</v>
      </c>
      <c r="J270" s="8" t="s">
        <v>464</v>
      </c>
      <c r="K270" s="12" t="s">
        <v>545</v>
      </c>
      <c r="L270" s="13"/>
      <c r="M270" s="8"/>
      <c r="N270" s="8"/>
      <c r="O270" s="8" t="s">
        <v>546</v>
      </c>
      <c r="P270" s="3" t="s">
        <v>4206</v>
      </c>
      <c r="Q270" s="11">
        <v>43980.478668981479</v>
      </c>
      <c r="R270" s="3" t="s">
        <v>4207</v>
      </c>
      <c r="S270" s="11">
        <v>43698.469664351855</v>
      </c>
      <c r="T270" s="7">
        <v>77</v>
      </c>
      <c r="U270" s="13">
        <f>COUNTIF('TAX Parcel Status Report'!$A$6:$A$290,SP_TaxPar_DB[[#This Row],[Tax Parcel ID]])</f>
        <v>1</v>
      </c>
    </row>
    <row r="271" spans="1:21" ht="18" customHeight="1" x14ac:dyDescent="0.2">
      <c r="A271" s="47" t="s">
        <v>547</v>
      </c>
      <c r="B271" s="15" t="s">
        <v>5358</v>
      </c>
      <c r="C271" s="15"/>
      <c r="D271" s="20" t="s">
        <v>2493</v>
      </c>
      <c r="E271" s="8" t="s">
        <v>548</v>
      </c>
      <c r="F271" s="8" t="s">
        <v>549</v>
      </c>
      <c r="G271" s="8" t="s">
        <v>77</v>
      </c>
      <c r="H271" s="3" t="s">
        <v>26</v>
      </c>
      <c r="I271" s="8" t="s">
        <v>78</v>
      </c>
      <c r="J271" s="8" t="s">
        <v>550</v>
      </c>
      <c r="K271" s="12" t="s">
        <v>551</v>
      </c>
      <c r="L271" s="13"/>
      <c r="M271" s="8"/>
      <c r="N271" s="8"/>
      <c r="O271" s="8" t="s">
        <v>435</v>
      </c>
      <c r="P271" s="3" t="s">
        <v>4206</v>
      </c>
      <c r="Q271" s="11">
        <v>43964.583078703705</v>
      </c>
      <c r="R271" s="3" t="s">
        <v>4207</v>
      </c>
      <c r="S271" s="11">
        <v>43698.469664351855</v>
      </c>
      <c r="T271" s="7">
        <v>78</v>
      </c>
      <c r="U271" s="13">
        <f>COUNTIF('TAX Parcel Status Report'!$A$6:$A$290,SP_TaxPar_DB[[#This Row],[Tax Parcel ID]])</f>
        <v>1</v>
      </c>
    </row>
    <row r="272" spans="1:21" ht="18" customHeight="1" x14ac:dyDescent="0.2">
      <c r="A272" s="47" t="s">
        <v>552</v>
      </c>
      <c r="B272" s="15" t="s">
        <v>5258</v>
      </c>
      <c r="C272" s="15"/>
      <c r="D272" s="20" t="s">
        <v>2493</v>
      </c>
      <c r="E272" s="8" t="s">
        <v>553</v>
      </c>
      <c r="F272" s="8" t="s">
        <v>554</v>
      </c>
      <c r="G272" s="8" t="s">
        <v>555</v>
      </c>
      <c r="H272" s="3" t="s">
        <v>281</v>
      </c>
      <c r="I272" s="8" t="s">
        <v>556</v>
      </c>
      <c r="J272" s="8" t="s">
        <v>433</v>
      </c>
      <c r="K272" s="12" t="s">
        <v>557</v>
      </c>
      <c r="L272" s="13"/>
      <c r="M272" s="8"/>
      <c r="N272" s="8"/>
      <c r="O272" s="8" t="s">
        <v>435</v>
      </c>
      <c r="P272" s="3" t="s">
        <v>4205</v>
      </c>
      <c r="Q272" s="11">
        <v>43985.813668981478</v>
      </c>
      <c r="R272" s="3" t="s">
        <v>4207</v>
      </c>
      <c r="S272" s="11">
        <v>43698.469664351855</v>
      </c>
      <c r="T272" s="7">
        <v>79</v>
      </c>
      <c r="U272" s="13">
        <f>COUNTIF('TAX Parcel Status Report'!$A$6:$A$290,SP_TaxPar_DB[[#This Row],[Tax Parcel ID]])</f>
        <v>1</v>
      </c>
    </row>
    <row r="273" spans="1:21" ht="18" customHeight="1" x14ac:dyDescent="0.2">
      <c r="A273" s="47" t="s">
        <v>558</v>
      </c>
      <c r="B273" s="15" t="s">
        <v>5256</v>
      </c>
      <c r="C273" s="15"/>
      <c r="D273" s="20" t="s">
        <v>2493</v>
      </c>
      <c r="E273" s="8" t="s">
        <v>559</v>
      </c>
      <c r="F273" s="8" t="s">
        <v>560</v>
      </c>
      <c r="G273" s="8" t="s">
        <v>77</v>
      </c>
      <c r="H273" s="3" t="s">
        <v>26</v>
      </c>
      <c r="I273" s="8" t="s">
        <v>78</v>
      </c>
      <c r="J273" s="8" t="s">
        <v>560</v>
      </c>
      <c r="K273" s="12" t="s">
        <v>561</v>
      </c>
      <c r="L273" s="13"/>
      <c r="M273" s="8"/>
      <c r="N273" s="8"/>
      <c r="O273" s="8" t="s">
        <v>562</v>
      </c>
      <c r="P273" s="3" t="s">
        <v>4206</v>
      </c>
      <c r="Q273" s="11">
        <v>43964.583310185182</v>
      </c>
      <c r="R273" s="3" t="s">
        <v>4207</v>
      </c>
      <c r="S273" s="11">
        <v>43698.469664351855</v>
      </c>
      <c r="T273" s="7">
        <v>80</v>
      </c>
      <c r="U273" s="13">
        <f>COUNTIF('TAX Parcel Status Report'!$A$6:$A$290,SP_TaxPar_DB[[#This Row],[Tax Parcel ID]])</f>
        <v>1</v>
      </c>
    </row>
    <row r="274" spans="1:21" ht="18" customHeight="1" x14ac:dyDescent="0.2">
      <c r="A274" s="47" t="s">
        <v>563</v>
      </c>
      <c r="B274" s="15"/>
      <c r="C274" s="15"/>
      <c r="D274" s="20" t="s">
        <v>5533</v>
      </c>
      <c r="E274" s="8" t="s">
        <v>564</v>
      </c>
      <c r="F274" s="8" t="s">
        <v>565</v>
      </c>
      <c r="G274" s="8" t="s">
        <v>77</v>
      </c>
      <c r="H274" s="3" t="s">
        <v>26</v>
      </c>
      <c r="I274" s="8" t="s">
        <v>566</v>
      </c>
      <c r="J274" s="8" t="s">
        <v>565</v>
      </c>
      <c r="K274" s="12" t="s">
        <v>567</v>
      </c>
      <c r="L274" s="13"/>
      <c r="M274" s="8"/>
      <c r="N274" s="8"/>
      <c r="O274" s="8" t="s">
        <v>568</v>
      </c>
      <c r="P274" s="3" t="s">
        <v>4206</v>
      </c>
      <c r="Q274" s="11">
        <v>43980.478750000002</v>
      </c>
      <c r="R274" s="3" t="s">
        <v>4207</v>
      </c>
      <c r="S274" s="11">
        <v>43698.469664351855</v>
      </c>
      <c r="T274" s="7">
        <v>81</v>
      </c>
      <c r="U274" s="13">
        <f>COUNTIF('TAX Parcel Status Report'!$A$6:$A$290,SP_TaxPar_DB[[#This Row],[Tax Parcel ID]])</f>
        <v>1</v>
      </c>
    </row>
    <row r="275" spans="1:21" ht="18" customHeight="1" x14ac:dyDescent="0.2">
      <c r="A275" s="6" t="s">
        <v>569</v>
      </c>
      <c r="B275" s="15"/>
      <c r="C275" s="15"/>
      <c r="D275" s="20" t="s">
        <v>5533</v>
      </c>
      <c r="E275" s="8" t="s">
        <v>570</v>
      </c>
      <c r="F275" s="8" t="s">
        <v>571</v>
      </c>
      <c r="G275" s="8" t="s">
        <v>77</v>
      </c>
      <c r="H275" s="3" t="s">
        <v>26</v>
      </c>
      <c r="I275" s="8" t="s">
        <v>78</v>
      </c>
      <c r="J275" s="8" t="s">
        <v>572</v>
      </c>
      <c r="K275" s="12" t="s">
        <v>573</v>
      </c>
      <c r="L275" s="13"/>
      <c r="M275" s="8"/>
      <c r="N275" s="8"/>
      <c r="O275" s="8" t="s">
        <v>574</v>
      </c>
      <c r="P275" s="3" t="s">
        <v>4206</v>
      </c>
      <c r="Q275" s="11">
        <v>43980.478831018518</v>
      </c>
      <c r="R275" s="3" t="s">
        <v>4207</v>
      </c>
      <c r="S275" s="11">
        <v>43698.469664351855</v>
      </c>
      <c r="T275" s="7">
        <v>82</v>
      </c>
      <c r="U275" s="13">
        <f>COUNTIF('TAX Parcel Status Report'!$A$6:$A$290,SP_TaxPar_DB[[#This Row],[Tax Parcel ID]])</f>
        <v>1</v>
      </c>
    </row>
    <row r="276" spans="1:21" ht="18" customHeight="1" x14ac:dyDescent="0.2">
      <c r="A276" s="6" t="s">
        <v>575</v>
      </c>
      <c r="B276" s="15" t="s">
        <v>60</v>
      </c>
      <c r="C276" s="15"/>
      <c r="D276" s="20" t="s">
        <v>1811</v>
      </c>
      <c r="E276" s="8" t="s">
        <v>302</v>
      </c>
      <c r="F276" s="8" t="s">
        <v>303</v>
      </c>
      <c r="G276" s="8" t="s">
        <v>64</v>
      </c>
      <c r="H276" s="3" t="s">
        <v>26</v>
      </c>
      <c r="I276" s="8" t="s">
        <v>65</v>
      </c>
      <c r="J276" s="8" t="s">
        <v>1719</v>
      </c>
      <c r="K276" s="12" t="s">
        <v>576</v>
      </c>
      <c r="L276" s="13">
        <v>1.0824</v>
      </c>
      <c r="M276" s="8" t="s">
        <v>251</v>
      </c>
      <c r="N276" s="8"/>
      <c r="O276" s="8" t="s">
        <v>407</v>
      </c>
      <c r="P276" s="3" t="s">
        <v>4207</v>
      </c>
      <c r="Q276" s="11">
        <v>43851.576666666668</v>
      </c>
      <c r="R276" s="3" t="s">
        <v>23</v>
      </c>
      <c r="S276" s="11">
        <v>43682.658506944441</v>
      </c>
      <c r="T276" s="7">
        <v>61</v>
      </c>
      <c r="U276" s="13">
        <f>COUNTIF('TAX Parcel Status Report'!$A$6:$A$290,SP_TaxPar_DB[[#This Row],[Tax Parcel ID]])</f>
        <v>1</v>
      </c>
    </row>
    <row r="277" spans="1:21" ht="18" customHeight="1" x14ac:dyDescent="0.2">
      <c r="A277" s="6" t="s">
        <v>2631</v>
      </c>
      <c r="B277" s="15"/>
      <c r="C277" s="15" t="s">
        <v>3348</v>
      </c>
      <c r="D277" s="20" t="s">
        <v>1808</v>
      </c>
      <c r="E277" s="8" t="s">
        <v>2632</v>
      </c>
      <c r="F277" s="8" t="s">
        <v>2633</v>
      </c>
      <c r="G277" s="8" t="s">
        <v>1007</v>
      </c>
      <c r="H277" s="3" t="s">
        <v>26</v>
      </c>
      <c r="I277" s="8" t="s">
        <v>78</v>
      </c>
      <c r="J277" s="8" t="s">
        <v>2633</v>
      </c>
      <c r="K277" s="12" t="s">
        <v>2634</v>
      </c>
      <c r="L277" s="13"/>
      <c r="M277" s="8"/>
      <c r="N277" s="8"/>
      <c r="O277" s="8"/>
      <c r="P277" s="3" t="s">
        <v>4207</v>
      </c>
      <c r="Q277" s="11">
        <v>43861.436666666668</v>
      </c>
      <c r="R277" s="3" t="s">
        <v>4207</v>
      </c>
      <c r="S277" s="11">
        <v>43858.550173611111</v>
      </c>
      <c r="T277" s="7">
        <v>278</v>
      </c>
      <c r="U277" s="13">
        <f>COUNTIF('TAX Parcel Status Report'!$A$6:$A$290,SP_TaxPar_DB[[#This Row],[Tax Parcel ID]])</f>
        <v>1</v>
      </c>
    </row>
    <row r="278" spans="1:21" ht="18" customHeight="1" x14ac:dyDescent="0.2">
      <c r="A278" s="47" t="s">
        <v>2635</v>
      </c>
      <c r="B278" s="15" t="s">
        <v>5361</v>
      </c>
      <c r="C278" s="15"/>
      <c r="D278" s="20" t="s">
        <v>2493</v>
      </c>
      <c r="E278" s="8" t="s">
        <v>429</v>
      </c>
      <c r="F278" s="8" t="s">
        <v>430</v>
      </c>
      <c r="G278" s="8" t="s">
        <v>2608</v>
      </c>
      <c r="H278" s="3" t="s">
        <v>26</v>
      </c>
      <c r="I278" s="8" t="s">
        <v>432</v>
      </c>
      <c r="J278" s="8" t="s">
        <v>2636</v>
      </c>
      <c r="K278" s="12" t="s">
        <v>2637</v>
      </c>
      <c r="L278" s="13"/>
      <c r="M278" s="8"/>
      <c r="N278" s="8"/>
      <c r="O278" s="8"/>
      <c r="P278" s="3" t="s">
        <v>4206</v>
      </c>
      <c r="Q278" s="11">
        <v>43964.583379629628</v>
      </c>
      <c r="R278" s="3" t="s">
        <v>4207</v>
      </c>
      <c r="S278" s="11">
        <v>43858.550162037034</v>
      </c>
      <c r="T278" s="7">
        <v>279</v>
      </c>
      <c r="U278" s="13">
        <f>COUNTIF('TAX Parcel Status Report'!$A$6:$A$290,SP_TaxPar_DB[[#This Row],[Tax Parcel ID]])</f>
        <v>1</v>
      </c>
    </row>
    <row r="279" spans="1:21" ht="18" customHeight="1" x14ac:dyDescent="0.2">
      <c r="A279" s="47" t="s">
        <v>577</v>
      </c>
      <c r="B279" s="15" t="s">
        <v>5259</v>
      </c>
      <c r="C279" s="15"/>
      <c r="D279" s="20" t="s">
        <v>2493</v>
      </c>
      <c r="E279" s="8" t="s">
        <v>578</v>
      </c>
      <c r="F279" s="8" t="s">
        <v>579</v>
      </c>
      <c r="G279" s="8" t="s">
        <v>77</v>
      </c>
      <c r="H279" s="3" t="s">
        <v>26</v>
      </c>
      <c r="I279" s="8" t="s">
        <v>78</v>
      </c>
      <c r="J279" s="8" t="s">
        <v>580</v>
      </c>
      <c r="K279" s="12" t="s">
        <v>581</v>
      </c>
      <c r="L279" s="13"/>
      <c r="M279" s="8"/>
      <c r="N279" s="8"/>
      <c r="O279" s="8" t="s">
        <v>582</v>
      </c>
      <c r="P279" s="3" t="s">
        <v>4206</v>
      </c>
      <c r="Q279" s="11">
        <v>43964.583425925928</v>
      </c>
      <c r="R279" s="3" t="s">
        <v>4207</v>
      </c>
      <c r="S279" s="11">
        <v>43698.469664351855</v>
      </c>
      <c r="T279" s="7">
        <v>83</v>
      </c>
      <c r="U279" s="13">
        <f>COUNTIF('TAX Parcel Status Report'!$A$6:$A$290,SP_TaxPar_DB[[#This Row],[Tax Parcel ID]])</f>
        <v>1</v>
      </c>
    </row>
    <row r="280" spans="1:21" ht="18" customHeight="1" x14ac:dyDescent="0.2">
      <c r="A280" s="47" t="s">
        <v>2638</v>
      </c>
      <c r="B280" s="15" t="s">
        <v>5363</v>
      </c>
      <c r="C280" s="15"/>
      <c r="D280" s="20" t="s">
        <v>2493</v>
      </c>
      <c r="E280" s="8" t="s">
        <v>2639</v>
      </c>
      <c r="F280" s="8" t="s">
        <v>2640</v>
      </c>
      <c r="G280" s="8" t="s">
        <v>1007</v>
      </c>
      <c r="H280" s="3" t="s">
        <v>26</v>
      </c>
      <c r="I280" s="8" t="s">
        <v>78</v>
      </c>
      <c r="J280" s="8" t="s">
        <v>2641</v>
      </c>
      <c r="K280" s="12" t="s">
        <v>2642</v>
      </c>
      <c r="L280" s="13"/>
      <c r="M280" s="8"/>
      <c r="N280" s="8"/>
      <c r="O280" s="8"/>
      <c r="P280" s="3" t="s">
        <v>4206</v>
      </c>
      <c r="Q280" s="11">
        <v>43964.583472222221</v>
      </c>
      <c r="R280" s="3" t="s">
        <v>4207</v>
      </c>
      <c r="S280" s="11">
        <v>43858.550162037034</v>
      </c>
      <c r="T280" s="7">
        <v>280</v>
      </c>
      <c r="U280" s="13">
        <f>COUNTIF('TAX Parcel Status Report'!$A$6:$A$290,SP_TaxPar_DB[[#This Row],[Tax Parcel ID]])</f>
        <v>1</v>
      </c>
    </row>
    <row r="281" spans="1:21" ht="18" customHeight="1" x14ac:dyDescent="0.2">
      <c r="A281" s="47" t="s">
        <v>5880</v>
      </c>
      <c r="B281" s="15" t="s">
        <v>5383</v>
      </c>
      <c r="C281" s="15"/>
      <c r="D281" s="20" t="s">
        <v>2493</v>
      </c>
      <c r="E281" s="8" t="s">
        <v>536</v>
      </c>
      <c r="F281" s="8" t="s">
        <v>76</v>
      </c>
      <c r="G281" s="8" t="s">
        <v>77</v>
      </c>
      <c r="H281" s="3" t="s">
        <v>26</v>
      </c>
      <c r="I281" s="8" t="s">
        <v>78</v>
      </c>
      <c r="J281" s="8" t="s">
        <v>79</v>
      </c>
      <c r="K281" s="12" t="s">
        <v>5824</v>
      </c>
      <c r="L281" s="13">
        <v>401.93099999999998</v>
      </c>
      <c r="M281" s="8" t="s">
        <v>537</v>
      </c>
      <c r="N281" s="8"/>
      <c r="O281" s="8" t="s">
        <v>539</v>
      </c>
      <c r="P281" s="3" t="s">
        <v>4206</v>
      </c>
      <c r="Q281" s="11">
        <v>43990.450300925928</v>
      </c>
      <c r="R281" s="3" t="s">
        <v>4206</v>
      </c>
      <c r="S281" s="11">
        <v>43985.419988425929</v>
      </c>
      <c r="T281" s="7">
        <v>301</v>
      </c>
      <c r="U281" s="13">
        <f>COUNTIF('TAX Parcel Status Report'!$A$6:$A$290,SP_TaxPar_DB[[#This Row],[Tax Parcel ID]])</f>
        <v>0</v>
      </c>
    </row>
    <row r="282" spans="1:21" ht="18" customHeight="1" x14ac:dyDescent="0.2">
      <c r="A282" s="47" t="s">
        <v>5881</v>
      </c>
      <c r="B282" s="15" t="s">
        <v>5388</v>
      </c>
      <c r="C282" s="15"/>
      <c r="D282" s="20" t="s">
        <v>2493</v>
      </c>
      <c r="E282" s="8" t="s">
        <v>536</v>
      </c>
      <c r="F282" s="8" t="s">
        <v>76</v>
      </c>
      <c r="G282" s="8" t="s">
        <v>77</v>
      </c>
      <c r="H282" s="3" t="s">
        <v>26</v>
      </c>
      <c r="I282" s="8" t="s">
        <v>78</v>
      </c>
      <c r="J282" s="8" t="s">
        <v>79</v>
      </c>
      <c r="K282" s="12" t="s">
        <v>541</v>
      </c>
      <c r="L282" s="13">
        <v>608.21199999999999</v>
      </c>
      <c r="M282" s="8" t="s">
        <v>537</v>
      </c>
      <c r="N282" s="8"/>
      <c r="O282" s="8" t="s">
        <v>539</v>
      </c>
      <c r="P282" s="3" t="s">
        <v>4206</v>
      </c>
      <c r="Q282" s="11">
        <v>43990.450555555559</v>
      </c>
      <c r="R282" s="3" t="s">
        <v>23</v>
      </c>
      <c r="S282" s="11">
        <v>43682.658495370371</v>
      </c>
      <c r="T282" s="7">
        <v>2</v>
      </c>
      <c r="U282" s="13">
        <f>COUNTIF('TAX Parcel Status Report'!$A$6:$A$290,SP_TaxPar_DB[[#This Row],[Tax Parcel ID]])</f>
        <v>0</v>
      </c>
    </row>
    <row r="283" spans="1:21" ht="18" customHeight="1" x14ac:dyDescent="0.2">
      <c r="A283" s="195" t="s">
        <v>1285</v>
      </c>
      <c r="B283" s="193" t="s">
        <v>1286</v>
      </c>
      <c r="C283" s="193"/>
      <c r="D283" s="20" t="s">
        <v>1811</v>
      </c>
      <c r="E283" s="8" t="s">
        <v>1287</v>
      </c>
      <c r="F283" s="8"/>
      <c r="G283" s="8"/>
      <c r="H283" s="3"/>
      <c r="I283" s="8"/>
      <c r="J283" s="8"/>
      <c r="K283" s="12" t="s">
        <v>1288</v>
      </c>
      <c r="L283" s="13"/>
      <c r="M283" s="8"/>
      <c r="N283" s="8"/>
      <c r="O283" s="8"/>
      <c r="P283" s="3" t="s">
        <v>4207</v>
      </c>
      <c r="Q283" s="11">
        <v>43851.577453703707</v>
      </c>
      <c r="R283" s="3" t="s">
        <v>4207</v>
      </c>
      <c r="S283" s="11">
        <v>43767.330277777779</v>
      </c>
      <c r="T283" s="7">
        <v>90</v>
      </c>
      <c r="U283" s="13">
        <f>COUNTIF('TAX Parcel Status Report'!$A$6:$A$290,SP_TaxPar_DB[[#This Row],[Tax Parcel ID]])</f>
        <v>1</v>
      </c>
    </row>
    <row r="284" spans="1:21" ht="18" customHeight="1" x14ac:dyDescent="0.2">
      <c r="A284" s="47" t="s">
        <v>1289</v>
      </c>
      <c r="B284" s="15" t="s">
        <v>1275</v>
      </c>
      <c r="C284" s="15"/>
      <c r="D284" s="20" t="s">
        <v>1811</v>
      </c>
      <c r="E284" s="8" t="s">
        <v>114</v>
      </c>
      <c r="F284" s="8" t="s">
        <v>224</v>
      </c>
      <c r="G284" s="8" t="s">
        <v>77</v>
      </c>
      <c r="H284" s="3" t="s">
        <v>96</v>
      </c>
      <c r="I284" s="8"/>
      <c r="J284" s="8"/>
      <c r="K284" s="12" t="s">
        <v>1290</v>
      </c>
      <c r="L284" s="13"/>
      <c r="M284" s="8"/>
      <c r="N284" s="8"/>
      <c r="O284" s="8"/>
      <c r="P284" s="3" t="s">
        <v>4207</v>
      </c>
      <c r="Q284" s="11">
        <v>43851.577465277776</v>
      </c>
      <c r="R284" s="3" t="s">
        <v>4207</v>
      </c>
      <c r="S284" s="11">
        <v>43767.333993055552</v>
      </c>
      <c r="T284" s="7">
        <v>91</v>
      </c>
      <c r="U284" s="13">
        <f>COUNTIF('TAX Parcel Status Report'!$A$6:$A$290,SP_TaxPar_DB[[#This Row],[Tax Parcel ID]])</f>
        <v>1</v>
      </c>
    </row>
    <row r="285" spans="1:21" ht="18" customHeight="1" x14ac:dyDescent="0.2">
      <c r="A285" s="47" t="s">
        <v>1283</v>
      </c>
      <c r="B285" s="15" t="s">
        <v>36</v>
      </c>
      <c r="C285" s="15"/>
      <c r="D285" s="20" t="s">
        <v>1811</v>
      </c>
      <c r="E285" s="8" t="s">
        <v>114</v>
      </c>
      <c r="F285" s="8" t="s">
        <v>224</v>
      </c>
      <c r="G285" s="8" t="s">
        <v>77</v>
      </c>
      <c r="H285" s="3" t="s">
        <v>26</v>
      </c>
      <c r="I285" s="8" t="s">
        <v>78</v>
      </c>
      <c r="J285" s="8"/>
      <c r="K285" s="12" t="s">
        <v>366</v>
      </c>
      <c r="L285" s="13"/>
      <c r="M285" s="8"/>
      <c r="N285" s="8"/>
      <c r="O285" s="8"/>
      <c r="P285" s="3" t="s">
        <v>4207</v>
      </c>
      <c r="Q285" s="11">
        <v>43851.576099537036</v>
      </c>
      <c r="R285" s="3" t="s">
        <v>23</v>
      </c>
      <c r="S285" s="11">
        <v>43682.658506944441</v>
      </c>
      <c r="T285" s="7">
        <v>19</v>
      </c>
      <c r="U285" s="13">
        <f>COUNTIF('TAX Parcel Status Report'!$A$6:$A$290,SP_TaxPar_DB[[#This Row],[Tax Parcel ID]])</f>
        <v>1</v>
      </c>
    </row>
    <row r="286" spans="1:21" ht="18" customHeight="1" x14ac:dyDescent="0.2">
      <c r="A286" s="47" t="s">
        <v>1291</v>
      </c>
      <c r="B286" s="15" t="s">
        <v>1174</v>
      </c>
      <c r="C286" s="15"/>
      <c r="D286" s="20" t="s">
        <v>1811</v>
      </c>
      <c r="E286" s="8" t="s">
        <v>114</v>
      </c>
      <c r="F286" s="8" t="s">
        <v>224</v>
      </c>
      <c r="G286" s="8" t="s">
        <v>77</v>
      </c>
      <c r="H286" s="3" t="s">
        <v>26</v>
      </c>
      <c r="I286" s="8"/>
      <c r="J286" s="8" t="s">
        <v>1686</v>
      </c>
      <c r="K286" s="12" t="s">
        <v>1696</v>
      </c>
      <c r="L286" s="13"/>
      <c r="M286" s="8"/>
      <c r="N286" s="8"/>
      <c r="O286" s="8"/>
      <c r="P286" s="3" t="s">
        <v>4207</v>
      </c>
      <c r="Q286" s="11">
        <v>43851.577465277776</v>
      </c>
      <c r="R286" s="3" t="s">
        <v>4207</v>
      </c>
      <c r="S286" s="11">
        <v>43767.339687500003</v>
      </c>
      <c r="T286" s="7">
        <v>92</v>
      </c>
      <c r="U286" s="13">
        <f>COUNTIF('TAX Parcel Status Report'!$A$6:$A$290,SP_TaxPar_DB[[#This Row],[Tax Parcel ID]])</f>
        <v>1</v>
      </c>
    </row>
    <row r="287" spans="1:21" ht="18" customHeight="1" x14ac:dyDescent="0.2">
      <c r="A287" s="248" t="s">
        <v>1292</v>
      </c>
      <c r="B287" s="245" t="s">
        <v>63</v>
      </c>
      <c r="C287" s="245"/>
      <c r="D287" s="20" t="s">
        <v>1811</v>
      </c>
      <c r="E287" s="8" t="s">
        <v>114</v>
      </c>
      <c r="F287" s="8" t="s">
        <v>224</v>
      </c>
      <c r="G287" s="8" t="s">
        <v>77</v>
      </c>
      <c r="H287" s="3" t="s">
        <v>26</v>
      </c>
      <c r="I287" s="8"/>
      <c r="J287" s="8" t="s">
        <v>226</v>
      </c>
      <c r="K287" s="12" t="s">
        <v>1293</v>
      </c>
      <c r="L287" s="13"/>
      <c r="M287" s="8"/>
      <c r="N287" s="8"/>
      <c r="O287" s="8"/>
      <c r="P287" s="3" t="s">
        <v>4207</v>
      </c>
      <c r="Q287" s="11">
        <v>43851.577488425923</v>
      </c>
      <c r="R287" s="3" t="s">
        <v>4207</v>
      </c>
      <c r="S287" s="11">
        <v>43767.341550925928</v>
      </c>
      <c r="T287" s="7">
        <v>93</v>
      </c>
      <c r="U287" s="13">
        <f>COUNTIF('TAX Parcel Status Report'!$A$6:$A$290,SP_TaxPar_DB[[#This Row],[Tax Parcel ID]])</f>
        <v>1</v>
      </c>
    </row>
    <row r="288" spans="1:21" ht="18" customHeight="1" x14ac:dyDescent="0.2">
      <c r="A288" s="260">
        <f>SUBTOTAL(103,SP_TaxPar_DB[Tax Parcel ID])</f>
        <v>286</v>
      </c>
      <c r="B288" s="259"/>
      <c r="C288" s="259"/>
      <c r="D288" s="259"/>
      <c r="E288" s="259"/>
      <c r="F288" s="259"/>
      <c r="G288" s="259"/>
      <c r="H288" s="259"/>
      <c r="I288" s="259"/>
      <c r="J288" s="259"/>
      <c r="K288" s="265"/>
      <c r="L288" s="259"/>
      <c r="M288" s="259"/>
      <c r="N288" s="259"/>
      <c r="O288" s="259"/>
      <c r="P288" s="259"/>
      <c r="Q288" s="258">
        <f>SUBTOTAL(104,SP_TaxPar_DB[Modified])</f>
        <v>44025.505868055552</v>
      </c>
      <c r="R288" s="259"/>
      <c r="S288" s="258">
        <f>SUBTOTAL(104,SP_TaxPar_DB[Created])</f>
        <v>43990.453240740739</v>
      </c>
      <c r="T288" s="259"/>
      <c r="U288" s="259">
        <f>SUBTOTAL(109,SP_TaxPar_DB[Count In Tax Report])</f>
        <v>285</v>
      </c>
    </row>
  </sheetData>
  <pageMargins left="0.7" right="0.7" top="0.75" bottom="0.75" header="0.3" footer="0.3"/>
  <pageSetup orientation="portrait" horizontalDpi="1200" verticalDpi="1200" r:id="rId1"/>
  <tableParts count="1">
    <tablePart r:id="rId2"/>
  </tableParts>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7">
    <tabColor theme="6" tint="-0.249977111117893"/>
  </sheetPr>
  <dimension ref="A1:T191"/>
  <sheetViews>
    <sheetView workbookViewId="0">
      <pane ySplit="1" topLeftCell="A2" activePane="bottomLeft" state="frozen"/>
      <selection pane="bottomLeft" activeCell="C79" sqref="C79"/>
    </sheetView>
  </sheetViews>
  <sheetFormatPr defaultRowHeight="12.75" outlineLevelCol="1" x14ac:dyDescent="0.2"/>
  <cols>
    <col min="1" max="1" width="14.140625" customWidth="1"/>
    <col min="2" max="2" width="18.5703125" customWidth="1"/>
    <col min="3" max="3" width="25" customWidth="1"/>
    <col min="4" max="4" width="8.85546875" customWidth="1"/>
    <col min="5" max="5" width="9.42578125" customWidth="1"/>
    <col min="6" max="6" width="13.5703125" customWidth="1"/>
    <col min="7" max="7" width="6" customWidth="1"/>
    <col min="8" max="8" width="10" customWidth="1"/>
    <col min="9" max="9" width="8.42578125" customWidth="1"/>
    <col min="10" max="10" width="16.5703125" customWidth="1"/>
    <col min="11" max="11" width="12.42578125" customWidth="1"/>
    <col min="12" max="12" width="11.140625" customWidth="1"/>
    <col min="13" max="13" width="15" customWidth="1"/>
    <col min="14" max="14" width="17" customWidth="1"/>
    <col min="15" max="15" width="26.140625" customWidth="1"/>
    <col min="16" max="16" width="10.5703125" hidden="1" customWidth="1" outlineLevel="1"/>
    <col min="17" max="17" width="12.42578125" customWidth="1" collapsed="1"/>
    <col min="18" max="18" width="15" hidden="1" customWidth="1" outlineLevel="1"/>
    <col min="19" max="19" width="14.42578125" bestFit="1" customWidth="1" collapsed="1"/>
    <col min="20" max="20" width="5.42578125" customWidth="1"/>
    <col min="21" max="21" width="13.42578125" bestFit="1" customWidth="1"/>
    <col min="22" max="22" width="6.42578125" customWidth="1"/>
    <col min="23" max="23" width="28.42578125" bestFit="1" customWidth="1"/>
    <col min="24" max="24" width="5.140625" bestFit="1" customWidth="1"/>
    <col min="25" max="25" width="12.42578125" bestFit="1" customWidth="1"/>
    <col min="26" max="26" width="38.140625" bestFit="1" customWidth="1"/>
  </cols>
  <sheetData>
    <row r="1" spans="1:20" ht="38.25" x14ac:dyDescent="0.2">
      <c r="A1" s="10" t="s">
        <v>1281</v>
      </c>
      <c r="B1" s="9" t="s">
        <v>6</v>
      </c>
      <c r="C1" s="9" t="s">
        <v>884</v>
      </c>
      <c r="D1" s="2" t="s">
        <v>885</v>
      </c>
      <c r="E1" s="2" t="s">
        <v>886</v>
      </c>
      <c r="F1" s="2" t="s">
        <v>887</v>
      </c>
      <c r="G1" s="2" t="s">
        <v>888</v>
      </c>
      <c r="H1" s="2" t="s">
        <v>889</v>
      </c>
      <c r="I1" s="2" t="s">
        <v>890</v>
      </c>
      <c r="J1" s="2" t="s">
        <v>892</v>
      </c>
      <c r="K1" s="2" t="s">
        <v>893</v>
      </c>
      <c r="L1" s="2" t="s">
        <v>891</v>
      </c>
      <c r="M1" s="2" t="s">
        <v>1350</v>
      </c>
      <c r="N1" s="2" t="s">
        <v>1351</v>
      </c>
      <c r="O1" s="2" t="s">
        <v>868</v>
      </c>
      <c r="P1" s="2" t="s">
        <v>18</v>
      </c>
      <c r="Q1" s="2" t="s">
        <v>19</v>
      </c>
      <c r="R1" s="2" t="s">
        <v>17</v>
      </c>
      <c r="S1" s="2" t="s">
        <v>20</v>
      </c>
      <c r="T1" s="2" t="s">
        <v>588</v>
      </c>
    </row>
    <row r="2" spans="1:20" ht="15" x14ac:dyDescent="0.2">
      <c r="A2" s="24" t="s">
        <v>22</v>
      </c>
      <c r="B2" s="25" t="s">
        <v>593</v>
      </c>
      <c r="C2" s="8" t="s">
        <v>927</v>
      </c>
      <c r="D2" s="8" t="s">
        <v>1021</v>
      </c>
      <c r="E2" s="8" t="s">
        <v>1022</v>
      </c>
      <c r="F2" s="8"/>
      <c r="G2" s="49" t="b">
        <v>0</v>
      </c>
      <c r="H2" s="8"/>
      <c r="I2" s="8"/>
      <c r="J2" s="8" t="s">
        <v>928</v>
      </c>
      <c r="K2" s="8" t="s">
        <v>929</v>
      </c>
      <c r="L2" s="8"/>
      <c r="M2" s="8" t="s">
        <v>451</v>
      </c>
      <c r="N2" s="8" t="s">
        <v>1358</v>
      </c>
      <c r="O2" s="1"/>
      <c r="P2" s="8" t="s">
        <v>23</v>
      </c>
      <c r="Q2" s="26">
        <v>43767.437245370369</v>
      </c>
      <c r="R2" s="8" t="s">
        <v>4207</v>
      </c>
      <c r="S2" s="26">
        <v>43699.636354166665</v>
      </c>
      <c r="T2" s="18">
        <v>15</v>
      </c>
    </row>
    <row r="3" spans="1:20" ht="15" x14ac:dyDescent="0.2">
      <c r="A3" s="24" t="s">
        <v>22</v>
      </c>
      <c r="B3" s="25" t="s">
        <v>2645</v>
      </c>
      <c r="C3" s="8" t="s">
        <v>941</v>
      </c>
      <c r="D3" s="8" t="s">
        <v>942</v>
      </c>
      <c r="E3" s="8" t="s">
        <v>943</v>
      </c>
      <c r="F3" s="8"/>
      <c r="G3" s="49" t="b">
        <v>0</v>
      </c>
      <c r="H3" s="8"/>
      <c r="I3" s="8"/>
      <c r="J3" s="8" t="s">
        <v>2646</v>
      </c>
      <c r="K3" s="8" t="s">
        <v>944</v>
      </c>
      <c r="L3" s="8"/>
      <c r="M3" s="8" t="s">
        <v>475</v>
      </c>
      <c r="N3" s="8" t="s">
        <v>1360</v>
      </c>
      <c r="O3" s="1"/>
      <c r="P3" s="8" t="s">
        <v>4325</v>
      </c>
      <c r="Q3" s="26">
        <v>43850.689097222225</v>
      </c>
      <c r="R3" s="8" t="s">
        <v>4207</v>
      </c>
      <c r="S3" s="26">
        <v>43700.321689814817</v>
      </c>
      <c r="T3" s="18">
        <v>20</v>
      </c>
    </row>
    <row r="4" spans="1:20" ht="38.25" x14ac:dyDescent="0.2">
      <c r="A4" s="24" t="s">
        <v>24</v>
      </c>
      <c r="B4" s="25" t="s">
        <v>5876</v>
      </c>
      <c r="C4" s="8" t="s">
        <v>1264</v>
      </c>
      <c r="D4" s="8" t="s">
        <v>4730</v>
      </c>
      <c r="E4" s="8" t="s">
        <v>897</v>
      </c>
      <c r="F4" s="8" t="s">
        <v>908</v>
      </c>
      <c r="G4" s="49" t="b">
        <v>1</v>
      </c>
      <c r="H4" s="8" t="s">
        <v>4731</v>
      </c>
      <c r="I4" s="8" t="s">
        <v>4732</v>
      </c>
      <c r="J4" s="8" t="s">
        <v>899</v>
      </c>
      <c r="K4" s="8" t="s">
        <v>900</v>
      </c>
      <c r="L4" s="8" t="s">
        <v>898</v>
      </c>
      <c r="M4" s="8" t="s">
        <v>76</v>
      </c>
      <c r="N4" s="8" t="s">
        <v>1353</v>
      </c>
      <c r="O4" s="1" t="s">
        <v>4748</v>
      </c>
      <c r="P4" s="8" t="s">
        <v>4206</v>
      </c>
      <c r="Q4" s="26">
        <v>43991.617754629631</v>
      </c>
      <c r="R4" s="8" t="s">
        <v>4325</v>
      </c>
      <c r="S4" s="26">
        <v>43696.480451388888</v>
      </c>
      <c r="T4" s="18">
        <v>2</v>
      </c>
    </row>
    <row r="5" spans="1:20" ht="15" x14ac:dyDescent="0.2">
      <c r="A5" s="196" t="s">
        <v>24</v>
      </c>
      <c r="B5" s="25" t="s">
        <v>5876</v>
      </c>
      <c r="C5" s="8" t="s">
        <v>4742</v>
      </c>
      <c r="D5" s="8" t="s">
        <v>4743</v>
      </c>
      <c r="E5" s="8" t="s">
        <v>4744</v>
      </c>
      <c r="F5" s="8" t="s">
        <v>1158</v>
      </c>
      <c r="G5" s="197" t="b">
        <v>1</v>
      </c>
      <c r="H5" s="8" t="s">
        <v>4802</v>
      </c>
      <c r="I5" s="8"/>
      <c r="J5" s="8"/>
      <c r="K5" s="8"/>
      <c r="L5" s="8"/>
      <c r="M5" s="8" t="s">
        <v>4745</v>
      </c>
      <c r="N5" s="8" t="s">
        <v>4746</v>
      </c>
      <c r="O5" s="1" t="s">
        <v>67</v>
      </c>
      <c r="P5" s="8" t="s">
        <v>4206</v>
      </c>
      <c r="Q5" s="26">
        <v>43991.61791666667</v>
      </c>
      <c r="R5" s="8" t="s">
        <v>4205</v>
      </c>
      <c r="S5" s="26">
        <v>43935.500937500001</v>
      </c>
      <c r="T5" s="18">
        <v>96</v>
      </c>
    </row>
    <row r="6" spans="1:20" ht="25.5" x14ac:dyDescent="0.2">
      <c r="A6" s="24" t="s">
        <v>28</v>
      </c>
      <c r="B6" s="25" t="s">
        <v>85</v>
      </c>
      <c r="C6" s="8" t="s">
        <v>4764</v>
      </c>
      <c r="D6" s="8" t="s">
        <v>901</v>
      </c>
      <c r="E6" s="8" t="s">
        <v>902</v>
      </c>
      <c r="F6" s="8" t="s">
        <v>4765</v>
      </c>
      <c r="G6" s="49" t="b">
        <v>1</v>
      </c>
      <c r="H6" s="8" t="s">
        <v>84</v>
      </c>
      <c r="I6" s="8" t="s">
        <v>4766</v>
      </c>
      <c r="J6" s="8" t="s">
        <v>904</v>
      </c>
      <c r="K6" s="8" t="s">
        <v>905</v>
      </c>
      <c r="L6" s="8" t="s">
        <v>903</v>
      </c>
      <c r="M6" s="8" t="s">
        <v>519</v>
      </c>
      <c r="N6" s="8" t="s">
        <v>1354</v>
      </c>
      <c r="O6" s="1" t="s">
        <v>4821</v>
      </c>
      <c r="P6" s="8" t="s">
        <v>4205</v>
      </c>
      <c r="Q6" s="26">
        <v>43935.649988425925</v>
      </c>
      <c r="R6" s="8" t="s">
        <v>4325</v>
      </c>
      <c r="S6" s="26">
        <v>43696.487824074073</v>
      </c>
      <c r="T6" s="18">
        <v>3</v>
      </c>
    </row>
    <row r="7" spans="1:20" ht="15" x14ac:dyDescent="0.2">
      <c r="A7" s="24" t="s">
        <v>28</v>
      </c>
      <c r="B7" s="25" t="s">
        <v>85</v>
      </c>
      <c r="C7" s="8" t="s">
        <v>4800</v>
      </c>
      <c r="D7" s="8"/>
      <c r="E7" s="8"/>
      <c r="F7" s="8" t="s">
        <v>1158</v>
      </c>
      <c r="G7" s="49" t="b">
        <v>1</v>
      </c>
      <c r="H7" s="8" t="s">
        <v>4801</v>
      </c>
      <c r="I7" s="8"/>
      <c r="J7" s="8"/>
      <c r="K7" s="8"/>
      <c r="L7" s="8"/>
      <c r="M7" s="8" t="s">
        <v>1161</v>
      </c>
      <c r="N7" s="8" t="s">
        <v>1375</v>
      </c>
      <c r="O7" s="1" t="s">
        <v>1158</v>
      </c>
      <c r="P7" s="8" t="s">
        <v>4205</v>
      </c>
      <c r="Q7" s="26">
        <v>43935.65724537037</v>
      </c>
      <c r="R7" s="8" t="s">
        <v>4326</v>
      </c>
      <c r="S7" s="26">
        <v>43742.437569444446</v>
      </c>
      <c r="T7" s="18">
        <v>74</v>
      </c>
    </row>
    <row r="8" spans="1:20" ht="15" x14ac:dyDescent="0.2">
      <c r="A8" s="196" t="s">
        <v>28</v>
      </c>
      <c r="B8" s="25" t="s">
        <v>85</v>
      </c>
      <c r="C8" s="8" t="s">
        <v>4801</v>
      </c>
      <c r="D8" s="8"/>
      <c r="E8" s="8"/>
      <c r="F8" s="8"/>
      <c r="G8" s="197" t="b">
        <v>1</v>
      </c>
      <c r="H8" s="8" t="s">
        <v>4801</v>
      </c>
      <c r="I8" s="8"/>
      <c r="J8" s="8"/>
      <c r="K8" s="8"/>
      <c r="L8" s="8"/>
      <c r="M8" s="8" t="s">
        <v>4717</v>
      </c>
      <c r="N8" s="8" t="s">
        <v>4803</v>
      </c>
      <c r="O8" s="1" t="s">
        <v>4825</v>
      </c>
      <c r="P8" s="8" t="s">
        <v>4205</v>
      </c>
      <c r="Q8" s="26">
        <v>43935.655150462961</v>
      </c>
      <c r="R8" s="8" t="s">
        <v>4205</v>
      </c>
      <c r="S8" s="26">
        <v>43935.646597222221</v>
      </c>
      <c r="T8" s="18">
        <v>97</v>
      </c>
    </row>
    <row r="9" spans="1:20" ht="38.25" x14ac:dyDescent="0.2">
      <c r="A9" s="24" t="s">
        <v>28</v>
      </c>
      <c r="B9" s="25" t="s">
        <v>85</v>
      </c>
      <c r="C9" s="8" t="s">
        <v>4800</v>
      </c>
      <c r="D9" s="8"/>
      <c r="E9" s="8"/>
      <c r="F9" s="8" t="s">
        <v>1158</v>
      </c>
      <c r="G9" s="49" t="b">
        <v>1</v>
      </c>
      <c r="H9" s="8" t="s">
        <v>4800</v>
      </c>
      <c r="I9" s="8"/>
      <c r="J9" s="8"/>
      <c r="K9" s="8"/>
      <c r="L9" s="8"/>
      <c r="M9" s="8" t="s">
        <v>4804</v>
      </c>
      <c r="N9" s="8" t="s">
        <v>4805</v>
      </c>
      <c r="O9" s="1" t="s">
        <v>4826</v>
      </c>
      <c r="P9" s="8" t="s">
        <v>4207</v>
      </c>
      <c r="Q9" s="26">
        <v>43993.431435185186</v>
      </c>
      <c r="R9" s="8" t="s">
        <v>4205</v>
      </c>
      <c r="S9" s="26">
        <v>43935.648912037039</v>
      </c>
      <c r="T9" s="18">
        <v>98</v>
      </c>
    </row>
    <row r="10" spans="1:20" ht="38.25" x14ac:dyDescent="0.2">
      <c r="A10" s="24" t="s">
        <v>30</v>
      </c>
      <c r="B10" s="25" t="s">
        <v>88</v>
      </c>
      <c r="C10" s="8" t="s">
        <v>4767</v>
      </c>
      <c r="D10" s="8" t="s">
        <v>4768</v>
      </c>
      <c r="E10" s="8" t="s">
        <v>4769</v>
      </c>
      <c r="F10" s="8"/>
      <c r="G10" s="49" t="b">
        <v>1</v>
      </c>
      <c r="H10" s="8" t="s">
        <v>4767</v>
      </c>
      <c r="I10" s="8"/>
      <c r="J10" s="8" t="s">
        <v>4771</v>
      </c>
      <c r="K10" s="8" t="s">
        <v>2643</v>
      </c>
      <c r="L10" s="8" t="s">
        <v>4770</v>
      </c>
      <c r="M10" s="8" t="s">
        <v>2644</v>
      </c>
      <c r="N10" s="8" t="s">
        <v>1814</v>
      </c>
      <c r="O10" s="1" t="s">
        <v>4822</v>
      </c>
      <c r="P10" s="8" t="s">
        <v>4205</v>
      </c>
      <c r="Q10" s="26">
        <v>43935.654652777775</v>
      </c>
      <c r="R10" s="8" t="s">
        <v>4325</v>
      </c>
      <c r="S10" s="26">
        <v>43696.493321759262</v>
      </c>
      <c r="T10" s="18">
        <v>4</v>
      </c>
    </row>
    <row r="11" spans="1:20" ht="15" x14ac:dyDescent="0.2">
      <c r="A11" s="196" t="s">
        <v>30</v>
      </c>
      <c r="B11" s="25" t="s">
        <v>88</v>
      </c>
      <c r="C11" s="8" t="s">
        <v>4739</v>
      </c>
      <c r="D11" s="8"/>
      <c r="E11" s="8"/>
      <c r="F11" s="8" t="s">
        <v>1158</v>
      </c>
      <c r="G11" s="197" t="b">
        <v>1</v>
      </c>
      <c r="H11" s="8" t="s">
        <v>1159</v>
      </c>
      <c r="I11" s="8"/>
      <c r="J11" s="8"/>
      <c r="K11" s="8"/>
      <c r="L11" s="8"/>
      <c r="M11" s="8" t="s">
        <v>1160</v>
      </c>
      <c r="N11" s="8" t="s">
        <v>1375</v>
      </c>
      <c r="O11" s="1" t="s">
        <v>1158</v>
      </c>
      <c r="P11" s="8" t="s">
        <v>4205</v>
      </c>
      <c r="Q11" s="26">
        <v>43935.657592592594</v>
      </c>
      <c r="R11" s="8" t="s">
        <v>4326</v>
      </c>
      <c r="S11" s="26">
        <v>43742.436400462961</v>
      </c>
      <c r="T11" s="18">
        <v>73</v>
      </c>
    </row>
    <row r="12" spans="1:20" ht="15" x14ac:dyDescent="0.2">
      <c r="A12" s="24" t="s">
        <v>30</v>
      </c>
      <c r="B12" s="25" t="s">
        <v>88</v>
      </c>
      <c r="C12" s="8" t="s">
        <v>4806</v>
      </c>
      <c r="D12" s="8"/>
      <c r="E12" s="8"/>
      <c r="F12" s="8"/>
      <c r="G12" s="49" t="b">
        <v>1</v>
      </c>
      <c r="H12" s="8" t="s">
        <v>4767</v>
      </c>
      <c r="I12" s="8"/>
      <c r="J12" s="8"/>
      <c r="K12" s="8"/>
      <c r="L12" s="8"/>
      <c r="M12" s="8" t="s">
        <v>4807</v>
      </c>
      <c r="N12" s="8" t="s">
        <v>4808</v>
      </c>
      <c r="O12" s="1" t="s">
        <v>4825</v>
      </c>
      <c r="P12" s="8" t="s">
        <v>4205</v>
      </c>
      <c r="Q12" s="26">
        <v>43935.659074074072</v>
      </c>
      <c r="R12" s="8" t="s">
        <v>4205</v>
      </c>
      <c r="S12" s="26">
        <v>43935.659074074072</v>
      </c>
      <c r="T12" s="18">
        <v>99</v>
      </c>
    </row>
    <row r="13" spans="1:20" ht="15" x14ac:dyDescent="0.2">
      <c r="A13" s="24" t="s">
        <v>31</v>
      </c>
      <c r="B13" s="25" t="s">
        <v>91</v>
      </c>
      <c r="C13" s="8" t="s">
        <v>4772</v>
      </c>
      <c r="D13" s="8" t="s">
        <v>942</v>
      </c>
      <c r="E13" s="8" t="s">
        <v>1030</v>
      </c>
      <c r="F13" s="8" t="s">
        <v>4773</v>
      </c>
      <c r="G13" s="49" t="b">
        <v>1</v>
      </c>
      <c r="H13" s="8" t="s">
        <v>4774</v>
      </c>
      <c r="I13" s="8"/>
      <c r="J13" s="8" t="s">
        <v>4775</v>
      </c>
      <c r="K13" s="8" t="s">
        <v>4776</v>
      </c>
      <c r="L13" s="8"/>
      <c r="M13" s="8" t="s">
        <v>488</v>
      </c>
      <c r="N13" s="8" t="s">
        <v>1354</v>
      </c>
      <c r="O13" s="1" t="s">
        <v>67</v>
      </c>
      <c r="P13" s="8" t="s">
        <v>4205</v>
      </c>
      <c r="Q13" s="26">
        <v>43935.661550925928</v>
      </c>
      <c r="R13" s="8" t="s">
        <v>4207</v>
      </c>
      <c r="S13" s="26">
        <v>43707.669108796297</v>
      </c>
      <c r="T13" s="18">
        <v>29</v>
      </c>
    </row>
    <row r="14" spans="1:20" ht="25.5" x14ac:dyDescent="0.2">
      <c r="A14" s="24" t="s">
        <v>32</v>
      </c>
      <c r="B14" s="25" t="s">
        <v>97</v>
      </c>
      <c r="C14" s="8" t="s">
        <v>94</v>
      </c>
      <c r="D14" s="8" t="s">
        <v>4777</v>
      </c>
      <c r="E14" s="8" t="s">
        <v>4778</v>
      </c>
      <c r="F14" s="8"/>
      <c r="G14" s="49" t="b">
        <v>1</v>
      </c>
      <c r="H14" s="8" t="s">
        <v>93</v>
      </c>
      <c r="I14" s="8" t="s">
        <v>4779</v>
      </c>
      <c r="J14" s="8" t="s">
        <v>974</v>
      </c>
      <c r="K14" s="8"/>
      <c r="L14" s="8" t="s">
        <v>4780</v>
      </c>
      <c r="M14" s="8" t="s">
        <v>95</v>
      </c>
      <c r="N14" s="8" t="s">
        <v>1354</v>
      </c>
      <c r="O14" s="1" t="s">
        <v>1170</v>
      </c>
      <c r="P14" s="8" t="s">
        <v>4205</v>
      </c>
      <c r="Q14" s="26">
        <v>43935.663159722222</v>
      </c>
      <c r="R14" s="8" t="s">
        <v>4207</v>
      </c>
      <c r="S14" s="26">
        <v>43707.670023148145</v>
      </c>
      <c r="T14" s="18">
        <v>30</v>
      </c>
    </row>
    <row r="15" spans="1:20" ht="15" x14ac:dyDescent="0.2">
      <c r="A15" s="24" t="s">
        <v>33</v>
      </c>
      <c r="B15" s="25" t="s">
        <v>101</v>
      </c>
      <c r="C15" s="8" t="s">
        <v>975</v>
      </c>
      <c r="D15" s="8" t="s">
        <v>1031</v>
      </c>
      <c r="E15" s="8" t="s">
        <v>1032</v>
      </c>
      <c r="F15" s="8" t="s">
        <v>908</v>
      </c>
      <c r="G15" s="49" t="b">
        <v>0</v>
      </c>
      <c r="H15" s="8"/>
      <c r="I15" s="8"/>
      <c r="J15" s="8" t="s">
        <v>976</v>
      </c>
      <c r="K15" s="8" t="s">
        <v>977</v>
      </c>
      <c r="L15" s="8"/>
      <c r="M15" s="8" t="s">
        <v>349</v>
      </c>
      <c r="N15" s="8" t="s">
        <v>1354</v>
      </c>
      <c r="O15" s="1" t="s">
        <v>4823</v>
      </c>
      <c r="P15" s="8" t="s">
        <v>4205</v>
      </c>
      <c r="Q15" s="26">
        <v>43935.663668981484</v>
      </c>
      <c r="R15" s="8" t="s">
        <v>4207</v>
      </c>
      <c r="S15" s="26">
        <v>43707.671122685184</v>
      </c>
      <c r="T15" s="18">
        <v>31</v>
      </c>
    </row>
    <row r="16" spans="1:20" ht="15" x14ac:dyDescent="0.2">
      <c r="A16" s="24" t="s">
        <v>33</v>
      </c>
      <c r="B16" s="25" t="s">
        <v>101</v>
      </c>
      <c r="C16" s="8" t="s">
        <v>6281</v>
      </c>
      <c r="D16" s="8" t="s">
        <v>6282</v>
      </c>
      <c r="E16" s="8" t="s">
        <v>1032</v>
      </c>
      <c r="F16" s="8" t="s">
        <v>6283</v>
      </c>
      <c r="G16" s="49" t="b">
        <v>1</v>
      </c>
      <c r="H16" s="8"/>
      <c r="I16" s="8"/>
      <c r="J16" s="8"/>
      <c r="K16" s="8"/>
      <c r="L16" s="8"/>
      <c r="M16" s="8"/>
      <c r="N16" s="8"/>
      <c r="O16" s="1"/>
      <c r="P16" s="8" t="s">
        <v>4206</v>
      </c>
      <c r="Q16" s="26">
        <v>43999.440833333334</v>
      </c>
      <c r="R16" s="8" t="s">
        <v>4206</v>
      </c>
      <c r="S16" s="26">
        <v>43999.439930555556</v>
      </c>
      <c r="T16" s="18">
        <v>195</v>
      </c>
    </row>
    <row r="17" spans="1:20" ht="15" x14ac:dyDescent="0.2">
      <c r="A17" s="24" t="s">
        <v>34</v>
      </c>
      <c r="B17" s="25" t="s">
        <v>622</v>
      </c>
      <c r="C17" s="8" t="s">
        <v>369</v>
      </c>
      <c r="D17" s="8" t="s">
        <v>1265</v>
      </c>
      <c r="E17" s="8" t="s">
        <v>1034</v>
      </c>
      <c r="F17" s="8" t="s">
        <v>908</v>
      </c>
      <c r="G17" s="49" t="b">
        <v>0</v>
      </c>
      <c r="H17" s="8"/>
      <c r="I17" s="8"/>
      <c r="J17" s="8" t="s">
        <v>980</v>
      </c>
      <c r="K17" s="8" t="s">
        <v>1162</v>
      </c>
      <c r="L17" s="8" t="s">
        <v>979</v>
      </c>
      <c r="M17" s="8" t="s">
        <v>104</v>
      </c>
      <c r="N17" s="8" t="s">
        <v>1354</v>
      </c>
      <c r="O17" s="1"/>
      <c r="P17" s="8" t="s">
        <v>23</v>
      </c>
      <c r="Q17" s="26">
        <v>43767.437245370369</v>
      </c>
      <c r="R17" s="8" t="s">
        <v>4325</v>
      </c>
      <c r="S17" s="26">
        <v>43742.616956018515</v>
      </c>
      <c r="T17" s="18">
        <v>75</v>
      </c>
    </row>
    <row r="18" spans="1:20" ht="15" x14ac:dyDescent="0.2">
      <c r="A18" s="24" t="s">
        <v>35</v>
      </c>
      <c r="B18" s="25" t="s">
        <v>982</v>
      </c>
      <c r="C18" s="8" t="s">
        <v>106</v>
      </c>
      <c r="D18" s="8" t="s">
        <v>1035</v>
      </c>
      <c r="E18" s="8" t="s">
        <v>1024</v>
      </c>
      <c r="F18" s="8" t="s">
        <v>908</v>
      </c>
      <c r="G18" s="49" t="b">
        <v>0</v>
      </c>
      <c r="H18" s="8"/>
      <c r="I18" s="8"/>
      <c r="J18" s="8" t="s">
        <v>983</v>
      </c>
      <c r="K18" s="8"/>
      <c r="L18" s="8"/>
      <c r="M18" s="8" t="s">
        <v>1675</v>
      </c>
      <c r="N18" s="8" t="s">
        <v>1364</v>
      </c>
      <c r="O18" s="1"/>
      <c r="P18" s="8" t="s">
        <v>4205</v>
      </c>
      <c r="Q18" s="26">
        <v>43935.664085648146</v>
      </c>
      <c r="R18" s="8" t="s">
        <v>4207</v>
      </c>
      <c r="S18" s="26">
        <v>43707.673784722225</v>
      </c>
      <c r="T18" s="18">
        <v>33</v>
      </c>
    </row>
    <row r="19" spans="1:20" ht="15" x14ac:dyDescent="0.2">
      <c r="A19" s="196" t="s">
        <v>37</v>
      </c>
      <c r="B19" s="25" t="s">
        <v>626</v>
      </c>
      <c r="C19" s="8" t="s">
        <v>106</v>
      </c>
      <c r="D19" s="8" t="s">
        <v>1035</v>
      </c>
      <c r="E19" s="8" t="s">
        <v>1024</v>
      </c>
      <c r="F19" s="8" t="s">
        <v>908</v>
      </c>
      <c r="G19" s="197" t="b">
        <v>0</v>
      </c>
      <c r="H19" s="8"/>
      <c r="I19" s="8"/>
      <c r="J19" s="8" t="s">
        <v>983</v>
      </c>
      <c r="K19" s="8"/>
      <c r="L19" s="8"/>
      <c r="M19" s="8" t="s">
        <v>1675</v>
      </c>
      <c r="N19" s="8" t="s">
        <v>1354</v>
      </c>
      <c r="O19" s="1"/>
      <c r="P19" s="8" t="s">
        <v>4205</v>
      </c>
      <c r="Q19" s="26">
        <v>43935.664386574077</v>
      </c>
      <c r="R19" s="8" t="s">
        <v>4207</v>
      </c>
      <c r="S19" s="26">
        <v>43707.674664351849</v>
      </c>
      <c r="T19" s="18">
        <v>34</v>
      </c>
    </row>
    <row r="20" spans="1:20" ht="15" x14ac:dyDescent="0.2">
      <c r="A20" s="24" t="s">
        <v>38</v>
      </c>
      <c r="B20" s="25" t="s">
        <v>627</v>
      </c>
      <c r="C20" s="8" t="s">
        <v>111</v>
      </c>
      <c r="D20" s="8" t="s">
        <v>4781</v>
      </c>
      <c r="E20" s="8" t="s">
        <v>4782</v>
      </c>
      <c r="F20" s="8" t="s">
        <v>1158</v>
      </c>
      <c r="G20" s="49" t="b">
        <v>1</v>
      </c>
      <c r="H20" s="8" t="s">
        <v>4783</v>
      </c>
      <c r="I20" s="8" t="s">
        <v>1158</v>
      </c>
      <c r="J20" s="8" t="s">
        <v>984</v>
      </c>
      <c r="K20" s="8"/>
      <c r="L20" s="8"/>
      <c r="M20" s="8" t="s">
        <v>4784</v>
      </c>
      <c r="N20" s="8" t="s">
        <v>1814</v>
      </c>
      <c r="O20" s="1"/>
      <c r="P20" s="8" t="s">
        <v>4205</v>
      </c>
      <c r="Q20" s="26">
        <v>43935.690509259257</v>
      </c>
      <c r="R20" s="8" t="s">
        <v>4207</v>
      </c>
      <c r="S20" s="26">
        <v>43707.675844907404</v>
      </c>
      <c r="T20" s="18">
        <v>35</v>
      </c>
    </row>
    <row r="21" spans="1:20" ht="15" x14ac:dyDescent="0.2">
      <c r="A21" s="24" t="s">
        <v>38</v>
      </c>
      <c r="B21" s="25" t="s">
        <v>627</v>
      </c>
      <c r="C21" s="8" t="s">
        <v>111</v>
      </c>
      <c r="D21" s="8" t="s">
        <v>4781</v>
      </c>
      <c r="E21" s="8" t="s">
        <v>4782</v>
      </c>
      <c r="F21" s="8"/>
      <c r="G21" s="49" t="b">
        <v>1</v>
      </c>
      <c r="H21" s="8" t="s">
        <v>111</v>
      </c>
      <c r="I21" s="8"/>
      <c r="J21" s="8"/>
      <c r="K21" s="8"/>
      <c r="L21" s="8"/>
      <c r="M21" s="8" t="s">
        <v>483</v>
      </c>
      <c r="N21" s="8" t="s">
        <v>4809</v>
      </c>
      <c r="O21" s="1"/>
      <c r="P21" s="8" t="s">
        <v>4205</v>
      </c>
      <c r="Q21" s="26">
        <v>43935.688576388886</v>
      </c>
      <c r="R21" s="8" t="s">
        <v>4205</v>
      </c>
      <c r="S21" s="26">
        <v>43935.676087962966</v>
      </c>
      <c r="T21" s="18">
        <v>100</v>
      </c>
    </row>
    <row r="22" spans="1:20" ht="15" x14ac:dyDescent="0.2">
      <c r="A22" s="24" t="s">
        <v>39</v>
      </c>
      <c r="B22" s="25" t="s">
        <v>985</v>
      </c>
      <c r="C22" s="8" t="s">
        <v>286</v>
      </c>
      <c r="D22" s="8"/>
      <c r="E22" s="8"/>
      <c r="F22" s="8" t="s">
        <v>1153</v>
      </c>
      <c r="G22" s="49" t="b">
        <v>0</v>
      </c>
      <c r="H22" s="8" t="s">
        <v>114</v>
      </c>
      <c r="I22" s="8"/>
      <c r="J22" s="8" t="s">
        <v>986</v>
      </c>
      <c r="K22" s="8"/>
      <c r="L22" s="8"/>
      <c r="M22" s="8" t="s">
        <v>224</v>
      </c>
      <c r="N22" s="8" t="s">
        <v>1354</v>
      </c>
      <c r="O22" s="1"/>
      <c r="P22" s="8" t="s">
        <v>23</v>
      </c>
      <c r="Q22" s="26">
        <v>43767.4372337963</v>
      </c>
      <c r="R22" s="8" t="s">
        <v>4207</v>
      </c>
      <c r="S22" s="26">
        <v>43707.678402777776</v>
      </c>
      <c r="T22" s="18">
        <v>36</v>
      </c>
    </row>
    <row r="23" spans="1:20" ht="15" x14ac:dyDescent="0.2">
      <c r="A23" s="24" t="s">
        <v>40</v>
      </c>
      <c r="B23" s="25" t="s">
        <v>628</v>
      </c>
      <c r="C23" s="8" t="s">
        <v>116</v>
      </c>
      <c r="D23" s="8" t="s">
        <v>1036</v>
      </c>
      <c r="E23" s="8" t="s">
        <v>1037</v>
      </c>
      <c r="F23" s="8" t="s">
        <v>908</v>
      </c>
      <c r="G23" s="49" t="b">
        <v>1</v>
      </c>
      <c r="H23" s="8"/>
      <c r="I23" s="8"/>
      <c r="J23" s="8" t="s">
        <v>4785</v>
      </c>
      <c r="K23" s="8" t="s">
        <v>4786</v>
      </c>
      <c r="L23" s="8" t="s">
        <v>987</v>
      </c>
      <c r="M23" s="8" t="s">
        <v>117</v>
      </c>
      <c r="N23" s="8" t="s">
        <v>1354</v>
      </c>
      <c r="O23" s="1"/>
      <c r="P23" s="8" t="s">
        <v>4205</v>
      </c>
      <c r="Q23" s="26">
        <v>43935.676608796297</v>
      </c>
      <c r="R23" s="8" t="s">
        <v>4207</v>
      </c>
      <c r="S23" s="26">
        <v>43707.68005787037</v>
      </c>
      <c r="T23" s="18">
        <v>37</v>
      </c>
    </row>
    <row r="24" spans="1:20" ht="15" x14ac:dyDescent="0.2">
      <c r="A24" s="44" t="s">
        <v>41</v>
      </c>
      <c r="B24" s="25" t="s">
        <v>629</v>
      </c>
      <c r="C24" s="8" t="s">
        <v>120</v>
      </c>
      <c r="D24" s="8" t="s">
        <v>1038</v>
      </c>
      <c r="E24" s="8" t="s">
        <v>1039</v>
      </c>
      <c r="F24" s="8" t="s">
        <v>908</v>
      </c>
      <c r="G24" s="49" t="b">
        <v>1</v>
      </c>
      <c r="H24" s="8"/>
      <c r="I24" s="8"/>
      <c r="J24" s="8" t="s">
        <v>4787</v>
      </c>
      <c r="K24" s="8"/>
      <c r="L24" s="8"/>
      <c r="M24" s="8" t="s">
        <v>121</v>
      </c>
      <c r="N24" s="8" t="s">
        <v>1354</v>
      </c>
      <c r="O24" s="1"/>
      <c r="P24" s="8" t="s">
        <v>4205</v>
      </c>
      <c r="Q24" s="26">
        <v>43935.676805555559</v>
      </c>
      <c r="R24" s="8" t="s">
        <v>4207</v>
      </c>
      <c r="S24" s="26">
        <v>43707.681122685186</v>
      </c>
      <c r="T24" s="18">
        <v>38</v>
      </c>
    </row>
    <row r="25" spans="1:20" ht="51" x14ac:dyDescent="0.2">
      <c r="A25" s="44" t="s">
        <v>42</v>
      </c>
      <c r="B25" s="25" t="s">
        <v>630</v>
      </c>
      <c r="C25" s="8" t="s">
        <v>4788</v>
      </c>
      <c r="D25" s="8" t="s">
        <v>4789</v>
      </c>
      <c r="E25" s="8" t="s">
        <v>1040</v>
      </c>
      <c r="F25" s="8" t="s">
        <v>4660</v>
      </c>
      <c r="G25" s="97" t="b">
        <v>1</v>
      </c>
      <c r="H25" s="8"/>
      <c r="I25" s="8"/>
      <c r="J25" s="8" t="s">
        <v>4661</v>
      </c>
      <c r="K25" s="8"/>
      <c r="L25" s="8"/>
      <c r="M25" s="8" t="s">
        <v>124</v>
      </c>
      <c r="N25" s="8" t="s">
        <v>1354</v>
      </c>
      <c r="O25" s="1" t="s">
        <v>4689</v>
      </c>
      <c r="P25" s="8" t="s">
        <v>4205</v>
      </c>
      <c r="Q25" s="26">
        <v>43935.67701388889</v>
      </c>
      <c r="R25" s="8" t="s">
        <v>4207</v>
      </c>
      <c r="S25" s="26">
        <v>43707.681747685187</v>
      </c>
      <c r="T25" s="18">
        <v>39</v>
      </c>
    </row>
    <row r="26" spans="1:20" ht="51" x14ac:dyDescent="0.2">
      <c r="A26" s="24" t="s">
        <v>42</v>
      </c>
      <c r="B26" s="25" t="s">
        <v>630</v>
      </c>
      <c r="C26" s="8" t="s">
        <v>4530</v>
      </c>
      <c r="D26" s="8" t="s">
        <v>4531</v>
      </c>
      <c r="E26" s="8" t="s">
        <v>4532</v>
      </c>
      <c r="F26" s="8" t="s">
        <v>4660</v>
      </c>
      <c r="G26" s="49" t="b">
        <v>1</v>
      </c>
      <c r="H26" s="8"/>
      <c r="I26" s="8"/>
      <c r="J26" s="8" t="s">
        <v>4666</v>
      </c>
      <c r="K26" s="8"/>
      <c r="L26" s="8"/>
      <c r="M26" s="8" t="s">
        <v>4667</v>
      </c>
      <c r="N26" s="8" t="s">
        <v>4668</v>
      </c>
      <c r="O26" s="1" t="s">
        <v>4690</v>
      </c>
      <c r="P26" s="8" t="s">
        <v>4205</v>
      </c>
      <c r="Q26" s="26">
        <v>43923.339016203703</v>
      </c>
      <c r="R26" s="8" t="s">
        <v>4207</v>
      </c>
      <c r="S26" s="26">
        <v>43902.485752314817</v>
      </c>
      <c r="T26" s="18">
        <v>87</v>
      </c>
    </row>
    <row r="27" spans="1:20" ht="51" x14ac:dyDescent="0.2">
      <c r="A27" s="24" t="s">
        <v>42</v>
      </c>
      <c r="B27" s="25" t="s">
        <v>630</v>
      </c>
      <c r="C27" s="8" t="s">
        <v>4533</v>
      </c>
      <c r="D27" s="8" t="s">
        <v>4534</v>
      </c>
      <c r="E27" s="8" t="s">
        <v>4535</v>
      </c>
      <c r="F27" s="8" t="s">
        <v>4660</v>
      </c>
      <c r="G27" s="49" t="b">
        <v>1</v>
      </c>
      <c r="H27" s="8"/>
      <c r="I27" s="8"/>
      <c r="J27" s="8" t="s">
        <v>4669</v>
      </c>
      <c r="K27" s="8"/>
      <c r="L27" s="8"/>
      <c r="M27" s="8" t="s">
        <v>4670</v>
      </c>
      <c r="N27" s="8" t="s">
        <v>1814</v>
      </c>
      <c r="O27" s="1" t="s">
        <v>4690</v>
      </c>
      <c r="P27" s="8" t="s">
        <v>4205</v>
      </c>
      <c r="Q27" s="26">
        <v>43923.338252314818</v>
      </c>
      <c r="R27" s="8" t="s">
        <v>4207</v>
      </c>
      <c r="S27" s="26">
        <v>43902.486747685187</v>
      </c>
      <c r="T27" s="18">
        <v>88</v>
      </c>
    </row>
    <row r="28" spans="1:20" ht="51" x14ac:dyDescent="0.2">
      <c r="A28" s="24" t="s">
        <v>42</v>
      </c>
      <c r="B28" s="25" t="s">
        <v>630</v>
      </c>
      <c r="C28" s="8" t="s">
        <v>4536</v>
      </c>
      <c r="D28" s="8" t="s">
        <v>4537</v>
      </c>
      <c r="E28" s="8" t="s">
        <v>4535</v>
      </c>
      <c r="F28" s="8" t="s">
        <v>4660</v>
      </c>
      <c r="G28" s="49" t="b">
        <v>1</v>
      </c>
      <c r="H28" s="8"/>
      <c r="I28" s="8"/>
      <c r="J28" s="8" t="s">
        <v>4671</v>
      </c>
      <c r="K28" s="8"/>
      <c r="L28" s="8"/>
      <c r="M28" s="8" t="s">
        <v>4672</v>
      </c>
      <c r="N28" s="8" t="s">
        <v>4673</v>
      </c>
      <c r="O28" s="1" t="s">
        <v>4690</v>
      </c>
      <c r="P28" s="8" t="s">
        <v>4205</v>
      </c>
      <c r="Q28" s="26">
        <v>43923.337627314817</v>
      </c>
      <c r="R28" s="8" t="s">
        <v>4207</v>
      </c>
      <c r="S28" s="26">
        <v>43902.488217592596</v>
      </c>
      <c r="T28" s="18">
        <v>89</v>
      </c>
    </row>
    <row r="29" spans="1:20" ht="51" x14ac:dyDescent="0.2">
      <c r="A29" s="24" t="s">
        <v>42</v>
      </c>
      <c r="B29" s="25" t="s">
        <v>630</v>
      </c>
      <c r="C29" s="8" t="s">
        <v>4538</v>
      </c>
      <c r="D29" s="8" t="s">
        <v>4539</v>
      </c>
      <c r="E29" s="8" t="s">
        <v>4535</v>
      </c>
      <c r="F29" s="8" t="s">
        <v>4660</v>
      </c>
      <c r="G29" s="49" t="b">
        <v>1</v>
      </c>
      <c r="H29" s="8"/>
      <c r="I29" s="8"/>
      <c r="J29" s="8" t="s">
        <v>4674</v>
      </c>
      <c r="K29" s="8"/>
      <c r="L29" s="8"/>
      <c r="M29" s="8" t="s">
        <v>4675</v>
      </c>
      <c r="N29" s="8" t="s">
        <v>1814</v>
      </c>
      <c r="O29" s="1" t="s">
        <v>4691</v>
      </c>
      <c r="P29" s="8" t="s">
        <v>4205</v>
      </c>
      <c r="Q29" s="26">
        <v>43923.336863425924</v>
      </c>
      <c r="R29" s="8" t="s">
        <v>4207</v>
      </c>
      <c r="S29" s="26">
        <v>43902.488842592589</v>
      </c>
      <c r="T29" s="18">
        <v>90</v>
      </c>
    </row>
    <row r="30" spans="1:20" ht="51" x14ac:dyDescent="0.2">
      <c r="A30" s="24" t="s">
        <v>42</v>
      </c>
      <c r="B30" s="25" t="s">
        <v>630</v>
      </c>
      <c r="C30" s="8" t="s">
        <v>4540</v>
      </c>
      <c r="D30" s="8" t="s">
        <v>4541</v>
      </c>
      <c r="E30" s="8" t="s">
        <v>4676</v>
      </c>
      <c r="F30" s="8" t="s">
        <v>4660</v>
      </c>
      <c r="G30" s="49" t="b">
        <v>1</v>
      </c>
      <c r="H30" s="8"/>
      <c r="I30" s="8"/>
      <c r="J30" s="8" t="s">
        <v>4677</v>
      </c>
      <c r="K30" s="8"/>
      <c r="L30" s="8"/>
      <c r="M30" s="8" t="s">
        <v>4678</v>
      </c>
      <c r="N30" s="8" t="s">
        <v>1814</v>
      </c>
      <c r="O30" s="1" t="s">
        <v>4690</v>
      </c>
      <c r="P30" s="8" t="s">
        <v>4205</v>
      </c>
      <c r="Q30" s="26">
        <v>43923.334803240738</v>
      </c>
      <c r="R30" s="8" t="s">
        <v>4207</v>
      </c>
      <c r="S30" s="26">
        <v>43902.489502314813</v>
      </c>
      <c r="T30" s="18">
        <v>91</v>
      </c>
    </row>
    <row r="31" spans="1:20" ht="51" x14ac:dyDescent="0.2">
      <c r="A31" s="24" t="s">
        <v>42</v>
      </c>
      <c r="B31" s="25" t="s">
        <v>630</v>
      </c>
      <c r="C31" s="8" t="s">
        <v>4679</v>
      </c>
      <c r="D31" s="8" t="s">
        <v>4542</v>
      </c>
      <c r="E31" s="8" t="s">
        <v>4680</v>
      </c>
      <c r="F31" s="8" t="s">
        <v>4660</v>
      </c>
      <c r="G31" s="49" t="b">
        <v>1</v>
      </c>
      <c r="H31" s="8"/>
      <c r="I31" s="8"/>
      <c r="J31" s="8" t="s">
        <v>4681</v>
      </c>
      <c r="K31" s="8"/>
      <c r="L31" s="8"/>
      <c r="M31" s="8" t="s">
        <v>4682</v>
      </c>
      <c r="N31" s="8" t="s">
        <v>1814</v>
      </c>
      <c r="O31" s="1" t="s">
        <v>4692</v>
      </c>
      <c r="P31" s="8" t="s">
        <v>4205</v>
      </c>
      <c r="Q31" s="26">
        <v>43923.332430555558</v>
      </c>
      <c r="R31" s="8" t="s">
        <v>4207</v>
      </c>
      <c r="S31" s="26">
        <v>43902.489953703705</v>
      </c>
      <c r="T31" s="18">
        <v>92</v>
      </c>
    </row>
    <row r="32" spans="1:20" ht="51" x14ac:dyDescent="0.2">
      <c r="A32" s="24" t="s">
        <v>42</v>
      </c>
      <c r="B32" s="25" t="s">
        <v>630</v>
      </c>
      <c r="C32" s="8" t="s">
        <v>4683</v>
      </c>
      <c r="D32" s="8" t="s">
        <v>4684</v>
      </c>
      <c r="E32" s="8" t="s">
        <v>4685</v>
      </c>
      <c r="F32" s="8" t="s">
        <v>4660</v>
      </c>
      <c r="G32" s="49" t="b">
        <v>1</v>
      </c>
      <c r="H32" s="8"/>
      <c r="I32" s="8"/>
      <c r="J32" s="8" t="s">
        <v>4686</v>
      </c>
      <c r="K32" s="8"/>
      <c r="L32" s="8"/>
      <c r="M32" s="8" t="s">
        <v>4687</v>
      </c>
      <c r="N32" s="8" t="s">
        <v>4688</v>
      </c>
      <c r="O32" s="1" t="s">
        <v>4690</v>
      </c>
      <c r="P32" s="8" t="s">
        <v>4205</v>
      </c>
      <c r="Q32" s="26">
        <v>43923.332592592589</v>
      </c>
      <c r="R32" s="8" t="s">
        <v>4205</v>
      </c>
      <c r="S32" s="26">
        <v>43914.425474537034</v>
      </c>
      <c r="T32" s="18">
        <v>93</v>
      </c>
    </row>
    <row r="33" spans="1:20" ht="15" x14ac:dyDescent="0.2">
      <c r="A33" s="24" t="s">
        <v>43</v>
      </c>
      <c r="B33" s="25" t="s">
        <v>631</v>
      </c>
      <c r="C33" s="8" t="s">
        <v>127</v>
      </c>
      <c r="D33" s="8"/>
      <c r="E33" s="8"/>
      <c r="F33" s="8" t="s">
        <v>908</v>
      </c>
      <c r="G33" s="49" t="b">
        <v>1</v>
      </c>
      <c r="H33" s="8" t="s">
        <v>127</v>
      </c>
      <c r="I33" s="8"/>
      <c r="J33" s="8"/>
      <c r="K33" s="8"/>
      <c r="L33" s="8"/>
      <c r="M33" s="8" t="s">
        <v>128</v>
      </c>
      <c r="N33" s="8" t="s">
        <v>1355</v>
      </c>
      <c r="O33" s="1"/>
      <c r="P33" s="8" t="s">
        <v>4205</v>
      </c>
      <c r="Q33" s="26">
        <v>43935.679201388892</v>
      </c>
      <c r="R33" s="8" t="s">
        <v>4325</v>
      </c>
      <c r="S33" s="26">
        <v>43696.536469907405</v>
      </c>
      <c r="T33" s="18">
        <v>5</v>
      </c>
    </row>
    <row r="34" spans="1:20" ht="15" x14ac:dyDescent="0.2">
      <c r="A34" s="24" t="s">
        <v>132</v>
      </c>
      <c r="B34" s="25" t="s">
        <v>632</v>
      </c>
      <c r="C34" s="8" t="s">
        <v>4790</v>
      </c>
      <c r="D34" s="8" t="s">
        <v>1041</v>
      </c>
      <c r="E34" s="8" t="s">
        <v>4791</v>
      </c>
      <c r="F34" s="8" t="s">
        <v>908</v>
      </c>
      <c r="G34" s="49" t="b">
        <v>1</v>
      </c>
      <c r="H34" s="8"/>
      <c r="I34" s="8"/>
      <c r="J34" s="8"/>
      <c r="K34" s="8"/>
      <c r="L34" s="8"/>
      <c r="M34" s="8" t="s">
        <v>4792</v>
      </c>
      <c r="N34" s="8" t="s">
        <v>1814</v>
      </c>
      <c r="O34" s="1" t="s">
        <v>67</v>
      </c>
      <c r="P34" s="8" t="s">
        <v>4205</v>
      </c>
      <c r="Q34" s="26">
        <v>43935.679861111108</v>
      </c>
      <c r="R34" s="8" t="s">
        <v>4207</v>
      </c>
      <c r="S34" s="26">
        <v>43707.684525462966</v>
      </c>
      <c r="T34" s="18">
        <v>41</v>
      </c>
    </row>
    <row r="35" spans="1:20" ht="15" x14ac:dyDescent="0.2">
      <c r="A35" s="24" t="s">
        <v>136</v>
      </c>
      <c r="B35" s="25" t="s">
        <v>633</v>
      </c>
      <c r="C35" s="8" t="s">
        <v>4793</v>
      </c>
      <c r="D35" s="8" t="s">
        <v>1042</v>
      </c>
      <c r="E35" s="8" t="s">
        <v>1043</v>
      </c>
      <c r="F35" s="8" t="s">
        <v>908</v>
      </c>
      <c r="G35" s="49" t="b">
        <v>1</v>
      </c>
      <c r="H35" s="8"/>
      <c r="I35" s="8"/>
      <c r="J35" s="8"/>
      <c r="K35" s="8"/>
      <c r="L35" s="8"/>
      <c r="M35" s="8" t="s">
        <v>4794</v>
      </c>
      <c r="N35" s="8" t="s">
        <v>1814</v>
      </c>
      <c r="O35" s="1" t="s">
        <v>67</v>
      </c>
      <c r="P35" s="8" t="s">
        <v>4205</v>
      </c>
      <c r="Q35" s="26">
        <v>43935.681284722225</v>
      </c>
      <c r="R35" s="8" t="s">
        <v>4207</v>
      </c>
      <c r="S35" s="26">
        <v>43707.685219907406</v>
      </c>
      <c r="T35" s="18">
        <v>42</v>
      </c>
    </row>
    <row r="36" spans="1:20" ht="15" x14ac:dyDescent="0.2">
      <c r="A36" s="24" t="s">
        <v>141</v>
      </c>
      <c r="B36" s="25" t="s">
        <v>634</v>
      </c>
      <c r="C36" s="8" t="s">
        <v>142</v>
      </c>
      <c r="D36" s="8" t="s">
        <v>1044</v>
      </c>
      <c r="E36" s="8" t="s">
        <v>1024</v>
      </c>
      <c r="F36" s="8" t="s">
        <v>908</v>
      </c>
      <c r="G36" s="49" t="b">
        <v>1</v>
      </c>
      <c r="H36" s="8"/>
      <c r="I36" s="8"/>
      <c r="J36" s="8" t="s">
        <v>988</v>
      </c>
      <c r="K36" s="8"/>
      <c r="L36" s="8"/>
      <c r="M36" s="8" t="s">
        <v>143</v>
      </c>
      <c r="N36" s="8" t="s">
        <v>1366</v>
      </c>
      <c r="O36" s="1"/>
      <c r="P36" s="8" t="s">
        <v>4205</v>
      </c>
      <c r="Q36" s="26">
        <v>43935.681643518517</v>
      </c>
      <c r="R36" s="8" t="s">
        <v>4207</v>
      </c>
      <c r="S36" s="26">
        <v>43707.686689814815</v>
      </c>
      <c r="T36" s="18">
        <v>43</v>
      </c>
    </row>
    <row r="37" spans="1:20" ht="15" x14ac:dyDescent="0.2">
      <c r="A37" s="24" t="s">
        <v>147</v>
      </c>
      <c r="B37" s="25" t="s">
        <v>635</v>
      </c>
      <c r="C37" s="8" t="s">
        <v>107</v>
      </c>
      <c r="D37" s="8" t="s">
        <v>1035</v>
      </c>
      <c r="E37" s="8" t="s">
        <v>1024</v>
      </c>
      <c r="F37" s="8" t="s">
        <v>908</v>
      </c>
      <c r="G37" s="49" t="b">
        <v>1</v>
      </c>
      <c r="H37" s="8"/>
      <c r="I37" s="8"/>
      <c r="J37" s="8" t="s">
        <v>983</v>
      </c>
      <c r="K37" s="8"/>
      <c r="L37" s="8"/>
      <c r="M37" s="8" t="s">
        <v>360</v>
      </c>
      <c r="N37" s="8" t="s">
        <v>1354</v>
      </c>
      <c r="O37" s="1"/>
      <c r="P37" s="8" t="s">
        <v>4205</v>
      </c>
      <c r="Q37" s="26">
        <v>43935.681886574072</v>
      </c>
      <c r="R37" s="8" t="s">
        <v>4207</v>
      </c>
      <c r="S37" s="26">
        <v>43707.687847222223</v>
      </c>
      <c r="T37" s="18">
        <v>44</v>
      </c>
    </row>
    <row r="38" spans="1:20" ht="25.5" x14ac:dyDescent="0.2">
      <c r="A38" s="196" t="s">
        <v>149</v>
      </c>
      <c r="B38" s="25" t="s">
        <v>636</v>
      </c>
      <c r="C38" s="8" t="s">
        <v>4795</v>
      </c>
      <c r="D38" s="8" t="s">
        <v>1045</v>
      </c>
      <c r="E38" s="8" t="s">
        <v>1046</v>
      </c>
      <c r="F38" s="8" t="s">
        <v>908</v>
      </c>
      <c r="G38" s="197" t="b">
        <v>1</v>
      </c>
      <c r="H38" s="8"/>
      <c r="I38" s="8"/>
      <c r="J38" s="8"/>
      <c r="K38" s="8"/>
      <c r="L38" s="8"/>
      <c r="M38" s="8" t="s">
        <v>151</v>
      </c>
      <c r="N38" s="8" t="s">
        <v>1367</v>
      </c>
      <c r="O38" s="1" t="s">
        <v>4824</v>
      </c>
      <c r="P38" s="8" t="s">
        <v>4205</v>
      </c>
      <c r="Q38" s="26">
        <v>43935.682256944441</v>
      </c>
      <c r="R38" s="8" t="s">
        <v>4207</v>
      </c>
      <c r="S38" s="26">
        <v>43707.688796296294</v>
      </c>
      <c r="T38" s="18">
        <v>45</v>
      </c>
    </row>
    <row r="39" spans="1:20" ht="25.5" x14ac:dyDescent="0.2">
      <c r="A39" s="196" t="s">
        <v>154</v>
      </c>
      <c r="B39" s="25" t="s">
        <v>638</v>
      </c>
      <c r="C39" s="8" t="s">
        <v>4796</v>
      </c>
      <c r="D39" s="8" t="s">
        <v>942</v>
      </c>
      <c r="E39" s="8" t="s">
        <v>2647</v>
      </c>
      <c r="F39" s="8" t="s">
        <v>4660</v>
      </c>
      <c r="G39" s="197" t="b">
        <v>1</v>
      </c>
      <c r="H39" s="8" t="s">
        <v>1349</v>
      </c>
      <c r="I39" s="8"/>
      <c r="J39" s="8" t="s">
        <v>4798</v>
      </c>
      <c r="K39" s="8"/>
      <c r="L39" s="8" t="s">
        <v>4797</v>
      </c>
      <c r="M39" s="8" t="s">
        <v>4799</v>
      </c>
      <c r="N39" s="8" t="s">
        <v>2648</v>
      </c>
      <c r="O39" s="1" t="s">
        <v>2677</v>
      </c>
      <c r="P39" s="8" t="s">
        <v>4205</v>
      </c>
      <c r="Q39" s="26">
        <v>43935.684004629627</v>
      </c>
      <c r="R39" s="8" t="s">
        <v>4207</v>
      </c>
      <c r="S39" s="26">
        <v>43707.689803240741</v>
      </c>
      <c r="T39" s="18">
        <v>46</v>
      </c>
    </row>
    <row r="40" spans="1:20" ht="15" x14ac:dyDescent="0.2">
      <c r="A40" s="24" t="s">
        <v>154</v>
      </c>
      <c r="B40" s="25" t="s">
        <v>638</v>
      </c>
      <c r="C40" s="8" t="s">
        <v>1349</v>
      </c>
      <c r="D40" s="8" t="s">
        <v>958</v>
      </c>
      <c r="E40" s="8" t="s">
        <v>4810</v>
      </c>
      <c r="F40" s="8" t="s">
        <v>4660</v>
      </c>
      <c r="G40" s="49" t="b">
        <v>1</v>
      </c>
      <c r="H40" s="8" t="s">
        <v>1349</v>
      </c>
      <c r="I40" s="8"/>
      <c r="J40" s="8" t="s">
        <v>4812</v>
      </c>
      <c r="K40" s="8" t="s">
        <v>4813</v>
      </c>
      <c r="L40" s="8" t="s">
        <v>4811</v>
      </c>
      <c r="M40" s="8" t="s">
        <v>4814</v>
      </c>
      <c r="N40" s="8" t="s">
        <v>4815</v>
      </c>
      <c r="O40" s="1"/>
      <c r="P40" s="8" t="s">
        <v>4205</v>
      </c>
      <c r="Q40" s="26">
        <v>43935.68650462963</v>
      </c>
      <c r="R40" s="8" t="s">
        <v>4205</v>
      </c>
      <c r="S40" s="26">
        <v>43935.685231481482</v>
      </c>
      <c r="T40" s="18">
        <v>101</v>
      </c>
    </row>
    <row r="41" spans="1:20" ht="15" x14ac:dyDescent="0.2">
      <c r="A41" s="196" t="s">
        <v>154</v>
      </c>
      <c r="B41" s="25" t="s">
        <v>638</v>
      </c>
      <c r="C41" s="8" t="s">
        <v>1349</v>
      </c>
      <c r="D41" s="8" t="s">
        <v>4816</v>
      </c>
      <c r="E41" s="8" t="s">
        <v>4817</v>
      </c>
      <c r="F41" s="8" t="s">
        <v>4660</v>
      </c>
      <c r="G41" s="197" t="b">
        <v>1</v>
      </c>
      <c r="H41" s="8" t="s">
        <v>1349</v>
      </c>
      <c r="I41" s="8"/>
      <c r="J41" s="8" t="s">
        <v>4819</v>
      </c>
      <c r="K41" s="8"/>
      <c r="L41" s="8" t="s">
        <v>4818</v>
      </c>
      <c r="M41" s="8" t="s">
        <v>4814</v>
      </c>
      <c r="N41" s="8" t="s">
        <v>4815</v>
      </c>
      <c r="O41" s="1"/>
      <c r="P41" s="8" t="s">
        <v>4205</v>
      </c>
      <c r="Q41" s="26">
        <v>43935.686249999999</v>
      </c>
      <c r="R41" s="8" t="s">
        <v>4205</v>
      </c>
      <c r="S41" s="26">
        <v>43935.686249999999</v>
      </c>
      <c r="T41" s="18">
        <v>102</v>
      </c>
    </row>
    <row r="42" spans="1:20" ht="15" x14ac:dyDescent="0.2">
      <c r="A42" s="24" t="s">
        <v>159</v>
      </c>
      <c r="B42" s="25" t="s">
        <v>989</v>
      </c>
      <c r="C42" s="8" t="s">
        <v>111</v>
      </c>
      <c r="D42" s="8" t="s">
        <v>4781</v>
      </c>
      <c r="E42" s="8" t="s">
        <v>4782</v>
      </c>
      <c r="F42" s="8"/>
      <c r="G42" s="49" t="b">
        <v>1</v>
      </c>
      <c r="H42" s="8" t="s">
        <v>111</v>
      </c>
      <c r="I42" s="8"/>
      <c r="J42" s="8" t="s">
        <v>990</v>
      </c>
      <c r="K42" s="8"/>
      <c r="L42" s="8"/>
      <c r="M42" s="8" t="s">
        <v>483</v>
      </c>
      <c r="N42" s="8" t="s">
        <v>1365</v>
      </c>
      <c r="O42" s="1"/>
      <c r="P42" s="8" t="s">
        <v>4205</v>
      </c>
      <c r="Q42" s="26">
        <v>43935.688657407409</v>
      </c>
      <c r="R42" s="8" t="s">
        <v>4207</v>
      </c>
      <c r="S42" s="26">
        <v>43707.691030092596</v>
      </c>
      <c r="T42" s="18">
        <v>47</v>
      </c>
    </row>
    <row r="43" spans="1:20" ht="15" x14ac:dyDescent="0.2">
      <c r="A43" s="186" t="s">
        <v>159</v>
      </c>
      <c r="B43" s="25" t="s">
        <v>989</v>
      </c>
      <c r="C43" s="8" t="s">
        <v>111</v>
      </c>
      <c r="D43" s="8" t="s">
        <v>4820</v>
      </c>
      <c r="E43" s="8" t="s">
        <v>4782</v>
      </c>
      <c r="F43" s="8" t="s">
        <v>1158</v>
      </c>
      <c r="G43" s="187" t="b">
        <v>1</v>
      </c>
      <c r="H43" s="8" t="s">
        <v>111</v>
      </c>
      <c r="I43" s="8" t="s">
        <v>1158</v>
      </c>
      <c r="J43" s="8" t="s">
        <v>984</v>
      </c>
      <c r="K43" s="8"/>
      <c r="L43" s="8"/>
      <c r="M43" s="8" t="s">
        <v>4784</v>
      </c>
      <c r="N43" s="8" t="s">
        <v>1814</v>
      </c>
      <c r="O43" s="1" t="s">
        <v>1158</v>
      </c>
      <c r="P43" s="8" t="s">
        <v>4205</v>
      </c>
      <c r="Q43" s="26">
        <v>43936.469780092593</v>
      </c>
      <c r="R43" s="8" t="s">
        <v>4205</v>
      </c>
      <c r="S43" s="26">
        <v>43935.690462962964</v>
      </c>
      <c r="T43" s="18">
        <v>103</v>
      </c>
    </row>
    <row r="44" spans="1:20" ht="15" x14ac:dyDescent="0.2">
      <c r="A44" s="24" t="s">
        <v>3310</v>
      </c>
      <c r="B44" s="25" t="s">
        <v>3029</v>
      </c>
      <c r="C44" s="8" t="s">
        <v>6430</v>
      </c>
      <c r="D44" s="8" t="s">
        <v>951</v>
      </c>
      <c r="E44" s="8" t="s">
        <v>6431</v>
      </c>
      <c r="F44" s="8"/>
      <c r="G44" s="49" t="b">
        <v>1</v>
      </c>
      <c r="H44" s="8"/>
      <c r="I44" s="8"/>
      <c r="J44" s="8"/>
      <c r="K44" s="8"/>
      <c r="L44" s="8"/>
      <c r="M44" s="8" t="s">
        <v>4740</v>
      </c>
      <c r="N44" s="8" t="s">
        <v>1814</v>
      </c>
      <c r="O44" s="1" t="s">
        <v>67</v>
      </c>
      <c r="P44" s="8" t="s">
        <v>1744</v>
      </c>
      <c r="Q44" s="26">
        <v>44001.396180555559</v>
      </c>
      <c r="R44" s="8" t="s">
        <v>4206</v>
      </c>
      <c r="S44" s="26">
        <v>43931.564571759256</v>
      </c>
      <c r="T44" s="18">
        <v>94</v>
      </c>
    </row>
    <row r="45" spans="1:20" ht="25.5" x14ac:dyDescent="0.2">
      <c r="A45" s="24" t="s">
        <v>3315</v>
      </c>
      <c r="B45" s="25" t="s">
        <v>3030</v>
      </c>
      <c r="C45" s="8" t="s">
        <v>6733</v>
      </c>
      <c r="D45" s="8"/>
      <c r="E45" s="8"/>
      <c r="F45" s="8" t="s">
        <v>908</v>
      </c>
      <c r="G45" s="49" t="b">
        <v>0</v>
      </c>
      <c r="H45" s="8" t="s">
        <v>6730</v>
      </c>
      <c r="I45" s="8"/>
      <c r="J45" s="8"/>
      <c r="K45" s="8"/>
      <c r="L45" s="8"/>
      <c r="M45" s="8" t="s">
        <v>6728</v>
      </c>
      <c r="N45" s="8" t="s">
        <v>1814</v>
      </c>
      <c r="O45" s="1" t="s">
        <v>4741</v>
      </c>
      <c r="P45" s="8" t="s">
        <v>4325</v>
      </c>
      <c r="Q45" s="26">
        <v>44025.510092592594</v>
      </c>
      <c r="R45" s="8" t="s">
        <v>4206</v>
      </c>
      <c r="S45" s="26">
        <v>43931.567337962966</v>
      </c>
      <c r="T45" s="18">
        <v>95</v>
      </c>
    </row>
    <row r="46" spans="1:20" ht="15" x14ac:dyDescent="0.2">
      <c r="A46" s="24" t="s">
        <v>44</v>
      </c>
      <c r="B46" s="25" t="s">
        <v>640</v>
      </c>
      <c r="C46" s="8" t="s">
        <v>991</v>
      </c>
      <c r="D46" s="8" t="s">
        <v>951</v>
      </c>
      <c r="E46" s="8" t="s">
        <v>1047</v>
      </c>
      <c r="F46" s="8" t="s">
        <v>4837</v>
      </c>
      <c r="G46" s="49" t="b">
        <v>1</v>
      </c>
      <c r="H46" s="8"/>
      <c r="I46" s="8"/>
      <c r="J46" s="8" t="s">
        <v>992</v>
      </c>
      <c r="K46" s="8"/>
      <c r="L46" s="8"/>
      <c r="M46" s="8" t="s">
        <v>1697</v>
      </c>
      <c r="N46" s="8" t="s">
        <v>1354</v>
      </c>
      <c r="O46" s="1" t="s">
        <v>67</v>
      </c>
      <c r="P46" s="8" t="s">
        <v>4205</v>
      </c>
      <c r="Q46" s="26">
        <v>43936.474039351851</v>
      </c>
      <c r="R46" s="8" t="s">
        <v>4207</v>
      </c>
      <c r="S46" s="26">
        <v>43707.69222222222</v>
      </c>
      <c r="T46" s="18">
        <v>48</v>
      </c>
    </row>
    <row r="47" spans="1:20" ht="15" x14ac:dyDescent="0.2">
      <c r="A47" s="24" t="s">
        <v>44</v>
      </c>
      <c r="B47" s="25" t="s">
        <v>640</v>
      </c>
      <c r="C47" s="8" t="s">
        <v>993</v>
      </c>
      <c r="D47" s="8" t="s">
        <v>1048</v>
      </c>
      <c r="E47" s="8" t="s">
        <v>1049</v>
      </c>
      <c r="F47" s="8" t="s">
        <v>4837</v>
      </c>
      <c r="G47" s="49" t="b">
        <v>1</v>
      </c>
      <c r="H47" s="8"/>
      <c r="I47" s="8"/>
      <c r="J47" s="8" t="s">
        <v>994</v>
      </c>
      <c r="K47" s="8"/>
      <c r="L47" s="8"/>
      <c r="M47" s="8" t="s">
        <v>4838</v>
      </c>
      <c r="N47" s="8" t="s">
        <v>1354</v>
      </c>
      <c r="O47" s="1"/>
      <c r="P47" s="8" t="s">
        <v>4205</v>
      </c>
      <c r="Q47" s="26">
        <v>43936.474548611113</v>
      </c>
      <c r="R47" s="8" t="s">
        <v>4207</v>
      </c>
      <c r="S47" s="26">
        <v>43707.692962962959</v>
      </c>
      <c r="T47" s="18">
        <v>49</v>
      </c>
    </row>
    <row r="48" spans="1:20" ht="15" x14ac:dyDescent="0.2">
      <c r="A48" s="44" t="s">
        <v>44</v>
      </c>
      <c r="B48" s="25" t="s">
        <v>640</v>
      </c>
      <c r="C48" s="8" t="s">
        <v>995</v>
      </c>
      <c r="D48" s="8" t="s">
        <v>1050</v>
      </c>
      <c r="E48" s="8" t="s">
        <v>1051</v>
      </c>
      <c r="F48" s="8" t="s">
        <v>4837</v>
      </c>
      <c r="G48" s="49" t="b">
        <v>1</v>
      </c>
      <c r="H48" s="8"/>
      <c r="I48" s="8"/>
      <c r="J48" s="8" t="s">
        <v>996</v>
      </c>
      <c r="K48" s="8"/>
      <c r="L48" s="8"/>
      <c r="M48" s="8" t="s">
        <v>1052</v>
      </c>
      <c r="N48" s="8" t="s">
        <v>1368</v>
      </c>
      <c r="O48" s="1" t="s">
        <v>67</v>
      </c>
      <c r="P48" s="8" t="s">
        <v>4205</v>
      </c>
      <c r="Q48" s="26">
        <v>43936.474930555552</v>
      </c>
      <c r="R48" s="8" t="s">
        <v>4207</v>
      </c>
      <c r="S48" s="26">
        <v>43707.694722222222</v>
      </c>
      <c r="T48" s="18">
        <v>50</v>
      </c>
    </row>
    <row r="49" spans="1:20" ht="15" x14ac:dyDescent="0.2">
      <c r="A49" s="24" t="s">
        <v>44</v>
      </c>
      <c r="B49" s="25" t="s">
        <v>640</v>
      </c>
      <c r="C49" s="8" t="s">
        <v>1163</v>
      </c>
      <c r="D49" s="8"/>
      <c r="E49" s="8"/>
      <c r="F49" s="8"/>
      <c r="G49" s="49" t="b">
        <v>0</v>
      </c>
      <c r="H49" s="8"/>
      <c r="I49" s="8"/>
      <c r="J49" s="8"/>
      <c r="K49" s="8"/>
      <c r="L49" s="8"/>
      <c r="M49" s="8" t="s">
        <v>1164</v>
      </c>
      <c r="N49" s="8" t="s">
        <v>1354</v>
      </c>
      <c r="O49" s="1"/>
      <c r="P49" s="8" t="s">
        <v>23</v>
      </c>
      <c r="Q49" s="26">
        <v>43767.437245370369</v>
      </c>
      <c r="R49" s="8" t="s">
        <v>4325</v>
      </c>
      <c r="S49" s="26">
        <v>43742.631886574076</v>
      </c>
      <c r="T49" s="18">
        <v>76</v>
      </c>
    </row>
    <row r="50" spans="1:20" ht="15" x14ac:dyDescent="0.2">
      <c r="A50" s="196" t="s">
        <v>44</v>
      </c>
      <c r="B50" s="25" t="s">
        <v>640</v>
      </c>
      <c r="C50" s="8" t="s">
        <v>1165</v>
      </c>
      <c r="D50" s="8"/>
      <c r="E50" s="8"/>
      <c r="F50" s="8"/>
      <c r="G50" s="197" t="b">
        <v>0</v>
      </c>
      <c r="H50" s="8"/>
      <c r="I50" s="8"/>
      <c r="J50" s="8"/>
      <c r="K50" s="8"/>
      <c r="L50" s="8"/>
      <c r="M50" s="8" t="s">
        <v>1166</v>
      </c>
      <c r="N50" s="8" t="s">
        <v>1354</v>
      </c>
      <c r="O50" s="1"/>
      <c r="P50" s="8" t="s">
        <v>23</v>
      </c>
      <c r="Q50" s="26">
        <v>43767.437245370369</v>
      </c>
      <c r="R50" s="8" t="s">
        <v>4325</v>
      </c>
      <c r="S50" s="26">
        <v>43742.632719907408</v>
      </c>
      <c r="T50" s="18">
        <v>77</v>
      </c>
    </row>
    <row r="51" spans="1:20" ht="51" x14ac:dyDescent="0.2">
      <c r="A51" s="44" t="s">
        <v>45</v>
      </c>
      <c r="B51" s="25" t="s">
        <v>642</v>
      </c>
      <c r="C51" s="8" t="s">
        <v>1154</v>
      </c>
      <c r="D51" s="8" t="s">
        <v>2649</v>
      </c>
      <c r="E51" s="8" t="s">
        <v>2650</v>
      </c>
      <c r="F51" s="8" t="s">
        <v>4839</v>
      </c>
      <c r="G51" s="49" t="b">
        <v>1</v>
      </c>
      <c r="H51" s="8" t="s">
        <v>1154</v>
      </c>
      <c r="I51" s="8" t="s">
        <v>4840</v>
      </c>
      <c r="J51" s="8" t="s">
        <v>2652</v>
      </c>
      <c r="K51" s="8" t="s">
        <v>999</v>
      </c>
      <c r="L51" s="8" t="s">
        <v>2651</v>
      </c>
      <c r="M51" s="8" t="s">
        <v>4662</v>
      </c>
      <c r="N51" s="8" t="s">
        <v>4663</v>
      </c>
      <c r="O51" s="1" t="s">
        <v>2678</v>
      </c>
      <c r="P51" s="8" t="s">
        <v>4205</v>
      </c>
      <c r="Q51" s="26">
        <v>43936.479039351849</v>
      </c>
      <c r="R51" s="8" t="s">
        <v>4207</v>
      </c>
      <c r="S51" s="26">
        <v>43707.697083333333</v>
      </c>
      <c r="T51" s="18">
        <v>52</v>
      </c>
    </row>
    <row r="52" spans="1:20" ht="15" x14ac:dyDescent="0.2">
      <c r="A52" s="24" t="s">
        <v>45</v>
      </c>
      <c r="B52" s="25" t="s">
        <v>642</v>
      </c>
      <c r="C52" s="8" t="s">
        <v>4852</v>
      </c>
      <c r="D52" s="8"/>
      <c r="E52" s="8"/>
      <c r="F52" s="8"/>
      <c r="G52" s="49" t="b">
        <v>1</v>
      </c>
      <c r="H52" s="8" t="s">
        <v>4854</v>
      </c>
      <c r="I52" s="8" t="s">
        <v>4855</v>
      </c>
      <c r="J52" s="8"/>
      <c r="K52" s="8"/>
      <c r="L52" s="8"/>
      <c r="M52" s="8" t="s">
        <v>4856</v>
      </c>
      <c r="N52" s="8" t="s">
        <v>4857</v>
      </c>
      <c r="O52" s="1"/>
      <c r="P52" s="8" t="s">
        <v>4205</v>
      </c>
      <c r="Q52" s="26">
        <v>43936.491215277776</v>
      </c>
      <c r="R52" s="8" t="s">
        <v>4205</v>
      </c>
      <c r="S52" s="26">
        <v>43936.491215277776</v>
      </c>
      <c r="T52" s="18">
        <v>106</v>
      </c>
    </row>
    <row r="53" spans="1:20" ht="15" x14ac:dyDescent="0.2">
      <c r="A53" s="24" t="s">
        <v>46</v>
      </c>
      <c r="B53" s="25" t="s">
        <v>643</v>
      </c>
      <c r="C53" s="8" t="s">
        <v>4850</v>
      </c>
      <c r="D53" s="8" t="s">
        <v>1167</v>
      </c>
      <c r="E53" s="8" t="s">
        <v>1053</v>
      </c>
      <c r="F53" s="8" t="s">
        <v>4851</v>
      </c>
      <c r="G53" s="49" t="b">
        <v>1</v>
      </c>
      <c r="H53" s="8"/>
      <c r="I53" s="8"/>
      <c r="J53" s="8" t="s">
        <v>1168</v>
      </c>
      <c r="K53" s="8"/>
      <c r="L53" s="8"/>
      <c r="M53" s="8" t="s">
        <v>1169</v>
      </c>
      <c r="N53" s="8" t="s">
        <v>1354</v>
      </c>
      <c r="O53" s="1" t="s">
        <v>67</v>
      </c>
      <c r="P53" s="8" t="s">
        <v>4205</v>
      </c>
      <c r="Q53" s="26">
        <v>43936.506192129629</v>
      </c>
      <c r="R53" s="8" t="s">
        <v>4325</v>
      </c>
      <c r="S53" s="26">
        <v>43742.640833333331</v>
      </c>
      <c r="T53" s="18">
        <v>78</v>
      </c>
    </row>
    <row r="54" spans="1:20" ht="15" x14ac:dyDescent="0.2">
      <c r="A54" s="24" t="s">
        <v>47</v>
      </c>
      <c r="B54" s="25" t="s">
        <v>644</v>
      </c>
      <c r="C54" s="8" t="s">
        <v>173</v>
      </c>
      <c r="D54" s="8" t="s">
        <v>1054</v>
      </c>
      <c r="E54" s="8" t="s">
        <v>1055</v>
      </c>
      <c r="F54" s="8" t="s">
        <v>908</v>
      </c>
      <c r="G54" s="49" t="b">
        <v>1</v>
      </c>
      <c r="H54" s="8"/>
      <c r="I54" s="8"/>
      <c r="J54" s="8" t="s">
        <v>1155</v>
      </c>
      <c r="K54" s="8" t="s">
        <v>1156</v>
      </c>
      <c r="L54" s="8"/>
      <c r="M54" s="8" t="s">
        <v>1000</v>
      </c>
      <c r="N54" s="8" t="s">
        <v>1369</v>
      </c>
      <c r="O54" s="1"/>
      <c r="P54" s="8" t="s">
        <v>4205</v>
      </c>
      <c r="Q54" s="26">
        <v>43936.507199074076</v>
      </c>
      <c r="R54" s="8" t="s">
        <v>4207</v>
      </c>
      <c r="S54" s="26">
        <v>43707.699050925927</v>
      </c>
      <c r="T54" s="18">
        <v>54</v>
      </c>
    </row>
    <row r="55" spans="1:20" ht="15" x14ac:dyDescent="0.2">
      <c r="A55" s="44" t="s">
        <v>48</v>
      </c>
      <c r="B55" s="25" t="s">
        <v>646</v>
      </c>
      <c r="C55" s="8" t="s">
        <v>1157</v>
      </c>
      <c r="D55" s="8" t="s">
        <v>4909</v>
      </c>
      <c r="E55" s="8" t="s">
        <v>4910</v>
      </c>
      <c r="F55" s="8" t="s">
        <v>4911</v>
      </c>
      <c r="G55" s="49" t="b">
        <v>1</v>
      </c>
      <c r="H55" s="8"/>
      <c r="I55" s="8"/>
      <c r="J55" s="8" t="s">
        <v>4912</v>
      </c>
      <c r="K55" s="8"/>
      <c r="L55" s="8"/>
      <c r="M55" s="8" t="s">
        <v>303</v>
      </c>
      <c r="N55" s="8" t="s">
        <v>1370</v>
      </c>
      <c r="O55" s="1" t="s">
        <v>67</v>
      </c>
      <c r="P55" s="8" t="s">
        <v>4205</v>
      </c>
      <c r="Q55" s="26">
        <v>43937.751886574071</v>
      </c>
      <c r="R55" s="8" t="s">
        <v>4207</v>
      </c>
      <c r="S55" s="26">
        <v>43707.700624999998</v>
      </c>
      <c r="T55" s="18">
        <v>55</v>
      </c>
    </row>
    <row r="56" spans="1:20" ht="15" x14ac:dyDescent="0.2">
      <c r="A56" s="24" t="s">
        <v>48</v>
      </c>
      <c r="B56" s="25" t="s">
        <v>646</v>
      </c>
      <c r="C56" s="8" t="s">
        <v>4918</v>
      </c>
      <c r="D56" s="8" t="s">
        <v>4919</v>
      </c>
      <c r="E56" s="8" t="s">
        <v>4910</v>
      </c>
      <c r="F56" s="8" t="s">
        <v>4911</v>
      </c>
      <c r="G56" s="49" t="b">
        <v>1</v>
      </c>
      <c r="H56" s="8"/>
      <c r="I56" s="8"/>
      <c r="J56" s="8"/>
      <c r="K56" s="8"/>
      <c r="L56" s="8"/>
      <c r="M56" s="8"/>
      <c r="N56" s="8"/>
      <c r="O56" s="1"/>
      <c r="P56" s="8" t="s">
        <v>4205</v>
      </c>
      <c r="Q56" s="26">
        <v>43937.751388888886</v>
      </c>
      <c r="R56" s="8" t="s">
        <v>4205</v>
      </c>
      <c r="S56" s="26">
        <v>43937.751388888886</v>
      </c>
      <c r="T56" s="18">
        <v>116</v>
      </c>
    </row>
    <row r="57" spans="1:20" ht="15" x14ac:dyDescent="0.2">
      <c r="A57" s="24" t="s">
        <v>48</v>
      </c>
      <c r="B57" s="25" t="s">
        <v>646</v>
      </c>
      <c r="C57" s="8" t="s">
        <v>4920</v>
      </c>
      <c r="D57" s="8" t="s">
        <v>4921</v>
      </c>
      <c r="E57" s="8" t="s">
        <v>4922</v>
      </c>
      <c r="F57" s="8" t="s">
        <v>4911</v>
      </c>
      <c r="G57" s="49" t="b">
        <v>1</v>
      </c>
      <c r="H57" s="8"/>
      <c r="I57" s="8"/>
      <c r="J57" s="8"/>
      <c r="K57" s="8"/>
      <c r="L57" s="8"/>
      <c r="M57" s="8" t="s">
        <v>4923</v>
      </c>
      <c r="N57" s="8" t="s">
        <v>4924</v>
      </c>
      <c r="O57" s="1"/>
      <c r="P57" s="8" t="s">
        <v>4205</v>
      </c>
      <c r="Q57" s="26">
        <v>43937.753668981481</v>
      </c>
      <c r="R57" s="8" t="s">
        <v>4205</v>
      </c>
      <c r="S57" s="26">
        <v>43937.753668981481</v>
      </c>
      <c r="T57" s="18">
        <v>117</v>
      </c>
    </row>
    <row r="58" spans="1:20" ht="15" x14ac:dyDescent="0.2">
      <c r="A58" s="196" t="s">
        <v>48</v>
      </c>
      <c r="B58" s="25" t="s">
        <v>646</v>
      </c>
      <c r="C58" s="8" t="s">
        <v>4925</v>
      </c>
      <c r="D58" s="8" t="s">
        <v>4926</v>
      </c>
      <c r="E58" s="8" t="s">
        <v>4927</v>
      </c>
      <c r="F58" s="8" t="s">
        <v>4911</v>
      </c>
      <c r="G58" s="197" t="b">
        <v>1</v>
      </c>
      <c r="H58" s="8"/>
      <c r="I58" s="8"/>
      <c r="J58" s="8"/>
      <c r="K58" s="8"/>
      <c r="L58" s="8"/>
      <c r="M58" s="8" t="s">
        <v>4928</v>
      </c>
      <c r="N58" s="8" t="s">
        <v>4929</v>
      </c>
      <c r="O58" s="1"/>
      <c r="P58" s="8" t="s">
        <v>4205</v>
      </c>
      <c r="Q58" s="26">
        <v>43937.756226851852</v>
      </c>
      <c r="R58" s="8" t="s">
        <v>4205</v>
      </c>
      <c r="S58" s="26">
        <v>43937.755243055559</v>
      </c>
      <c r="T58" s="18">
        <v>118</v>
      </c>
    </row>
    <row r="59" spans="1:20" ht="15" x14ac:dyDescent="0.2">
      <c r="A59" s="24" t="s">
        <v>49</v>
      </c>
      <c r="B59" s="25" t="s">
        <v>648</v>
      </c>
      <c r="C59" s="8" t="s">
        <v>1001</v>
      </c>
      <c r="D59" s="8" t="s">
        <v>1056</v>
      </c>
      <c r="E59" s="8" t="s">
        <v>1057</v>
      </c>
      <c r="F59" s="8" t="s">
        <v>1152</v>
      </c>
      <c r="G59" s="49" t="b">
        <v>1</v>
      </c>
      <c r="H59" s="8"/>
      <c r="I59" s="8"/>
      <c r="J59" s="8" t="s">
        <v>4841</v>
      </c>
      <c r="K59" s="8"/>
      <c r="L59" s="8"/>
      <c r="M59" s="8" t="s">
        <v>1002</v>
      </c>
      <c r="N59" s="8" t="s">
        <v>1354</v>
      </c>
      <c r="O59" s="1"/>
      <c r="P59" s="8" t="s">
        <v>4205</v>
      </c>
      <c r="Q59" s="26">
        <v>43936.540347222224</v>
      </c>
      <c r="R59" s="8" t="s">
        <v>4207</v>
      </c>
      <c r="S59" s="26">
        <v>43707.701620370368</v>
      </c>
      <c r="T59" s="18">
        <v>56</v>
      </c>
    </row>
    <row r="60" spans="1:20" ht="38.25" x14ac:dyDescent="0.2">
      <c r="A60" s="44" t="s">
        <v>878</v>
      </c>
      <c r="B60" s="25" t="s">
        <v>879</v>
      </c>
      <c r="C60" s="8" t="s">
        <v>1259</v>
      </c>
      <c r="D60" s="8" t="s">
        <v>1260</v>
      </c>
      <c r="E60" s="8" t="s">
        <v>1015</v>
      </c>
      <c r="F60" s="8" t="s">
        <v>908</v>
      </c>
      <c r="G60" s="49" t="b">
        <v>1</v>
      </c>
      <c r="H60" s="8"/>
      <c r="I60" s="8"/>
      <c r="J60" s="8" t="s">
        <v>1261</v>
      </c>
      <c r="K60" s="8"/>
      <c r="L60" s="8"/>
      <c r="M60" s="8" t="s">
        <v>1266</v>
      </c>
      <c r="N60" s="8" t="s">
        <v>1354</v>
      </c>
      <c r="O60" s="1" t="s">
        <v>1262</v>
      </c>
      <c r="P60" s="8" t="s">
        <v>23</v>
      </c>
      <c r="Q60" s="26">
        <v>43767.437245370369</v>
      </c>
      <c r="R60" s="8" t="s">
        <v>4325</v>
      </c>
      <c r="S60" s="26">
        <v>43754.619386574072</v>
      </c>
      <c r="T60" s="18">
        <v>79</v>
      </c>
    </row>
    <row r="61" spans="1:20" ht="15" x14ac:dyDescent="0.2">
      <c r="A61" s="196" t="s">
        <v>50</v>
      </c>
      <c r="B61" s="25" t="s">
        <v>649</v>
      </c>
      <c r="C61" s="8" t="s">
        <v>184</v>
      </c>
      <c r="D61" s="8"/>
      <c r="E61" s="8"/>
      <c r="F61" s="8" t="s">
        <v>908</v>
      </c>
      <c r="G61" s="197" t="b">
        <v>0</v>
      </c>
      <c r="H61" s="8"/>
      <c r="I61" s="8"/>
      <c r="J61" s="8" t="s">
        <v>1003</v>
      </c>
      <c r="K61" s="8"/>
      <c r="L61" s="8" t="s">
        <v>2653</v>
      </c>
      <c r="M61" s="8" t="s">
        <v>2654</v>
      </c>
      <c r="N61" s="8" t="s">
        <v>2655</v>
      </c>
      <c r="O61" s="1"/>
      <c r="P61" s="8" t="s">
        <v>1744</v>
      </c>
      <c r="Q61" s="26">
        <v>43838.549733796295</v>
      </c>
      <c r="R61" s="8" t="s">
        <v>4207</v>
      </c>
      <c r="S61" s="26">
        <v>43707.702939814815</v>
      </c>
      <c r="T61" s="18">
        <v>57</v>
      </c>
    </row>
    <row r="62" spans="1:20" ht="15" x14ac:dyDescent="0.2">
      <c r="A62" s="24" t="s">
        <v>51</v>
      </c>
      <c r="B62" s="25" t="s">
        <v>650</v>
      </c>
      <c r="C62" s="8" t="s">
        <v>1687</v>
      </c>
      <c r="D62" s="8" t="s">
        <v>4664</v>
      </c>
      <c r="E62" s="8" t="s">
        <v>4665</v>
      </c>
      <c r="F62" s="8" t="s">
        <v>908</v>
      </c>
      <c r="G62" s="49" t="b">
        <v>1</v>
      </c>
      <c r="H62" s="8"/>
      <c r="I62" s="8"/>
      <c r="J62" s="8" t="s">
        <v>1004</v>
      </c>
      <c r="K62" s="8"/>
      <c r="L62" s="8"/>
      <c r="M62" s="8" t="s">
        <v>1005</v>
      </c>
      <c r="N62" s="8" t="s">
        <v>1354</v>
      </c>
      <c r="O62" s="1"/>
      <c r="P62" s="8" t="s">
        <v>4205</v>
      </c>
      <c r="Q62" s="26">
        <v>43936.540914351855</v>
      </c>
      <c r="R62" s="8" t="s">
        <v>4207</v>
      </c>
      <c r="S62" s="26">
        <v>43707.703692129631</v>
      </c>
      <c r="T62" s="18">
        <v>58</v>
      </c>
    </row>
    <row r="63" spans="1:20" ht="15" x14ac:dyDescent="0.2">
      <c r="A63" s="24" t="s">
        <v>51</v>
      </c>
      <c r="B63" s="25" t="s">
        <v>650</v>
      </c>
      <c r="C63" s="8" t="s">
        <v>1687</v>
      </c>
      <c r="D63" s="8" t="s">
        <v>4858</v>
      </c>
      <c r="E63" s="8" t="s">
        <v>4859</v>
      </c>
      <c r="F63" s="8"/>
      <c r="G63" s="49" t="b">
        <v>1</v>
      </c>
      <c r="H63" s="8"/>
      <c r="I63" s="8"/>
      <c r="J63" s="8"/>
      <c r="K63" s="8"/>
      <c r="L63" s="8"/>
      <c r="M63" s="8" t="s">
        <v>335</v>
      </c>
      <c r="N63" s="8" t="s">
        <v>1814</v>
      </c>
      <c r="O63" s="1" t="s">
        <v>4868</v>
      </c>
      <c r="P63" s="8" t="s">
        <v>4205</v>
      </c>
      <c r="Q63" s="26">
        <v>43936.541909722226</v>
      </c>
      <c r="R63" s="8" t="s">
        <v>4205</v>
      </c>
      <c r="S63" s="26">
        <v>43936.541909722226</v>
      </c>
      <c r="T63" s="18">
        <v>107</v>
      </c>
    </row>
    <row r="64" spans="1:20" ht="15" x14ac:dyDescent="0.2">
      <c r="A64" s="24" t="s">
        <v>52</v>
      </c>
      <c r="B64" s="25" t="s">
        <v>651</v>
      </c>
      <c r="C64" s="8" t="s">
        <v>4842</v>
      </c>
      <c r="D64" s="8" t="s">
        <v>1698</v>
      </c>
      <c r="E64" s="8" t="s">
        <v>968</v>
      </c>
      <c r="F64" s="8" t="s">
        <v>908</v>
      </c>
      <c r="G64" s="49" t="b">
        <v>1</v>
      </c>
      <c r="H64" s="8"/>
      <c r="I64" s="8"/>
      <c r="J64" s="8" t="s">
        <v>4843</v>
      </c>
      <c r="K64" s="8"/>
      <c r="L64" s="8"/>
      <c r="M64" s="8" t="s">
        <v>189</v>
      </c>
      <c r="N64" s="8" t="s">
        <v>1354</v>
      </c>
      <c r="O64" s="1" t="s">
        <v>4865</v>
      </c>
      <c r="P64" s="8" t="s">
        <v>4205</v>
      </c>
      <c r="Q64" s="26">
        <v>43936.544236111113</v>
      </c>
      <c r="R64" s="8" t="s">
        <v>4207</v>
      </c>
      <c r="S64" s="26">
        <v>43707.704629629632</v>
      </c>
      <c r="T64" s="18">
        <v>59</v>
      </c>
    </row>
    <row r="65" spans="1:20" ht="25.5" x14ac:dyDescent="0.2">
      <c r="A65" s="196" t="s">
        <v>52</v>
      </c>
      <c r="B65" s="25" t="s">
        <v>651</v>
      </c>
      <c r="C65" s="8" t="s">
        <v>1704</v>
      </c>
      <c r="D65" s="8"/>
      <c r="E65" s="8"/>
      <c r="F65" s="8" t="s">
        <v>908</v>
      </c>
      <c r="G65" s="197" t="b">
        <v>0</v>
      </c>
      <c r="H65" s="8"/>
      <c r="I65" s="8"/>
      <c r="J65" s="8" t="s">
        <v>6615</v>
      </c>
      <c r="K65" s="8"/>
      <c r="L65" s="8"/>
      <c r="M65" s="8" t="s">
        <v>1705</v>
      </c>
      <c r="N65" s="8" t="s">
        <v>1706</v>
      </c>
      <c r="O65" s="1" t="s">
        <v>1708</v>
      </c>
      <c r="P65" s="8" t="s">
        <v>1744</v>
      </c>
      <c r="Q65" s="26">
        <v>44012.639374999999</v>
      </c>
      <c r="R65" s="8" t="s">
        <v>4326</v>
      </c>
      <c r="S65" s="26">
        <v>43775.580509259256</v>
      </c>
      <c r="T65" s="18">
        <v>84</v>
      </c>
    </row>
    <row r="66" spans="1:20" ht="15" x14ac:dyDescent="0.2">
      <c r="A66" s="24" t="s">
        <v>52</v>
      </c>
      <c r="B66" s="25" t="s">
        <v>651</v>
      </c>
      <c r="C66" s="8" t="s">
        <v>4860</v>
      </c>
      <c r="D66" s="8" t="s">
        <v>1014</v>
      </c>
      <c r="E66" s="8" t="s">
        <v>1053</v>
      </c>
      <c r="F66" s="8" t="s">
        <v>908</v>
      </c>
      <c r="G66" s="49" t="b">
        <v>1</v>
      </c>
      <c r="H66" s="8"/>
      <c r="I66" s="8"/>
      <c r="J66" s="8" t="s">
        <v>4861</v>
      </c>
      <c r="K66" s="8"/>
      <c r="L66" s="8"/>
      <c r="M66" s="8" t="s">
        <v>4862</v>
      </c>
      <c r="N66" s="8" t="s">
        <v>1814</v>
      </c>
      <c r="O66" s="1"/>
      <c r="P66" s="8" t="s">
        <v>4205</v>
      </c>
      <c r="Q66" s="26">
        <v>43936.54583333333</v>
      </c>
      <c r="R66" s="8" t="s">
        <v>4205</v>
      </c>
      <c r="S66" s="26">
        <v>43936.54583333333</v>
      </c>
      <c r="T66" s="18">
        <v>108</v>
      </c>
    </row>
    <row r="67" spans="1:20" ht="15" x14ac:dyDescent="0.2">
      <c r="A67" s="196" t="s">
        <v>52</v>
      </c>
      <c r="B67" s="25" t="s">
        <v>651</v>
      </c>
      <c r="C67" s="8" t="s">
        <v>6652</v>
      </c>
      <c r="D67" s="8" t="s">
        <v>6653</v>
      </c>
      <c r="E67" s="8" t="s">
        <v>1053</v>
      </c>
      <c r="F67" s="8" t="s">
        <v>908</v>
      </c>
      <c r="G67" s="197" t="b">
        <v>1</v>
      </c>
      <c r="H67" s="8"/>
      <c r="I67" s="8"/>
      <c r="J67" s="8"/>
      <c r="K67" s="8"/>
      <c r="L67" s="8"/>
      <c r="M67" s="8" t="s">
        <v>4862</v>
      </c>
      <c r="N67" s="8" t="s">
        <v>1814</v>
      </c>
      <c r="O67" s="1"/>
      <c r="P67" s="8" t="s">
        <v>4205</v>
      </c>
      <c r="Q67" s="26">
        <v>44012.613495370373</v>
      </c>
      <c r="R67" s="8" t="s">
        <v>4205</v>
      </c>
      <c r="S67" s="26">
        <v>44012.613495370373</v>
      </c>
      <c r="T67" s="18">
        <v>199</v>
      </c>
    </row>
    <row r="68" spans="1:20" ht="15" x14ac:dyDescent="0.2">
      <c r="A68" s="24" t="s">
        <v>52</v>
      </c>
      <c r="B68" s="25" t="s">
        <v>651</v>
      </c>
      <c r="C68" s="8" t="s">
        <v>1704</v>
      </c>
      <c r="D68" s="8" t="s">
        <v>6654</v>
      </c>
      <c r="E68" s="8" t="s">
        <v>6655</v>
      </c>
      <c r="F68" s="8" t="s">
        <v>6656</v>
      </c>
      <c r="G68" s="49" t="b">
        <v>1</v>
      </c>
      <c r="H68" s="8"/>
      <c r="I68" s="8"/>
      <c r="J68" s="8"/>
      <c r="K68" s="8"/>
      <c r="L68" s="8"/>
      <c r="M68" s="8" t="s">
        <v>6657</v>
      </c>
      <c r="N68" s="8" t="s">
        <v>6658</v>
      </c>
      <c r="O68" s="1"/>
      <c r="P68" s="8" t="s">
        <v>4205</v>
      </c>
      <c r="Q68" s="26">
        <v>44012.616122685184</v>
      </c>
      <c r="R68" s="8" t="s">
        <v>4205</v>
      </c>
      <c r="S68" s="26">
        <v>44012.616122685184</v>
      </c>
      <c r="T68" s="18">
        <v>200</v>
      </c>
    </row>
    <row r="69" spans="1:20" ht="89.25" x14ac:dyDescent="0.2">
      <c r="A69" s="24" t="s">
        <v>53</v>
      </c>
      <c r="B69" s="25" t="s">
        <v>653</v>
      </c>
      <c r="C69" s="8" t="s">
        <v>4844</v>
      </c>
      <c r="D69" s="8" t="s">
        <v>1058</v>
      </c>
      <c r="E69" s="8" t="s">
        <v>918</v>
      </c>
      <c r="F69" s="8" t="s">
        <v>4837</v>
      </c>
      <c r="G69" s="49" t="b">
        <v>1</v>
      </c>
      <c r="H69" s="8"/>
      <c r="I69" s="8"/>
      <c r="J69" s="8" t="s">
        <v>4845</v>
      </c>
      <c r="K69" s="8" t="s">
        <v>4846</v>
      </c>
      <c r="L69" s="8"/>
      <c r="M69" s="8" t="s">
        <v>192</v>
      </c>
      <c r="N69" s="8" t="s">
        <v>1354</v>
      </c>
      <c r="O69" s="1" t="s">
        <v>1171</v>
      </c>
      <c r="P69" s="8" t="s">
        <v>4205</v>
      </c>
      <c r="Q69" s="26">
        <v>43936.548692129632</v>
      </c>
      <c r="R69" s="8" t="s">
        <v>4207</v>
      </c>
      <c r="S69" s="26">
        <v>43707.705104166664</v>
      </c>
      <c r="T69" s="18">
        <v>60</v>
      </c>
    </row>
    <row r="70" spans="1:20" ht="15" x14ac:dyDescent="0.2">
      <c r="A70" s="24" t="s">
        <v>54</v>
      </c>
      <c r="B70" s="25" t="s">
        <v>654</v>
      </c>
      <c r="C70" s="8" t="s">
        <v>243</v>
      </c>
      <c r="D70" s="8" t="s">
        <v>1059</v>
      </c>
      <c r="E70" s="8" t="s">
        <v>894</v>
      </c>
      <c r="F70" s="8" t="s">
        <v>908</v>
      </c>
      <c r="G70" s="49" t="b">
        <v>1</v>
      </c>
      <c r="H70" s="8"/>
      <c r="I70" s="8"/>
      <c r="J70" s="8" t="s">
        <v>1006</v>
      </c>
      <c r="K70" s="8" t="s">
        <v>4847</v>
      </c>
      <c r="L70" s="8" t="s">
        <v>895</v>
      </c>
      <c r="M70" s="8" t="s">
        <v>195</v>
      </c>
      <c r="N70" s="8" t="s">
        <v>1371</v>
      </c>
      <c r="O70" s="1" t="s">
        <v>4866</v>
      </c>
      <c r="P70" s="8" t="s">
        <v>4205</v>
      </c>
      <c r="Q70" s="26">
        <v>43936.561342592591</v>
      </c>
      <c r="R70" s="8" t="s">
        <v>4207</v>
      </c>
      <c r="S70" s="26">
        <v>43707.70548611111</v>
      </c>
      <c r="T70" s="18">
        <v>61</v>
      </c>
    </row>
    <row r="71" spans="1:20" ht="15" x14ac:dyDescent="0.2">
      <c r="A71" s="24" t="s">
        <v>55</v>
      </c>
      <c r="B71" s="25" t="s">
        <v>655</v>
      </c>
      <c r="C71" s="8" t="s">
        <v>4848</v>
      </c>
      <c r="D71" s="8" t="s">
        <v>958</v>
      </c>
      <c r="E71" s="8" t="s">
        <v>2670</v>
      </c>
      <c r="F71" s="8" t="s">
        <v>2671</v>
      </c>
      <c r="G71" s="49" t="b">
        <v>1</v>
      </c>
      <c r="H71" s="8"/>
      <c r="I71" s="8"/>
      <c r="J71" s="8" t="s">
        <v>1700</v>
      </c>
      <c r="K71" s="8"/>
      <c r="L71" s="8" t="s">
        <v>1699</v>
      </c>
      <c r="M71" s="8" t="s">
        <v>1701</v>
      </c>
      <c r="N71" s="8" t="s">
        <v>1702</v>
      </c>
      <c r="O71" s="1" t="s">
        <v>1707</v>
      </c>
      <c r="P71" s="8" t="s">
        <v>4205</v>
      </c>
      <c r="Q71" s="26">
        <v>43936.574282407404</v>
      </c>
      <c r="R71" s="8" t="s">
        <v>4207</v>
      </c>
      <c r="S71" s="26">
        <v>43707.705960648149</v>
      </c>
      <c r="T71" s="18">
        <v>62</v>
      </c>
    </row>
    <row r="72" spans="1:20" ht="15" x14ac:dyDescent="0.2">
      <c r="A72" s="24" t="s">
        <v>55</v>
      </c>
      <c r="B72" s="25" t="s">
        <v>655</v>
      </c>
      <c r="C72" s="8" t="s">
        <v>1691</v>
      </c>
      <c r="D72" s="8" t="s">
        <v>1014</v>
      </c>
      <c r="E72" s="8" t="s">
        <v>4863</v>
      </c>
      <c r="F72" s="8" t="s">
        <v>908</v>
      </c>
      <c r="G72" s="49" t="b">
        <v>1</v>
      </c>
      <c r="H72" s="8"/>
      <c r="I72" s="8"/>
      <c r="J72" s="8"/>
      <c r="K72" s="8"/>
      <c r="L72" s="8"/>
      <c r="M72" s="8" t="s">
        <v>4864</v>
      </c>
      <c r="N72" s="8" t="s">
        <v>1814</v>
      </c>
      <c r="O72" s="1"/>
      <c r="P72" s="8" t="s">
        <v>4205</v>
      </c>
      <c r="Q72" s="26">
        <v>43936.573333333334</v>
      </c>
      <c r="R72" s="8" t="s">
        <v>4205</v>
      </c>
      <c r="S72" s="26">
        <v>43936.573333333334</v>
      </c>
      <c r="T72" s="18">
        <v>109</v>
      </c>
    </row>
    <row r="73" spans="1:20" ht="89.25" x14ac:dyDescent="0.2">
      <c r="A73" s="24" t="s">
        <v>56</v>
      </c>
      <c r="B73" s="25" t="s">
        <v>656</v>
      </c>
      <c r="C73" s="8" t="s">
        <v>4848</v>
      </c>
      <c r="D73" s="8" t="s">
        <v>958</v>
      </c>
      <c r="E73" s="8" t="s">
        <v>2670</v>
      </c>
      <c r="F73" s="8" t="s">
        <v>2671</v>
      </c>
      <c r="G73" s="49" t="b">
        <v>1</v>
      </c>
      <c r="H73" s="8" t="s">
        <v>1703</v>
      </c>
      <c r="I73" s="8" t="s">
        <v>2656</v>
      </c>
      <c r="J73" s="8" t="s">
        <v>1700</v>
      </c>
      <c r="K73" s="8"/>
      <c r="L73" s="8" t="s">
        <v>1699</v>
      </c>
      <c r="M73" s="8" t="s">
        <v>1701</v>
      </c>
      <c r="N73" s="8" t="s">
        <v>1702</v>
      </c>
      <c r="O73" s="1" t="s">
        <v>4867</v>
      </c>
      <c r="P73" s="8" t="s">
        <v>4205</v>
      </c>
      <c r="Q73" s="26">
        <v>43936.57539351852</v>
      </c>
      <c r="R73" s="8" t="s">
        <v>4207</v>
      </c>
      <c r="S73" s="26">
        <v>43707.706608796296</v>
      </c>
      <c r="T73" s="18">
        <v>63</v>
      </c>
    </row>
    <row r="74" spans="1:20" ht="15" x14ac:dyDescent="0.2">
      <c r="A74" s="196" t="s">
        <v>56</v>
      </c>
      <c r="B74" s="25" t="s">
        <v>656</v>
      </c>
      <c r="C74" s="8" t="s">
        <v>1691</v>
      </c>
      <c r="D74" s="8" t="s">
        <v>1014</v>
      </c>
      <c r="E74" s="8" t="s">
        <v>4863</v>
      </c>
      <c r="F74" s="8" t="s">
        <v>908</v>
      </c>
      <c r="G74" s="197" t="b">
        <v>1</v>
      </c>
      <c r="H74" s="8"/>
      <c r="I74" s="8"/>
      <c r="J74" s="8"/>
      <c r="K74" s="8"/>
      <c r="L74" s="8"/>
      <c r="M74" s="8" t="s">
        <v>4864</v>
      </c>
      <c r="N74" s="8" t="s">
        <v>1814</v>
      </c>
      <c r="O74" s="1"/>
      <c r="P74" s="8" t="s">
        <v>4205</v>
      </c>
      <c r="Q74" s="26">
        <v>43936.577673611115</v>
      </c>
      <c r="R74" s="8" t="s">
        <v>4205</v>
      </c>
      <c r="S74" s="26">
        <v>43936.577673611115</v>
      </c>
      <c r="T74" s="18">
        <v>110</v>
      </c>
    </row>
    <row r="75" spans="1:20" ht="15" x14ac:dyDescent="0.2">
      <c r="A75" s="196" t="s">
        <v>57</v>
      </c>
      <c r="B75" s="25" t="s">
        <v>657</v>
      </c>
      <c r="C75" s="8" t="s">
        <v>4849</v>
      </c>
      <c r="D75" s="8" t="s">
        <v>1060</v>
      </c>
      <c r="E75" s="8" t="s">
        <v>968</v>
      </c>
      <c r="F75" s="8" t="s">
        <v>1152</v>
      </c>
      <c r="G75" s="197" t="b">
        <v>1</v>
      </c>
      <c r="H75" s="8"/>
      <c r="I75" s="8"/>
      <c r="J75" s="8" t="s">
        <v>2657</v>
      </c>
      <c r="K75" s="8" t="s">
        <v>2658</v>
      </c>
      <c r="L75" s="8"/>
      <c r="M75" s="8" t="s">
        <v>1008</v>
      </c>
      <c r="N75" s="8" t="s">
        <v>1354</v>
      </c>
      <c r="O75" s="1"/>
      <c r="P75" s="8" t="s">
        <v>4205</v>
      </c>
      <c r="Q75" s="26">
        <v>43936.579247685186</v>
      </c>
      <c r="R75" s="8" t="s">
        <v>4207</v>
      </c>
      <c r="S75" s="26">
        <v>43707.70722222222</v>
      </c>
      <c r="T75" s="18">
        <v>64</v>
      </c>
    </row>
    <row r="76" spans="1:20" ht="15" x14ac:dyDescent="0.2">
      <c r="A76" s="44" t="s">
        <v>58</v>
      </c>
      <c r="B76" s="25" t="s">
        <v>658</v>
      </c>
      <c r="C76" s="8" t="s">
        <v>4733</v>
      </c>
      <c r="D76" s="8" t="s">
        <v>4734</v>
      </c>
      <c r="E76" s="8" t="s">
        <v>4735</v>
      </c>
      <c r="F76" s="8" t="s">
        <v>4736</v>
      </c>
      <c r="G76" s="49" t="b">
        <v>1</v>
      </c>
      <c r="H76" s="8"/>
      <c r="I76" s="8"/>
      <c r="J76" s="8" t="s">
        <v>4737</v>
      </c>
      <c r="K76" s="8"/>
      <c r="L76" s="8"/>
      <c r="M76" s="8" t="s">
        <v>4728</v>
      </c>
      <c r="N76" s="8" t="s">
        <v>4738</v>
      </c>
      <c r="O76" s="1"/>
      <c r="P76" s="8" t="s">
        <v>4205</v>
      </c>
      <c r="Q76" s="26">
        <v>43937.400462962964</v>
      </c>
      <c r="R76" s="8" t="s">
        <v>4207</v>
      </c>
      <c r="S76" s="26">
        <v>43707.707881944443</v>
      </c>
      <c r="T76" s="18">
        <v>65</v>
      </c>
    </row>
    <row r="77" spans="1:20" ht="38.25" x14ac:dyDescent="0.2">
      <c r="A77" s="196" t="s">
        <v>59</v>
      </c>
      <c r="B77" s="25" t="s">
        <v>659</v>
      </c>
      <c r="C77" s="8" t="s">
        <v>208</v>
      </c>
      <c r="D77" s="8" t="s">
        <v>4871</v>
      </c>
      <c r="E77" s="8" t="s">
        <v>1061</v>
      </c>
      <c r="F77" s="8" t="s">
        <v>4872</v>
      </c>
      <c r="G77" s="197" t="b">
        <v>0</v>
      </c>
      <c r="H77" s="8"/>
      <c r="I77" s="8"/>
      <c r="J77" s="8" t="s">
        <v>4874</v>
      </c>
      <c r="K77" s="8"/>
      <c r="L77" s="8" t="s">
        <v>4873</v>
      </c>
      <c r="M77" s="8" t="s">
        <v>1009</v>
      </c>
      <c r="N77" s="8" t="s">
        <v>1372</v>
      </c>
      <c r="O77" s="1" t="s">
        <v>4891</v>
      </c>
      <c r="P77" s="8" t="s">
        <v>4205</v>
      </c>
      <c r="Q77" s="26">
        <v>43937.406226851854</v>
      </c>
      <c r="R77" s="8" t="s">
        <v>4207</v>
      </c>
      <c r="S77" s="26">
        <v>43707.708425925928</v>
      </c>
      <c r="T77" s="18">
        <v>66</v>
      </c>
    </row>
    <row r="78" spans="1:20" ht="15" x14ac:dyDescent="0.2">
      <c r="A78" s="196" t="s">
        <v>60</v>
      </c>
      <c r="B78" s="25" t="s">
        <v>1010</v>
      </c>
      <c r="C78" s="8" t="s">
        <v>4913</v>
      </c>
      <c r="D78" s="8" t="s">
        <v>4914</v>
      </c>
      <c r="E78" s="8" t="s">
        <v>4910</v>
      </c>
      <c r="F78" s="8" t="s">
        <v>4911</v>
      </c>
      <c r="G78" s="197" t="b">
        <v>1</v>
      </c>
      <c r="H78" s="8"/>
      <c r="I78" s="8"/>
      <c r="J78" s="8" t="s">
        <v>4915</v>
      </c>
      <c r="K78" s="8" t="s">
        <v>4916</v>
      </c>
      <c r="L78" s="8"/>
      <c r="M78" s="8" t="s">
        <v>1011</v>
      </c>
      <c r="N78" s="8" t="s">
        <v>4917</v>
      </c>
      <c r="O78" s="1"/>
      <c r="P78" s="8" t="s">
        <v>4205</v>
      </c>
      <c r="Q78" s="26">
        <v>43937.758761574078</v>
      </c>
      <c r="R78" s="8" t="s">
        <v>4207</v>
      </c>
      <c r="S78" s="26">
        <v>43707.709652777776</v>
      </c>
      <c r="T78" s="18">
        <v>67</v>
      </c>
    </row>
    <row r="79" spans="1:20" ht="15" x14ac:dyDescent="0.2">
      <c r="A79" s="196" t="s">
        <v>60</v>
      </c>
      <c r="B79" s="25" t="s">
        <v>1010</v>
      </c>
      <c r="C79" s="8" t="s">
        <v>4918</v>
      </c>
      <c r="D79" s="8" t="s">
        <v>4919</v>
      </c>
      <c r="E79" s="8" t="s">
        <v>4910</v>
      </c>
      <c r="F79" s="8" t="s">
        <v>4911</v>
      </c>
      <c r="G79" s="197" t="b">
        <v>1</v>
      </c>
      <c r="H79" s="8"/>
      <c r="I79" s="8"/>
      <c r="J79" s="8"/>
      <c r="K79" s="8"/>
      <c r="L79" s="8"/>
      <c r="M79" s="8"/>
      <c r="N79" s="8"/>
      <c r="O79" s="1"/>
      <c r="P79" s="8" t="s">
        <v>4205</v>
      </c>
      <c r="Q79" s="26">
        <v>43937.760069444441</v>
      </c>
      <c r="R79" s="8" t="s">
        <v>4205</v>
      </c>
      <c r="S79" s="26">
        <v>43937.760069444441</v>
      </c>
      <c r="T79" s="18">
        <v>119</v>
      </c>
    </row>
    <row r="80" spans="1:20" ht="15" x14ac:dyDescent="0.2">
      <c r="A80" s="24" t="s">
        <v>60</v>
      </c>
      <c r="B80" s="25" t="s">
        <v>1010</v>
      </c>
      <c r="C80" s="8" t="s">
        <v>4920</v>
      </c>
      <c r="D80" s="8" t="s">
        <v>4921</v>
      </c>
      <c r="E80" s="8" t="s">
        <v>4922</v>
      </c>
      <c r="F80" s="8" t="s">
        <v>4911</v>
      </c>
      <c r="G80" s="49" t="b">
        <v>1</v>
      </c>
      <c r="H80" s="8"/>
      <c r="I80" s="8"/>
      <c r="J80" s="8"/>
      <c r="K80" s="8"/>
      <c r="L80" s="8"/>
      <c r="M80" s="8" t="s">
        <v>4923</v>
      </c>
      <c r="N80" s="8" t="s">
        <v>4924</v>
      </c>
      <c r="O80" s="1"/>
      <c r="P80" s="8" t="s">
        <v>4205</v>
      </c>
      <c r="Q80" s="26">
        <v>43937.761458333334</v>
      </c>
      <c r="R80" s="8" t="s">
        <v>4205</v>
      </c>
      <c r="S80" s="26">
        <v>43937.761458333334</v>
      </c>
      <c r="T80" s="18">
        <v>120</v>
      </c>
    </row>
    <row r="81" spans="1:20" ht="15" x14ac:dyDescent="0.2">
      <c r="A81" s="24" t="s">
        <v>60</v>
      </c>
      <c r="B81" s="25" t="s">
        <v>1010</v>
      </c>
      <c r="C81" s="8" t="s">
        <v>4930</v>
      </c>
      <c r="D81" s="8" t="s">
        <v>4926</v>
      </c>
      <c r="E81" s="8" t="s">
        <v>4927</v>
      </c>
      <c r="F81" s="8" t="s">
        <v>4911</v>
      </c>
      <c r="G81" s="49" t="b">
        <v>1</v>
      </c>
      <c r="H81" s="8"/>
      <c r="I81" s="8"/>
      <c r="J81" s="8"/>
      <c r="K81" s="8"/>
      <c r="L81" s="8"/>
      <c r="M81" s="8" t="s">
        <v>4928</v>
      </c>
      <c r="N81" s="8" t="s">
        <v>4929</v>
      </c>
      <c r="O81" s="1"/>
      <c r="P81" s="8" t="s">
        <v>4205</v>
      </c>
      <c r="Q81" s="26">
        <v>43937.762916666667</v>
      </c>
      <c r="R81" s="8" t="s">
        <v>4205</v>
      </c>
      <c r="S81" s="26">
        <v>43937.762916666667</v>
      </c>
      <c r="T81" s="18">
        <v>121</v>
      </c>
    </row>
    <row r="82" spans="1:20" ht="15" x14ac:dyDescent="0.2">
      <c r="A82" s="44" t="s">
        <v>61</v>
      </c>
      <c r="B82" s="25" t="s">
        <v>660</v>
      </c>
      <c r="C82" s="8" t="s">
        <v>213</v>
      </c>
      <c r="D82" s="8" t="s">
        <v>911</v>
      </c>
      <c r="E82" s="8" t="s">
        <v>912</v>
      </c>
      <c r="F82" s="8" t="s">
        <v>908</v>
      </c>
      <c r="G82" s="49" t="b">
        <v>1</v>
      </c>
      <c r="H82" s="8"/>
      <c r="I82" s="8"/>
      <c r="J82" s="8" t="s">
        <v>913</v>
      </c>
      <c r="K82" s="8"/>
      <c r="L82" s="8"/>
      <c r="M82" s="8" t="s">
        <v>872</v>
      </c>
      <c r="N82" s="8" t="s">
        <v>1354</v>
      </c>
      <c r="O82" s="1"/>
      <c r="P82" s="8" t="s">
        <v>4205</v>
      </c>
      <c r="Q82" s="26">
        <v>43937.406678240739</v>
      </c>
      <c r="R82" s="8" t="s">
        <v>4207</v>
      </c>
      <c r="S82" s="26">
        <v>43707.710138888891</v>
      </c>
      <c r="T82" s="18">
        <v>68</v>
      </c>
    </row>
    <row r="83" spans="1:20" ht="15" x14ac:dyDescent="0.2">
      <c r="A83" s="24" t="s">
        <v>62</v>
      </c>
      <c r="B83" s="25" t="s">
        <v>663</v>
      </c>
      <c r="C83" s="8" t="s">
        <v>4875</v>
      </c>
      <c r="D83" s="8" t="s">
        <v>1062</v>
      </c>
      <c r="E83" s="8" t="s">
        <v>1063</v>
      </c>
      <c r="F83" s="8" t="s">
        <v>4660</v>
      </c>
      <c r="G83" s="49" t="b">
        <v>1</v>
      </c>
      <c r="H83" s="8"/>
      <c r="I83" s="8"/>
      <c r="J83" s="8" t="s">
        <v>1012</v>
      </c>
      <c r="K83" s="8"/>
      <c r="L83" s="8"/>
      <c r="M83" s="8" t="s">
        <v>220</v>
      </c>
      <c r="N83" s="8" t="s">
        <v>1814</v>
      </c>
      <c r="O83" s="1" t="s">
        <v>4892</v>
      </c>
      <c r="P83" s="8" t="s">
        <v>4205</v>
      </c>
      <c r="Q83" s="26">
        <v>43937.410439814812</v>
      </c>
      <c r="R83" s="8" t="s">
        <v>4207</v>
      </c>
      <c r="S83" s="26">
        <v>43707.71056712963</v>
      </c>
      <c r="T83" s="18">
        <v>69</v>
      </c>
    </row>
    <row r="84" spans="1:20" ht="15" x14ac:dyDescent="0.2">
      <c r="A84" s="24" t="s">
        <v>62</v>
      </c>
      <c r="B84" s="25" t="s">
        <v>663</v>
      </c>
      <c r="C84" s="8" t="s">
        <v>4875</v>
      </c>
      <c r="D84" s="8" t="s">
        <v>4876</v>
      </c>
      <c r="E84" s="8" t="s">
        <v>1063</v>
      </c>
      <c r="F84" s="8" t="s">
        <v>4660</v>
      </c>
      <c r="G84" s="49" t="b">
        <v>1</v>
      </c>
      <c r="H84" s="8"/>
      <c r="I84" s="8"/>
      <c r="J84" s="8"/>
      <c r="K84" s="8"/>
      <c r="L84" s="8"/>
      <c r="M84" s="8"/>
      <c r="N84" s="8"/>
      <c r="O84" s="1" t="s">
        <v>4892</v>
      </c>
      <c r="P84" s="8" t="s">
        <v>4205</v>
      </c>
      <c r="Q84" s="26">
        <v>43937.409432870372</v>
      </c>
      <c r="R84" s="8" t="s">
        <v>4205</v>
      </c>
      <c r="S84" s="26">
        <v>43937.409178240741</v>
      </c>
      <c r="T84" s="18">
        <v>111</v>
      </c>
    </row>
    <row r="85" spans="1:20" ht="15" x14ac:dyDescent="0.2">
      <c r="A85" s="24" t="s">
        <v>62</v>
      </c>
      <c r="B85" s="25" t="s">
        <v>663</v>
      </c>
      <c r="C85" s="8" t="s">
        <v>4875</v>
      </c>
      <c r="D85" s="8" t="s">
        <v>4877</v>
      </c>
      <c r="E85" s="8" t="s">
        <v>1063</v>
      </c>
      <c r="F85" s="8" t="s">
        <v>4660</v>
      </c>
      <c r="G85" s="49" t="b">
        <v>1</v>
      </c>
      <c r="H85" s="8"/>
      <c r="I85" s="8"/>
      <c r="J85" s="8"/>
      <c r="K85" s="8"/>
      <c r="L85" s="8"/>
      <c r="M85" s="8"/>
      <c r="N85" s="8"/>
      <c r="O85" s="1" t="s">
        <v>4892</v>
      </c>
      <c r="P85" s="8" t="s">
        <v>4205</v>
      </c>
      <c r="Q85" s="26">
        <v>43937.410266203704</v>
      </c>
      <c r="R85" s="8" t="s">
        <v>4205</v>
      </c>
      <c r="S85" s="26">
        <v>43937.410266203704</v>
      </c>
      <c r="T85" s="18">
        <v>112</v>
      </c>
    </row>
    <row r="86" spans="1:20" ht="25.5" x14ac:dyDescent="0.2">
      <c r="A86" s="24" t="s">
        <v>4568</v>
      </c>
      <c r="B86" s="25" t="s">
        <v>1066</v>
      </c>
      <c r="C86" s="8" t="s">
        <v>2659</v>
      </c>
      <c r="D86" s="8" t="s">
        <v>2660</v>
      </c>
      <c r="E86" s="8" t="s">
        <v>2661</v>
      </c>
      <c r="F86" s="8" t="s">
        <v>2662</v>
      </c>
      <c r="G86" s="49" t="b">
        <v>0</v>
      </c>
      <c r="H86" s="8" t="s">
        <v>2663</v>
      </c>
      <c r="I86" s="8" t="s">
        <v>2664</v>
      </c>
      <c r="J86" s="8" t="s">
        <v>1269</v>
      </c>
      <c r="K86" s="8" t="s">
        <v>1270</v>
      </c>
      <c r="L86" s="8" t="s">
        <v>2665</v>
      </c>
      <c r="M86" s="8" t="s">
        <v>1271</v>
      </c>
      <c r="N86" s="8" t="s">
        <v>2666</v>
      </c>
      <c r="O86" s="1" t="s">
        <v>4893</v>
      </c>
      <c r="P86" s="8" t="s">
        <v>4205</v>
      </c>
      <c r="Q86" s="26">
        <v>43937.413032407407</v>
      </c>
      <c r="R86" s="8" t="s">
        <v>4325</v>
      </c>
      <c r="S86" s="26">
        <v>43809.710833333331</v>
      </c>
      <c r="T86" s="18">
        <v>85</v>
      </c>
    </row>
    <row r="87" spans="1:20" ht="25.5" x14ac:dyDescent="0.2">
      <c r="A87" s="24" t="s">
        <v>4568</v>
      </c>
      <c r="B87" s="25" t="s">
        <v>1066</v>
      </c>
      <c r="C87" s="8" t="s">
        <v>2663</v>
      </c>
      <c r="D87" s="8" t="s">
        <v>4878</v>
      </c>
      <c r="E87" s="8" t="s">
        <v>4879</v>
      </c>
      <c r="F87" s="8"/>
      <c r="G87" s="49" t="b">
        <v>1</v>
      </c>
      <c r="H87" s="8" t="s">
        <v>2663</v>
      </c>
      <c r="I87" s="8" t="s">
        <v>4880</v>
      </c>
      <c r="J87" s="8" t="s">
        <v>4882</v>
      </c>
      <c r="K87" s="8" t="s">
        <v>4883</v>
      </c>
      <c r="L87" s="8" t="s">
        <v>4881</v>
      </c>
      <c r="M87" s="8" t="s">
        <v>1271</v>
      </c>
      <c r="N87" s="8" t="s">
        <v>2666</v>
      </c>
      <c r="O87" s="1" t="s">
        <v>4893</v>
      </c>
      <c r="P87" s="8" t="s">
        <v>4205</v>
      </c>
      <c r="Q87" s="26">
        <v>43937.412824074076</v>
      </c>
      <c r="R87" s="8" t="s">
        <v>4205</v>
      </c>
      <c r="S87" s="26">
        <v>43937.412824074076</v>
      </c>
      <c r="T87" s="18">
        <v>113</v>
      </c>
    </row>
    <row r="88" spans="1:20" ht="15" x14ac:dyDescent="0.2">
      <c r="A88" s="24" t="s">
        <v>4568</v>
      </c>
      <c r="B88" s="25" t="s">
        <v>1066</v>
      </c>
      <c r="C88" s="8" t="s">
        <v>4884</v>
      </c>
      <c r="D88" s="8"/>
      <c r="E88" s="8"/>
      <c r="F88" s="8" t="s">
        <v>4855</v>
      </c>
      <c r="G88" s="49" t="b">
        <v>1</v>
      </c>
      <c r="H88" s="8" t="s">
        <v>4885</v>
      </c>
      <c r="I88" s="8"/>
      <c r="J88" s="8"/>
      <c r="K88" s="8"/>
      <c r="L88" s="8"/>
      <c r="M88" s="8" t="s">
        <v>4886</v>
      </c>
      <c r="N88" s="8" t="s">
        <v>4887</v>
      </c>
      <c r="O88" s="1"/>
      <c r="P88" s="8" t="s">
        <v>4205</v>
      </c>
      <c r="Q88" s="26">
        <v>43937.418136574073</v>
      </c>
      <c r="R88" s="8" t="s">
        <v>4205</v>
      </c>
      <c r="S88" s="26">
        <v>43937.414363425924</v>
      </c>
      <c r="T88" s="18">
        <v>114</v>
      </c>
    </row>
    <row r="89" spans="1:20" ht="15" x14ac:dyDescent="0.2">
      <c r="A89" s="24" t="s">
        <v>4568</v>
      </c>
      <c r="B89" s="25" t="s">
        <v>1066</v>
      </c>
      <c r="C89" s="8" t="s">
        <v>2663</v>
      </c>
      <c r="D89" s="8"/>
      <c r="E89" s="8"/>
      <c r="F89" s="8" t="s">
        <v>1158</v>
      </c>
      <c r="G89" s="49" t="b">
        <v>1</v>
      </c>
      <c r="H89" s="8" t="s">
        <v>4888</v>
      </c>
      <c r="I89" s="8"/>
      <c r="J89" s="8"/>
      <c r="K89" s="8"/>
      <c r="L89" s="8"/>
      <c r="M89" s="8" t="s">
        <v>4889</v>
      </c>
      <c r="N89" s="8" t="s">
        <v>4890</v>
      </c>
      <c r="O89" s="1" t="s">
        <v>1158</v>
      </c>
      <c r="P89" s="8" t="s">
        <v>4205</v>
      </c>
      <c r="Q89" s="26">
        <v>43937.431435185186</v>
      </c>
      <c r="R89" s="8" t="s">
        <v>4205</v>
      </c>
      <c r="S89" s="26">
        <v>43937.431435185186</v>
      </c>
      <c r="T89" s="18">
        <v>115</v>
      </c>
    </row>
    <row r="90" spans="1:20" ht="38.25" x14ac:dyDescent="0.2">
      <c r="A90" s="24" t="s">
        <v>5883</v>
      </c>
      <c r="B90" s="25" t="s">
        <v>667</v>
      </c>
      <c r="C90" s="8" t="s">
        <v>232</v>
      </c>
      <c r="D90" s="8" t="s">
        <v>911</v>
      </c>
      <c r="E90" s="8" t="s">
        <v>912</v>
      </c>
      <c r="F90" s="8" t="s">
        <v>908</v>
      </c>
      <c r="G90" s="49" t="b">
        <v>1</v>
      </c>
      <c r="H90" s="8"/>
      <c r="I90" s="8"/>
      <c r="J90" s="8" t="s">
        <v>4870</v>
      </c>
      <c r="K90" s="8" t="s">
        <v>913</v>
      </c>
      <c r="L90" s="8"/>
      <c r="M90" s="8" t="s">
        <v>914</v>
      </c>
      <c r="N90" s="8" t="s">
        <v>1354</v>
      </c>
      <c r="O90" s="1" t="s">
        <v>1018</v>
      </c>
      <c r="P90" s="8" t="s">
        <v>4205</v>
      </c>
      <c r="Q90" s="26">
        <v>43937.433171296296</v>
      </c>
      <c r="R90" s="8" t="s">
        <v>4325</v>
      </c>
      <c r="S90" s="26">
        <v>43698.680185185185</v>
      </c>
      <c r="T90" s="18">
        <v>8</v>
      </c>
    </row>
    <row r="91" spans="1:20" ht="102" x14ac:dyDescent="0.2">
      <c r="A91" s="24" t="s">
        <v>227</v>
      </c>
      <c r="B91" s="25" t="s">
        <v>665</v>
      </c>
      <c r="C91" s="8" t="s">
        <v>228</v>
      </c>
      <c r="D91" s="8" t="s">
        <v>906</v>
      </c>
      <c r="E91" s="8" t="s">
        <v>907</v>
      </c>
      <c r="F91" s="8" t="s">
        <v>908</v>
      </c>
      <c r="G91" s="49" t="b">
        <v>1</v>
      </c>
      <c r="H91" s="8"/>
      <c r="I91" s="8"/>
      <c r="J91" s="8" t="s">
        <v>909</v>
      </c>
      <c r="K91" s="8" t="s">
        <v>910</v>
      </c>
      <c r="L91" s="8"/>
      <c r="M91" s="8" t="s">
        <v>229</v>
      </c>
      <c r="N91" s="8" t="s">
        <v>1354</v>
      </c>
      <c r="O91" s="1" t="s">
        <v>1017</v>
      </c>
      <c r="P91" s="8" t="s">
        <v>4205</v>
      </c>
      <c r="Q91" s="26">
        <v>43937.432453703703</v>
      </c>
      <c r="R91" s="8" t="s">
        <v>4325</v>
      </c>
      <c r="S91" s="26">
        <v>43698.677499999998</v>
      </c>
      <c r="T91" s="18">
        <v>7</v>
      </c>
    </row>
    <row r="92" spans="1:20" ht="15" x14ac:dyDescent="0.2">
      <c r="A92" s="24" t="s">
        <v>1175</v>
      </c>
      <c r="B92" s="25" t="s">
        <v>615</v>
      </c>
      <c r="C92" s="8" t="s">
        <v>1256</v>
      </c>
      <c r="D92" s="8" t="s">
        <v>1267</v>
      </c>
      <c r="E92" s="8" t="s">
        <v>968</v>
      </c>
      <c r="F92" s="8" t="s">
        <v>908</v>
      </c>
      <c r="G92" s="49" t="b">
        <v>0</v>
      </c>
      <c r="H92" s="8"/>
      <c r="I92" s="8"/>
      <c r="J92" s="8"/>
      <c r="K92" s="8"/>
      <c r="L92" s="8"/>
      <c r="M92" s="8" t="s">
        <v>1268</v>
      </c>
      <c r="N92" s="8" t="s">
        <v>1354</v>
      </c>
      <c r="O92" s="1"/>
      <c r="P92" s="8" t="s">
        <v>23</v>
      </c>
      <c r="Q92" s="26">
        <v>43767.437245370369</v>
      </c>
      <c r="R92" s="8" t="s">
        <v>4325</v>
      </c>
      <c r="S92" s="26">
        <v>43762.415138888886</v>
      </c>
      <c r="T92" s="18">
        <v>80</v>
      </c>
    </row>
    <row r="93" spans="1:20" ht="15" x14ac:dyDescent="0.2">
      <c r="A93" s="24" t="s">
        <v>5260</v>
      </c>
      <c r="B93" s="25" t="s">
        <v>2931</v>
      </c>
      <c r="C93" s="8" t="s">
        <v>5917</v>
      </c>
      <c r="D93" s="8" t="s">
        <v>4539</v>
      </c>
      <c r="E93" s="8" t="s">
        <v>5918</v>
      </c>
      <c r="F93" s="8" t="s">
        <v>908</v>
      </c>
      <c r="G93" s="49" t="b">
        <v>0</v>
      </c>
      <c r="H93" s="8"/>
      <c r="I93" s="8"/>
      <c r="J93" s="8" t="s">
        <v>6472</v>
      </c>
      <c r="K93" s="8"/>
      <c r="L93" s="8" t="s">
        <v>6432</v>
      </c>
      <c r="M93" s="8" t="s">
        <v>5919</v>
      </c>
      <c r="N93" s="8" t="s">
        <v>5920</v>
      </c>
      <c r="O93" s="1"/>
      <c r="P93" s="8" t="s">
        <v>5648</v>
      </c>
      <c r="Q93" s="26">
        <v>44008.354212962964</v>
      </c>
      <c r="R93" s="8" t="s">
        <v>4206</v>
      </c>
      <c r="S93" s="26">
        <v>43992.562557870369</v>
      </c>
      <c r="T93" s="18">
        <v>122</v>
      </c>
    </row>
    <row r="94" spans="1:20" ht="15" x14ac:dyDescent="0.2">
      <c r="A94" s="24" t="s">
        <v>5262</v>
      </c>
      <c r="B94" s="25" t="s">
        <v>2933</v>
      </c>
      <c r="C94" s="8" t="s">
        <v>5921</v>
      </c>
      <c r="D94" s="8" t="s">
        <v>5922</v>
      </c>
      <c r="E94" s="8" t="s">
        <v>5923</v>
      </c>
      <c r="F94" s="8" t="s">
        <v>908</v>
      </c>
      <c r="G94" s="49" t="b">
        <v>0</v>
      </c>
      <c r="H94" s="8"/>
      <c r="I94" s="8"/>
      <c r="J94" s="8" t="s">
        <v>5924</v>
      </c>
      <c r="K94" s="8"/>
      <c r="L94" s="8"/>
      <c r="M94" s="8" t="s">
        <v>2040</v>
      </c>
      <c r="N94" s="8" t="s">
        <v>5920</v>
      </c>
      <c r="O94" s="1"/>
      <c r="P94" s="8" t="s">
        <v>5648</v>
      </c>
      <c r="Q94" s="26">
        <v>44008.354791666665</v>
      </c>
      <c r="R94" s="8" t="s">
        <v>4206</v>
      </c>
      <c r="S94" s="26">
        <v>43992.598298611112</v>
      </c>
      <c r="T94" s="18">
        <v>123</v>
      </c>
    </row>
    <row r="95" spans="1:20" ht="38.25" x14ac:dyDescent="0.2">
      <c r="A95" s="24" t="s">
        <v>5264</v>
      </c>
      <c r="B95" s="25" t="s">
        <v>2933</v>
      </c>
      <c r="C95" s="8" t="s">
        <v>5925</v>
      </c>
      <c r="D95" s="8" t="s">
        <v>5926</v>
      </c>
      <c r="E95" s="8" t="s">
        <v>5927</v>
      </c>
      <c r="F95" s="8" t="s">
        <v>1152</v>
      </c>
      <c r="G95" s="49" t="b">
        <v>0</v>
      </c>
      <c r="H95" s="8"/>
      <c r="I95" s="8"/>
      <c r="J95" s="8" t="s">
        <v>6260</v>
      </c>
      <c r="K95" s="8"/>
      <c r="L95" s="8"/>
      <c r="M95" s="8" t="s">
        <v>5928</v>
      </c>
      <c r="N95" s="8" t="s">
        <v>5929</v>
      </c>
      <c r="O95" s="1" t="s">
        <v>6265</v>
      </c>
      <c r="P95" s="8" t="s">
        <v>5648</v>
      </c>
      <c r="Q95" s="26">
        <v>44008.358020833337</v>
      </c>
      <c r="R95" s="8" t="s">
        <v>4206</v>
      </c>
      <c r="S95" s="26">
        <v>43992.599826388891</v>
      </c>
      <c r="T95" s="18">
        <v>124</v>
      </c>
    </row>
    <row r="96" spans="1:20" ht="15" x14ac:dyDescent="0.2">
      <c r="A96" s="24" t="s">
        <v>5264</v>
      </c>
      <c r="B96" s="25" t="s">
        <v>2933</v>
      </c>
      <c r="C96" s="8" t="s">
        <v>6262</v>
      </c>
      <c r="D96" s="8" t="s">
        <v>958</v>
      </c>
      <c r="E96" s="8" t="s">
        <v>6263</v>
      </c>
      <c r="F96" s="8" t="s">
        <v>6264</v>
      </c>
      <c r="G96" s="49" t="b">
        <v>0</v>
      </c>
      <c r="H96" s="8"/>
      <c r="I96" s="8"/>
      <c r="J96" s="8" t="s">
        <v>6260</v>
      </c>
      <c r="K96" s="8"/>
      <c r="L96" s="8"/>
      <c r="M96" s="8"/>
      <c r="N96" s="8"/>
      <c r="O96" s="1"/>
      <c r="P96" s="8" t="s">
        <v>5648</v>
      </c>
      <c r="Q96" s="26">
        <v>44008.358113425929</v>
      </c>
      <c r="R96" s="8" t="s">
        <v>5648</v>
      </c>
      <c r="S96" s="26">
        <v>43998.690405092595</v>
      </c>
      <c r="T96" s="18">
        <v>194</v>
      </c>
    </row>
    <row r="97" spans="1:20" ht="15" x14ac:dyDescent="0.2">
      <c r="A97" s="24" t="s">
        <v>5266</v>
      </c>
      <c r="B97" s="25" t="s">
        <v>2934</v>
      </c>
      <c r="C97" s="8" t="s">
        <v>5930</v>
      </c>
      <c r="D97" s="8" t="s">
        <v>5931</v>
      </c>
      <c r="E97" s="8" t="s">
        <v>5932</v>
      </c>
      <c r="F97" s="8" t="s">
        <v>908</v>
      </c>
      <c r="G97" s="49" t="b">
        <v>0</v>
      </c>
      <c r="H97" s="8"/>
      <c r="I97" s="8"/>
      <c r="J97" s="8" t="s">
        <v>6433</v>
      </c>
      <c r="K97" s="8"/>
      <c r="L97" s="8"/>
      <c r="M97" s="8" t="s">
        <v>5933</v>
      </c>
      <c r="N97" s="8" t="s">
        <v>5920</v>
      </c>
      <c r="O97" s="1"/>
      <c r="P97" s="8" t="s">
        <v>5648</v>
      </c>
      <c r="Q97" s="26">
        <v>44004.326331018521</v>
      </c>
      <c r="R97" s="8" t="s">
        <v>4206</v>
      </c>
      <c r="S97" s="26">
        <v>43992.600347222222</v>
      </c>
      <c r="T97" s="18">
        <v>125</v>
      </c>
    </row>
    <row r="98" spans="1:20" ht="15" x14ac:dyDescent="0.2">
      <c r="A98" s="24" t="s">
        <v>5266</v>
      </c>
      <c r="B98" s="25" t="s">
        <v>2934</v>
      </c>
      <c r="C98" s="8" t="s">
        <v>6439</v>
      </c>
      <c r="D98" s="8" t="s">
        <v>6440</v>
      </c>
      <c r="E98" s="8" t="s">
        <v>6441</v>
      </c>
      <c r="F98" s="8" t="s">
        <v>2671</v>
      </c>
      <c r="G98" s="49" t="b">
        <v>1</v>
      </c>
      <c r="H98" s="8" t="s">
        <v>6442</v>
      </c>
      <c r="I98" s="8" t="s">
        <v>2671</v>
      </c>
      <c r="J98" s="8" t="s">
        <v>6444</v>
      </c>
      <c r="K98" s="8"/>
      <c r="L98" s="8" t="s">
        <v>6443</v>
      </c>
      <c r="M98" s="8" t="s">
        <v>6445</v>
      </c>
      <c r="N98" s="8" t="s">
        <v>1814</v>
      </c>
      <c r="O98" s="1"/>
      <c r="P98" s="8" t="s">
        <v>5648</v>
      </c>
      <c r="Q98" s="26">
        <v>44004.333634259259</v>
      </c>
      <c r="R98" s="8" t="s">
        <v>5648</v>
      </c>
      <c r="S98" s="26">
        <v>44004.332870370374</v>
      </c>
      <c r="T98" s="18">
        <v>196</v>
      </c>
    </row>
    <row r="99" spans="1:20" ht="25.5" x14ac:dyDescent="0.2">
      <c r="A99" s="24" t="s">
        <v>5268</v>
      </c>
      <c r="B99" s="25" t="s">
        <v>2935</v>
      </c>
      <c r="C99" s="8" t="s">
        <v>5934</v>
      </c>
      <c r="D99" s="8" t="s">
        <v>5935</v>
      </c>
      <c r="E99" s="8" t="s">
        <v>5936</v>
      </c>
      <c r="F99" s="8" t="s">
        <v>908</v>
      </c>
      <c r="G99" s="49" t="b">
        <v>0</v>
      </c>
      <c r="H99" s="8"/>
      <c r="I99" s="8"/>
      <c r="J99" s="8"/>
      <c r="K99" s="8"/>
      <c r="L99" s="8"/>
      <c r="M99" s="8" t="s">
        <v>5937</v>
      </c>
      <c r="N99" s="8" t="s">
        <v>5920</v>
      </c>
      <c r="O99" s="1" t="s">
        <v>6477</v>
      </c>
      <c r="P99" s="8" t="s">
        <v>5648</v>
      </c>
      <c r="Q99" s="26">
        <v>44008.361145833333</v>
      </c>
      <c r="R99" s="8" t="s">
        <v>4206</v>
      </c>
      <c r="S99" s="26">
        <v>43992.601261574076</v>
      </c>
      <c r="T99" s="18">
        <v>126</v>
      </c>
    </row>
    <row r="100" spans="1:20" ht="25.5" x14ac:dyDescent="0.2">
      <c r="A100" s="24" t="s">
        <v>5268</v>
      </c>
      <c r="B100" s="25" t="s">
        <v>2935</v>
      </c>
      <c r="C100" s="8" t="s">
        <v>6446</v>
      </c>
      <c r="D100" s="8" t="s">
        <v>6447</v>
      </c>
      <c r="E100" s="8" t="s">
        <v>968</v>
      </c>
      <c r="F100" s="8" t="s">
        <v>6448</v>
      </c>
      <c r="G100" s="49" t="b">
        <v>0</v>
      </c>
      <c r="H100" s="8"/>
      <c r="I100" s="8"/>
      <c r="J100" s="8" t="s">
        <v>6449</v>
      </c>
      <c r="K100" s="8"/>
      <c r="L100" s="8"/>
      <c r="M100" s="8" t="s">
        <v>6450</v>
      </c>
      <c r="N100" s="8" t="s">
        <v>1814</v>
      </c>
      <c r="O100" s="1" t="s">
        <v>6451</v>
      </c>
      <c r="P100" s="8" t="s">
        <v>5648</v>
      </c>
      <c r="Q100" s="26">
        <v>44004.33699074074</v>
      </c>
      <c r="R100" s="8" t="s">
        <v>5648</v>
      </c>
      <c r="S100" s="26">
        <v>44004.33699074074</v>
      </c>
      <c r="T100" s="18">
        <v>197</v>
      </c>
    </row>
    <row r="101" spans="1:20" ht="15" x14ac:dyDescent="0.2">
      <c r="A101" s="24" t="s">
        <v>5252</v>
      </c>
      <c r="B101" s="25" t="s">
        <v>2936</v>
      </c>
      <c r="C101" s="8" t="s">
        <v>5938</v>
      </c>
      <c r="D101" s="8" t="s">
        <v>6616</v>
      </c>
      <c r="E101" s="8"/>
      <c r="F101" s="8" t="s">
        <v>6617</v>
      </c>
      <c r="G101" s="49" t="b">
        <v>0</v>
      </c>
      <c r="H101" s="8"/>
      <c r="I101" s="8"/>
      <c r="J101" s="8" t="s">
        <v>6619</v>
      </c>
      <c r="K101" s="8"/>
      <c r="L101" s="8" t="s">
        <v>6618</v>
      </c>
      <c r="M101" s="8" t="s">
        <v>5939</v>
      </c>
      <c r="N101" s="8" t="s">
        <v>5920</v>
      </c>
      <c r="O101" s="1" t="s">
        <v>67</v>
      </c>
      <c r="P101" s="8" t="s">
        <v>6483</v>
      </c>
      <c r="Q101" s="26">
        <v>44014.4922337963</v>
      </c>
      <c r="R101" s="8" t="s">
        <v>4206</v>
      </c>
      <c r="S101" s="26">
        <v>43992.602164351854</v>
      </c>
      <c r="T101" s="18">
        <v>127</v>
      </c>
    </row>
    <row r="102" spans="1:20" ht="15" x14ac:dyDescent="0.2">
      <c r="A102" s="44" t="s">
        <v>5271</v>
      </c>
      <c r="B102" s="25" t="s">
        <v>2937</v>
      </c>
      <c r="C102" s="8" t="s">
        <v>5940</v>
      </c>
      <c r="D102" s="8" t="s">
        <v>5941</v>
      </c>
      <c r="E102" s="8" t="s">
        <v>918</v>
      </c>
      <c r="F102" s="8" t="s">
        <v>1152</v>
      </c>
      <c r="G102" s="49" t="b">
        <v>0</v>
      </c>
      <c r="H102" s="8"/>
      <c r="I102" s="8"/>
      <c r="J102" s="8" t="s">
        <v>6465</v>
      </c>
      <c r="K102" s="8"/>
      <c r="L102" s="8"/>
      <c r="M102" s="8" t="s">
        <v>5942</v>
      </c>
      <c r="N102" s="8" t="s">
        <v>5920</v>
      </c>
      <c r="O102" s="1"/>
      <c r="P102" s="8" t="s">
        <v>5648</v>
      </c>
      <c r="Q102" s="26">
        <v>44007.826550925929</v>
      </c>
      <c r="R102" s="8" t="s">
        <v>4206</v>
      </c>
      <c r="S102" s="26">
        <v>43992.602777777778</v>
      </c>
      <c r="T102" s="18">
        <v>128</v>
      </c>
    </row>
    <row r="103" spans="1:20" ht="15" x14ac:dyDescent="0.2">
      <c r="A103" s="196" t="s">
        <v>5253</v>
      </c>
      <c r="B103" s="25" t="s">
        <v>2989</v>
      </c>
      <c r="C103" s="8" t="s">
        <v>5943</v>
      </c>
      <c r="D103" s="8" t="s">
        <v>5944</v>
      </c>
      <c r="E103" s="8" t="s">
        <v>5945</v>
      </c>
      <c r="F103" s="8" t="s">
        <v>908</v>
      </c>
      <c r="G103" s="197" t="b">
        <v>0</v>
      </c>
      <c r="H103" s="8"/>
      <c r="I103" s="8"/>
      <c r="J103" s="8" t="s">
        <v>6466</v>
      </c>
      <c r="K103" s="8"/>
      <c r="L103" s="8"/>
      <c r="M103" s="8" t="s">
        <v>5946</v>
      </c>
      <c r="N103" s="8" t="s">
        <v>5947</v>
      </c>
      <c r="O103" s="1"/>
      <c r="P103" s="8" t="s">
        <v>5648</v>
      </c>
      <c r="Q103" s="26">
        <v>44007.827314814815</v>
      </c>
      <c r="R103" s="8" t="s">
        <v>4206</v>
      </c>
      <c r="S103" s="26">
        <v>43992.604409722226</v>
      </c>
      <c r="T103" s="18">
        <v>129</v>
      </c>
    </row>
    <row r="104" spans="1:20" ht="15" x14ac:dyDescent="0.2">
      <c r="A104" s="196" t="s">
        <v>5254</v>
      </c>
      <c r="B104" s="25" t="s">
        <v>3204</v>
      </c>
      <c r="C104" s="8" t="s">
        <v>5948</v>
      </c>
      <c r="D104" s="8" t="s">
        <v>1024</v>
      </c>
      <c r="E104" s="8" t="s">
        <v>5949</v>
      </c>
      <c r="F104" s="8" t="s">
        <v>908</v>
      </c>
      <c r="G104" s="197" t="b">
        <v>0</v>
      </c>
      <c r="H104" s="8"/>
      <c r="I104" s="8"/>
      <c r="J104" s="8" t="s">
        <v>6621</v>
      </c>
      <c r="K104" s="8"/>
      <c r="L104" s="8" t="s">
        <v>6620</v>
      </c>
      <c r="M104" s="8" t="s">
        <v>5950</v>
      </c>
      <c r="N104" s="8" t="s">
        <v>5920</v>
      </c>
      <c r="O104" s="1"/>
      <c r="P104" s="8" t="s">
        <v>1744</v>
      </c>
      <c r="Q104" s="26">
        <v>44011.497569444444</v>
      </c>
      <c r="R104" s="8" t="s">
        <v>4206</v>
      </c>
      <c r="S104" s="26">
        <v>43992.605925925927</v>
      </c>
      <c r="T104" s="18">
        <v>130</v>
      </c>
    </row>
    <row r="105" spans="1:20" ht="15" x14ac:dyDescent="0.2">
      <c r="A105" s="196" t="s">
        <v>5275</v>
      </c>
      <c r="B105" s="25" t="s">
        <v>3205</v>
      </c>
      <c r="C105" s="8" t="s">
        <v>5951</v>
      </c>
      <c r="D105" s="8" t="s">
        <v>5952</v>
      </c>
      <c r="E105" s="8" t="s">
        <v>5953</v>
      </c>
      <c r="F105" s="8" t="s">
        <v>908</v>
      </c>
      <c r="G105" s="197" t="b">
        <v>0</v>
      </c>
      <c r="H105" s="8"/>
      <c r="I105" s="8"/>
      <c r="J105" s="8" t="s">
        <v>6623</v>
      </c>
      <c r="K105" s="8"/>
      <c r="L105" s="8" t="s">
        <v>6622</v>
      </c>
      <c r="M105" s="8" t="s">
        <v>6062</v>
      </c>
      <c r="N105" s="8" t="s">
        <v>5954</v>
      </c>
      <c r="O105" s="1"/>
      <c r="P105" s="8" t="s">
        <v>1744</v>
      </c>
      <c r="Q105" s="26">
        <v>44011.555069444446</v>
      </c>
      <c r="R105" s="8" t="s">
        <v>4206</v>
      </c>
      <c r="S105" s="26">
        <v>43992.606608796297</v>
      </c>
      <c r="T105" s="18">
        <v>131</v>
      </c>
    </row>
    <row r="106" spans="1:20" ht="15" x14ac:dyDescent="0.2">
      <c r="A106" s="196" t="s">
        <v>5277</v>
      </c>
      <c r="B106" s="25" t="s">
        <v>3206</v>
      </c>
      <c r="C106" s="8" t="s">
        <v>5955</v>
      </c>
      <c r="D106" s="8" t="s">
        <v>5956</v>
      </c>
      <c r="E106" s="8" t="s">
        <v>5957</v>
      </c>
      <c r="F106" s="8" t="s">
        <v>908</v>
      </c>
      <c r="G106" s="197" t="b">
        <v>0</v>
      </c>
      <c r="H106" s="8"/>
      <c r="I106" s="8"/>
      <c r="J106" s="8" t="s">
        <v>6624</v>
      </c>
      <c r="K106" s="8"/>
      <c r="L106" s="8"/>
      <c r="M106" s="8" t="s">
        <v>5958</v>
      </c>
      <c r="N106" s="8" t="s">
        <v>5920</v>
      </c>
      <c r="O106" s="1"/>
      <c r="P106" s="8" t="s">
        <v>1744</v>
      </c>
      <c r="Q106" s="26">
        <v>44011.561956018515</v>
      </c>
      <c r="R106" s="8" t="s">
        <v>4206</v>
      </c>
      <c r="S106" s="26">
        <v>43992.607245370367</v>
      </c>
      <c r="T106" s="18">
        <v>132</v>
      </c>
    </row>
    <row r="107" spans="1:20" ht="15" x14ac:dyDescent="0.2">
      <c r="A107" s="196" t="s">
        <v>5279</v>
      </c>
      <c r="B107" s="25" t="s">
        <v>3211</v>
      </c>
      <c r="C107" s="8" t="s">
        <v>5959</v>
      </c>
      <c r="D107" s="8" t="s">
        <v>5967</v>
      </c>
      <c r="E107" s="8" t="s">
        <v>938</v>
      </c>
      <c r="F107" s="8" t="s">
        <v>908</v>
      </c>
      <c r="G107" s="197" t="b">
        <v>0</v>
      </c>
      <c r="H107" s="8"/>
      <c r="I107" s="8"/>
      <c r="J107" s="8" t="s">
        <v>6434</v>
      </c>
      <c r="K107" s="8"/>
      <c r="L107" s="8"/>
      <c r="M107" s="8" t="s">
        <v>5960</v>
      </c>
      <c r="N107" s="8" t="s">
        <v>5961</v>
      </c>
      <c r="O107" s="1"/>
      <c r="P107" s="8" t="s">
        <v>4206</v>
      </c>
      <c r="Q107" s="26">
        <v>44005.623564814814</v>
      </c>
      <c r="R107" s="8" t="s">
        <v>4206</v>
      </c>
      <c r="S107" s="26">
        <v>43992.607939814814</v>
      </c>
      <c r="T107" s="18">
        <v>133</v>
      </c>
    </row>
    <row r="108" spans="1:20" ht="15" x14ac:dyDescent="0.2">
      <c r="A108" s="196" t="s">
        <v>5281</v>
      </c>
      <c r="B108" s="25" t="s">
        <v>3212</v>
      </c>
      <c r="C108" s="8" t="s">
        <v>5962</v>
      </c>
      <c r="D108" s="8" t="s">
        <v>5963</v>
      </c>
      <c r="E108" s="8" t="s">
        <v>5964</v>
      </c>
      <c r="F108" s="8" t="s">
        <v>908</v>
      </c>
      <c r="G108" s="197" t="b">
        <v>0</v>
      </c>
      <c r="H108" s="8"/>
      <c r="I108" s="8"/>
      <c r="J108" s="8" t="s">
        <v>6625</v>
      </c>
      <c r="K108" s="8"/>
      <c r="L108" s="8"/>
      <c r="M108" s="8" t="s">
        <v>5965</v>
      </c>
      <c r="N108" s="8" t="s">
        <v>5920</v>
      </c>
      <c r="O108" s="1"/>
      <c r="P108" s="8" t="s">
        <v>1744</v>
      </c>
      <c r="Q108" s="26">
        <v>44011.89466435185</v>
      </c>
      <c r="R108" s="8" t="s">
        <v>4206</v>
      </c>
      <c r="S108" s="26">
        <v>43992.608587962961</v>
      </c>
      <c r="T108" s="18">
        <v>134</v>
      </c>
    </row>
    <row r="109" spans="1:20" ht="15" x14ac:dyDescent="0.2">
      <c r="A109" s="196" t="s">
        <v>5283</v>
      </c>
      <c r="B109" s="25" t="s">
        <v>3213</v>
      </c>
      <c r="C109" s="8" t="s">
        <v>5966</v>
      </c>
      <c r="D109" s="8" t="s">
        <v>5967</v>
      </c>
      <c r="E109" s="8" t="s">
        <v>938</v>
      </c>
      <c r="F109" s="8" t="s">
        <v>908</v>
      </c>
      <c r="G109" s="197" t="b">
        <v>0</v>
      </c>
      <c r="H109" s="8"/>
      <c r="I109" s="8"/>
      <c r="J109" s="8" t="s">
        <v>6434</v>
      </c>
      <c r="K109" s="8"/>
      <c r="L109" s="8"/>
      <c r="M109" s="8" t="s">
        <v>5968</v>
      </c>
      <c r="N109" s="8" t="s">
        <v>5969</v>
      </c>
      <c r="O109" s="1"/>
      <c r="P109" s="8" t="s">
        <v>1744</v>
      </c>
      <c r="Q109" s="26">
        <v>44011.467106481483</v>
      </c>
      <c r="R109" s="8" t="s">
        <v>4206</v>
      </c>
      <c r="S109" s="26">
        <v>43992.609120370369</v>
      </c>
      <c r="T109" s="18">
        <v>135</v>
      </c>
    </row>
    <row r="110" spans="1:20" ht="25.5" x14ac:dyDescent="0.2">
      <c r="A110" s="196" t="s">
        <v>5285</v>
      </c>
      <c r="B110" s="25" t="s">
        <v>3219</v>
      </c>
      <c r="C110" s="8" t="s">
        <v>5970</v>
      </c>
      <c r="D110" s="8" t="s">
        <v>5971</v>
      </c>
      <c r="E110" s="8" t="s">
        <v>5972</v>
      </c>
      <c r="F110" s="8" t="s">
        <v>908</v>
      </c>
      <c r="G110" s="197" t="b">
        <v>0</v>
      </c>
      <c r="H110" s="8"/>
      <c r="I110" s="8"/>
      <c r="J110" s="8" t="s">
        <v>6473</v>
      </c>
      <c r="K110" s="8" t="s">
        <v>6474</v>
      </c>
      <c r="L110" s="8"/>
      <c r="M110" s="8" t="s">
        <v>5973</v>
      </c>
      <c r="N110" s="8" t="s">
        <v>5974</v>
      </c>
      <c r="O110" s="1" t="s">
        <v>6478</v>
      </c>
      <c r="P110" s="8" t="s">
        <v>5648</v>
      </c>
      <c r="Q110" s="26">
        <v>44008.36650462963</v>
      </c>
      <c r="R110" s="8" t="s">
        <v>4206</v>
      </c>
      <c r="S110" s="26">
        <v>43992.610081018516</v>
      </c>
      <c r="T110" s="18">
        <v>136</v>
      </c>
    </row>
    <row r="111" spans="1:20" ht="38.25" x14ac:dyDescent="0.2">
      <c r="A111" s="196" t="s">
        <v>5287</v>
      </c>
      <c r="B111" s="25" t="s">
        <v>3220</v>
      </c>
      <c r="C111" s="8" t="s">
        <v>5975</v>
      </c>
      <c r="D111" s="8" t="s">
        <v>5976</v>
      </c>
      <c r="E111" s="8" t="s">
        <v>5977</v>
      </c>
      <c r="F111" s="8" t="s">
        <v>908</v>
      </c>
      <c r="G111" s="197" t="b">
        <v>0</v>
      </c>
      <c r="H111" s="8"/>
      <c r="I111" s="8"/>
      <c r="J111" s="8"/>
      <c r="K111" s="8"/>
      <c r="L111" s="8"/>
      <c r="M111" s="8" t="s">
        <v>6063</v>
      </c>
      <c r="N111" s="8" t="s">
        <v>6064</v>
      </c>
      <c r="O111" s="1" t="s">
        <v>6468</v>
      </c>
      <c r="P111" s="8" t="s">
        <v>5648</v>
      </c>
      <c r="Q111" s="26">
        <v>44011.466307870367</v>
      </c>
      <c r="R111" s="8" t="s">
        <v>4206</v>
      </c>
      <c r="S111" s="26">
        <v>43992.611967592595</v>
      </c>
      <c r="T111" s="18">
        <v>137</v>
      </c>
    </row>
    <row r="112" spans="1:20" ht="15" x14ac:dyDescent="0.2">
      <c r="A112" s="24" t="s">
        <v>5289</v>
      </c>
      <c r="B112" s="25" t="s">
        <v>3221</v>
      </c>
      <c r="C112" s="8" t="s">
        <v>5978</v>
      </c>
      <c r="D112" s="8" t="s">
        <v>5979</v>
      </c>
      <c r="E112" s="8" t="s">
        <v>938</v>
      </c>
      <c r="F112" s="8" t="s">
        <v>908</v>
      </c>
      <c r="G112" s="49" t="b">
        <v>0</v>
      </c>
      <c r="H112" s="8"/>
      <c r="I112" s="8"/>
      <c r="J112" s="8"/>
      <c r="K112" s="8"/>
      <c r="L112" s="8"/>
      <c r="M112" s="8" t="s">
        <v>6065</v>
      </c>
      <c r="N112" s="8" t="s">
        <v>6066</v>
      </c>
      <c r="O112" s="1"/>
      <c r="P112" s="8" t="s">
        <v>4206</v>
      </c>
      <c r="Q112" s="26">
        <v>43993.388136574074</v>
      </c>
      <c r="R112" s="8" t="s">
        <v>4206</v>
      </c>
      <c r="S112" s="26">
        <v>43992.612615740742</v>
      </c>
      <c r="T112" s="18">
        <v>138</v>
      </c>
    </row>
    <row r="113" spans="1:20" ht="15" x14ac:dyDescent="0.2">
      <c r="A113" s="24" t="s">
        <v>5291</v>
      </c>
      <c r="B113" s="25" t="s">
        <v>3242</v>
      </c>
      <c r="C113" s="8" t="s">
        <v>5980</v>
      </c>
      <c r="D113" s="8" t="s">
        <v>5981</v>
      </c>
      <c r="E113" s="8" t="s">
        <v>5982</v>
      </c>
      <c r="F113" s="8" t="s">
        <v>1152</v>
      </c>
      <c r="G113" s="49" t="b">
        <v>0</v>
      </c>
      <c r="H113" s="8"/>
      <c r="I113" s="8"/>
      <c r="J113" s="8" t="s">
        <v>6626</v>
      </c>
      <c r="K113" s="8"/>
      <c r="L113" s="8"/>
      <c r="M113" s="8" t="s">
        <v>6067</v>
      </c>
      <c r="N113" s="8" t="s">
        <v>5920</v>
      </c>
      <c r="O113" s="1"/>
      <c r="P113" s="8" t="s">
        <v>6483</v>
      </c>
      <c r="Q113" s="26">
        <v>44014.490937499999</v>
      </c>
      <c r="R113" s="8" t="s">
        <v>4206</v>
      </c>
      <c r="S113" s="26">
        <v>43992.614247685182</v>
      </c>
      <c r="T113" s="18">
        <v>139</v>
      </c>
    </row>
    <row r="114" spans="1:20" ht="15" x14ac:dyDescent="0.2">
      <c r="A114" s="24" t="s">
        <v>5293</v>
      </c>
      <c r="B114" s="25" t="s">
        <v>3243</v>
      </c>
      <c r="C114" s="8" t="s">
        <v>5983</v>
      </c>
      <c r="D114" s="8" t="s">
        <v>5984</v>
      </c>
      <c r="E114" s="8" t="s">
        <v>5985</v>
      </c>
      <c r="F114" s="8" t="s">
        <v>1152</v>
      </c>
      <c r="G114" s="49" t="b">
        <v>0</v>
      </c>
      <c r="H114" s="8"/>
      <c r="I114" s="8"/>
      <c r="J114" s="8" t="s">
        <v>6435</v>
      </c>
      <c r="K114" s="8"/>
      <c r="L114" s="8"/>
      <c r="M114" s="8" t="s">
        <v>6068</v>
      </c>
      <c r="N114" s="8" t="s">
        <v>6069</v>
      </c>
      <c r="O114" s="1"/>
      <c r="P114" s="8" t="s">
        <v>4206</v>
      </c>
      <c r="Q114" s="26">
        <v>44005.624340277776</v>
      </c>
      <c r="R114" s="8" t="s">
        <v>4206</v>
      </c>
      <c r="S114" s="26">
        <v>43992.614988425928</v>
      </c>
      <c r="T114" s="18">
        <v>140</v>
      </c>
    </row>
    <row r="115" spans="1:20" ht="15" x14ac:dyDescent="0.2">
      <c r="A115" s="24" t="s">
        <v>5295</v>
      </c>
      <c r="B115" s="25" t="s">
        <v>3244</v>
      </c>
      <c r="C115" s="8" t="s">
        <v>5986</v>
      </c>
      <c r="D115" s="8" t="s">
        <v>5987</v>
      </c>
      <c r="E115" s="8" t="s">
        <v>5936</v>
      </c>
      <c r="F115" s="8" t="s">
        <v>908</v>
      </c>
      <c r="G115" s="49" t="b">
        <v>0</v>
      </c>
      <c r="H115" s="8"/>
      <c r="I115" s="8"/>
      <c r="J115" s="8"/>
      <c r="K115" s="8"/>
      <c r="L115" s="8"/>
      <c r="M115" s="8" t="s">
        <v>6070</v>
      </c>
      <c r="N115" s="8" t="s">
        <v>5920</v>
      </c>
      <c r="O115" s="1"/>
      <c r="P115" s="8" t="s">
        <v>4206</v>
      </c>
      <c r="Q115" s="26">
        <v>43993.388136574074</v>
      </c>
      <c r="R115" s="8" t="s">
        <v>4206</v>
      </c>
      <c r="S115" s="26">
        <v>43992.615486111114</v>
      </c>
      <c r="T115" s="18">
        <v>141</v>
      </c>
    </row>
    <row r="116" spans="1:20" ht="15" x14ac:dyDescent="0.2">
      <c r="A116" s="24" t="s">
        <v>5297</v>
      </c>
      <c r="B116" s="25" t="s">
        <v>3245</v>
      </c>
      <c r="C116" s="8" t="s">
        <v>5988</v>
      </c>
      <c r="D116" s="8" t="s">
        <v>5989</v>
      </c>
      <c r="E116" s="8" t="s">
        <v>5990</v>
      </c>
      <c r="F116" s="8" t="s">
        <v>908</v>
      </c>
      <c r="G116" s="49" t="b">
        <v>0</v>
      </c>
      <c r="H116" s="8"/>
      <c r="I116" s="8"/>
      <c r="J116" s="8" t="s">
        <v>6628</v>
      </c>
      <c r="K116" s="8"/>
      <c r="L116" s="8" t="s">
        <v>6627</v>
      </c>
      <c r="M116" s="8" t="s">
        <v>6071</v>
      </c>
      <c r="N116" s="8" t="s">
        <v>5920</v>
      </c>
      <c r="O116" s="1"/>
      <c r="P116" s="8" t="s">
        <v>1744</v>
      </c>
      <c r="Q116" s="26">
        <v>44011.919074074074</v>
      </c>
      <c r="R116" s="8" t="s">
        <v>4206</v>
      </c>
      <c r="S116" s="26">
        <v>43992.616168981483</v>
      </c>
      <c r="T116" s="18">
        <v>142</v>
      </c>
    </row>
    <row r="117" spans="1:20" ht="15" x14ac:dyDescent="0.2">
      <c r="A117" s="24" t="s">
        <v>5299</v>
      </c>
      <c r="B117" s="25" t="s">
        <v>3246</v>
      </c>
      <c r="C117" s="8" t="s">
        <v>5986</v>
      </c>
      <c r="D117" s="8" t="s">
        <v>5987</v>
      </c>
      <c r="E117" s="8" t="s">
        <v>5936</v>
      </c>
      <c r="F117" s="8" t="s">
        <v>908</v>
      </c>
      <c r="G117" s="49" t="b">
        <v>0</v>
      </c>
      <c r="H117" s="8"/>
      <c r="I117" s="8"/>
      <c r="J117" s="8"/>
      <c r="K117" s="8"/>
      <c r="L117" s="8"/>
      <c r="M117" s="8" t="s">
        <v>6070</v>
      </c>
      <c r="N117" s="8" t="s">
        <v>5920</v>
      </c>
      <c r="O117" s="1"/>
      <c r="P117" s="8" t="s">
        <v>4206</v>
      </c>
      <c r="Q117" s="26">
        <v>43993.388136574074</v>
      </c>
      <c r="R117" s="8" t="s">
        <v>4206</v>
      </c>
      <c r="S117" s="26">
        <v>43992.616759259261</v>
      </c>
      <c r="T117" s="18">
        <v>143</v>
      </c>
    </row>
    <row r="118" spans="1:20" ht="15" x14ac:dyDescent="0.2">
      <c r="A118" s="24" t="s">
        <v>5301</v>
      </c>
      <c r="B118" s="25" t="s">
        <v>3247</v>
      </c>
      <c r="C118" s="8" t="s">
        <v>5991</v>
      </c>
      <c r="D118" s="8" t="s">
        <v>5992</v>
      </c>
      <c r="E118" s="8" t="s">
        <v>5993</v>
      </c>
      <c r="F118" s="8" t="s">
        <v>1152</v>
      </c>
      <c r="G118" s="49" t="b">
        <v>0</v>
      </c>
      <c r="H118" s="8"/>
      <c r="I118" s="8"/>
      <c r="J118" s="8" t="s">
        <v>6629</v>
      </c>
      <c r="K118" s="8" t="s">
        <v>6630</v>
      </c>
      <c r="L118" s="8"/>
      <c r="M118" s="8" t="s">
        <v>6072</v>
      </c>
      <c r="N118" s="8" t="s">
        <v>5920</v>
      </c>
      <c r="O118" s="1"/>
      <c r="P118" s="8" t="s">
        <v>1744</v>
      </c>
      <c r="Q118" s="26">
        <v>44011.925057870372</v>
      </c>
      <c r="R118" s="8" t="s">
        <v>4206</v>
      </c>
      <c r="S118" s="26">
        <v>43992.617337962962</v>
      </c>
      <c r="T118" s="18">
        <v>144</v>
      </c>
    </row>
    <row r="119" spans="1:20" ht="15" x14ac:dyDescent="0.2">
      <c r="A119" s="24" t="s">
        <v>5303</v>
      </c>
      <c r="B119" s="25" t="s">
        <v>3248</v>
      </c>
      <c r="C119" s="8" t="s">
        <v>5994</v>
      </c>
      <c r="D119" s="8" t="s">
        <v>5995</v>
      </c>
      <c r="E119" s="8" t="s">
        <v>5996</v>
      </c>
      <c r="F119" s="8" t="s">
        <v>908</v>
      </c>
      <c r="G119" s="49" t="b">
        <v>0</v>
      </c>
      <c r="H119" s="8"/>
      <c r="I119" s="8"/>
      <c r="J119" s="8" t="s">
        <v>6467</v>
      </c>
      <c r="K119" s="8"/>
      <c r="L119" s="8"/>
      <c r="M119" s="8" t="s">
        <v>6073</v>
      </c>
      <c r="N119" s="8" t="s">
        <v>6074</v>
      </c>
      <c r="O119" s="1"/>
      <c r="P119" s="8" t="s">
        <v>5648</v>
      </c>
      <c r="Q119" s="26">
        <v>44007.830810185187</v>
      </c>
      <c r="R119" s="8" t="s">
        <v>4206</v>
      </c>
      <c r="S119" s="26">
        <v>43992.61824074074</v>
      </c>
      <c r="T119" s="18">
        <v>145</v>
      </c>
    </row>
    <row r="120" spans="1:20" ht="15" x14ac:dyDescent="0.2">
      <c r="A120" s="24" t="s">
        <v>5305</v>
      </c>
      <c r="B120" s="25" t="s">
        <v>3249</v>
      </c>
      <c r="C120" s="8" t="s">
        <v>5997</v>
      </c>
      <c r="D120" s="8" t="s">
        <v>5998</v>
      </c>
      <c r="E120" s="8" t="s">
        <v>5999</v>
      </c>
      <c r="F120" s="8" t="s">
        <v>1152</v>
      </c>
      <c r="G120" s="49" t="b">
        <v>0</v>
      </c>
      <c r="H120" s="8"/>
      <c r="I120" s="8"/>
      <c r="J120" s="8" t="s">
        <v>6631</v>
      </c>
      <c r="K120" s="8" t="s">
        <v>6632</v>
      </c>
      <c r="L120" s="8"/>
      <c r="M120" s="8" t="s">
        <v>6075</v>
      </c>
      <c r="N120" s="8" t="s">
        <v>5920</v>
      </c>
      <c r="O120" s="1"/>
      <c r="P120" s="8" t="s">
        <v>1744</v>
      </c>
      <c r="Q120" s="26">
        <v>44011.940474537034</v>
      </c>
      <c r="R120" s="8" t="s">
        <v>4206</v>
      </c>
      <c r="S120" s="26">
        <v>43992.618854166663</v>
      </c>
      <c r="T120" s="18">
        <v>146</v>
      </c>
    </row>
    <row r="121" spans="1:20" ht="15" x14ac:dyDescent="0.2">
      <c r="A121" s="24" t="s">
        <v>5307</v>
      </c>
      <c r="B121" s="25" t="s">
        <v>3250</v>
      </c>
      <c r="C121" s="8" t="s">
        <v>6000</v>
      </c>
      <c r="D121" s="8" t="s">
        <v>942</v>
      </c>
      <c r="E121" s="8" t="s">
        <v>6001</v>
      </c>
      <c r="F121" s="8" t="s">
        <v>908</v>
      </c>
      <c r="G121" s="49" t="b">
        <v>0</v>
      </c>
      <c r="H121" s="8"/>
      <c r="I121" s="8"/>
      <c r="J121" s="8"/>
      <c r="K121" s="8"/>
      <c r="L121" s="8"/>
      <c r="M121" s="8" t="s">
        <v>6076</v>
      </c>
      <c r="N121" s="8" t="s">
        <v>5920</v>
      </c>
      <c r="O121" s="1"/>
      <c r="P121" s="8" t="s">
        <v>4206</v>
      </c>
      <c r="Q121" s="26">
        <v>43993.388136574074</v>
      </c>
      <c r="R121" s="8" t="s">
        <v>4206</v>
      </c>
      <c r="S121" s="26">
        <v>43992.637152777781</v>
      </c>
      <c r="T121" s="18">
        <v>147</v>
      </c>
    </row>
    <row r="122" spans="1:20" ht="15" x14ac:dyDescent="0.2">
      <c r="A122" s="24" t="s">
        <v>5309</v>
      </c>
      <c r="B122" s="25" t="s">
        <v>3250</v>
      </c>
      <c r="C122" s="8" t="s">
        <v>6002</v>
      </c>
      <c r="D122" s="8" t="s">
        <v>6633</v>
      </c>
      <c r="E122" s="8" t="s">
        <v>6003</v>
      </c>
      <c r="F122" s="8" t="s">
        <v>908</v>
      </c>
      <c r="G122" s="49" t="b">
        <v>0</v>
      </c>
      <c r="H122" s="8"/>
      <c r="I122" s="8"/>
      <c r="J122" s="8" t="s">
        <v>6635</v>
      </c>
      <c r="K122" s="8"/>
      <c r="L122" s="8" t="s">
        <v>6634</v>
      </c>
      <c r="M122" s="8" t="s">
        <v>6077</v>
      </c>
      <c r="N122" s="8" t="s">
        <v>6078</v>
      </c>
      <c r="O122" s="1"/>
      <c r="P122" s="8" t="s">
        <v>6483</v>
      </c>
      <c r="Q122" s="26">
        <v>44018.41207175926</v>
      </c>
      <c r="R122" s="8" t="s">
        <v>4206</v>
      </c>
      <c r="S122" s="26">
        <v>43992.637870370374</v>
      </c>
      <c r="T122" s="18">
        <v>148</v>
      </c>
    </row>
    <row r="123" spans="1:20" ht="15" x14ac:dyDescent="0.2">
      <c r="A123" s="24" t="s">
        <v>5311</v>
      </c>
      <c r="B123" s="25" t="s">
        <v>3252</v>
      </c>
      <c r="C123" s="8" t="s">
        <v>6004</v>
      </c>
      <c r="D123" s="8" t="s">
        <v>6005</v>
      </c>
      <c r="E123" s="8" t="s">
        <v>6001</v>
      </c>
      <c r="F123" s="8" t="s">
        <v>1152</v>
      </c>
      <c r="G123" s="49" t="b">
        <v>0</v>
      </c>
      <c r="H123" s="8"/>
      <c r="I123" s="8"/>
      <c r="J123" s="8"/>
      <c r="K123" s="8"/>
      <c r="L123" s="8"/>
      <c r="M123" s="8" t="s">
        <v>6076</v>
      </c>
      <c r="N123" s="8" t="s">
        <v>5920</v>
      </c>
      <c r="O123" s="1"/>
      <c r="P123" s="8" t="s">
        <v>4206</v>
      </c>
      <c r="Q123" s="26">
        <v>43993.388136574074</v>
      </c>
      <c r="R123" s="8" t="s">
        <v>4206</v>
      </c>
      <c r="S123" s="26">
        <v>43992.639085648145</v>
      </c>
      <c r="T123" s="18">
        <v>149</v>
      </c>
    </row>
    <row r="124" spans="1:20" ht="15" x14ac:dyDescent="0.2">
      <c r="A124" s="24" t="s">
        <v>5313</v>
      </c>
      <c r="B124" s="25" t="s">
        <v>3253</v>
      </c>
      <c r="C124" s="8" t="s">
        <v>6006</v>
      </c>
      <c r="D124" s="8" t="s">
        <v>6007</v>
      </c>
      <c r="E124" s="8" t="s">
        <v>6008</v>
      </c>
      <c r="F124" s="8" t="s">
        <v>1152</v>
      </c>
      <c r="G124" s="49" t="b">
        <v>0</v>
      </c>
      <c r="H124" s="8"/>
      <c r="I124" s="8"/>
      <c r="J124" s="8"/>
      <c r="K124" s="8"/>
      <c r="L124" s="8"/>
      <c r="M124" s="8" t="s">
        <v>6079</v>
      </c>
      <c r="N124" s="8" t="s">
        <v>5920</v>
      </c>
      <c r="O124" s="1"/>
      <c r="P124" s="8" t="s">
        <v>4206</v>
      </c>
      <c r="Q124" s="26">
        <v>43993.388136574074</v>
      </c>
      <c r="R124" s="8" t="s">
        <v>4206</v>
      </c>
      <c r="S124" s="26">
        <v>43992.639641203707</v>
      </c>
      <c r="T124" s="18">
        <v>150</v>
      </c>
    </row>
    <row r="125" spans="1:20" ht="15" x14ac:dyDescent="0.2">
      <c r="A125" s="24" t="s">
        <v>5315</v>
      </c>
      <c r="B125" s="25" t="s">
        <v>3254</v>
      </c>
      <c r="C125" s="8" t="s">
        <v>6009</v>
      </c>
      <c r="D125" s="8" t="s">
        <v>6010</v>
      </c>
      <c r="E125" s="8" t="s">
        <v>6011</v>
      </c>
      <c r="F125" s="8" t="s">
        <v>908</v>
      </c>
      <c r="G125" s="49" t="b">
        <v>0</v>
      </c>
      <c r="H125" s="8"/>
      <c r="I125" s="8"/>
      <c r="J125" s="8"/>
      <c r="K125" s="8"/>
      <c r="L125" s="8"/>
      <c r="M125" s="8" t="s">
        <v>6080</v>
      </c>
      <c r="N125" s="8" t="s">
        <v>6081</v>
      </c>
      <c r="O125" s="1"/>
      <c r="P125" s="8" t="s">
        <v>4206</v>
      </c>
      <c r="Q125" s="26">
        <v>43993.388136574074</v>
      </c>
      <c r="R125" s="8" t="s">
        <v>4206</v>
      </c>
      <c r="S125" s="26">
        <v>43992.640185185184</v>
      </c>
      <c r="T125" s="18">
        <v>151</v>
      </c>
    </row>
    <row r="126" spans="1:20" ht="15" x14ac:dyDescent="0.2">
      <c r="A126" s="24" t="s">
        <v>5317</v>
      </c>
      <c r="B126" s="25" t="s">
        <v>3260</v>
      </c>
      <c r="C126" s="8" t="s">
        <v>6012</v>
      </c>
      <c r="D126" s="8" t="s">
        <v>5967</v>
      </c>
      <c r="E126" s="8" t="s">
        <v>5996</v>
      </c>
      <c r="F126" s="8" t="s">
        <v>908</v>
      </c>
      <c r="G126" s="49" t="b">
        <v>0</v>
      </c>
      <c r="H126" s="8"/>
      <c r="I126" s="8"/>
      <c r="J126" s="8"/>
      <c r="K126" s="8"/>
      <c r="L126" s="8"/>
      <c r="M126" s="8" t="s">
        <v>6082</v>
      </c>
      <c r="N126" s="8" t="s">
        <v>5920</v>
      </c>
      <c r="O126" s="1"/>
      <c r="P126" s="8" t="s">
        <v>4206</v>
      </c>
      <c r="Q126" s="26">
        <v>43993.388136574074</v>
      </c>
      <c r="R126" s="8" t="s">
        <v>4206</v>
      </c>
      <c r="S126" s="26">
        <v>43992.640659722223</v>
      </c>
      <c r="T126" s="18">
        <v>152</v>
      </c>
    </row>
    <row r="127" spans="1:20" ht="15" x14ac:dyDescent="0.2">
      <c r="A127" s="24" t="s">
        <v>5255</v>
      </c>
      <c r="B127" s="25" t="s">
        <v>605</v>
      </c>
      <c r="C127" s="8" t="s">
        <v>921</v>
      </c>
      <c r="D127" s="8" t="s">
        <v>922</v>
      </c>
      <c r="E127" s="8" t="s">
        <v>923</v>
      </c>
      <c r="F127" s="8" t="s">
        <v>908</v>
      </c>
      <c r="G127" s="49" t="b">
        <v>0</v>
      </c>
      <c r="H127" s="8"/>
      <c r="I127" s="8"/>
      <c r="J127" s="8"/>
      <c r="K127" s="8"/>
      <c r="L127" s="8"/>
      <c r="M127" s="8" t="s">
        <v>6059</v>
      </c>
      <c r="N127" s="8" t="s">
        <v>5920</v>
      </c>
      <c r="O127" s="1"/>
      <c r="P127" s="8" t="s">
        <v>4206</v>
      </c>
      <c r="Q127" s="26">
        <v>43993.388136574074</v>
      </c>
      <c r="R127" s="8" t="s">
        <v>4207</v>
      </c>
      <c r="S127" s="26">
        <v>43699.633750000001</v>
      </c>
      <c r="T127" s="18">
        <v>12</v>
      </c>
    </row>
    <row r="128" spans="1:20" ht="15" x14ac:dyDescent="0.2">
      <c r="A128" s="24" t="s">
        <v>5320</v>
      </c>
      <c r="B128" s="25" t="s">
        <v>610</v>
      </c>
      <c r="C128" s="8" t="s">
        <v>941</v>
      </c>
      <c r="D128" s="8" t="s">
        <v>942</v>
      </c>
      <c r="E128" s="8" t="s">
        <v>943</v>
      </c>
      <c r="F128" s="8" t="s">
        <v>908</v>
      </c>
      <c r="G128" s="49" t="b">
        <v>0</v>
      </c>
      <c r="H128" s="8"/>
      <c r="I128" s="8"/>
      <c r="J128" s="8"/>
      <c r="K128" s="8"/>
      <c r="L128" s="8"/>
      <c r="M128" s="8" t="s">
        <v>6083</v>
      </c>
      <c r="N128" s="8" t="s">
        <v>6084</v>
      </c>
      <c r="O128" s="1"/>
      <c r="P128" s="8" t="s">
        <v>4206</v>
      </c>
      <c r="Q128" s="26">
        <v>43993.388136574074</v>
      </c>
      <c r="R128" s="8" t="s">
        <v>4206</v>
      </c>
      <c r="S128" s="26">
        <v>43992.641400462962</v>
      </c>
      <c r="T128" s="18">
        <v>153</v>
      </c>
    </row>
    <row r="129" spans="1:20" ht="15" x14ac:dyDescent="0.2">
      <c r="A129" s="24" t="s">
        <v>5322</v>
      </c>
      <c r="B129" s="25" t="s">
        <v>3271</v>
      </c>
      <c r="C129" s="8" t="s">
        <v>6013</v>
      </c>
      <c r="D129" s="8" t="s">
        <v>6014</v>
      </c>
      <c r="E129" s="8" t="s">
        <v>6015</v>
      </c>
      <c r="F129" s="8" t="s">
        <v>1152</v>
      </c>
      <c r="G129" s="49" t="b">
        <v>0</v>
      </c>
      <c r="H129" s="8"/>
      <c r="I129" s="8"/>
      <c r="J129" s="8" t="s">
        <v>6637</v>
      </c>
      <c r="K129" s="8"/>
      <c r="L129" s="8" t="s">
        <v>6636</v>
      </c>
      <c r="M129" s="8" t="s">
        <v>6085</v>
      </c>
      <c r="N129" s="8" t="s">
        <v>6086</v>
      </c>
      <c r="O129" s="1"/>
      <c r="P129" s="8" t="s">
        <v>1744</v>
      </c>
      <c r="Q129" s="26">
        <v>44012.664768518516</v>
      </c>
      <c r="R129" s="8" t="s">
        <v>4206</v>
      </c>
      <c r="S129" s="26">
        <v>43992.642060185186</v>
      </c>
      <c r="T129" s="18">
        <v>154</v>
      </c>
    </row>
    <row r="130" spans="1:20" ht="15" x14ac:dyDescent="0.2">
      <c r="A130" s="24" t="s">
        <v>5324</v>
      </c>
      <c r="B130" s="25" t="s">
        <v>3272</v>
      </c>
      <c r="C130" s="8" t="s">
        <v>6087</v>
      </c>
      <c r="D130" s="8" t="s">
        <v>6088</v>
      </c>
      <c r="E130" s="8" t="s">
        <v>6089</v>
      </c>
      <c r="F130" s="8" t="s">
        <v>908</v>
      </c>
      <c r="G130" s="49" t="b">
        <v>0</v>
      </c>
      <c r="H130" s="8"/>
      <c r="I130" s="8"/>
      <c r="J130" s="8" t="s">
        <v>6639</v>
      </c>
      <c r="K130" s="8"/>
      <c r="L130" s="8" t="s">
        <v>6638</v>
      </c>
      <c r="M130" s="8" t="s">
        <v>6090</v>
      </c>
      <c r="N130" s="8" t="s">
        <v>5920</v>
      </c>
      <c r="O130" s="1"/>
      <c r="P130" s="8" t="s">
        <v>1744</v>
      </c>
      <c r="Q130" s="26">
        <v>44012.666701388887</v>
      </c>
      <c r="R130" s="8" t="s">
        <v>4206</v>
      </c>
      <c r="S130" s="26">
        <v>43993.338912037034</v>
      </c>
      <c r="T130" s="18">
        <v>155</v>
      </c>
    </row>
    <row r="131" spans="1:20" ht="15" x14ac:dyDescent="0.2">
      <c r="A131" s="24" t="s">
        <v>5326</v>
      </c>
      <c r="B131" s="25" t="s">
        <v>3273</v>
      </c>
      <c r="C131" s="8" t="s">
        <v>6091</v>
      </c>
      <c r="D131" s="8" t="s">
        <v>1042</v>
      </c>
      <c r="E131" s="8" t="s">
        <v>6092</v>
      </c>
      <c r="F131" s="8" t="s">
        <v>908</v>
      </c>
      <c r="G131" s="49" t="b">
        <v>0</v>
      </c>
      <c r="H131" s="8"/>
      <c r="I131" s="8"/>
      <c r="J131" s="8"/>
      <c r="K131" s="8"/>
      <c r="L131" s="8"/>
      <c r="M131" s="8" t="s">
        <v>6093</v>
      </c>
      <c r="N131" s="8" t="s">
        <v>5920</v>
      </c>
      <c r="O131" s="1"/>
      <c r="P131" s="8" t="s">
        <v>4206</v>
      </c>
      <c r="Q131" s="26">
        <v>43993.388136574074</v>
      </c>
      <c r="R131" s="8" t="s">
        <v>4206</v>
      </c>
      <c r="S131" s="26">
        <v>43993.342453703706</v>
      </c>
      <c r="T131" s="18">
        <v>156</v>
      </c>
    </row>
    <row r="132" spans="1:20" ht="15" x14ac:dyDescent="0.2">
      <c r="A132" s="24" t="s">
        <v>5328</v>
      </c>
      <c r="B132" s="25" t="s">
        <v>3274</v>
      </c>
      <c r="C132" s="8" t="s">
        <v>6094</v>
      </c>
      <c r="D132" s="8" t="s">
        <v>6095</v>
      </c>
      <c r="E132" s="8" t="s">
        <v>6096</v>
      </c>
      <c r="F132" s="8" t="s">
        <v>908</v>
      </c>
      <c r="G132" s="49" t="b">
        <v>0</v>
      </c>
      <c r="H132" s="8"/>
      <c r="I132" s="8"/>
      <c r="J132" s="8" t="s">
        <v>6475</v>
      </c>
      <c r="K132" s="8"/>
      <c r="L132" s="8"/>
      <c r="M132" s="8" t="s">
        <v>6097</v>
      </c>
      <c r="N132" s="8" t="s">
        <v>6098</v>
      </c>
      <c r="O132" s="1"/>
      <c r="P132" s="8" t="s">
        <v>5648</v>
      </c>
      <c r="Q132" s="26">
        <v>44008.374560185184</v>
      </c>
      <c r="R132" s="8" t="s">
        <v>4206</v>
      </c>
      <c r="S132" s="26">
        <v>43993.342986111114</v>
      </c>
      <c r="T132" s="18">
        <v>157</v>
      </c>
    </row>
    <row r="133" spans="1:20" ht="15" x14ac:dyDescent="0.2">
      <c r="A133" s="24" t="s">
        <v>5330</v>
      </c>
      <c r="B133" s="25" t="s">
        <v>3274</v>
      </c>
      <c r="C133" s="8" t="s">
        <v>6094</v>
      </c>
      <c r="D133" s="8" t="s">
        <v>6095</v>
      </c>
      <c r="E133" s="8" t="s">
        <v>6096</v>
      </c>
      <c r="F133" s="8" t="s">
        <v>908</v>
      </c>
      <c r="G133" s="49" t="b">
        <v>0</v>
      </c>
      <c r="H133" s="8"/>
      <c r="I133" s="8"/>
      <c r="J133" s="8" t="s">
        <v>6475</v>
      </c>
      <c r="K133" s="8"/>
      <c r="L133" s="8"/>
      <c r="M133" s="8" t="s">
        <v>6097</v>
      </c>
      <c r="N133" s="8" t="s">
        <v>6098</v>
      </c>
      <c r="O133" s="1"/>
      <c r="P133" s="8" t="s">
        <v>5648</v>
      </c>
      <c r="Q133" s="26">
        <v>44008.374895833331</v>
      </c>
      <c r="R133" s="8" t="s">
        <v>4206</v>
      </c>
      <c r="S133" s="26">
        <v>43993.343622685185</v>
      </c>
      <c r="T133" s="18">
        <v>158</v>
      </c>
    </row>
    <row r="134" spans="1:20" ht="15" x14ac:dyDescent="0.2">
      <c r="A134" s="24" t="s">
        <v>5332</v>
      </c>
      <c r="B134" s="25" t="s">
        <v>3276</v>
      </c>
      <c r="C134" s="8" t="s">
        <v>6099</v>
      </c>
      <c r="D134" s="8" t="s">
        <v>6100</v>
      </c>
      <c r="E134" s="8" t="s">
        <v>6101</v>
      </c>
      <c r="F134" s="8" t="s">
        <v>908</v>
      </c>
      <c r="G134" s="49" t="b">
        <v>0</v>
      </c>
      <c r="H134" s="8"/>
      <c r="I134" s="8"/>
      <c r="J134" s="8" t="s">
        <v>6476</v>
      </c>
      <c r="K134" s="8"/>
      <c r="L134" s="8"/>
      <c r="M134" s="8" t="s">
        <v>6102</v>
      </c>
      <c r="N134" s="8" t="s">
        <v>5920</v>
      </c>
      <c r="O134" s="1"/>
      <c r="P134" s="8" t="s">
        <v>5648</v>
      </c>
      <c r="Q134" s="26">
        <v>44008.376180555555</v>
      </c>
      <c r="R134" s="8" t="s">
        <v>4206</v>
      </c>
      <c r="S134" s="26">
        <v>43993.347696759258</v>
      </c>
      <c r="T134" s="18">
        <v>159</v>
      </c>
    </row>
    <row r="135" spans="1:20" ht="15" x14ac:dyDescent="0.2">
      <c r="A135" s="24" t="s">
        <v>5334</v>
      </c>
      <c r="B135" s="25" t="s">
        <v>3277</v>
      </c>
      <c r="C135" s="8" t="s">
        <v>6103</v>
      </c>
      <c r="D135" s="8" t="s">
        <v>6104</v>
      </c>
      <c r="E135" s="8" t="s">
        <v>6105</v>
      </c>
      <c r="F135" s="8" t="s">
        <v>908</v>
      </c>
      <c r="G135" s="49" t="b">
        <v>0</v>
      </c>
      <c r="H135" s="8"/>
      <c r="I135" s="8"/>
      <c r="J135" s="8" t="s">
        <v>6436</v>
      </c>
      <c r="K135" s="8"/>
      <c r="L135" s="8"/>
      <c r="M135" s="8" t="s">
        <v>6106</v>
      </c>
      <c r="N135" s="8" t="s">
        <v>5920</v>
      </c>
      <c r="O135" s="1"/>
      <c r="P135" s="8" t="s">
        <v>5648</v>
      </c>
      <c r="Q135" s="26">
        <v>44008.377395833333</v>
      </c>
      <c r="R135" s="8" t="s">
        <v>4206</v>
      </c>
      <c r="S135" s="26">
        <v>43993.352048611108</v>
      </c>
      <c r="T135" s="18">
        <v>160</v>
      </c>
    </row>
    <row r="136" spans="1:20" ht="38.25" x14ac:dyDescent="0.2">
      <c r="A136" s="24" t="s">
        <v>5336</v>
      </c>
      <c r="B136" s="25" t="s">
        <v>3281</v>
      </c>
      <c r="C136" s="8" t="s">
        <v>6107</v>
      </c>
      <c r="D136" s="8" t="s">
        <v>6108</v>
      </c>
      <c r="E136" s="8" t="s">
        <v>933</v>
      </c>
      <c r="F136" s="8" t="s">
        <v>908</v>
      </c>
      <c r="G136" s="49" t="b">
        <v>0</v>
      </c>
      <c r="H136" s="8"/>
      <c r="I136" s="8"/>
      <c r="J136" s="8" t="s">
        <v>6640</v>
      </c>
      <c r="K136" s="8" t="s">
        <v>6641</v>
      </c>
      <c r="L136" s="8"/>
      <c r="M136" s="8" t="s">
        <v>6109</v>
      </c>
      <c r="N136" s="8" t="s">
        <v>5920</v>
      </c>
      <c r="O136" s="1" t="s">
        <v>6659</v>
      </c>
      <c r="P136" s="8" t="s">
        <v>1744</v>
      </c>
      <c r="Q136" s="26">
        <v>44012.325474537036</v>
      </c>
      <c r="R136" s="8" t="s">
        <v>4206</v>
      </c>
      <c r="S136" s="26">
        <v>43993.352673611109</v>
      </c>
      <c r="T136" s="18">
        <v>161</v>
      </c>
    </row>
    <row r="137" spans="1:20" ht="15" x14ac:dyDescent="0.2">
      <c r="A137" s="24" t="s">
        <v>5338</v>
      </c>
      <c r="B137" s="25" t="s">
        <v>3300</v>
      </c>
      <c r="C137" s="8" t="s">
        <v>6110</v>
      </c>
      <c r="D137" s="8" t="s">
        <v>6111</v>
      </c>
      <c r="E137" s="8" t="s">
        <v>6112</v>
      </c>
      <c r="F137" s="8" t="s">
        <v>908</v>
      </c>
      <c r="G137" s="49" t="b">
        <v>0</v>
      </c>
      <c r="H137" s="8"/>
      <c r="I137" s="8"/>
      <c r="J137" s="8" t="s">
        <v>6280</v>
      </c>
      <c r="K137" s="8"/>
      <c r="L137" s="8"/>
      <c r="M137" s="8" t="s">
        <v>6113</v>
      </c>
      <c r="N137" s="8" t="s">
        <v>5920</v>
      </c>
      <c r="O137" s="1"/>
      <c r="P137" s="8" t="s">
        <v>1744</v>
      </c>
      <c r="Q137" s="26">
        <v>43998.701932870368</v>
      </c>
      <c r="R137" s="8" t="s">
        <v>4206</v>
      </c>
      <c r="S137" s="26">
        <v>43993.353472222225</v>
      </c>
      <c r="T137" s="18">
        <v>162</v>
      </c>
    </row>
    <row r="138" spans="1:20" ht="15" x14ac:dyDescent="0.2">
      <c r="A138" s="24" t="s">
        <v>5340</v>
      </c>
      <c r="B138" s="25" t="s">
        <v>3303</v>
      </c>
      <c r="C138" s="8" t="s">
        <v>6110</v>
      </c>
      <c r="D138" s="8" t="s">
        <v>6111</v>
      </c>
      <c r="E138" s="8" t="s">
        <v>6112</v>
      </c>
      <c r="F138" s="8" t="s">
        <v>908</v>
      </c>
      <c r="G138" s="49" t="b">
        <v>0</v>
      </c>
      <c r="H138" s="8"/>
      <c r="I138" s="8"/>
      <c r="J138" s="8" t="s">
        <v>6280</v>
      </c>
      <c r="K138" s="8"/>
      <c r="L138" s="8"/>
      <c r="M138" s="8" t="s">
        <v>6113</v>
      </c>
      <c r="N138" s="8" t="s">
        <v>5920</v>
      </c>
      <c r="O138" s="1"/>
      <c r="P138" s="8" t="s">
        <v>1744</v>
      </c>
      <c r="Q138" s="26">
        <v>44001.459803240738</v>
      </c>
      <c r="R138" s="8" t="s">
        <v>4206</v>
      </c>
      <c r="S138" s="26">
        <v>43993.354155092595</v>
      </c>
      <c r="T138" s="18">
        <v>163</v>
      </c>
    </row>
    <row r="139" spans="1:20" ht="15" x14ac:dyDescent="0.2">
      <c r="A139" s="24" t="s">
        <v>5342</v>
      </c>
      <c r="B139" s="25" t="s">
        <v>3330</v>
      </c>
      <c r="C139" s="8" t="s">
        <v>6114</v>
      </c>
      <c r="D139" s="8" t="s">
        <v>6115</v>
      </c>
      <c r="E139" s="8" t="s">
        <v>6116</v>
      </c>
      <c r="F139" s="8" t="s">
        <v>1152</v>
      </c>
      <c r="G139" s="49" t="b">
        <v>0</v>
      </c>
      <c r="H139" s="8"/>
      <c r="I139" s="8"/>
      <c r="J139" s="8" t="s">
        <v>6643</v>
      </c>
      <c r="K139" s="8"/>
      <c r="L139" s="8" t="s">
        <v>6642</v>
      </c>
      <c r="M139" s="8" t="s">
        <v>6117</v>
      </c>
      <c r="N139" s="8" t="s">
        <v>5920</v>
      </c>
      <c r="O139" s="1"/>
      <c r="P139" s="8" t="s">
        <v>5648</v>
      </c>
      <c r="Q139" s="26">
        <v>44012.822488425925</v>
      </c>
      <c r="R139" s="8" t="s">
        <v>4206</v>
      </c>
      <c r="S139" s="26">
        <v>43993.354791666665</v>
      </c>
      <c r="T139" s="18">
        <v>164</v>
      </c>
    </row>
    <row r="140" spans="1:20" ht="15" x14ac:dyDescent="0.2">
      <c r="A140" s="24" t="s">
        <v>5344</v>
      </c>
      <c r="B140" s="25" t="s">
        <v>3331</v>
      </c>
      <c r="C140" s="8" t="s">
        <v>941</v>
      </c>
      <c r="D140" s="8" t="s">
        <v>942</v>
      </c>
      <c r="E140" s="8" t="s">
        <v>943</v>
      </c>
      <c r="F140" s="8" t="s">
        <v>908</v>
      </c>
      <c r="G140" s="49" t="b">
        <v>0</v>
      </c>
      <c r="H140" s="8"/>
      <c r="I140" s="8"/>
      <c r="J140" s="8"/>
      <c r="K140" s="8"/>
      <c r="L140" s="8"/>
      <c r="M140" s="8" t="s">
        <v>6083</v>
      </c>
      <c r="N140" s="8" t="s">
        <v>6084</v>
      </c>
      <c r="O140" s="1"/>
      <c r="P140" s="8" t="s">
        <v>4206</v>
      </c>
      <c r="Q140" s="26">
        <v>43993.388136574074</v>
      </c>
      <c r="R140" s="8" t="s">
        <v>4206</v>
      </c>
      <c r="S140" s="26">
        <v>43993.355416666665</v>
      </c>
      <c r="T140" s="18">
        <v>165</v>
      </c>
    </row>
    <row r="141" spans="1:20" ht="15" x14ac:dyDescent="0.2">
      <c r="A141" s="24" t="s">
        <v>5346</v>
      </c>
      <c r="B141" s="25" t="s">
        <v>3332</v>
      </c>
      <c r="C141" s="8" t="s">
        <v>6118</v>
      </c>
      <c r="D141" s="8" t="s">
        <v>942</v>
      </c>
      <c r="E141" s="8" t="s">
        <v>6119</v>
      </c>
      <c r="F141" s="8" t="s">
        <v>908</v>
      </c>
      <c r="G141" s="49" t="b">
        <v>0</v>
      </c>
      <c r="H141" s="8"/>
      <c r="I141" s="8"/>
      <c r="J141" s="8" t="s">
        <v>6644</v>
      </c>
      <c r="K141" s="8"/>
      <c r="L141" s="8"/>
      <c r="M141" s="8" t="s">
        <v>6120</v>
      </c>
      <c r="N141" s="8" t="s">
        <v>5920</v>
      </c>
      <c r="O141" s="1"/>
      <c r="P141" s="8" t="s">
        <v>5648</v>
      </c>
      <c r="Q141" s="26">
        <v>44008.386863425927</v>
      </c>
      <c r="R141" s="8" t="s">
        <v>4206</v>
      </c>
      <c r="S141" s="26">
        <v>43993.355995370373</v>
      </c>
      <c r="T141" s="18">
        <v>166</v>
      </c>
    </row>
    <row r="142" spans="1:20" ht="15" x14ac:dyDescent="0.2">
      <c r="A142" s="24" t="s">
        <v>5348</v>
      </c>
      <c r="B142" s="25" t="s">
        <v>3333</v>
      </c>
      <c r="C142" s="8" t="s">
        <v>6121</v>
      </c>
      <c r="D142" s="8" t="s">
        <v>6122</v>
      </c>
      <c r="E142" s="8" t="s">
        <v>6119</v>
      </c>
      <c r="F142" s="8" t="s">
        <v>908</v>
      </c>
      <c r="G142" s="49" t="b">
        <v>0</v>
      </c>
      <c r="H142" s="8"/>
      <c r="I142" s="8"/>
      <c r="J142" s="8" t="s">
        <v>6645</v>
      </c>
      <c r="K142" s="8"/>
      <c r="L142" s="8"/>
      <c r="M142" s="8" t="s">
        <v>6123</v>
      </c>
      <c r="N142" s="8" t="s">
        <v>6124</v>
      </c>
      <c r="O142" s="1" t="s">
        <v>67</v>
      </c>
      <c r="P142" s="8" t="s">
        <v>5648</v>
      </c>
      <c r="Q142" s="26">
        <v>44008.619583333333</v>
      </c>
      <c r="R142" s="8" t="s">
        <v>4206</v>
      </c>
      <c r="S142" s="26">
        <v>43993.356805555559</v>
      </c>
      <c r="T142" s="18">
        <v>167</v>
      </c>
    </row>
    <row r="143" spans="1:20" ht="15" x14ac:dyDescent="0.2">
      <c r="A143" s="24" t="s">
        <v>5350</v>
      </c>
      <c r="B143" s="25" t="s">
        <v>3334</v>
      </c>
      <c r="C143" s="8" t="s">
        <v>6125</v>
      </c>
      <c r="D143" s="8" t="s">
        <v>6126</v>
      </c>
      <c r="E143" s="8" t="s">
        <v>6127</v>
      </c>
      <c r="F143" s="8" t="s">
        <v>1152</v>
      </c>
      <c r="G143" s="49" t="b">
        <v>0</v>
      </c>
      <c r="H143" s="8"/>
      <c r="I143" s="8"/>
      <c r="J143" s="8" t="s">
        <v>6646</v>
      </c>
      <c r="K143" s="8"/>
      <c r="L143" s="8"/>
      <c r="M143" s="8" t="s">
        <v>6128</v>
      </c>
      <c r="N143" s="8" t="s">
        <v>5920</v>
      </c>
      <c r="O143" s="1"/>
      <c r="P143" s="8" t="s">
        <v>5648</v>
      </c>
      <c r="Q143" s="26">
        <v>44008.397592592592</v>
      </c>
      <c r="R143" s="8" t="s">
        <v>4206</v>
      </c>
      <c r="S143" s="26">
        <v>43993.357314814813</v>
      </c>
      <c r="T143" s="18">
        <v>168</v>
      </c>
    </row>
    <row r="144" spans="1:20" ht="15" x14ac:dyDescent="0.2">
      <c r="A144" s="24" t="s">
        <v>5352</v>
      </c>
      <c r="B144" s="25" t="s">
        <v>3335</v>
      </c>
      <c r="C144" s="8" t="s">
        <v>6129</v>
      </c>
      <c r="D144" s="8"/>
      <c r="E144" s="8"/>
      <c r="F144" s="8" t="s">
        <v>908</v>
      </c>
      <c r="G144" s="49" t="b">
        <v>0</v>
      </c>
      <c r="H144" s="8"/>
      <c r="I144" s="8"/>
      <c r="J144" s="8" t="s">
        <v>6437</v>
      </c>
      <c r="K144" s="8"/>
      <c r="L144" s="8"/>
      <c r="M144" s="8" t="s">
        <v>6130</v>
      </c>
      <c r="N144" s="8" t="s">
        <v>6438</v>
      </c>
      <c r="O144" s="1"/>
      <c r="P144" s="8" t="s">
        <v>5648</v>
      </c>
      <c r="Q144" s="26">
        <v>44008.405393518522</v>
      </c>
      <c r="R144" s="8" t="s">
        <v>4206</v>
      </c>
      <c r="S144" s="26">
        <v>44005.629687499997</v>
      </c>
      <c r="T144" s="18">
        <v>198</v>
      </c>
    </row>
    <row r="145" spans="1:20" ht="15" x14ac:dyDescent="0.2">
      <c r="A145" s="274" t="s">
        <v>5354</v>
      </c>
      <c r="B145" s="25" t="s">
        <v>3336</v>
      </c>
      <c r="C145" s="8" t="s">
        <v>6131</v>
      </c>
      <c r="D145" s="8" t="s">
        <v>6132</v>
      </c>
      <c r="E145" s="8" t="s">
        <v>6133</v>
      </c>
      <c r="F145" s="8" t="s">
        <v>908</v>
      </c>
      <c r="G145" s="275" t="b">
        <v>0</v>
      </c>
      <c r="H145" s="8"/>
      <c r="I145" s="8"/>
      <c r="J145" s="8" t="s">
        <v>6648</v>
      </c>
      <c r="K145" s="8"/>
      <c r="L145" s="8" t="s">
        <v>6647</v>
      </c>
      <c r="M145" s="8" t="s">
        <v>6134</v>
      </c>
      <c r="N145" s="8" t="s">
        <v>5920</v>
      </c>
      <c r="O145" s="1"/>
      <c r="P145" s="8" t="s">
        <v>5648</v>
      </c>
      <c r="Q145" s="26">
        <v>44008.406076388892</v>
      </c>
      <c r="R145" s="8" t="s">
        <v>4206</v>
      </c>
      <c r="S145" s="26">
        <v>43993.359039351853</v>
      </c>
      <c r="T145" s="18">
        <v>170</v>
      </c>
    </row>
    <row r="146" spans="1:20" ht="15" x14ac:dyDescent="0.2">
      <c r="A146" s="274" t="s">
        <v>5354</v>
      </c>
      <c r="B146" s="25" t="s">
        <v>3336</v>
      </c>
      <c r="C146" s="8" t="s">
        <v>6716</v>
      </c>
      <c r="D146" s="8" t="s">
        <v>6717</v>
      </c>
      <c r="E146" s="8" t="s">
        <v>6133</v>
      </c>
      <c r="F146" s="8" t="s">
        <v>6718</v>
      </c>
      <c r="G146" s="275" t="b">
        <v>0</v>
      </c>
      <c r="H146" s="8"/>
      <c r="I146" s="8"/>
      <c r="J146" s="8"/>
      <c r="K146" s="8"/>
      <c r="L146" s="8"/>
      <c r="M146" s="8" t="s">
        <v>2614</v>
      </c>
      <c r="N146" s="8" t="s">
        <v>1814</v>
      </c>
      <c r="O146" s="1"/>
      <c r="P146" s="8" t="s">
        <v>5648</v>
      </c>
      <c r="Q146" s="26">
        <v>44022.627442129633</v>
      </c>
      <c r="R146" s="8" t="s">
        <v>5648</v>
      </c>
      <c r="S146" s="26">
        <v>44022.627442129633</v>
      </c>
      <c r="T146" s="18">
        <v>201</v>
      </c>
    </row>
    <row r="147" spans="1:20" ht="15" x14ac:dyDescent="0.2">
      <c r="A147" s="274" t="s">
        <v>5356</v>
      </c>
      <c r="B147" s="25" t="s">
        <v>3347</v>
      </c>
      <c r="C147" s="8" t="s">
        <v>6091</v>
      </c>
      <c r="D147" s="8" t="s">
        <v>1042</v>
      </c>
      <c r="E147" s="8" t="s">
        <v>6092</v>
      </c>
      <c r="F147" s="8" t="s">
        <v>908</v>
      </c>
      <c r="G147" s="275" t="b">
        <v>0</v>
      </c>
      <c r="H147" s="8"/>
      <c r="I147" s="8"/>
      <c r="J147" s="8"/>
      <c r="K147" s="8"/>
      <c r="L147" s="8"/>
      <c r="M147" s="8" t="s">
        <v>6093</v>
      </c>
      <c r="N147" s="8" t="s">
        <v>5920</v>
      </c>
      <c r="O147" s="1"/>
      <c r="P147" s="8" t="s">
        <v>4206</v>
      </c>
      <c r="Q147" s="26">
        <v>43993.388136574074</v>
      </c>
      <c r="R147" s="8" t="s">
        <v>4206</v>
      </c>
      <c r="S147" s="26">
        <v>43993.359664351854</v>
      </c>
      <c r="T147" s="18">
        <v>171</v>
      </c>
    </row>
    <row r="148" spans="1:20" ht="15" x14ac:dyDescent="0.2">
      <c r="A148" s="274" t="s">
        <v>5358</v>
      </c>
      <c r="B148" s="25" t="s">
        <v>603</v>
      </c>
      <c r="C148" s="8" t="s">
        <v>954</v>
      </c>
      <c r="D148" s="8" t="s">
        <v>955</v>
      </c>
      <c r="E148" s="8" t="s">
        <v>956</v>
      </c>
      <c r="F148" s="8" t="s">
        <v>908</v>
      </c>
      <c r="G148" s="275" t="b">
        <v>0</v>
      </c>
      <c r="H148" s="8"/>
      <c r="I148" s="8"/>
      <c r="J148" s="8"/>
      <c r="K148" s="8"/>
      <c r="L148" s="8"/>
      <c r="M148" s="8" t="s">
        <v>6060</v>
      </c>
      <c r="N148" s="8" t="s">
        <v>5920</v>
      </c>
      <c r="O148" s="1"/>
      <c r="P148" s="8" t="s">
        <v>4206</v>
      </c>
      <c r="Q148" s="26">
        <v>43993.388136574074</v>
      </c>
      <c r="R148" s="8" t="s">
        <v>4207</v>
      </c>
      <c r="S148" s="26">
        <v>43700.323958333334</v>
      </c>
      <c r="T148" s="18">
        <v>23</v>
      </c>
    </row>
    <row r="149" spans="1:20" ht="15" x14ac:dyDescent="0.2">
      <c r="A149" s="274" t="s">
        <v>5256</v>
      </c>
      <c r="B149" s="25" t="s">
        <v>602</v>
      </c>
      <c r="C149" s="8" t="s">
        <v>957</v>
      </c>
      <c r="D149" s="8" t="s">
        <v>958</v>
      </c>
      <c r="E149" s="8" t="s">
        <v>959</v>
      </c>
      <c r="F149" s="8" t="s">
        <v>908</v>
      </c>
      <c r="G149" s="275" t="b">
        <v>0</v>
      </c>
      <c r="H149" s="8"/>
      <c r="I149" s="8"/>
      <c r="J149" s="8" t="s">
        <v>960</v>
      </c>
      <c r="K149" s="8" t="s">
        <v>961</v>
      </c>
      <c r="L149" s="8"/>
      <c r="M149" s="8" t="s">
        <v>6061</v>
      </c>
      <c r="N149" s="8" t="s">
        <v>5920</v>
      </c>
      <c r="O149" s="1"/>
      <c r="P149" s="8" t="s">
        <v>4206</v>
      </c>
      <c r="Q149" s="26">
        <v>43993.388148148151</v>
      </c>
      <c r="R149" s="8" t="s">
        <v>4207</v>
      </c>
      <c r="S149" s="26">
        <v>43700.325995370367</v>
      </c>
      <c r="T149" s="18">
        <v>25</v>
      </c>
    </row>
    <row r="150" spans="1:20" ht="15" x14ac:dyDescent="0.2">
      <c r="A150" s="274" t="s">
        <v>5361</v>
      </c>
      <c r="B150" s="25" t="s">
        <v>3353</v>
      </c>
      <c r="C150" s="8" t="s">
        <v>6129</v>
      </c>
      <c r="D150" s="8"/>
      <c r="E150" s="8"/>
      <c r="F150" s="8" t="s">
        <v>908</v>
      </c>
      <c r="G150" s="275" t="b">
        <v>0</v>
      </c>
      <c r="H150" s="8"/>
      <c r="I150" s="8"/>
      <c r="J150" s="8" t="s">
        <v>6437</v>
      </c>
      <c r="K150" s="8"/>
      <c r="L150" s="8"/>
      <c r="M150" s="8" t="s">
        <v>6130</v>
      </c>
      <c r="N150" s="8" t="s">
        <v>6438</v>
      </c>
      <c r="O150" s="1"/>
      <c r="P150" s="8" t="s">
        <v>5648</v>
      </c>
      <c r="Q150" s="26">
        <v>44008.408587962964</v>
      </c>
      <c r="R150" s="8" t="s">
        <v>4206</v>
      </c>
      <c r="S150" s="26">
        <v>43993.360335648147</v>
      </c>
      <c r="T150" s="18">
        <v>172</v>
      </c>
    </row>
    <row r="151" spans="1:20" ht="15" x14ac:dyDescent="0.2">
      <c r="A151" s="274" t="s">
        <v>5363</v>
      </c>
      <c r="B151" s="25" t="s">
        <v>3354</v>
      </c>
      <c r="C151" s="8" t="s">
        <v>6135</v>
      </c>
      <c r="D151" s="8" t="s">
        <v>6136</v>
      </c>
      <c r="E151" s="8" t="s">
        <v>6137</v>
      </c>
      <c r="F151" s="8" t="s">
        <v>1152</v>
      </c>
      <c r="G151" s="275" t="b">
        <v>0</v>
      </c>
      <c r="H151" s="8"/>
      <c r="I151" s="8"/>
      <c r="J151" s="8" t="s">
        <v>6649</v>
      </c>
      <c r="K151" s="8"/>
      <c r="L151" s="8"/>
      <c r="M151" s="8" t="s">
        <v>6138</v>
      </c>
      <c r="N151" s="8" t="s">
        <v>5920</v>
      </c>
      <c r="O151" s="1"/>
      <c r="P151" s="8" t="s">
        <v>1744</v>
      </c>
      <c r="Q151" s="26">
        <v>44011.965960648151</v>
      </c>
      <c r="R151" s="8" t="s">
        <v>4206</v>
      </c>
      <c r="S151" s="26">
        <v>43993.360810185186</v>
      </c>
      <c r="T151" s="18">
        <v>173</v>
      </c>
    </row>
    <row r="152" spans="1:20" ht="15" x14ac:dyDescent="0.2">
      <c r="A152" s="274" t="s">
        <v>5365</v>
      </c>
      <c r="B152" s="25" t="s">
        <v>5067</v>
      </c>
      <c r="C152" s="8" t="s">
        <v>6139</v>
      </c>
      <c r="D152" s="8"/>
      <c r="E152" s="8"/>
      <c r="F152" s="8" t="s">
        <v>1152</v>
      </c>
      <c r="G152" s="275" t="b">
        <v>0</v>
      </c>
      <c r="H152" s="8"/>
      <c r="I152" s="8"/>
      <c r="J152" s="8"/>
      <c r="K152" s="8"/>
      <c r="L152" s="8"/>
      <c r="M152" s="8" t="s">
        <v>6140</v>
      </c>
      <c r="N152" s="8" t="s">
        <v>5920</v>
      </c>
      <c r="O152" s="1"/>
      <c r="P152" s="8" t="s">
        <v>4206</v>
      </c>
      <c r="Q152" s="26">
        <v>43993.388148148151</v>
      </c>
      <c r="R152" s="8" t="s">
        <v>4206</v>
      </c>
      <c r="S152" s="26">
        <v>43993.361493055556</v>
      </c>
      <c r="T152" s="18">
        <v>174</v>
      </c>
    </row>
    <row r="153" spans="1:20" ht="15" x14ac:dyDescent="0.2">
      <c r="A153" s="274" t="s">
        <v>5367</v>
      </c>
      <c r="B153" s="25" t="s">
        <v>5073</v>
      </c>
      <c r="C153" s="8" t="s">
        <v>6141</v>
      </c>
      <c r="D153" s="8"/>
      <c r="E153" s="8"/>
      <c r="F153" s="8" t="s">
        <v>1152</v>
      </c>
      <c r="G153" s="275" t="b">
        <v>0</v>
      </c>
      <c r="H153" s="8"/>
      <c r="I153" s="8"/>
      <c r="J153" s="8"/>
      <c r="K153" s="8"/>
      <c r="L153" s="8"/>
      <c r="M153" s="8" t="s">
        <v>6142</v>
      </c>
      <c r="N153" s="8" t="s">
        <v>5920</v>
      </c>
      <c r="O153" s="1"/>
      <c r="P153" s="8" t="s">
        <v>4206</v>
      </c>
      <c r="Q153" s="26">
        <v>43993.388136574074</v>
      </c>
      <c r="R153" s="8" t="s">
        <v>4206</v>
      </c>
      <c r="S153" s="26">
        <v>43993.361921296295</v>
      </c>
      <c r="T153" s="18">
        <v>175</v>
      </c>
    </row>
    <row r="154" spans="1:20" ht="15" x14ac:dyDescent="0.2">
      <c r="A154" s="274" t="s">
        <v>5369</v>
      </c>
      <c r="B154" s="25" t="s">
        <v>5077</v>
      </c>
      <c r="C154" s="8" t="s">
        <v>6143</v>
      </c>
      <c r="D154" s="8" t="s">
        <v>6144</v>
      </c>
      <c r="E154" s="8" t="s">
        <v>1053</v>
      </c>
      <c r="F154" s="8" t="s">
        <v>908</v>
      </c>
      <c r="G154" s="275" t="b">
        <v>0</v>
      </c>
      <c r="H154" s="8"/>
      <c r="I154" s="8"/>
      <c r="J154" s="8" t="s">
        <v>6650</v>
      </c>
      <c r="K154" s="8"/>
      <c r="L154" s="8"/>
      <c r="M154" s="8" t="s">
        <v>6145</v>
      </c>
      <c r="N154" s="8" t="s">
        <v>5920</v>
      </c>
      <c r="O154" s="1"/>
      <c r="P154" s="8" t="s">
        <v>1744</v>
      </c>
      <c r="Q154" s="26">
        <v>44011.97351851852</v>
      </c>
      <c r="R154" s="8" t="s">
        <v>4206</v>
      </c>
      <c r="S154" s="26">
        <v>43993.362511574072</v>
      </c>
      <c r="T154" s="18">
        <v>176</v>
      </c>
    </row>
    <row r="155" spans="1:20" ht="15" x14ac:dyDescent="0.2">
      <c r="A155" s="274" t="s">
        <v>5371</v>
      </c>
      <c r="B155" s="25" t="s">
        <v>5081</v>
      </c>
      <c r="C155" s="8" t="s">
        <v>6146</v>
      </c>
      <c r="D155" s="8"/>
      <c r="E155" s="8"/>
      <c r="F155" s="8" t="s">
        <v>908</v>
      </c>
      <c r="G155" s="275" t="b">
        <v>0</v>
      </c>
      <c r="H155" s="8"/>
      <c r="I155" s="8"/>
      <c r="J155" s="8"/>
      <c r="K155" s="8"/>
      <c r="L155" s="8"/>
      <c r="M155" s="8" t="s">
        <v>483</v>
      </c>
      <c r="N155" s="8" t="s">
        <v>6086</v>
      </c>
      <c r="O155" s="1"/>
      <c r="P155" s="8" t="s">
        <v>4206</v>
      </c>
      <c r="Q155" s="26">
        <v>43993.388136574074</v>
      </c>
      <c r="R155" s="8" t="s">
        <v>4206</v>
      </c>
      <c r="S155" s="26">
        <v>43993.363680555558</v>
      </c>
      <c r="T155" s="18">
        <v>177</v>
      </c>
    </row>
    <row r="156" spans="1:20" ht="15" x14ac:dyDescent="0.2">
      <c r="A156" s="274" t="s">
        <v>5373</v>
      </c>
      <c r="B156" s="25" t="s">
        <v>5085</v>
      </c>
      <c r="C156" s="8" t="s">
        <v>6146</v>
      </c>
      <c r="D156" s="8"/>
      <c r="E156" s="8"/>
      <c r="F156" s="8" t="s">
        <v>908</v>
      </c>
      <c r="G156" s="275" t="b">
        <v>0</v>
      </c>
      <c r="H156" s="8"/>
      <c r="I156" s="8"/>
      <c r="J156" s="8"/>
      <c r="K156" s="8"/>
      <c r="L156" s="8"/>
      <c r="M156" s="8" t="s">
        <v>483</v>
      </c>
      <c r="N156" s="8" t="s">
        <v>6086</v>
      </c>
      <c r="O156" s="1"/>
      <c r="P156" s="8" t="s">
        <v>4206</v>
      </c>
      <c r="Q156" s="26">
        <v>43993.388136574074</v>
      </c>
      <c r="R156" s="8" t="s">
        <v>4206</v>
      </c>
      <c r="S156" s="26">
        <v>43993.364074074074</v>
      </c>
      <c r="T156" s="18">
        <v>178</v>
      </c>
    </row>
    <row r="157" spans="1:20" ht="63.75" x14ac:dyDescent="0.2">
      <c r="A157" s="274" t="s">
        <v>5375</v>
      </c>
      <c r="B157" s="25" t="s">
        <v>5087</v>
      </c>
      <c r="C157" s="8" t="s">
        <v>6147</v>
      </c>
      <c r="D157" s="8" t="s">
        <v>1032</v>
      </c>
      <c r="E157" s="8" t="s">
        <v>4665</v>
      </c>
      <c r="F157" s="8" t="s">
        <v>908</v>
      </c>
      <c r="G157" s="275" t="b">
        <v>0</v>
      </c>
      <c r="H157" s="8"/>
      <c r="I157" s="8"/>
      <c r="J157" s="8" t="s">
        <v>6651</v>
      </c>
      <c r="K157" s="8"/>
      <c r="L157" s="8"/>
      <c r="M157" s="8" t="s">
        <v>6148</v>
      </c>
      <c r="N157" s="8" t="s">
        <v>5920</v>
      </c>
      <c r="O157" s="1" t="s">
        <v>6660</v>
      </c>
      <c r="P157" s="8" t="s">
        <v>5648</v>
      </c>
      <c r="Q157" s="26">
        <v>44014.484479166669</v>
      </c>
      <c r="R157" s="8" t="s">
        <v>4206</v>
      </c>
      <c r="S157" s="26">
        <v>43993.364999999998</v>
      </c>
      <c r="T157" s="18">
        <v>179</v>
      </c>
    </row>
    <row r="158" spans="1:20" ht="76.5" x14ac:dyDescent="0.2">
      <c r="A158" s="274" t="s">
        <v>5377</v>
      </c>
      <c r="B158" s="25" t="s">
        <v>5089</v>
      </c>
      <c r="C158" s="8" t="s">
        <v>6149</v>
      </c>
      <c r="D158" s="8" t="s">
        <v>6150</v>
      </c>
      <c r="E158" s="8" t="s">
        <v>5923</v>
      </c>
      <c r="F158" s="8" t="s">
        <v>1152</v>
      </c>
      <c r="G158" s="275" t="b">
        <v>0</v>
      </c>
      <c r="H158" s="8"/>
      <c r="I158" s="8"/>
      <c r="J158" s="8"/>
      <c r="K158" s="8"/>
      <c r="L158" s="8"/>
      <c r="M158" s="8" t="s">
        <v>6151</v>
      </c>
      <c r="N158" s="8" t="s">
        <v>5920</v>
      </c>
      <c r="O158" s="1" t="s">
        <v>6661</v>
      </c>
      <c r="P158" s="8" t="s">
        <v>5648</v>
      </c>
      <c r="Q158" s="26">
        <v>44008.421284722222</v>
      </c>
      <c r="R158" s="8" t="s">
        <v>4206</v>
      </c>
      <c r="S158" s="26">
        <v>43993.366076388891</v>
      </c>
      <c r="T158" s="18">
        <v>180</v>
      </c>
    </row>
    <row r="159" spans="1:20" ht="15" x14ac:dyDescent="0.2">
      <c r="A159" s="274" t="s">
        <v>5379</v>
      </c>
      <c r="B159" s="25" t="s">
        <v>5092</v>
      </c>
      <c r="C159" s="8" t="s">
        <v>6152</v>
      </c>
      <c r="D159" s="8" t="s">
        <v>6153</v>
      </c>
      <c r="E159" s="8" t="s">
        <v>6154</v>
      </c>
      <c r="F159" s="8" t="s">
        <v>908</v>
      </c>
      <c r="G159" s="275" t="b">
        <v>0</v>
      </c>
      <c r="H159" s="8"/>
      <c r="I159" s="8"/>
      <c r="J159" s="8" t="s">
        <v>6261</v>
      </c>
      <c r="K159" s="8"/>
      <c r="L159" s="8"/>
      <c r="M159" s="8" t="s">
        <v>6155</v>
      </c>
      <c r="N159" s="8" t="s">
        <v>5920</v>
      </c>
      <c r="O159" s="1"/>
      <c r="P159" s="8" t="s">
        <v>5648</v>
      </c>
      <c r="Q159" s="26">
        <v>44008.422685185185</v>
      </c>
      <c r="R159" s="8" t="s">
        <v>4206</v>
      </c>
      <c r="S159" s="26">
        <v>43993.376192129632</v>
      </c>
      <c r="T159" s="18">
        <v>181</v>
      </c>
    </row>
    <row r="160" spans="1:20" ht="15" x14ac:dyDescent="0.2">
      <c r="A160" s="274" t="s">
        <v>5381</v>
      </c>
      <c r="B160" s="25" t="s">
        <v>5095</v>
      </c>
      <c r="C160" s="8" t="s">
        <v>6146</v>
      </c>
      <c r="D160" s="8"/>
      <c r="E160" s="8"/>
      <c r="F160" s="8" t="s">
        <v>908</v>
      </c>
      <c r="G160" s="275" t="b">
        <v>0</v>
      </c>
      <c r="H160" s="8"/>
      <c r="I160" s="8"/>
      <c r="J160" s="8"/>
      <c r="K160" s="8"/>
      <c r="L160" s="8"/>
      <c r="M160" s="8" t="s">
        <v>483</v>
      </c>
      <c r="N160" s="8" t="s">
        <v>6086</v>
      </c>
      <c r="O160" s="1"/>
      <c r="P160" s="8" t="s">
        <v>4206</v>
      </c>
      <c r="Q160" s="26">
        <v>43993.388136574074</v>
      </c>
      <c r="R160" s="8" t="s">
        <v>4206</v>
      </c>
      <c r="S160" s="26">
        <v>43993.376909722225</v>
      </c>
      <c r="T160" s="18">
        <v>182</v>
      </c>
    </row>
    <row r="161" spans="1:20" ht="15" x14ac:dyDescent="0.2">
      <c r="A161" s="274" t="s">
        <v>5383</v>
      </c>
      <c r="B161" s="25" t="s">
        <v>6156</v>
      </c>
      <c r="C161" s="8" t="s">
        <v>6157</v>
      </c>
      <c r="D161" s="8"/>
      <c r="E161" s="8"/>
      <c r="F161" s="8" t="s">
        <v>1152</v>
      </c>
      <c r="G161" s="275" t="b">
        <v>0</v>
      </c>
      <c r="H161" s="8"/>
      <c r="I161" s="8"/>
      <c r="J161" s="8"/>
      <c r="K161" s="8"/>
      <c r="L161" s="8"/>
      <c r="M161" s="8" t="s">
        <v>76</v>
      </c>
      <c r="N161" s="8" t="s">
        <v>1729</v>
      </c>
      <c r="O161" s="1"/>
      <c r="P161" s="8" t="s">
        <v>4206</v>
      </c>
      <c r="Q161" s="26">
        <v>43993.388136574074</v>
      </c>
      <c r="R161" s="8" t="s">
        <v>4206</v>
      </c>
      <c r="S161" s="26">
        <v>43993.377465277779</v>
      </c>
      <c r="T161" s="18">
        <v>183</v>
      </c>
    </row>
    <row r="162" spans="1:20" ht="15" x14ac:dyDescent="0.2">
      <c r="A162" s="274" t="s">
        <v>5710</v>
      </c>
      <c r="B162" s="25" t="s">
        <v>5711</v>
      </c>
      <c r="C162" s="8" t="s">
        <v>6157</v>
      </c>
      <c r="D162" s="8"/>
      <c r="E162" s="8"/>
      <c r="F162" s="8" t="s">
        <v>1152</v>
      </c>
      <c r="G162" s="275" t="b">
        <v>0</v>
      </c>
      <c r="H162" s="8"/>
      <c r="I162" s="8"/>
      <c r="J162" s="8"/>
      <c r="K162" s="8"/>
      <c r="L162" s="8"/>
      <c r="M162" s="8" t="s">
        <v>76</v>
      </c>
      <c r="N162" s="8" t="s">
        <v>1729</v>
      </c>
      <c r="O162" s="1"/>
      <c r="P162" s="8" t="s">
        <v>4206</v>
      </c>
      <c r="Q162" s="26">
        <v>43993.388136574074</v>
      </c>
      <c r="R162" s="8" t="s">
        <v>4206</v>
      </c>
      <c r="S162" s="26">
        <v>43993.377905092595</v>
      </c>
      <c r="T162" s="18">
        <v>184</v>
      </c>
    </row>
    <row r="163" spans="1:20" ht="15" x14ac:dyDescent="0.2">
      <c r="A163" s="274" t="s">
        <v>5715</v>
      </c>
      <c r="B163" s="25" t="s">
        <v>5716</v>
      </c>
      <c r="C163" s="8" t="s">
        <v>6158</v>
      </c>
      <c r="D163" s="8"/>
      <c r="E163" s="8"/>
      <c r="F163" s="8" t="s">
        <v>908</v>
      </c>
      <c r="G163" s="275" t="b">
        <v>0</v>
      </c>
      <c r="H163" s="8"/>
      <c r="I163" s="8"/>
      <c r="J163" s="8"/>
      <c r="K163" s="8"/>
      <c r="L163" s="8"/>
      <c r="M163" s="8" t="s">
        <v>224</v>
      </c>
      <c r="N163" s="8" t="s">
        <v>5920</v>
      </c>
      <c r="O163" s="1"/>
      <c r="P163" s="8" t="s">
        <v>4206</v>
      </c>
      <c r="Q163" s="26">
        <v>43993.388136574074</v>
      </c>
      <c r="R163" s="8" t="s">
        <v>4206</v>
      </c>
      <c r="S163" s="26">
        <v>43993.378379629627</v>
      </c>
      <c r="T163" s="18">
        <v>185</v>
      </c>
    </row>
    <row r="164" spans="1:20" ht="15" x14ac:dyDescent="0.2">
      <c r="A164" s="274" t="s">
        <v>5536</v>
      </c>
      <c r="B164" s="25" t="s">
        <v>3288</v>
      </c>
      <c r="C164" s="8" t="s">
        <v>6158</v>
      </c>
      <c r="D164" s="8"/>
      <c r="E164" s="8"/>
      <c r="F164" s="8" t="s">
        <v>908</v>
      </c>
      <c r="G164" s="275" t="b">
        <v>0</v>
      </c>
      <c r="H164" s="8"/>
      <c r="I164" s="8"/>
      <c r="J164" s="8"/>
      <c r="K164" s="8"/>
      <c r="L164" s="8"/>
      <c r="M164" s="8" t="s">
        <v>224</v>
      </c>
      <c r="N164" s="8" t="s">
        <v>5920</v>
      </c>
      <c r="O164" s="1"/>
      <c r="P164" s="8" t="s">
        <v>4206</v>
      </c>
      <c r="Q164" s="26">
        <v>43993.388136574074</v>
      </c>
      <c r="R164" s="8" t="s">
        <v>4206</v>
      </c>
      <c r="S164" s="26">
        <v>43993.378692129627</v>
      </c>
      <c r="T164" s="18">
        <v>186</v>
      </c>
    </row>
    <row r="165" spans="1:20" ht="15" x14ac:dyDescent="0.2">
      <c r="A165" s="274" t="s">
        <v>5720</v>
      </c>
      <c r="B165" s="25" t="s">
        <v>5721</v>
      </c>
      <c r="C165" s="8" t="s">
        <v>6158</v>
      </c>
      <c r="D165" s="8"/>
      <c r="E165" s="8"/>
      <c r="F165" s="8" t="s">
        <v>908</v>
      </c>
      <c r="G165" s="275" t="b">
        <v>0</v>
      </c>
      <c r="H165" s="8"/>
      <c r="I165" s="8"/>
      <c r="J165" s="8"/>
      <c r="K165" s="8"/>
      <c r="L165" s="8"/>
      <c r="M165" s="8" t="s">
        <v>224</v>
      </c>
      <c r="N165" s="8" t="s">
        <v>5920</v>
      </c>
      <c r="O165" s="1"/>
      <c r="P165" s="8" t="s">
        <v>4206</v>
      </c>
      <c r="Q165" s="26">
        <v>43993.388136574074</v>
      </c>
      <c r="R165" s="8" t="s">
        <v>4206</v>
      </c>
      <c r="S165" s="26">
        <v>43993.379004629627</v>
      </c>
      <c r="T165" s="18">
        <v>187</v>
      </c>
    </row>
    <row r="166" spans="1:20" ht="15" x14ac:dyDescent="0.2">
      <c r="A166" s="274" t="s">
        <v>5385</v>
      </c>
      <c r="B166" s="25" t="s">
        <v>2938</v>
      </c>
      <c r="C166" s="8" t="s">
        <v>6158</v>
      </c>
      <c r="D166" s="8"/>
      <c r="E166" s="8"/>
      <c r="F166" s="8" t="s">
        <v>908</v>
      </c>
      <c r="G166" s="275" t="b">
        <v>0</v>
      </c>
      <c r="H166" s="8"/>
      <c r="I166" s="8"/>
      <c r="J166" s="8"/>
      <c r="K166" s="8"/>
      <c r="L166" s="8"/>
      <c r="M166" s="8" t="s">
        <v>224</v>
      </c>
      <c r="N166" s="8" t="s">
        <v>5920</v>
      </c>
      <c r="O166" s="1"/>
      <c r="P166" s="8" t="s">
        <v>4206</v>
      </c>
      <c r="Q166" s="26">
        <v>43993.388136574074</v>
      </c>
      <c r="R166" s="8" t="s">
        <v>4206</v>
      </c>
      <c r="S166" s="26">
        <v>43993.379432870373</v>
      </c>
      <c r="T166" s="18">
        <v>188</v>
      </c>
    </row>
    <row r="167" spans="1:20" ht="15" x14ac:dyDescent="0.2">
      <c r="A167" s="274" t="s">
        <v>5724</v>
      </c>
      <c r="B167" s="25" t="s">
        <v>5721</v>
      </c>
      <c r="C167" s="8" t="s">
        <v>6158</v>
      </c>
      <c r="D167" s="8"/>
      <c r="E167" s="8"/>
      <c r="F167" s="8" t="s">
        <v>908</v>
      </c>
      <c r="G167" s="275" t="b">
        <v>0</v>
      </c>
      <c r="H167" s="8"/>
      <c r="I167" s="8"/>
      <c r="J167" s="8"/>
      <c r="K167" s="8"/>
      <c r="L167" s="8"/>
      <c r="M167" s="8" t="s">
        <v>224</v>
      </c>
      <c r="N167" s="8" t="s">
        <v>5920</v>
      </c>
      <c r="O167" s="1"/>
      <c r="P167" s="8" t="s">
        <v>4206</v>
      </c>
      <c r="Q167" s="26">
        <v>43993.388136574074</v>
      </c>
      <c r="R167" s="8" t="s">
        <v>4206</v>
      </c>
      <c r="S167" s="26">
        <v>43993.379756944443</v>
      </c>
      <c r="T167" s="18">
        <v>189</v>
      </c>
    </row>
    <row r="168" spans="1:20" ht="15" x14ac:dyDescent="0.2">
      <c r="A168" s="274" t="s">
        <v>5257</v>
      </c>
      <c r="B168" s="25" t="s">
        <v>595</v>
      </c>
      <c r="C168" s="8" t="s">
        <v>6129</v>
      </c>
      <c r="D168" s="8"/>
      <c r="E168" s="8"/>
      <c r="F168" s="8" t="s">
        <v>908</v>
      </c>
      <c r="G168" s="275" t="b">
        <v>0</v>
      </c>
      <c r="H168" s="8"/>
      <c r="I168" s="8"/>
      <c r="J168" s="8" t="s">
        <v>6437</v>
      </c>
      <c r="K168" s="8"/>
      <c r="L168" s="8"/>
      <c r="M168" s="8" t="s">
        <v>6130</v>
      </c>
      <c r="N168" s="8" t="s">
        <v>6438</v>
      </c>
      <c r="O168" s="1"/>
      <c r="P168" s="8" t="s">
        <v>5648</v>
      </c>
      <c r="Q168" s="26">
        <v>44008.424120370371</v>
      </c>
      <c r="R168" s="8" t="s">
        <v>4206</v>
      </c>
      <c r="S168" s="26">
        <v>43993.380289351851</v>
      </c>
      <c r="T168" s="18">
        <v>190</v>
      </c>
    </row>
    <row r="169" spans="1:20" ht="15" x14ac:dyDescent="0.2">
      <c r="A169" s="274" t="s">
        <v>5388</v>
      </c>
      <c r="B169" s="25" t="s">
        <v>6159</v>
      </c>
      <c r="C169" s="8" t="s">
        <v>6157</v>
      </c>
      <c r="D169" s="8"/>
      <c r="E169" s="8"/>
      <c r="F169" s="8" t="s">
        <v>1152</v>
      </c>
      <c r="G169" s="275" t="b">
        <v>0</v>
      </c>
      <c r="H169" s="8"/>
      <c r="I169" s="8"/>
      <c r="J169" s="8"/>
      <c r="K169" s="8"/>
      <c r="L169" s="8"/>
      <c r="M169" s="8" t="s">
        <v>6160</v>
      </c>
      <c r="N169" s="8" t="s">
        <v>1729</v>
      </c>
      <c r="O169" s="1"/>
      <c r="P169" s="8" t="s">
        <v>4206</v>
      </c>
      <c r="Q169" s="26">
        <v>43993.388136574074</v>
      </c>
      <c r="R169" s="8" t="s">
        <v>4206</v>
      </c>
      <c r="S169" s="26">
        <v>43993.382824074077</v>
      </c>
      <c r="T169" s="18">
        <v>191</v>
      </c>
    </row>
    <row r="170" spans="1:20" ht="89.25" x14ac:dyDescent="0.2">
      <c r="A170" s="274" t="s">
        <v>5258</v>
      </c>
      <c r="B170" s="25" t="s">
        <v>601</v>
      </c>
      <c r="C170" s="8" t="s">
        <v>5757</v>
      </c>
      <c r="D170" s="8" t="s">
        <v>1025</v>
      </c>
      <c r="E170" s="8" t="s">
        <v>1026</v>
      </c>
      <c r="F170" s="8" t="s">
        <v>1027</v>
      </c>
      <c r="G170" s="275" t="b">
        <v>1</v>
      </c>
      <c r="H170" s="8"/>
      <c r="I170" s="8"/>
      <c r="J170" s="8" t="s">
        <v>1029</v>
      </c>
      <c r="K170" s="8"/>
      <c r="L170" s="8" t="s">
        <v>1028</v>
      </c>
      <c r="M170" s="8" t="s">
        <v>554</v>
      </c>
      <c r="N170" s="8" t="s">
        <v>1362</v>
      </c>
      <c r="O170" s="1" t="s">
        <v>1064</v>
      </c>
      <c r="P170" s="8" t="s">
        <v>5648</v>
      </c>
      <c r="Q170" s="26">
        <v>44008.425706018519</v>
      </c>
      <c r="R170" s="8" t="s">
        <v>4207</v>
      </c>
      <c r="S170" s="26">
        <v>43700.324895833335</v>
      </c>
      <c r="T170" s="18">
        <v>24</v>
      </c>
    </row>
    <row r="171" spans="1:20" ht="15" x14ac:dyDescent="0.2">
      <c r="A171" s="274" t="s">
        <v>5258</v>
      </c>
      <c r="B171" s="25" t="s">
        <v>601</v>
      </c>
      <c r="C171" s="8" t="s">
        <v>6161</v>
      </c>
      <c r="D171" s="8"/>
      <c r="E171" s="8"/>
      <c r="F171" s="8" t="s">
        <v>1152</v>
      </c>
      <c r="G171" s="275" t="b">
        <v>0</v>
      </c>
      <c r="H171" s="8"/>
      <c r="I171" s="8"/>
      <c r="J171" s="8"/>
      <c r="K171" s="8"/>
      <c r="L171" s="8"/>
      <c r="M171" s="8" t="s">
        <v>6162</v>
      </c>
      <c r="N171" s="8" t="s">
        <v>6163</v>
      </c>
      <c r="O171" s="1"/>
      <c r="P171" s="8" t="s">
        <v>4206</v>
      </c>
      <c r="Q171" s="26">
        <v>43993.388136574074</v>
      </c>
      <c r="R171" s="8" t="s">
        <v>4206</v>
      </c>
      <c r="S171" s="26">
        <v>43993.383275462962</v>
      </c>
      <c r="T171" s="18">
        <v>192</v>
      </c>
    </row>
    <row r="172" spans="1:20" ht="15" x14ac:dyDescent="0.2">
      <c r="A172" s="274" t="s">
        <v>5259</v>
      </c>
      <c r="B172" s="25" t="s">
        <v>597</v>
      </c>
      <c r="C172" s="8" t="s">
        <v>971</v>
      </c>
      <c r="D172" s="8"/>
      <c r="E172" s="8"/>
      <c r="F172" s="8" t="s">
        <v>908</v>
      </c>
      <c r="G172" s="275" t="b">
        <v>0</v>
      </c>
      <c r="H172" s="8"/>
      <c r="I172" s="8"/>
      <c r="J172" s="8" t="s">
        <v>6437</v>
      </c>
      <c r="K172" s="8"/>
      <c r="L172" s="8"/>
      <c r="M172" s="8" t="s">
        <v>6130</v>
      </c>
      <c r="N172" s="8" t="s">
        <v>6438</v>
      </c>
      <c r="O172" s="1"/>
      <c r="P172" s="8" t="s">
        <v>4206</v>
      </c>
      <c r="Q172" s="26">
        <v>44005.633993055555</v>
      </c>
      <c r="R172" s="8" t="s">
        <v>4206</v>
      </c>
      <c r="S172" s="26">
        <v>43993.358530092592</v>
      </c>
      <c r="T172" s="18">
        <v>169</v>
      </c>
    </row>
    <row r="173" spans="1:20" ht="15" x14ac:dyDescent="0.2">
      <c r="A173" s="274" t="s">
        <v>5259</v>
      </c>
      <c r="B173" s="25" t="s">
        <v>597</v>
      </c>
      <c r="C173" s="8" t="s">
        <v>971</v>
      </c>
      <c r="D173" s="8"/>
      <c r="E173" s="8"/>
      <c r="F173" s="8" t="s">
        <v>908</v>
      </c>
      <c r="G173" s="275" t="b">
        <v>0</v>
      </c>
      <c r="H173" s="8"/>
      <c r="I173" s="8"/>
      <c r="J173" s="8"/>
      <c r="K173" s="8"/>
      <c r="L173" s="8"/>
      <c r="M173" s="8" t="s">
        <v>6164</v>
      </c>
      <c r="N173" s="8" t="s">
        <v>5920</v>
      </c>
      <c r="O173" s="1"/>
      <c r="P173" s="8" t="s">
        <v>4206</v>
      </c>
      <c r="Q173" s="26">
        <v>43993.388136574074</v>
      </c>
      <c r="R173" s="8" t="s">
        <v>4206</v>
      </c>
      <c r="S173" s="26">
        <v>43993.384363425925</v>
      </c>
      <c r="T173" s="18">
        <v>193</v>
      </c>
    </row>
    <row r="174" spans="1:20" ht="15" x14ac:dyDescent="0.2">
      <c r="A174" s="274"/>
      <c r="B174" s="25" t="s">
        <v>915</v>
      </c>
      <c r="C174" s="8" t="s">
        <v>916</v>
      </c>
      <c r="D174" s="8" t="s">
        <v>917</v>
      </c>
      <c r="E174" s="8" t="s">
        <v>918</v>
      </c>
      <c r="F174" s="8"/>
      <c r="G174" s="275" t="b">
        <v>0</v>
      </c>
      <c r="H174" s="8"/>
      <c r="I174" s="8"/>
      <c r="J174" s="8" t="s">
        <v>919</v>
      </c>
      <c r="K174" s="8" t="s">
        <v>920</v>
      </c>
      <c r="L174" s="8"/>
      <c r="M174" s="8" t="s">
        <v>423</v>
      </c>
      <c r="N174" s="8" t="s">
        <v>1356</v>
      </c>
      <c r="O174" s="1"/>
      <c r="P174" s="8" t="s">
        <v>23</v>
      </c>
      <c r="Q174" s="26">
        <v>43767.4372337963</v>
      </c>
      <c r="R174" s="8" t="s">
        <v>4207</v>
      </c>
      <c r="S174" s="26">
        <v>43699.632731481484</v>
      </c>
      <c r="T174" s="18">
        <v>10</v>
      </c>
    </row>
    <row r="175" spans="1:20" ht="15" x14ac:dyDescent="0.2">
      <c r="A175" s="274"/>
      <c r="B175" s="25" t="s">
        <v>609</v>
      </c>
      <c r="C175" s="8" t="s">
        <v>924</v>
      </c>
      <c r="D175" s="8" t="s">
        <v>925</v>
      </c>
      <c r="E175" s="8" t="s">
        <v>923</v>
      </c>
      <c r="F175" s="8"/>
      <c r="G175" s="275" t="b">
        <v>0</v>
      </c>
      <c r="H175" s="8"/>
      <c r="I175" s="8"/>
      <c r="J175" s="8"/>
      <c r="K175" s="8"/>
      <c r="L175" s="8"/>
      <c r="M175" s="8" t="s">
        <v>438</v>
      </c>
      <c r="N175" s="8" t="s">
        <v>1354</v>
      </c>
      <c r="O175" s="1"/>
      <c r="P175" s="8" t="s">
        <v>23</v>
      </c>
      <c r="Q175" s="26">
        <v>43767.4372337963</v>
      </c>
      <c r="R175" s="8" t="s">
        <v>4207</v>
      </c>
      <c r="S175" s="26">
        <v>43699.634421296294</v>
      </c>
      <c r="T175" s="18">
        <v>13</v>
      </c>
    </row>
    <row r="176" spans="1:20" ht="15" x14ac:dyDescent="0.2">
      <c r="A176" s="274"/>
      <c r="B176" s="25" t="s">
        <v>606</v>
      </c>
      <c r="C176" s="8" t="s">
        <v>926</v>
      </c>
      <c r="D176" s="8" t="s">
        <v>1019</v>
      </c>
      <c r="E176" s="8" t="s">
        <v>1020</v>
      </c>
      <c r="F176" s="8"/>
      <c r="G176" s="275" t="b">
        <v>0</v>
      </c>
      <c r="H176" s="8"/>
      <c r="I176" s="8"/>
      <c r="J176" s="8"/>
      <c r="K176" s="8"/>
      <c r="L176" s="8"/>
      <c r="M176" s="8" t="s">
        <v>446</v>
      </c>
      <c r="N176" s="8" t="s">
        <v>1354</v>
      </c>
      <c r="O176" s="1"/>
      <c r="P176" s="8" t="s">
        <v>23</v>
      </c>
      <c r="Q176" s="26">
        <v>43767.4372337963</v>
      </c>
      <c r="R176" s="8" t="s">
        <v>4207</v>
      </c>
      <c r="S176" s="26">
        <v>43699.635000000002</v>
      </c>
      <c r="T176" s="18">
        <v>14</v>
      </c>
    </row>
    <row r="177" spans="1:20" ht="15" x14ac:dyDescent="0.2">
      <c r="A177" s="274"/>
      <c r="B177" s="25" t="s">
        <v>607</v>
      </c>
      <c r="C177" s="8" t="s">
        <v>930</v>
      </c>
      <c r="D177" s="8" t="s">
        <v>1023</v>
      </c>
      <c r="E177" s="8" t="s">
        <v>1024</v>
      </c>
      <c r="F177" s="8"/>
      <c r="G177" s="275" t="b">
        <v>0</v>
      </c>
      <c r="H177" s="8"/>
      <c r="I177" s="8"/>
      <c r="J177" s="8"/>
      <c r="K177" s="8"/>
      <c r="L177" s="8"/>
      <c r="M177" s="8" t="s">
        <v>457</v>
      </c>
      <c r="N177" s="8" t="s">
        <v>1359</v>
      </c>
      <c r="O177" s="1"/>
      <c r="P177" s="8" t="s">
        <v>23</v>
      </c>
      <c r="Q177" s="26">
        <v>43767.437245370369</v>
      </c>
      <c r="R177" s="8" t="s">
        <v>4207</v>
      </c>
      <c r="S177" s="26">
        <v>43699.636944444443</v>
      </c>
      <c r="T177" s="18">
        <v>16</v>
      </c>
    </row>
    <row r="178" spans="1:20" ht="15" x14ac:dyDescent="0.2">
      <c r="A178" s="274"/>
      <c r="B178" s="25" t="s">
        <v>596</v>
      </c>
      <c r="C178" s="8" t="s">
        <v>6129</v>
      </c>
      <c r="D178" s="8"/>
      <c r="E178" s="8"/>
      <c r="F178" s="8"/>
      <c r="G178" s="275" t="b">
        <v>0</v>
      </c>
      <c r="H178" s="8"/>
      <c r="I178" s="8"/>
      <c r="J178" s="8"/>
      <c r="K178" s="8"/>
      <c r="L178" s="8"/>
      <c r="M178" s="8" t="s">
        <v>430</v>
      </c>
      <c r="N178" s="8" t="s">
        <v>1357</v>
      </c>
      <c r="O178" s="1"/>
      <c r="P178" s="8" t="s">
        <v>4206</v>
      </c>
      <c r="Q178" s="26">
        <v>44005.630636574075</v>
      </c>
      <c r="R178" s="8" t="s">
        <v>4207</v>
      </c>
      <c r="S178" s="26">
        <v>43699.637291666666</v>
      </c>
      <c r="T178" s="18">
        <v>17</v>
      </c>
    </row>
    <row r="179" spans="1:20" ht="15" x14ac:dyDescent="0.2">
      <c r="A179" s="274"/>
      <c r="B179" s="25" t="s">
        <v>604</v>
      </c>
      <c r="C179" s="8" t="s">
        <v>931</v>
      </c>
      <c r="D179" s="8" t="s">
        <v>932</v>
      </c>
      <c r="E179" s="8" t="s">
        <v>933</v>
      </c>
      <c r="F179" s="8"/>
      <c r="G179" s="275" t="b">
        <v>0</v>
      </c>
      <c r="H179" s="8"/>
      <c r="I179" s="8"/>
      <c r="J179" s="8" t="s">
        <v>934</v>
      </c>
      <c r="K179" s="8" t="s">
        <v>935</v>
      </c>
      <c r="L179" s="8"/>
      <c r="M179" s="8" t="s">
        <v>464</v>
      </c>
      <c r="N179" s="8" t="s">
        <v>1354</v>
      </c>
      <c r="O179" s="1"/>
      <c r="P179" s="8" t="s">
        <v>23</v>
      </c>
      <c r="Q179" s="26">
        <v>43767.437245370369</v>
      </c>
      <c r="R179" s="8" t="s">
        <v>4207</v>
      </c>
      <c r="S179" s="26">
        <v>43699.638414351852</v>
      </c>
      <c r="T179" s="18">
        <v>18</v>
      </c>
    </row>
    <row r="180" spans="1:20" ht="15" x14ac:dyDescent="0.2">
      <c r="A180" s="274"/>
      <c r="B180" s="25" t="s">
        <v>599</v>
      </c>
      <c r="C180" s="8" t="s">
        <v>936</v>
      </c>
      <c r="D180" s="8" t="s">
        <v>937</v>
      </c>
      <c r="E180" s="8" t="s">
        <v>938</v>
      </c>
      <c r="F180" s="8"/>
      <c r="G180" s="275" t="b">
        <v>0</v>
      </c>
      <c r="H180" s="8"/>
      <c r="I180" s="8"/>
      <c r="J180" s="8" t="s">
        <v>939</v>
      </c>
      <c r="K180" s="8" t="s">
        <v>940</v>
      </c>
      <c r="L180" s="8"/>
      <c r="M180" s="8" t="s">
        <v>469</v>
      </c>
      <c r="N180" s="8" t="s">
        <v>1354</v>
      </c>
      <c r="O180" s="1"/>
      <c r="P180" s="8" t="s">
        <v>23</v>
      </c>
      <c r="Q180" s="26">
        <v>43767.437245370369</v>
      </c>
      <c r="R180" s="8" t="s">
        <v>4207</v>
      </c>
      <c r="S180" s="26">
        <v>43700.317453703705</v>
      </c>
      <c r="T180" s="18">
        <v>19</v>
      </c>
    </row>
    <row r="181" spans="1:20" ht="15" x14ac:dyDescent="0.2">
      <c r="A181" s="274"/>
      <c r="B181" s="25" t="s">
        <v>612</v>
      </c>
      <c r="C181" s="8" t="s">
        <v>945</v>
      </c>
      <c r="D181" s="8" t="s">
        <v>946</v>
      </c>
      <c r="E181" s="8" t="s">
        <v>947</v>
      </c>
      <c r="F181" s="8"/>
      <c r="G181" s="275" t="b">
        <v>0</v>
      </c>
      <c r="H181" s="8"/>
      <c r="I181" s="8"/>
      <c r="J181" s="8" t="s">
        <v>948</v>
      </c>
      <c r="K181" s="8" t="s">
        <v>949</v>
      </c>
      <c r="L181" s="8"/>
      <c r="M181" s="8" t="s">
        <v>523</v>
      </c>
      <c r="N181" s="8" t="s">
        <v>1361</v>
      </c>
      <c r="O181" s="1"/>
      <c r="P181" s="8" t="s">
        <v>23</v>
      </c>
      <c r="Q181" s="26">
        <v>43767.437245370369</v>
      </c>
      <c r="R181" s="8" t="s">
        <v>4207</v>
      </c>
      <c r="S181" s="26">
        <v>43700.322789351849</v>
      </c>
      <c r="T181" s="18">
        <v>21</v>
      </c>
    </row>
    <row r="182" spans="1:20" ht="15" x14ac:dyDescent="0.2">
      <c r="A182" s="274"/>
      <c r="B182" s="25" t="s">
        <v>611</v>
      </c>
      <c r="C182" s="8" t="s">
        <v>950</v>
      </c>
      <c r="D182" s="8" t="s">
        <v>951</v>
      </c>
      <c r="E182" s="8" t="s">
        <v>952</v>
      </c>
      <c r="F182" s="8"/>
      <c r="G182" s="275" t="b">
        <v>0</v>
      </c>
      <c r="H182" s="8"/>
      <c r="I182" s="8"/>
      <c r="J182" s="8" t="s">
        <v>953</v>
      </c>
      <c r="K182" s="8"/>
      <c r="L182" s="8"/>
      <c r="M182" s="8" t="s">
        <v>544</v>
      </c>
      <c r="N182" s="8" t="s">
        <v>1354</v>
      </c>
      <c r="O182" s="1"/>
      <c r="P182" s="8" t="s">
        <v>23</v>
      </c>
      <c r="Q182" s="26">
        <v>43767.437245370369</v>
      </c>
      <c r="R182" s="8" t="s">
        <v>4207</v>
      </c>
      <c r="S182" s="26">
        <v>43700.323333333334</v>
      </c>
      <c r="T182" s="18">
        <v>22</v>
      </c>
    </row>
    <row r="183" spans="1:20" ht="15" x14ac:dyDescent="0.2">
      <c r="A183" s="274"/>
      <c r="B183" s="25" t="s">
        <v>600</v>
      </c>
      <c r="C183" s="8" t="s">
        <v>962</v>
      </c>
      <c r="D183" s="8" t="s">
        <v>963</v>
      </c>
      <c r="E183" s="8" t="s">
        <v>938</v>
      </c>
      <c r="F183" s="8"/>
      <c r="G183" s="275" t="b">
        <v>0</v>
      </c>
      <c r="H183" s="8"/>
      <c r="I183" s="8"/>
      <c r="J183" s="8" t="s">
        <v>964</v>
      </c>
      <c r="K183" s="8" t="s">
        <v>965</v>
      </c>
      <c r="L183" s="8"/>
      <c r="M183" s="8" t="s">
        <v>565</v>
      </c>
      <c r="N183" s="8" t="s">
        <v>1363</v>
      </c>
      <c r="O183" s="1"/>
      <c r="P183" s="8" t="s">
        <v>23</v>
      </c>
      <c r="Q183" s="26">
        <v>43767.4372337963</v>
      </c>
      <c r="R183" s="8" t="s">
        <v>4207</v>
      </c>
      <c r="S183" s="26">
        <v>43700.327719907407</v>
      </c>
      <c r="T183" s="18">
        <v>26</v>
      </c>
    </row>
    <row r="184" spans="1:20" ht="15" x14ac:dyDescent="0.2">
      <c r="A184" s="274"/>
      <c r="B184" s="25" t="s">
        <v>613</v>
      </c>
      <c r="C184" s="8" t="s">
        <v>966</v>
      </c>
      <c r="D184" s="8" t="s">
        <v>967</v>
      </c>
      <c r="E184" s="8" t="s">
        <v>968</v>
      </c>
      <c r="F184" s="8"/>
      <c r="G184" s="275" t="b">
        <v>0</v>
      </c>
      <c r="H184" s="8"/>
      <c r="I184" s="8"/>
      <c r="J184" s="8" t="s">
        <v>969</v>
      </c>
      <c r="K184" s="8" t="s">
        <v>970</v>
      </c>
      <c r="L184" s="8"/>
      <c r="M184" s="8" t="s">
        <v>571</v>
      </c>
      <c r="N184" s="8" t="s">
        <v>1354</v>
      </c>
      <c r="O184" s="1"/>
      <c r="P184" s="8" t="s">
        <v>23</v>
      </c>
      <c r="Q184" s="26">
        <v>43767.4372337963</v>
      </c>
      <c r="R184" s="8" t="s">
        <v>4207</v>
      </c>
      <c r="S184" s="26">
        <v>43700.328541666669</v>
      </c>
      <c r="T184" s="18">
        <v>27</v>
      </c>
    </row>
    <row r="185" spans="1:20" ht="15" x14ac:dyDescent="0.2">
      <c r="A185" s="274"/>
      <c r="B185" s="25" t="s">
        <v>597</v>
      </c>
      <c r="C185" s="8" t="s">
        <v>971</v>
      </c>
      <c r="D185" s="8"/>
      <c r="E185" s="8"/>
      <c r="F185" s="8"/>
      <c r="G185" s="275" t="b">
        <v>0</v>
      </c>
      <c r="H185" s="8"/>
      <c r="I185" s="8"/>
      <c r="J185" s="8" t="s">
        <v>972</v>
      </c>
      <c r="K185" s="8" t="s">
        <v>973</v>
      </c>
      <c r="L185" s="8"/>
      <c r="M185" s="8" t="s">
        <v>579</v>
      </c>
      <c r="N185" s="8" t="s">
        <v>1354</v>
      </c>
      <c r="O185" s="1"/>
      <c r="P185" s="8" t="s">
        <v>5648</v>
      </c>
      <c r="Q185" s="26">
        <v>43986.425555555557</v>
      </c>
      <c r="R185" s="8" t="s">
        <v>4207</v>
      </c>
      <c r="S185" s="26">
        <v>43700.329270833332</v>
      </c>
      <c r="T185" s="18">
        <v>28</v>
      </c>
    </row>
    <row r="186" spans="1:20" ht="15" x14ac:dyDescent="0.2">
      <c r="A186" s="274"/>
      <c r="B186" s="25" t="s">
        <v>622</v>
      </c>
      <c r="C186" s="8" t="s">
        <v>978</v>
      </c>
      <c r="D186" s="8" t="s">
        <v>1033</v>
      </c>
      <c r="E186" s="8" t="s">
        <v>1034</v>
      </c>
      <c r="F186" s="8"/>
      <c r="G186" s="275" t="b">
        <v>0</v>
      </c>
      <c r="H186" s="8"/>
      <c r="I186" s="8"/>
      <c r="J186" s="8" t="s">
        <v>980</v>
      </c>
      <c r="K186" s="8" t="s">
        <v>981</v>
      </c>
      <c r="L186" s="8" t="s">
        <v>979</v>
      </c>
      <c r="M186" s="8" t="s">
        <v>104</v>
      </c>
      <c r="N186" s="8" t="s">
        <v>1354</v>
      </c>
      <c r="O186" s="1"/>
      <c r="P186" s="8" t="s">
        <v>23</v>
      </c>
      <c r="Q186" s="26">
        <v>43767.4372337963</v>
      </c>
      <c r="R186" s="8" t="s">
        <v>4207</v>
      </c>
      <c r="S186" s="26">
        <v>43707.672673611109</v>
      </c>
      <c r="T186" s="18">
        <v>32</v>
      </c>
    </row>
    <row r="187" spans="1:20" ht="15" x14ac:dyDescent="0.2">
      <c r="A187" s="274"/>
      <c r="B187" s="25" t="s">
        <v>22</v>
      </c>
      <c r="C187" s="8" t="s">
        <v>1013</v>
      </c>
      <c r="D187" s="8" t="s">
        <v>1014</v>
      </c>
      <c r="E187" s="8" t="s">
        <v>1015</v>
      </c>
      <c r="F187" s="8" t="s">
        <v>1016</v>
      </c>
      <c r="G187" s="275" t="b">
        <v>0</v>
      </c>
      <c r="H187" s="8"/>
      <c r="I187" s="8"/>
      <c r="J187" s="8"/>
      <c r="K187" s="8"/>
      <c r="L187" s="8"/>
      <c r="M187" s="8" t="s">
        <v>875</v>
      </c>
      <c r="N187" s="8" t="s">
        <v>1374</v>
      </c>
      <c r="O187" s="1"/>
      <c r="P187" s="8" t="s">
        <v>23</v>
      </c>
      <c r="Q187" s="26">
        <v>43767.437245370369</v>
      </c>
      <c r="R187" s="8" t="s">
        <v>4207</v>
      </c>
      <c r="S187" s="26">
        <v>43727.652407407404</v>
      </c>
      <c r="T187" s="18">
        <v>72</v>
      </c>
    </row>
    <row r="188" spans="1:20" ht="76.5" x14ac:dyDescent="0.2">
      <c r="A188" s="274"/>
      <c r="B188" s="25" t="s">
        <v>2667</v>
      </c>
      <c r="C188" s="8" t="s">
        <v>2668</v>
      </c>
      <c r="D188" s="8" t="s">
        <v>2669</v>
      </c>
      <c r="E188" s="8" t="s">
        <v>2670</v>
      </c>
      <c r="F188" s="8" t="s">
        <v>2671</v>
      </c>
      <c r="G188" s="275" t="b">
        <v>1</v>
      </c>
      <c r="H188" s="8" t="s">
        <v>2672</v>
      </c>
      <c r="I188" s="8" t="s">
        <v>2671</v>
      </c>
      <c r="J188" s="8" t="s">
        <v>2674</v>
      </c>
      <c r="K188" s="8"/>
      <c r="L188" s="8" t="s">
        <v>2673</v>
      </c>
      <c r="M188" s="8" t="s">
        <v>2675</v>
      </c>
      <c r="N188" s="8" t="s">
        <v>2676</v>
      </c>
      <c r="O188" s="1" t="s">
        <v>2679</v>
      </c>
      <c r="P188" s="8" t="s">
        <v>1743</v>
      </c>
      <c r="Q188" s="26">
        <v>43850.676076388889</v>
      </c>
      <c r="R188" s="8" t="s">
        <v>1743</v>
      </c>
      <c r="S188" s="26">
        <v>43850.655138888891</v>
      </c>
      <c r="T188" s="18">
        <v>86</v>
      </c>
    </row>
    <row r="189" spans="1:20" ht="15" x14ac:dyDescent="0.2">
      <c r="A189" s="274"/>
      <c r="B189" s="25" t="s">
        <v>642</v>
      </c>
      <c r="C189" s="8" t="s">
        <v>4852</v>
      </c>
      <c r="D189" s="8"/>
      <c r="E189" s="8"/>
      <c r="F189" s="8"/>
      <c r="G189" s="275" t="b">
        <v>1</v>
      </c>
      <c r="H189" s="8" t="s">
        <v>1154</v>
      </c>
      <c r="I189" s="8"/>
      <c r="J189" s="8"/>
      <c r="K189" s="8"/>
      <c r="L189" s="8"/>
      <c r="M189" s="8" t="s">
        <v>66</v>
      </c>
      <c r="N189" s="8" t="s">
        <v>4853</v>
      </c>
      <c r="O189" s="1"/>
      <c r="P189" s="8" t="s">
        <v>4205</v>
      </c>
      <c r="Q189" s="26">
        <v>43936.48033564815</v>
      </c>
      <c r="R189" s="8" t="s">
        <v>4205</v>
      </c>
      <c r="S189" s="26">
        <v>43936.48033564815</v>
      </c>
      <c r="T189" s="18">
        <v>104</v>
      </c>
    </row>
    <row r="190" spans="1:20" ht="15" x14ac:dyDescent="0.2">
      <c r="A190" s="274"/>
      <c r="B190" s="25" t="s">
        <v>642</v>
      </c>
      <c r="C190" s="8" t="s">
        <v>4852</v>
      </c>
      <c r="D190" s="8"/>
      <c r="E190" s="8"/>
      <c r="F190" s="8"/>
      <c r="G190" s="275" t="b">
        <v>1</v>
      </c>
      <c r="H190" s="8" t="s">
        <v>4852</v>
      </c>
      <c r="I190" s="8"/>
      <c r="J190" s="8"/>
      <c r="K190" s="8"/>
      <c r="L190" s="8"/>
      <c r="M190" s="8" t="s">
        <v>66</v>
      </c>
      <c r="N190" s="8" t="s">
        <v>4853</v>
      </c>
      <c r="O190" s="1"/>
      <c r="P190" s="8" t="s">
        <v>4205</v>
      </c>
      <c r="Q190" s="26">
        <v>43936.483240740738</v>
      </c>
      <c r="R190" s="8" t="s">
        <v>4205</v>
      </c>
      <c r="S190" s="26">
        <v>43936.483240740738</v>
      </c>
      <c r="T190" s="18">
        <v>105</v>
      </c>
    </row>
    <row r="191" spans="1:20" ht="15" x14ac:dyDescent="0.2">
      <c r="A191" s="260">
        <f>SUBTOTAL(103,SP_Contacts_DB[Acquisition Tract No.])</f>
        <v>172</v>
      </c>
      <c r="B191" s="260">
        <f>SUBTOTAL(103,SP_Contacts_DB[Tax Parcel ID])</f>
        <v>189</v>
      </c>
      <c r="C191" s="259">
        <f>SUBTOTAL(103,SP_Contacts_DB[ACQ Contact Name])</f>
        <v>189</v>
      </c>
      <c r="D191" s="259"/>
      <c r="E191" s="259"/>
      <c r="F191" s="259"/>
      <c r="G191" s="259"/>
      <c r="H191" s="259"/>
      <c r="I191" s="259"/>
      <c r="J191" s="259"/>
      <c r="K191" s="259"/>
      <c r="L191" s="259"/>
      <c r="M191" s="259"/>
      <c r="N191" s="259"/>
      <c r="O191" s="265"/>
      <c r="P191" s="259"/>
      <c r="Q191" s="272"/>
      <c r="R191" s="259"/>
      <c r="S191" s="272"/>
      <c r="T191" s="273"/>
    </row>
  </sheetData>
  <pageMargins left="0.7" right="0.7" top="0.75" bottom="0.75" header="0.3" footer="0.3"/>
  <pageSetup orientation="portrait" horizontalDpi="1200" verticalDpi="1200" r:id="rId1"/>
  <tableParts count="1">
    <tablePart r:id="rId2"/>
  </tableParts>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8">
    <tabColor theme="1"/>
  </sheetPr>
  <dimension ref="A1:I39"/>
  <sheetViews>
    <sheetView workbookViewId="0">
      <pane ySplit="1" topLeftCell="A2" activePane="bottomLeft" state="frozen"/>
      <selection pane="bottomLeft" activeCell="A2" sqref="A2"/>
    </sheetView>
  </sheetViews>
  <sheetFormatPr defaultRowHeight="12.75" x14ac:dyDescent="0.2"/>
  <cols>
    <col min="1" max="1" width="61.28515625" bestFit="1" customWidth="1"/>
    <col min="2" max="2" width="19.85546875" bestFit="1" customWidth="1"/>
    <col min="3" max="3" width="48" bestFit="1" customWidth="1"/>
    <col min="4" max="4" width="27.28515625" bestFit="1" customWidth="1"/>
    <col min="5" max="5" width="14.28515625" bestFit="1" customWidth="1"/>
    <col min="6" max="6" width="13.42578125" bestFit="1" customWidth="1"/>
    <col min="7" max="7" width="16.42578125" bestFit="1" customWidth="1"/>
    <col min="8" max="8" width="12.7109375" bestFit="1" customWidth="1"/>
    <col min="9" max="9" width="16.42578125" bestFit="1" customWidth="1"/>
    <col min="12" max="12" width="12.42578125" bestFit="1" customWidth="1"/>
    <col min="13" max="13" width="35.5703125" bestFit="1" customWidth="1"/>
  </cols>
  <sheetData>
    <row r="1" spans="1:9" ht="15.75" x14ac:dyDescent="0.2">
      <c r="A1" s="10" t="s">
        <v>857</v>
      </c>
      <c r="B1" s="2" t="s">
        <v>856</v>
      </c>
      <c r="C1" s="58" t="s">
        <v>1129</v>
      </c>
      <c r="D1" s="51" t="s">
        <v>1130</v>
      </c>
      <c r="E1" s="51" t="s">
        <v>1396</v>
      </c>
      <c r="F1" s="2" t="s">
        <v>19</v>
      </c>
      <c r="G1" s="2" t="s">
        <v>18</v>
      </c>
      <c r="H1" s="2" t="s">
        <v>20</v>
      </c>
      <c r="I1" s="2" t="s">
        <v>17</v>
      </c>
    </row>
    <row r="2" spans="1:9" x14ac:dyDescent="0.2">
      <c r="A2" s="3" t="s">
        <v>6701</v>
      </c>
      <c r="B2" s="3" t="s">
        <v>6702</v>
      </c>
      <c r="C2" s="3" t="s">
        <v>6703</v>
      </c>
      <c r="D2" s="3"/>
      <c r="E2" s="7" t="s">
        <v>1393</v>
      </c>
      <c r="F2" s="16">
        <v>44022.390810185185</v>
      </c>
      <c r="G2" s="3" t="s">
        <v>4206</v>
      </c>
      <c r="H2" s="16">
        <v>44022.390810185185</v>
      </c>
      <c r="I2" s="3" t="s">
        <v>4206</v>
      </c>
    </row>
    <row r="3" spans="1:9" x14ac:dyDescent="0.2">
      <c r="A3" s="3" t="s">
        <v>4751</v>
      </c>
      <c r="B3" s="3" t="s">
        <v>1131</v>
      </c>
      <c r="C3" s="3" t="s">
        <v>4753</v>
      </c>
      <c r="D3" s="3"/>
      <c r="E3" s="7" t="s">
        <v>6662</v>
      </c>
      <c r="F3" s="16">
        <v>43936.334247685183</v>
      </c>
      <c r="G3" s="3" t="s">
        <v>4206</v>
      </c>
      <c r="H3" s="16">
        <v>43682.594976851855</v>
      </c>
      <c r="I3" s="3" t="s">
        <v>23</v>
      </c>
    </row>
    <row r="4" spans="1:9" x14ac:dyDescent="0.2">
      <c r="A4" s="3" t="s">
        <v>4754</v>
      </c>
      <c r="B4" s="3" t="s">
        <v>1131</v>
      </c>
      <c r="C4" s="3" t="s">
        <v>4755</v>
      </c>
      <c r="D4" s="3"/>
      <c r="E4" s="7" t="s">
        <v>6719</v>
      </c>
      <c r="F4" s="16">
        <v>43936.333738425928</v>
      </c>
      <c r="G4" s="3" t="s">
        <v>4206</v>
      </c>
      <c r="H4" s="16">
        <v>43682.594976851855</v>
      </c>
      <c r="I4" s="3" t="s">
        <v>23</v>
      </c>
    </row>
    <row r="5" spans="1:9" x14ac:dyDescent="0.2">
      <c r="A5" s="3" t="s">
        <v>4827</v>
      </c>
      <c r="B5" s="3" t="s">
        <v>1131</v>
      </c>
      <c r="C5" s="3" t="s">
        <v>4828</v>
      </c>
      <c r="D5" s="3"/>
      <c r="E5" s="7" t="s">
        <v>6663</v>
      </c>
      <c r="F5" s="16">
        <v>43936.342118055552</v>
      </c>
      <c r="G5" s="3" t="s">
        <v>4206</v>
      </c>
      <c r="H5" s="16">
        <v>43682.594976851855</v>
      </c>
      <c r="I5" s="3" t="s">
        <v>23</v>
      </c>
    </row>
    <row r="6" spans="1:9" x14ac:dyDescent="0.2">
      <c r="A6" s="3" t="s">
        <v>4756</v>
      </c>
      <c r="B6" s="3" t="s">
        <v>1131</v>
      </c>
      <c r="C6" s="3" t="s">
        <v>4757</v>
      </c>
      <c r="D6" s="3"/>
      <c r="E6" s="7" t="s">
        <v>6719</v>
      </c>
      <c r="F6" s="16">
        <v>43936.338009259256</v>
      </c>
      <c r="G6" s="3" t="s">
        <v>4206</v>
      </c>
      <c r="H6" s="16">
        <v>43682.594976851855</v>
      </c>
      <c r="I6" s="3" t="s">
        <v>23</v>
      </c>
    </row>
    <row r="7" spans="1:9" x14ac:dyDescent="0.2">
      <c r="A7" s="3" t="s">
        <v>4956</v>
      </c>
      <c r="B7" s="3" t="s">
        <v>1131</v>
      </c>
      <c r="C7" s="3" t="s">
        <v>4957</v>
      </c>
      <c r="D7" s="3"/>
      <c r="E7" s="7" t="s">
        <v>73</v>
      </c>
      <c r="F7" s="16">
        <v>43949.761018518519</v>
      </c>
      <c r="G7" s="3" t="s">
        <v>4206</v>
      </c>
      <c r="H7" s="16">
        <v>43682.594976851855</v>
      </c>
      <c r="I7" s="3" t="s">
        <v>23</v>
      </c>
    </row>
    <row r="8" spans="1:9" x14ac:dyDescent="0.2">
      <c r="A8" s="3" t="s">
        <v>4958</v>
      </c>
      <c r="B8" s="3" t="s">
        <v>1131</v>
      </c>
      <c r="C8" s="3" t="s">
        <v>4959</v>
      </c>
      <c r="D8" s="3"/>
      <c r="E8" s="7" t="s">
        <v>6700</v>
      </c>
      <c r="F8" s="16">
        <v>43949.75886574074</v>
      </c>
      <c r="G8" s="3" t="s">
        <v>4206</v>
      </c>
      <c r="H8" s="16">
        <v>43949.75886574074</v>
      </c>
      <c r="I8" s="3" t="s">
        <v>4206</v>
      </c>
    </row>
    <row r="9" spans="1:9" x14ac:dyDescent="0.2">
      <c r="A9" s="3" t="s">
        <v>4972</v>
      </c>
      <c r="B9" s="3" t="s">
        <v>1131</v>
      </c>
      <c r="C9" s="3" t="s">
        <v>4973</v>
      </c>
      <c r="D9" s="3"/>
      <c r="E9" s="7" t="s">
        <v>2680</v>
      </c>
      <c r="F9" s="16">
        <v>43949.759895833333</v>
      </c>
      <c r="G9" s="3" t="s">
        <v>4206</v>
      </c>
      <c r="H9" s="16">
        <v>43949.759895833333</v>
      </c>
      <c r="I9" s="3" t="s">
        <v>4206</v>
      </c>
    </row>
    <row r="10" spans="1:9" x14ac:dyDescent="0.2">
      <c r="A10" s="3" t="s">
        <v>6461</v>
      </c>
      <c r="B10" s="3" t="s">
        <v>1133</v>
      </c>
      <c r="C10" s="3" t="s">
        <v>6462</v>
      </c>
      <c r="D10" s="3" t="s">
        <v>6463</v>
      </c>
      <c r="E10" s="7" t="s">
        <v>73</v>
      </c>
      <c r="F10" s="16">
        <v>44007.596122685187</v>
      </c>
      <c r="G10" s="3" t="s">
        <v>4206</v>
      </c>
      <c r="H10" s="16">
        <v>44007.596122685187</v>
      </c>
      <c r="I10" s="3" t="s">
        <v>4206</v>
      </c>
    </row>
    <row r="11" spans="1:9" x14ac:dyDescent="0.2">
      <c r="A11" s="3" t="s">
        <v>1132</v>
      </c>
      <c r="B11" s="3" t="s">
        <v>1133</v>
      </c>
      <c r="C11" s="3" t="s">
        <v>1134</v>
      </c>
      <c r="D11" s="3" t="s">
        <v>1135</v>
      </c>
      <c r="E11" s="7" t="s">
        <v>1393</v>
      </c>
      <c r="F11" s="16">
        <v>43682.594976851855</v>
      </c>
      <c r="G11" s="3" t="s">
        <v>23</v>
      </c>
      <c r="H11" s="16">
        <v>43682.594976851855</v>
      </c>
      <c r="I11" s="3" t="s">
        <v>23</v>
      </c>
    </row>
    <row r="12" spans="1:9" x14ac:dyDescent="0.2">
      <c r="A12" s="3" t="s">
        <v>1136</v>
      </c>
      <c r="B12" s="3" t="s">
        <v>1133</v>
      </c>
      <c r="C12" s="3" t="s">
        <v>1137</v>
      </c>
      <c r="D12" s="3" t="s">
        <v>1138</v>
      </c>
      <c r="E12" s="7" t="s">
        <v>1393</v>
      </c>
      <c r="F12" s="16">
        <v>43682.594976851855</v>
      </c>
      <c r="G12" s="3" t="s">
        <v>23</v>
      </c>
      <c r="H12" s="16">
        <v>43682.594976851855</v>
      </c>
      <c r="I12" s="3" t="s">
        <v>23</v>
      </c>
    </row>
    <row r="13" spans="1:9" x14ac:dyDescent="0.2">
      <c r="A13" s="3" t="s">
        <v>1139</v>
      </c>
      <c r="B13" s="3" t="s">
        <v>1133</v>
      </c>
      <c r="C13" s="3" t="s">
        <v>1140</v>
      </c>
      <c r="D13" s="3" t="s">
        <v>1141</v>
      </c>
      <c r="E13" s="7" t="s">
        <v>1393</v>
      </c>
      <c r="F13" s="16">
        <v>43682.594976851855</v>
      </c>
      <c r="G13" s="3" t="s">
        <v>23</v>
      </c>
      <c r="H13" s="16">
        <v>43682.594976851855</v>
      </c>
      <c r="I13" s="3" t="s">
        <v>23</v>
      </c>
    </row>
    <row r="14" spans="1:9" x14ac:dyDescent="0.2">
      <c r="A14" s="3" t="s">
        <v>624</v>
      </c>
      <c r="B14" s="3" t="s">
        <v>865</v>
      </c>
      <c r="C14" s="3" t="s">
        <v>867</v>
      </c>
      <c r="D14" s="3"/>
      <c r="E14" s="7" t="s">
        <v>73</v>
      </c>
      <c r="F14" s="16">
        <v>43695.619340277779</v>
      </c>
      <c r="G14" s="3" t="s">
        <v>23</v>
      </c>
      <c r="H14" s="16">
        <v>43695.619247685187</v>
      </c>
      <c r="I14" s="3" t="s">
        <v>23</v>
      </c>
    </row>
    <row r="15" spans="1:9" x14ac:dyDescent="0.2">
      <c r="A15" s="3" t="s">
        <v>618</v>
      </c>
      <c r="B15" s="3" t="s">
        <v>865</v>
      </c>
      <c r="C15" s="3" t="s">
        <v>866</v>
      </c>
      <c r="D15" s="3"/>
      <c r="E15" s="7" t="s">
        <v>1397</v>
      </c>
      <c r="F15" s="16">
        <v>43695.619201388887</v>
      </c>
      <c r="G15" s="3" t="s">
        <v>23</v>
      </c>
      <c r="H15" s="16">
        <v>43695.618981481479</v>
      </c>
      <c r="I15" s="3" t="s">
        <v>23</v>
      </c>
    </row>
    <row r="16" spans="1:9" x14ac:dyDescent="0.2">
      <c r="A16" s="3" t="s">
        <v>1400</v>
      </c>
      <c r="B16" s="3" t="s">
        <v>865</v>
      </c>
      <c r="C16" s="3" t="s">
        <v>1401</v>
      </c>
      <c r="D16" s="3"/>
      <c r="E16" s="7" t="s">
        <v>4345</v>
      </c>
      <c r="F16" s="16">
        <v>43768.384895833333</v>
      </c>
      <c r="G16" s="3" t="s">
        <v>4207</v>
      </c>
      <c r="H16" s="16">
        <v>43682.594976851855</v>
      </c>
      <c r="I16" s="3" t="s">
        <v>23</v>
      </c>
    </row>
    <row r="17" spans="1:9" x14ac:dyDescent="0.2">
      <c r="A17" s="3" t="s">
        <v>1067</v>
      </c>
      <c r="B17" s="3" t="s">
        <v>865</v>
      </c>
      <c r="C17" s="3" t="s">
        <v>1068</v>
      </c>
      <c r="D17" s="3"/>
      <c r="E17" s="7" t="s">
        <v>3066</v>
      </c>
      <c r="F17" s="16">
        <v>43728.526516203703</v>
      </c>
      <c r="G17" s="3" t="s">
        <v>4207</v>
      </c>
      <c r="H17" s="16">
        <v>43728.526516203703</v>
      </c>
      <c r="I17" s="3" t="s">
        <v>4207</v>
      </c>
    </row>
    <row r="18" spans="1:9" x14ac:dyDescent="0.2">
      <c r="A18" s="3" t="s">
        <v>1747</v>
      </c>
      <c r="B18" s="3" t="s">
        <v>865</v>
      </c>
      <c r="C18" s="3" t="s">
        <v>1748</v>
      </c>
      <c r="D18" s="3"/>
      <c r="E18" s="7" t="s">
        <v>2680</v>
      </c>
      <c r="F18" s="16">
        <v>43823.40353009259</v>
      </c>
      <c r="G18" s="3" t="s">
        <v>23</v>
      </c>
      <c r="H18" s="16">
        <v>43823.401817129627</v>
      </c>
      <c r="I18" s="3" t="s">
        <v>23</v>
      </c>
    </row>
    <row r="19" spans="1:9" x14ac:dyDescent="0.2">
      <c r="A19" s="3" t="s">
        <v>2681</v>
      </c>
      <c r="B19" s="3" t="s">
        <v>2682</v>
      </c>
      <c r="C19" s="3" t="s">
        <v>2683</v>
      </c>
      <c r="D19" s="3"/>
      <c r="E19" s="7" t="s">
        <v>6016</v>
      </c>
      <c r="F19" s="16">
        <v>43861.488796296297</v>
      </c>
      <c r="G19" s="3" t="s">
        <v>23</v>
      </c>
      <c r="H19" s="16">
        <v>43858.560601851852</v>
      </c>
      <c r="I19" s="3" t="s">
        <v>4207</v>
      </c>
    </row>
    <row r="20" spans="1:9" x14ac:dyDescent="0.2">
      <c r="A20" s="3" t="s">
        <v>2684</v>
      </c>
      <c r="B20" s="3" t="s">
        <v>2682</v>
      </c>
      <c r="C20" s="3" t="s">
        <v>2685</v>
      </c>
      <c r="D20" s="3"/>
      <c r="E20" s="7" t="s">
        <v>1393</v>
      </c>
      <c r="F20" s="16">
        <v>43861.488645833335</v>
      </c>
      <c r="G20" s="3" t="s">
        <v>23</v>
      </c>
      <c r="H20" s="16">
        <v>43861.444386574076</v>
      </c>
      <c r="I20" s="3" t="s">
        <v>4207</v>
      </c>
    </row>
    <row r="21" spans="1:9" x14ac:dyDescent="0.2">
      <c r="A21" s="3" t="s">
        <v>2686</v>
      </c>
      <c r="B21" s="3" t="s">
        <v>2682</v>
      </c>
      <c r="C21" s="3" t="s">
        <v>2687</v>
      </c>
      <c r="D21" s="3"/>
      <c r="E21" s="7" t="s">
        <v>1398</v>
      </c>
      <c r="F21" s="16">
        <v>43861.488402777781</v>
      </c>
      <c r="G21" s="3" t="s">
        <v>23</v>
      </c>
      <c r="H21" s="16">
        <v>43861.447025462963</v>
      </c>
      <c r="I21" s="3" t="s">
        <v>4207</v>
      </c>
    </row>
    <row r="22" spans="1:9" x14ac:dyDescent="0.2">
      <c r="A22" s="3" t="s">
        <v>6668</v>
      </c>
      <c r="B22" s="3" t="s">
        <v>1142</v>
      </c>
      <c r="C22" s="3" t="s">
        <v>6669</v>
      </c>
      <c r="D22" s="3" t="s">
        <v>6677</v>
      </c>
      <c r="E22" s="7" t="s">
        <v>73</v>
      </c>
      <c r="F22" s="16">
        <v>44021.435300925928</v>
      </c>
      <c r="G22" s="3" t="s">
        <v>4206</v>
      </c>
      <c r="H22" s="16">
        <v>43682.594976851855</v>
      </c>
      <c r="I22" s="3" t="s">
        <v>23</v>
      </c>
    </row>
    <row r="23" spans="1:9" x14ac:dyDescent="0.2">
      <c r="A23" s="3" t="s">
        <v>1709</v>
      </c>
      <c r="B23" s="3" t="s">
        <v>1142</v>
      </c>
      <c r="C23" s="3" t="s">
        <v>1143</v>
      </c>
      <c r="D23" s="3"/>
      <c r="E23" s="7" t="s">
        <v>4693</v>
      </c>
      <c r="F23" s="16">
        <v>43768.354513888888</v>
      </c>
      <c r="G23" s="3" t="s">
        <v>4207</v>
      </c>
      <c r="H23" s="16">
        <v>43768.354513888888</v>
      </c>
      <c r="I23" s="3" t="s">
        <v>4207</v>
      </c>
    </row>
    <row r="24" spans="1:9" x14ac:dyDescent="0.2">
      <c r="A24" s="3" t="s">
        <v>6670</v>
      </c>
      <c r="B24" s="3" t="s">
        <v>1142</v>
      </c>
      <c r="C24" s="3" t="s">
        <v>6671</v>
      </c>
      <c r="D24" s="3" t="s">
        <v>1143</v>
      </c>
      <c r="E24" s="7" t="s">
        <v>73</v>
      </c>
      <c r="F24" s="16">
        <v>44021.437199074076</v>
      </c>
      <c r="G24" s="3" t="s">
        <v>4206</v>
      </c>
      <c r="H24" s="16">
        <v>44021.437199074076</v>
      </c>
      <c r="I24" s="3" t="s">
        <v>4206</v>
      </c>
    </row>
    <row r="25" spans="1:9" x14ac:dyDescent="0.2">
      <c r="A25" s="3" t="s">
        <v>1710</v>
      </c>
      <c r="B25" s="3" t="s">
        <v>1142</v>
      </c>
      <c r="C25" s="3" t="s">
        <v>1144</v>
      </c>
      <c r="D25" s="3"/>
      <c r="E25" s="7" t="s">
        <v>4693</v>
      </c>
      <c r="F25" s="16">
        <v>43768.354803240742</v>
      </c>
      <c r="G25" s="3" t="s">
        <v>4207</v>
      </c>
      <c r="H25" s="16">
        <v>43768.354803240742</v>
      </c>
      <c r="I25" s="3" t="s">
        <v>4207</v>
      </c>
    </row>
    <row r="26" spans="1:9" x14ac:dyDescent="0.2">
      <c r="A26" s="3" t="s">
        <v>1745</v>
      </c>
      <c r="B26" s="3" t="s">
        <v>1142</v>
      </c>
      <c r="C26" s="3" t="s">
        <v>1746</v>
      </c>
      <c r="D26" s="3"/>
      <c r="E26" s="7" t="s">
        <v>1398</v>
      </c>
      <c r="F26" s="16">
        <v>43823.384594907409</v>
      </c>
      <c r="G26" s="3" t="s">
        <v>23</v>
      </c>
      <c r="H26" s="16">
        <v>43752.437291666669</v>
      </c>
      <c r="I26" s="3" t="s">
        <v>4207</v>
      </c>
    </row>
    <row r="27" spans="1:9" x14ac:dyDescent="0.2">
      <c r="A27" s="3" t="s">
        <v>1403</v>
      </c>
      <c r="B27" s="3" t="s">
        <v>1142</v>
      </c>
      <c r="C27" s="3" t="s">
        <v>1404</v>
      </c>
      <c r="D27" s="3"/>
      <c r="E27" s="7" t="s">
        <v>5035</v>
      </c>
      <c r="F27" s="16">
        <v>43768.354097222225</v>
      </c>
      <c r="G27" s="3" t="s">
        <v>4207</v>
      </c>
      <c r="H27" s="16">
        <v>43768.354097222225</v>
      </c>
      <c r="I27" s="3" t="s">
        <v>4207</v>
      </c>
    </row>
    <row r="28" spans="1:9" x14ac:dyDescent="0.2">
      <c r="A28" s="3" t="s">
        <v>5660</v>
      </c>
      <c r="B28" s="3" t="s">
        <v>1146</v>
      </c>
      <c r="C28" s="3" t="s">
        <v>2683</v>
      </c>
      <c r="D28" s="3" t="s">
        <v>5706</v>
      </c>
      <c r="E28" s="7" t="s">
        <v>6731</v>
      </c>
      <c r="F28" s="16">
        <v>43985.448958333334</v>
      </c>
      <c r="G28" s="3" t="s">
        <v>4206</v>
      </c>
      <c r="H28" s="16">
        <v>43985.446064814816</v>
      </c>
      <c r="I28" s="3" t="s">
        <v>4206</v>
      </c>
    </row>
    <row r="29" spans="1:9" x14ac:dyDescent="0.2">
      <c r="A29" s="3" t="s">
        <v>5659</v>
      </c>
      <c r="B29" s="3" t="s">
        <v>1146</v>
      </c>
      <c r="C29" s="3" t="s">
        <v>2687</v>
      </c>
      <c r="D29" s="3" t="s">
        <v>5706</v>
      </c>
      <c r="E29" s="7" t="s">
        <v>5823</v>
      </c>
      <c r="F29" s="16">
        <v>43985.449062500003</v>
      </c>
      <c r="G29" s="3" t="s">
        <v>4206</v>
      </c>
      <c r="H29" s="16">
        <v>43984.74009259259</v>
      </c>
      <c r="I29" s="3" t="s">
        <v>4206</v>
      </c>
    </row>
    <row r="30" spans="1:9" x14ac:dyDescent="0.2">
      <c r="A30" s="3" t="s">
        <v>3502</v>
      </c>
      <c r="B30" s="3" t="s">
        <v>858</v>
      </c>
      <c r="C30" s="3" t="s">
        <v>3503</v>
      </c>
      <c r="D30" s="3"/>
      <c r="E30" s="7" t="s">
        <v>6016</v>
      </c>
      <c r="F30" s="16">
        <v>43881.618958333333</v>
      </c>
      <c r="G30" s="3" t="s">
        <v>23</v>
      </c>
      <c r="H30" s="16">
        <v>43682.594976851855</v>
      </c>
      <c r="I30" s="3" t="s">
        <v>23</v>
      </c>
    </row>
    <row r="31" spans="1:9" x14ac:dyDescent="0.2">
      <c r="A31" s="3" t="s">
        <v>3509</v>
      </c>
      <c r="B31" s="3" t="s">
        <v>858</v>
      </c>
      <c r="C31" s="3" t="s">
        <v>3510</v>
      </c>
      <c r="D31" s="3"/>
      <c r="E31" s="7" t="s">
        <v>6664</v>
      </c>
      <c r="F31" s="16">
        <v>43881.584398148145</v>
      </c>
      <c r="G31" s="3" t="s">
        <v>4206</v>
      </c>
      <c r="H31" s="16">
        <v>43881.584398148145</v>
      </c>
      <c r="I31" s="3" t="s">
        <v>4206</v>
      </c>
    </row>
    <row r="32" spans="1:9" x14ac:dyDescent="0.2">
      <c r="A32" s="3" t="s">
        <v>591</v>
      </c>
      <c r="B32" s="3" t="s">
        <v>858</v>
      </c>
      <c r="C32" s="3" t="s">
        <v>859</v>
      </c>
      <c r="D32" s="3" t="s">
        <v>5707</v>
      </c>
      <c r="E32" s="7" t="s">
        <v>5708</v>
      </c>
      <c r="F32" s="16">
        <v>43985.449236111112</v>
      </c>
      <c r="G32" s="3" t="s">
        <v>4206</v>
      </c>
      <c r="H32" s="16">
        <v>43682.594976851855</v>
      </c>
      <c r="I32" s="3" t="s">
        <v>23</v>
      </c>
    </row>
    <row r="33" spans="1:9" x14ac:dyDescent="0.2">
      <c r="A33" s="3" t="s">
        <v>598</v>
      </c>
      <c r="B33" s="3" t="s">
        <v>858</v>
      </c>
      <c r="C33" s="3" t="s">
        <v>860</v>
      </c>
      <c r="D33" s="3" t="s">
        <v>5709</v>
      </c>
      <c r="E33" s="7" t="s">
        <v>6732</v>
      </c>
      <c r="F33" s="16">
        <v>43985.449374999997</v>
      </c>
      <c r="G33" s="3" t="s">
        <v>4206</v>
      </c>
      <c r="H33" s="16">
        <v>43693.349687499998</v>
      </c>
      <c r="I33" s="3" t="s">
        <v>4207</v>
      </c>
    </row>
    <row r="34" spans="1:9" x14ac:dyDescent="0.2">
      <c r="A34" s="3" t="s">
        <v>614</v>
      </c>
      <c r="B34" s="3" t="s">
        <v>861</v>
      </c>
      <c r="C34" s="3" t="s">
        <v>862</v>
      </c>
      <c r="D34" s="3"/>
      <c r="E34" s="7" t="s">
        <v>6665</v>
      </c>
      <c r="F34" s="16">
        <v>43682.594976851855</v>
      </c>
      <c r="G34" s="3" t="s">
        <v>23</v>
      </c>
      <c r="H34" s="16">
        <v>43682.594976851855</v>
      </c>
      <c r="I34" s="3" t="s">
        <v>23</v>
      </c>
    </row>
    <row r="35" spans="1:9" x14ac:dyDescent="0.2">
      <c r="A35" s="3" t="s">
        <v>616</v>
      </c>
      <c r="B35" s="3" t="s">
        <v>861</v>
      </c>
      <c r="C35" s="3" t="s">
        <v>863</v>
      </c>
      <c r="D35" s="3"/>
      <c r="E35" s="7" t="s">
        <v>6664</v>
      </c>
      <c r="F35" s="16">
        <v>43682.594976851855</v>
      </c>
      <c r="G35" s="3" t="s">
        <v>23</v>
      </c>
      <c r="H35" s="16">
        <v>43682.594976851855</v>
      </c>
      <c r="I35" s="3" t="s">
        <v>23</v>
      </c>
    </row>
    <row r="36" spans="1:9" x14ac:dyDescent="0.2">
      <c r="A36" s="3" t="s">
        <v>617</v>
      </c>
      <c r="B36" s="3" t="s">
        <v>861</v>
      </c>
      <c r="C36" s="3" t="s">
        <v>864</v>
      </c>
      <c r="D36" s="3"/>
      <c r="E36" s="7" t="s">
        <v>6452</v>
      </c>
      <c r="F36" s="16">
        <v>43682.594976851855</v>
      </c>
      <c r="G36" s="3" t="s">
        <v>23</v>
      </c>
      <c r="H36" s="16">
        <v>43682.594976851855</v>
      </c>
      <c r="I36" s="3" t="s">
        <v>23</v>
      </c>
    </row>
    <row r="37" spans="1:9" x14ac:dyDescent="0.2">
      <c r="A37" s="3" t="s">
        <v>1147</v>
      </c>
      <c r="B37" s="3" t="s">
        <v>861</v>
      </c>
      <c r="C37" s="3" t="s">
        <v>1148</v>
      </c>
      <c r="D37" s="3"/>
      <c r="E37" s="7" t="s">
        <v>4693</v>
      </c>
      <c r="F37" s="16">
        <v>43682.594976851855</v>
      </c>
      <c r="G37" s="3" t="s">
        <v>23</v>
      </c>
      <c r="H37" s="16">
        <v>43682.594976851855</v>
      </c>
      <c r="I37" s="3" t="s">
        <v>23</v>
      </c>
    </row>
    <row r="38" spans="1:9" x14ac:dyDescent="0.2">
      <c r="A38" s="3" t="s">
        <v>1149</v>
      </c>
      <c r="B38" s="3" t="s">
        <v>861</v>
      </c>
      <c r="C38" s="3" t="s">
        <v>1150</v>
      </c>
      <c r="D38" s="3"/>
      <c r="E38" s="7" t="s">
        <v>3028</v>
      </c>
      <c r="F38" s="16">
        <v>43682.594976851855</v>
      </c>
      <c r="G38" s="3" t="s">
        <v>23</v>
      </c>
      <c r="H38" s="16">
        <v>43682.594976851855</v>
      </c>
      <c r="I38" s="3" t="s">
        <v>23</v>
      </c>
    </row>
    <row r="39" spans="1:9" ht="15.75" x14ac:dyDescent="0.25">
      <c r="A39" s="260">
        <f>SUBTOTAL(103,SP_ACQ_DocType[Document Type])</f>
        <v>37</v>
      </c>
      <c r="B39" s="55"/>
      <c r="C39" s="55"/>
      <c r="D39" s="55"/>
      <c r="E39" s="276">
        <f t="array" ref="E39">SUM(VALUE(SP_ACQ_DocType[No.of Docs]))</f>
        <v>1013</v>
      </c>
      <c r="F39" s="55"/>
      <c r="G39" s="55"/>
      <c r="H39" s="55"/>
      <c r="I39" s="55">
        <f>SUBTOTAL(103,SP_ACQ_DocType[Created By])</f>
        <v>37</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item1.xml><?xml version="1.0" encoding="utf-8"?>
<?mso-contentType ?>
<spe:Receivers xmlns:spe="http://schemas.microsoft.com/sharepoint/events">
  <Receiver>
    <Name>Document ID Generator</Name>
    <Synchronization>Synchronous</Synchronization>
    <Type>10001</Type>
    <SequenceNumber>1000</SequenceNumber>
    <Assembly>Microsoft.Office.DocumentManagement, Version=14.0.0.0, Culture=neutral, PublicKeyToken=71e9bce111e9429c</Assembly>
    <Class>Microsoft.Office.DocumentManagement.Internal.DocIdHandler</Class>
    <Data/>
    <Filter/>
  </Receiver>
  <Receiver>
    <Name>Document ID Generator</Name>
    <Synchronization>Synchronous</Synchronization>
    <Type>10002</Type>
    <SequenceNumber>1001</SequenceNumber>
    <Assembly>Microsoft.Office.DocumentManagement, Version=14.0.0.0, Culture=neutral, PublicKeyToken=71e9bce111e9429c</Assembly>
    <Class>Microsoft.Office.DocumentManagement.Internal.DocIdHandler</Class>
    <Data/>
    <Filter/>
  </Receiver>
  <Receiver>
    <Name>Document ID Generator</Name>
    <Synchronization>Synchronous</Synchronization>
    <Type>10004</Type>
    <SequenceNumber>1002</SequenceNumber>
    <Assembly>Microsoft.Office.DocumentManagement, Version=14.0.0.0, Culture=neutral, PublicKeyToken=71e9bce111e9429c</Assembly>
    <Class>Microsoft.Office.DocumentManagement.Internal.DocIdHandler</Class>
    <Data/>
    <Filter/>
  </Receiver>
  <Receiver>
    <Name>Document ID Generator</Name>
    <Synchronization>Synchronous</Synchronization>
    <Type>10006</Type>
    <SequenceNumber>1003</SequenceNumber>
    <Assembly>Microsoft.Office.DocumentManagement, Version=14.0.0.0, Culture=neutral, PublicKeyToken=71e9bce111e9429c</Assembly>
    <Class>Microsoft.Office.DocumentManagement.Internal.DocIdHandler</Class>
    <Data/>
    <Filter/>
  </Receiver>
</spe:Receiver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_dlc_DocId xmlns="aa992af6-f8b4-4ad4-b0dd-012b93dfe73d">COWFRLPHDR-10-6</_dlc_DocId>
    <_dlc_DocIdUrl xmlns="aa992af6-f8b4-4ad4-b0dd-012b93dfe73d">
      <Url>https://share.hdrinc.com/sites/CoW_FRLP/_layouts/DocIdRedir.aspx?ID=COWFRLPHDR-10-6</Url>
      <Description>COWFRLPHDR-10-6</Description>
    </_dlc_DocIdUrl>
  </documentManagement>
</p:properties>
</file>

<file path=customXml/item4.xml><?xml version="1.0" encoding="utf-8"?>
<ct:contentTypeSchema xmlns:ct="http://schemas.microsoft.com/office/2006/metadata/contentType" xmlns:ma="http://schemas.microsoft.com/office/2006/metadata/properties/metaAttributes" ct:_="" ma:_="" ma:contentTypeName="Document" ma:contentTypeID="0x0101005366847E03703E409F665D14D9CD2D37" ma:contentTypeVersion="0" ma:contentTypeDescription="Create a new document." ma:contentTypeScope="" ma:versionID="9890fc7c48938089161c20f6cd2605d6">
  <xsd:schema xmlns:xsd="http://www.w3.org/2001/XMLSchema" xmlns:xs="http://www.w3.org/2001/XMLSchema" xmlns:p="http://schemas.microsoft.com/office/2006/metadata/properties" xmlns:ns2="aa992af6-f8b4-4ad4-b0dd-012b93dfe73d" targetNamespace="http://schemas.microsoft.com/office/2006/metadata/properties" ma:root="true" ma:fieldsID="3eddd7b8fb9f2ac2e59918008fccaeec" ns2:_="">
    <xsd:import namespace="aa992af6-f8b4-4ad4-b0dd-012b93dfe73d"/>
    <xsd:element name="properties">
      <xsd:complexType>
        <xsd:sequence>
          <xsd:element name="documentManagement">
            <xsd:complexType>
              <xsd:all>
                <xsd:element ref="ns2:_dlc_DocId" minOccurs="0"/>
                <xsd:element ref="ns2:_dlc_DocIdUrl" minOccurs="0"/>
                <xsd:element ref="ns2:_dlc_DocIdPersistId"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a992af6-f8b4-4ad4-b0dd-012b93dfe73d" elementFormDefault="qualified">
    <xsd:import namespace="http://schemas.microsoft.com/office/2006/documentManagement/types"/>
    <xsd:import namespace="http://schemas.microsoft.com/office/infopath/2007/PartnerControls"/>
    <xsd:element name="_dlc_DocId" ma:index="8" nillable="true" ma:displayName="Document ID Value" ma:description="The value of the document ID assigned to this item." ma:internalName="_dlc_DocId" ma:readOnly="true">
      <xsd:simpleType>
        <xsd:restriction base="dms:Text"/>
      </xsd:simpleType>
    </xsd:element>
    <xsd:element name="_dlc_DocIdUrl" ma:index="9" nillable="true" ma:displayName="Document ID" ma:description="Permanent link to this document." ma:hidden="true" ma:internalName="_dlc_DocIdUrl" ma:readOnly="true">
      <xsd:complexType>
        <xsd:complexContent>
          <xsd:extension base="dms:URL">
            <xsd:sequence>
              <xsd:element name="Url" type="dms:ValidUrl" minOccurs="0" nillable="true"/>
              <xsd:element name="Description" type="xsd:string" nillable="true"/>
            </xsd:sequence>
          </xsd:extension>
        </xsd:complexContent>
      </xsd:complexType>
    </xsd:element>
    <xsd:element name="_dlc_DocIdPersistId" ma:index="10" nillable="true" ma:displayName="Persist ID" ma:description="Keep ID on add." ma:hidden="true" ma:internalName="_dlc_DocIdPersistId" ma:readOnly="true">
      <xsd:simpleType>
        <xsd:restriction base="dms:Boolea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8615BD5C-EF5C-46F2-B7C6-F7C8FCCE275E}">
  <ds:schemaRefs>
    <ds:schemaRef ds:uri="http://schemas.microsoft.com/sharepoint/events"/>
  </ds:schemaRefs>
</ds:datastoreItem>
</file>

<file path=customXml/itemProps2.xml><?xml version="1.0" encoding="utf-8"?>
<ds:datastoreItem xmlns:ds="http://schemas.openxmlformats.org/officeDocument/2006/customXml" ds:itemID="{D35A9F61-A96B-4082-B20F-F2B23C6CF7C3}">
  <ds:schemaRefs>
    <ds:schemaRef ds:uri="http://schemas.microsoft.com/sharepoint/v3/contenttype/forms"/>
  </ds:schemaRefs>
</ds:datastoreItem>
</file>

<file path=customXml/itemProps3.xml><?xml version="1.0" encoding="utf-8"?>
<ds:datastoreItem xmlns:ds="http://schemas.openxmlformats.org/officeDocument/2006/customXml" ds:itemID="{88F0BCD0-1898-49FD-9211-56844441B181}">
  <ds:schemaRefs>
    <ds:schemaRef ds:uri="http://purl.org/dc/elements/1.1/"/>
    <ds:schemaRef ds:uri="http://schemas.microsoft.com/office/2006/metadata/properties"/>
    <ds:schemaRef ds:uri="aa992af6-f8b4-4ad4-b0dd-012b93dfe73d"/>
    <ds:schemaRef ds:uri="http://purl.org/dc/terms/"/>
    <ds:schemaRef ds:uri="http://schemas.openxmlformats.org/package/2006/metadata/core-properties"/>
    <ds:schemaRef ds:uri="http://schemas.microsoft.com/office/2006/documentManagement/types"/>
    <ds:schemaRef ds:uri="http://schemas.microsoft.com/office/infopath/2007/PartnerControls"/>
    <ds:schemaRef ds:uri="http://www.w3.org/XML/1998/namespace"/>
    <ds:schemaRef ds:uri="http://purl.org/dc/dcmitype/"/>
  </ds:schemaRefs>
</ds:datastoreItem>
</file>

<file path=customXml/itemProps4.xml><?xml version="1.0" encoding="utf-8"?>
<ds:datastoreItem xmlns:ds="http://schemas.openxmlformats.org/officeDocument/2006/customXml" ds:itemID="{C53BAAB8-251F-4990-A471-C2B2BD44322A}">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aa992af6-f8b4-4ad4-b0dd-012b93dfe73d"/>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11</vt:i4>
      </vt:variant>
      <vt:variant>
        <vt:lpstr>Named Ranges</vt:lpstr>
      </vt:variant>
      <vt:variant>
        <vt:i4>2</vt:i4>
      </vt:variant>
    </vt:vector>
  </HeadingPairs>
  <TitlesOfParts>
    <vt:vector size="13" baseType="lpstr">
      <vt:lpstr>Create Filename</vt:lpstr>
      <vt:lpstr>ENV Tract Status Report</vt:lpstr>
      <vt:lpstr>ACQ Tract Status Report</vt:lpstr>
      <vt:lpstr>TAX Parcel Status Report</vt:lpstr>
      <vt:lpstr>SP ENV Lib</vt:lpstr>
      <vt:lpstr>SP ACQ Lib</vt:lpstr>
      <vt:lpstr>SP EnvTract DB</vt:lpstr>
      <vt:lpstr>SP AcqTract DB</vt:lpstr>
      <vt:lpstr>SP TaxPar DB</vt:lpstr>
      <vt:lpstr>SP Contacts DB</vt:lpstr>
      <vt:lpstr>SP ACQ DocType</vt:lpstr>
      <vt:lpstr>ACQStatus_ACQTNo.</vt:lpstr>
      <vt:lpstr>'ACQ Tract Status Report'!Print_Titles</vt:lpstr>
    </vt:vector>
  </TitlesOfParts>
  <Company>HDR, Inc</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creator>Jeff Mann</dc:creator>
  <cp:lastModifiedBy>Donohue, Deborah</cp:lastModifiedBy>
  <cp:lastPrinted>2020-07-13T13:38:40Z</cp:lastPrinted>
  <dcterms:created xsi:type="dcterms:W3CDTF">2019-09-18T19:21:06Z</dcterms:created>
  <dcterms:modified xsi:type="dcterms:W3CDTF">2020-07-13T18:40:09Z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0x0101005366847E03703E409F665D14D9CD2D37</vt:lpwstr>
  </property>
  <property fmtid="{D5CDD505-2E9C-101B-9397-08002B2CF9AE}" pid="3" name="_dlc_DocIdItemGuid">
    <vt:lpwstr>71c12ece-0bf9-466b-ba79-b42b31c6909a</vt:lpwstr>
  </property>
</Properties>
</file>